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 codeName="ThisWorkbook"/>
  <mc:AlternateContent xmlns:mc="http://schemas.openxmlformats.org/markup-compatibility/2006">
    <mc:Choice Requires="x15">
      <x15ac:absPath xmlns:x15ac="http://schemas.microsoft.com/office/spreadsheetml/2010/11/ac" url="/Volumes/GoogleDrive/Drive partagés/STOCK CO2/5 - STOCKEURS/02-FORESTIER/2-NOTIFIE/046-B-TESSIER-HERMOUET-PDL(44)-LE BOIS DE LA CROIX VERTE-Legé &amp; Courcoué-sur-Logne/"/>
    </mc:Choice>
  </mc:AlternateContent>
  <xr:revisionPtr revIDLastSave="0" documentId="13_ncr:1_{DC78B67D-A343-F14A-BFA0-8CF459A6F15B}" xr6:coauthVersionLast="45" xr6:coauthVersionMax="45" xr10:uidLastSave="{00000000-0000-0000-0000-000000000000}"/>
  <bookViews>
    <workbookView xWindow="12320" yWindow="-26320" windowWidth="25360" windowHeight="1754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6" l="1"/>
  <c r="C153" i="6" l="1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67" i="6"/>
  <c r="C152" i="6"/>
  <c r="C127" i="6"/>
  <c r="C128" i="6"/>
  <c r="C129" i="6"/>
  <c r="C130" i="6"/>
  <c r="C131" i="6"/>
  <c r="C132" i="6"/>
  <c r="C133" i="6"/>
  <c r="C134" i="6"/>
  <c r="C135" i="6"/>
  <c r="C136" i="6"/>
  <c r="C137" i="6"/>
  <c r="C138" i="6"/>
  <c r="C139" i="6"/>
  <c r="C140" i="6"/>
  <c r="C141" i="6"/>
  <c r="C142" i="6"/>
  <c r="C126" i="6"/>
  <c r="C90" i="6"/>
  <c r="C89" i="6"/>
  <c r="C88" i="6"/>
  <c r="C87" i="6"/>
  <c r="C86" i="6"/>
  <c r="C85" i="6"/>
  <c r="C84" i="6"/>
  <c r="C83" i="6"/>
  <c r="C82" i="6"/>
  <c r="C81" i="6"/>
  <c r="C80" i="6"/>
  <c r="C79" i="6"/>
  <c r="C78" i="6"/>
  <c r="C77" i="6"/>
  <c r="C76" i="6"/>
  <c r="C75" i="6"/>
  <c r="C74" i="6"/>
  <c r="C51" i="6"/>
  <c r="C48" i="6"/>
  <c r="F64" i="1"/>
  <c r="G64" i="1"/>
  <c r="C50" i="6" s="1"/>
  <c r="G63" i="1"/>
  <c r="F63" i="1"/>
  <c r="C49" i="6" s="1"/>
  <c r="C101" i="6" l="1"/>
  <c r="C102" i="6"/>
  <c r="C103" i="6"/>
  <c r="C104" i="6"/>
  <c r="C105" i="6"/>
  <c r="C106" i="6"/>
  <c r="C107" i="6"/>
  <c r="C108" i="6"/>
  <c r="C109" i="6"/>
  <c r="C110" i="6"/>
  <c r="C111" i="6"/>
  <c r="C112" i="6"/>
  <c r="C113" i="6"/>
  <c r="C114" i="6"/>
  <c r="C115" i="6"/>
  <c r="C116" i="6"/>
  <c r="C100" i="6"/>
  <c r="C23" i="6"/>
  <c r="C24" i="6"/>
  <c r="C25" i="6"/>
  <c r="C26" i="6"/>
  <c r="C27" i="6"/>
  <c r="C28" i="6"/>
  <c r="C29" i="6"/>
  <c r="C22" i="6"/>
  <c r="AF205" i="2" l="1"/>
  <c r="O3" i="2" l="1"/>
  <c r="R30" i="6" l="1"/>
  <c r="R31" i="6" s="1"/>
  <c r="R32" i="6" s="1"/>
  <c r="R33" i="6" s="1"/>
  <c r="R34" i="6" s="1"/>
  <c r="R35" i="6" s="1"/>
  <c r="R36" i="6" s="1"/>
  <c r="R37" i="6" s="1"/>
  <c r="R38" i="6" s="1"/>
  <c r="R39" i="6" l="1"/>
  <c r="R40" i="6" s="1"/>
  <c r="R41" i="6" s="1"/>
  <c r="R42" i="6" s="1"/>
  <c r="R43" i="6" s="1"/>
  <c r="R44" i="6" s="1"/>
  <c r="R45" i="6" s="1"/>
  <c r="R46" i="6" s="1"/>
  <c r="R47" i="6" s="1"/>
  <c r="R48" i="6" s="1"/>
  <c r="R49" i="6" s="1"/>
  <c r="R50" i="6" s="1"/>
  <c r="R51" i="6" s="1"/>
  <c r="R52" i="6" s="1"/>
  <c r="R53" i="6" s="1"/>
  <c r="R54" i="6" s="1"/>
  <c r="R55" i="6" s="1"/>
  <c r="R56" i="6" s="1"/>
  <c r="R57" i="6" s="1"/>
  <c r="R58" i="6" s="1"/>
  <c r="R59" i="6" s="1"/>
  <c r="R60" i="6" s="1"/>
  <c r="R61" i="6" s="1"/>
  <c r="R62" i="6" s="1"/>
  <c r="R63" i="6" s="1"/>
  <c r="R64" i="6" s="1"/>
  <c r="R65" i="6" s="1"/>
  <c r="R66" i="6" s="1"/>
  <c r="R67" i="6" s="1"/>
  <c r="R68" i="6" s="1"/>
  <c r="R69" i="6" s="1"/>
  <c r="R70" i="6" s="1"/>
  <c r="R71" i="6" s="1"/>
  <c r="R72" i="6" s="1"/>
  <c r="R73" i="6" s="1"/>
  <c r="R74" i="6" s="1"/>
  <c r="R75" i="6" s="1"/>
  <c r="R76" i="6" s="1"/>
  <c r="R77" i="6" s="1"/>
  <c r="R78" i="6" s="1"/>
  <c r="R79" i="6" s="1"/>
  <c r="R80" i="6" s="1"/>
  <c r="R81" i="6" s="1"/>
  <c r="R82" i="6" s="1"/>
  <c r="R83" i="6" s="1"/>
  <c r="R84" i="6" s="1"/>
  <c r="R85" i="6" s="1"/>
  <c r="R86" i="6" s="1"/>
  <c r="R87" i="6" s="1"/>
  <c r="R88" i="6" s="1"/>
  <c r="R89" i="6" s="1"/>
  <c r="R90" i="6" s="1"/>
  <c r="R91" i="6" s="1"/>
  <c r="R92" i="6" s="1"/>
  <c r="R93" i="6" s="1"/>
  <c r="R94" i="6" s="1"/>
  <c r="R95" i="6" s="1"/>
  <c r="R96" i="6" s="1"/>
  <c r="R97" i="6" s="1"/>
  <c r="R98" i="6" s="1"/>
  <c r="R99" i="6" s="1"/>
  <c r="R100" i="6" s="1"/>
  <c r="R101" i="6" s="1"/>
  <c r="R102" i="6" s="1"/>
  <c r="R103" i="6" s="1"/>
  <c r="R104" i="6" s="1"/>
  <c r="R105" i="6" s="1"/>
  <c r="R106" i="6" s="1"/>
  <c r="R107" i="6" s="1"/>
  <c r="R108" i="6" s="1"/>
  <c r="R109" i="6" s="1"/>
  <c r="R110" i="6" s="1"/>
  <c r="R111" i="6" s="1"/>
  <c r="R112" i="6" s="1"/>
  <c r="F14" i="1" a="1"/>
  <c r="F14" i="1" s="1"/>
  <c r="AD3" i="2" l="1"/>
  <c r="C19" i="7"/>
  <c r="B257" i="6"/>
  <c r="B258" i="6"/>
  <c r="B259" i="6"/>
  <c r="B260" i="6"/>
  <c r="B261" i="6"/>
  <c r="B262" i="6"/>
  <c r="B263" i="6"/>
  <c r="B264" i="6"/>
  <c r="B265" i="6"/>
  <c r="B266" i="6"/>
  <c r="B267" i="6"/>
  <c r="B268" i="6"/>
  <c r="B269" i="6"/>
  <c r="B270" i="6"/>
  <c r="B271" i="6"/>
  <c r="B272" i="6"/>
  <c r="B273" i="6"/>
  <c r="B274" i="6"/>
  <c r="B275" i="6"/>
  <c r="B256" i="6"/>
  <c r="B231" i="6"/>
  <c r="B232" i="6"/>
  <c r="B233" i="6"/>
  <c r="B234" i="6"/>
  <c r="B235" i="6"/>
  <c r="B236" i="6"/>
  <c r="B237" i="6"/>
  <c r="B238" i="6"/>
  <c r="B239" i="6"/>
  <c r="B240" i="6"/>
  <c r="B241" i="6"/>
  <c r="B242" i="6"/>
  <c r="B243" i="6"/>
  <c r="B244" i="6"/>
  <c r="B245" i="6"/>
  <c r="B246" i="6"/>
  <c r="B247" i="6"/>
  <c r="B248" i="6"/>
  <c r="B249" i="6"/>
  <c r="B230" i="6"/>
  <c r="B205" i="6"/>
  <c r="B206" i="6"/>
  <c r="B207" i="6"/>
  <c r="B208" i="6"/>
  <c r="B209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04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67" i="6"/>
  <c r="B168" i="6"/>
  <c r="B169" i="6"/>
  <c r="B170" i="6"/>
  <c r="B171" i="6"/>
  <c r="B152" i="6"/>
  <c r="B127" i="6"/>
  <c r="B128" i="6"/>
  <c r="B129" i="6"/>
  <c r="B130" i="6"/>
  <c r="B131" i="6"/>
  <c r="B132" i="6"/>
  <c r="B134" i="6"/>
  <c r="B135" i="6"/>
  <c r="B136" i="6"/>
  <c r="B137" i="6"/>
  <c r="B138" i="6"/>
  <c r="B139" i="6"/>
  <c r="B140" i="6"/>
  <c r="B141" i="6"/>
  <c r="B142" i="6"/>
  <c r="B143" i="6"/>
  <c r="B144" i="6"/>
  <c r="B145" i="6"/>
  <c r="B126" i="6"/>
  <c r="B101" i="6"/>
  <c r="B103" i="6"/>
  <c r="B105" i="6"/>
  <c r="B107" i="6"/>
  <c r="B109" i="6"/>
  <c r="B111" i="6"/>
  <c r="B112" i="6"/>
  <c r="B114" i="6"/>
  <c r="B115" i="6"/>
  <c r="B116" i="6"/>
  <c r="B117" i="6"/>
  <c r="B118" i="6"/>
  <c r="B119" i="6"/>
  <c r="B100" i="6"/>
  <c r="B75" i="6"/>
  <c r="B77" i="6"/>
  <c r="B79" i="6"/>
  <c r="B81" i="6"/>
  <c r="B83" i="6"/>
  <c r="B85" i="6"/>
  <c r="B86" i="6"/>
  <c r="B88" i="6"/>
  <c r="B89" i="6"/>
  <c r="B90" i="6"/>
  <c r="B91" i="6"/>
  <c r="B92" i="6"/>
  <c r="B93" i="6"/>
  <c r="B74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48" i="6"/>
  <c r="B23" i="6"/>
  <c r="B24" i="6"/>
  <c r="B25" i="6"/>
  <c r="B26" i="6"/>
  <c r="B27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F10" i="1" a="1"/>
  <c r="F10" i="1" s="1"/>
  <c r="F9" i="1" a="1"/>
  <c r="F9" i="1" s="1"/>
  <c r="B133" i="6"/>
  <c r="I147" i="1" l="1"/>
  <c r="B113" i="6"/>
  <c r="B110" i="6"/>
  <c r="B108" i="6"/>
  <c r="B106" i="6"/>
  <c r="B104" i="6"/>
  <c r="B102" i="6"/>
  <c r="B87" i="6"/>
  <c r="B84" i="6"/>
  <c r="B82" i="6"/>
  <c r="B80" i="6"/>
  <c r="B78" i="6"/>
  <c r="B76" i="6"/>
  <c r="B28" i="6" l="1"/>
  <c r="K205" i="2"/>
  <c r="B22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S29" i="6" l="1"/>
  <c r="CQ205" i="2"/>
  <c r="BV205" i="2"/>
  <c r="BA205" i="2"/>
  <c r="A6" i="4" l="1"/>
  <c r="A7" i="4"/>
  <c r="L3" i="2"/>
  <c r="S85" i="6"/>
  <c r="S86" i="6"/>
  <c r="S87" i="6"/>
  <c r="S88" i="6"/>
  <c r="S89" i="6"/>
  <c r="S90" i="6"/>
  <c r="S91" i="6"/>
  <c r="S92" i="6"/>
  <c r="S93" i="6"/>
  <c r="S94" i="6"/>
  <c r="S95" i="6"/>
  <c r="S96" i="6"/>
  <c r="S97" i="6"/>
  <c r="S98" i="6"/>
  <c r="S99" i="6"/>
  <c r="S100" i="6"/>
  <c r="S101" i="6"/>
  <c r="S102" i="6"/>
  <c r="S103" i="6"/>
  <c r="S104" i="6"/>
  <c r="S105" i="6"/>
  <c r="S106" i="6"/>
  <c r="S107" i="6"/>
  <c r="S108" i="6"/>
  <c r="S109" i="6"/>
  <c r="S110" i="6"/>
  <c r="S111" i="6"/>
  <c r="S112" i="6"/>
  <c r="S113" i="6"/>
  <c r="S114" i="6"/>
  <c r="S115" i="6"/>
  <c r="S116" i="6"/>
  <c r="S117" i="6"/>
  <c r="S118" i="6"/>
  <c r="S119" i="6"/>
  <c r="S120" i="6"/>
  <c r="S121" i="6"/>
  <c r="S122" i="6"/>
  <c r="S123" i="6"/>
  <c r="S124" i="6"/>
  <c r="S125" i="6"/>
  <c r="S126" i="6"/>
  <c r="S127" i="6"/>
  <c r="S128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257" i="6"/>
  <c r="D259" i="6"/>
  <c r="D260" i="6"/>
  <c r="D261" i="6"/>
  <c r="D262" i="6"/>
  <c r="D263" i="6"/>
  <c r="D264" i="6"/>
  <c r="D265" i="6"/>
  <c r="D266" i="6"/>
  <c r="D267" i="6"/>
  <c r="D268" i="6"/>
  <c r="D269" i="6"/>
  <c r="D270" i="6"/>
  <c r="D271" i="6"/>
  <c r="D272" i="6"/>
  <c r="D273" i="6"/>
  <c r="D274" i="6"/>
  <c r="D275" i="6"/>
  <c r="D256" i="6"/>
  <c r="D231" i="6"/>
  <c r="D232" i="6"/>
  <c r="D233" i="6"/>
  <c r="D234" i="6"/>
  <c r="D235" i="6"/>
  <c r="D236" i="6"/>
  <c r="D237" i="6"/>
  <c r="D238" i="6"/>
  <c r="D239" i="6"/>
  <c r="D240" i="6"/>
  <c r="D241" i="6"/>
  <c r="D242" i="6"/>
  <c r="D243" i="6"/>
  <c r="D244" i="6"/>
  <c r="D245" i="6"/>
  <c r="D246" i="6"/>
  <c r="D247" i="6"/>
  <c r="D248" i="6"/>
  <c r="D249" i="6"/>
  <c r="D230" i="6"/>
  <c r="D205" i="6"/>
  <c r="D206" i="6"/>
  <c r="D207" i="6"/>
  <c r="D208" i="6"/>
  <c r="D209" i="6"/>
  <c r="D210" i="6"/>
  <c r="D211" i="6"/>
  <c r="D212" i="6"/>
  <c r="D213" i="6"/>
  <c r="D215" i="6"/>
  <c r="D216" i="6"/>
  <c r="D217" i="6"/>
  <c r="D218" i="6"/>
  <c r="D219" i="6"/>
  <c r="D220" i="6"/>
  <c r="D221" i="6"/>
  <c r="D222" i="6"/>
  <c r="D223" i="6"/>
  <c r="D204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67" i="6"/>
  <c r="D168" i="6"/>
  <c r="D169" i="6"/>
  <c r="D170" i="6"/>
  <c r="D171" i="6"/>
  <c r="D152" i="6"/>
  <c r="D127" i="6"/>
  <c r="D128" i="6"/>
  <c r="D129" i="6"/>
  <c r="D130" i="6"/>
  <c r="D131" i="6"/>
  <c r="D133" i="6"/>
  <c r="D134" i="6"/>
  <c r="D135" i="6"/>
  <c r="D136" i="6"/>
  <c r="D137" i="6"/>
  <c r="D138" i="6"/>
  <c r="D139" i="6"/>
  <c r="D140" i="6"/>
  <c r="D141" i="6"/>
  <c r="D142" i="6"/>
  <c r="D143" i="6"/>
  <c r="D144" i="6"/>
  <c r="D145" i="6"/>
  <c r="D126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00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74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48" i="6"/>
  <c r="B44" i="6"/>
  <c r="B18" i="6"/>
  <c r="A8" i="4"/>
  <c r="A9" i="4"/>
  <c r="A10" i="4"/>
  <c r="A11" i="4"/>
  <c r="A12" i="4"/>
  <c r="B174" i="6"/>
  <c r="A13" i="4"/>
  <c r="B200" i="6"/>
  <c r="A14" i="4"/>
  <c r="B226" i="6"/>
  <c r="B252" i="6"/>
  <c r="A15" i="4"/>
  <c r="B148" i="6"/>
  <c r="B122" i="6"/>
  <c r="B96" i="6"/>
  <c r="B70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22" i="6"/>
  <c r="D258" i="6"/>
  <c r="D214" i="6"/>
  <c r="D132" i="6"/>
  <c r="A257" i="6"/>
  <c r="A258" i="6"/>
  <c r="A259" i="6"/>
  <c r="A260" i="6"/>
  <c r="A261" i="6"/>
  <c r="A262" i="6"/>
  <c r="A263" i="6"/>
  <c r="A264" i="6"/>
  <c r="A265" i="6"/>
  <c r="A266" i="6"/>
  <c r="A267" i="6"/>
  <c r="A268" i="6"/>
  <c r="A269" i="6"/>
  <c r="A270" i="6"/>
  <c r="A271" i="6"/>
  <c r="A272" i="6"/>
  <c r="A273" i="6"/>
  <c r="A274" i="6"/>
  <c r="A275" i="6"/>
  <c r="A256" i="6"/>
  <c r="A231" i="6"/>
  <c r="A232" i="6"/>
  <c r="A233" i="6"/>
  <c r="A234" i="6"/>
  <c r="A235" i="6"/>
  <c r="A236" i="6"/>
  <c r="A237" i="6"/>
  <c r="A238" i="6"/>
  <c r="A239" i="6"/>
  <c r="A240" i="6"/>
  <c r="A241" i="6"/>
  <c r="A242" i="6"/>
  <c r="A243" i="6"/>
  <c r="A244" i="6"/>
  <c r="A245" i="6"/>
  <c r="A246" i="6"/>
  <c r="A247" i="6"/>
  <c r="A248" i="6"/>
  <c r="A249" i="6"/>
  <c r="A230" i="6"/>
  <c r="A205" i="6"/>
  <c r="A206" i="6"/>
  <c r="A207" i="6"/>
  <c r="A208" i="6"/>
  <c r="A209" i="6"/>
  <c r="A210" i="6"/>
  <c r="A211" i="6"/>
  <c r="A212" i="6"/>
  <c r="A213" i="6"/>
  <c r="A214" i="6"/>
  <c r="A215" i="6"/>
  <c r="A216" i="6"/>
  <c r="A217" i="6"/>
  <c r="A218" i="6"/>
  <c r="A219" i="6"/>
  <c r="A220" i="6"/>
  <c r="A221" i="6"/>
  <c r="A222" i="6"/>
  <c r="A223" i="6"/>
  <c r="A204" i="6"/>
  <c r="A190" i="6"/>
  <c r="A191" i="6"/>
  <c r="A192" i="6"/>
  <c r="A193" i="6"/>
  <c r="A194" i="6"/>
  <c r="A195" i="6"/>
  <c r="A196" i="6"/>
  <c r="A197" i="6"/>
  <c r="A179" i="6"/>
  <c r="A180" i="6"/>
  <c r="A181" i="6"/>
  <c r="A182" i="6"/>
  <c r="A183" i="6"/>
  <c r="A184" i="6"/>
  <c r="A185" i="6"/>
  <c r="A186" i="6"/>
  <c r="A187" i="6"/>
  <c r="A188" i="6"/>
  <c r="A189" i="6"/>
  <c r="A178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67" i="6"/>
  <c r="A168" i="6"/>
  <c r="A169" i="6"/>
  <c r="A170" i="6"/>
  <c r="A171" i="6"/>
  <c r="A152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41" i="6"/>
  <c r="A142" i="6"/>
  <c r="A143" i="6"/>
  <c r="A144" i="6"/>
  <c r="A145" i="6"/>
  <c r="A126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00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74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48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22" i="6"/>
  <c r="J29" i="6" l="1"/>
  <c r="J28" i="6"/>
  <c r="J25" i="6"/>
  <c r="J22" i="6"/>
  <c r="J27" i="6"/>
  <c r="J23" i="6"/>
  <c r="J21" i="6"/>
  <c r="J24" i="6"/>
  <c r="J26" i="6"/>
  <c r="J20" i="6"/>
  <c r="S30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I25" i="6"/>
  <c r="I26" i="6"/>
  <c r="I28" i="6"/>
  <c r="I27" i="6"/>
  <c r="I24" i="6"/>
  <c r="I29" i="6"/>
  <c r="I23" i="6"/>
  <c r="I21" i="6"/>
  <c r="I22" i="6"/>
  <c r="I20" i="6"/>
  <c r="S58" i="6" l="1"/>
  <c r="H14" i="2"/>
  <c r="D15" i="2"/>
  <c r="G15" i="2" s="1"/>
  <c r="S31" i="6"/>
  <c r="I141" i="1"/>
  <c r="I167" i="1"/>
  <c r="S59" i="6" l="1"/>
  <c r="H15" i="2"/>
  <c r="D16" i="2"/>
  <c r="G16" i="2" s="1"/>
  <c r="S32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S60" i="6" l="1"/>
  <c r="H16" i="2"/>
  <c r="D17" i="2"/>
  <c r="G17" i="2" s="1"/>
  <c r="S33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GZ8" i="2" l="1"/>
  <c r="GE5" i="2"/>
  <c r="GE13" i="2"/>
  <c r="GE21" i="2"/>
  <c r="GE29" i="2"/>
  <c r="GE37" i="2"/>
  <c r="GE45" i="2"/>
  <c r="GE53" i="2"/>
  <c r="GE61" i="2"/>
  <c r="GE69" i="2"/>
  <c r="GE77" i="2"/>
  <c r="GE85" i="2"/>
  <c r="GE93" i="2"/>
  <c r="GE101" i="2"/>
  <c r="GE109" i="2"/>
  <c r="GE117" i="2"/>
  <c r="GE125" i="2"/>
  <c r="GE133" i="2"/>
  <c r="GE141" i="2"/>
  <c r="GE149" i="2"/>
  <c r="GE157" i="2"/>
  <c r="GE165" i="2"/>
  <c r="GE173" i="2"/>
  <c r="GE181" i="2"/>
  <c r="GE189" i="2"/>
  <c r="GE197" i="2"/>
  <c r="GE6" i="2"/>
  <c r="GE14" i="2"/>
  <c r="GE22" i="2"/>
  <c r="GE30" i="2"/>
  <c r="GE38" i="2"/>
  <c r="GE46" i="2"/>
  <c r="GE54" i="2"/>
  <c r="GE62" i="2"/>
  <c r="GE70" i="2"/>
  <c r="GE78" i="2"/>
  <c r="GE86" i="2"/>
  <c r="GE94" i="2"/>
  <c r="GE102" i="2"/>
  <c r="GE110" i="2"/>
  <c r="GE118" i="2"/>
  <c r="GE126" i="2"/>
  <c r="GE134" i="2"/>
  <c r="GE142" i="2"/>
  <c r="GE150" i="2"/>
  <c r="GE158" i="2"/>
  <c r="GE166" i="2"/>
  <c r="GE174" i="2"/>
  <c r="GE182" i="2"/>
  <c r="GE190" i="2"/>
  <c r="GE198" i="2"/>
  <c r="GE7" i="2"/>
  <c r="GE15" i="2"/>
  <c r="GE23" i="2"/>
  <c r="GE31" i="2"/>
  <c r="GE39" i="2"/>
  <c r="GE47" i="2"/>
  <c r="GE55" i="2"/>
  <c r="GE63" i="2"/>
  <c r="GE71" i="2"/>
  <c r="GE79" i="2"/>
  <c r="GE87" i="2"/>
  <c r="GE95" i="2"/>
  <c r="GE103" i="2"/>
  <c r="GE111" i="2"/>
  <c r="GE119" i="2"/>
  <c r="GE127" i="2"/>
  <c r="GE135" i="2"/>
  <c r="GE143" i="2"/>
  <c r="GE151" i="2"/>
  <c r="GE159" i="2"/>
  <c r="GE167" i="2"/>
  <c r="GE175" i="2"/>
  <c r="GE183" i="2"/>
  <c r="GE191" i="2"/>
  <c r="GE199" i="2"/>
  <c r="GE8" i="2"/>
  <c r="GE16" i="2"/>
  <c r="GE24" i="2"/>
  <c r="GE32" i="2"/>
  <c r="GE40" i="2"/>
  <c r="GE48" i="2"/>
  <c r="GE56" i="2"/>
  <c r="GE64" i="2"/>
  <c r="GE72" i="2"/>
  <c r="GE80" i="2"/>
  <c r="GE88" i="2"/>
  <c r="GE96" i="2"/>
  <c r="GE104" i="2"/>
  <c r="GE112" i="2"/>
  <c r="GE120" i="2"/>
  <c r="GE128" i="2"/>
  <c r="GE136" i="2"/>
  <c r="GE144" i="2"/>
  <c r="GE152" i="2"/>
  <c r="GE160" i="2"/>
  <c r="GE168" i="2"/>
  <c r="GE176" i="2"/>
  <c r="GE184" i="2"/>
  <c r="GE192" i="2"/>
  <c r="GE200" i="2"/>
  <c r="GE11" i="2"/>
  <c r="GE19" i="2"/>
  <c r="GE27" i="2"/>
  <c r="GE35" i="2"/>
  <c r="GE43" i="2"/>
  <c r="GE51" i="2"/>
  <c r="GE59" i="2"/>
  <c r="GE67" i="2"/>
  <c r="GE75" i="2"/>
  <c r="GE83" i="2"/>
  <c r="GE91" i="2"/>
  <c r="GE99" i="2"/>
  <c r="GE107" i="2"/>
  <c r="GE115" i="2"/>
  <c r="GE123" i="2"/>
  <c r="GE131" i="2"/>
  <c r="GE139" i="2"/>
  <c r="GE147" i="2"/>
  <c r="GE155" i="2"/>
  <c r="GE163" i="2"/>
  <c r="GE171" i="2"/>
  <c r="GE179" i="2"/>
  <c r="GE187" i="2"/>
  <c r="GE195" i="2"/>
  <c r="GE203" i="2"/>
  <c r="GE9" i="2"/>
  <c r="GE28" i="2"/>
  <c r="GE50" i="2"/>
  <c r="GE73" i="2"/>
  <c r="GE92" i="2"/>
  <c r="GE114" i="2"/>
  <c r="GE137" i="2"/>
  <c r="GE156" i="2"/>
  <c r="GE178" i="2"/>
  <c r="GE201" i="2"/>
  <c r="GE10" i="2"/>
  <c r="GE33" i="2"/>
  <c r="GE52" i="2"/>
  <c r="GE74" i="2"/>
  <c r="GE97" i="2"/>
  <c r="GE116" i="2"/>
  <c r="GE138" i="2"/>
  <c r="GE161" i="2"/>
  <c r="GE180" i="2"/>
  <c r="GE202" i="2"/>
  <c r="GE12" i="2"/>
  <c r="GE34" i="2"/>
  <c r="GE57" i="2"/>
  <c r="GE76" i="2"/>
  <c r="GE98" i="2"/>
  <c r="GE121" i="2"/>
  <c r="GE140" i="2"/>
  <c r="GE162" i="2"/>
  <c r="GE185" i="2"/>
  <c r="GE17" i="2"/>
  <c r="GE36" i="2"/>
  <c r="GE58" i="2"/>
  <c r="GE81" i="2"/>
  <c r="GE100" i="2"/>
  <c r="GE122" i="2"/>
  <c r="GE145" i="2"/>
  <c r="GE164" i="2"/>
  <c r="GE186" i="2"/>
  <c r="GE18" i="2"/>
  <c r="GE41" i="2"/>
  <c r="GE60" i="2"/>
  <c r="GE82" i="2"/>
  <c r="GE105" i="2"/>
  <c r="GE124" i="2"/>
  <c r="GE146" i="2"/>
  <c r="GE169" i="2"/>
  <c r="GE188" i="2"/>
  <c r="GE20" i="2"/>
  <c r="GE68" i="2"/>
  <c r="GE130" i="2"/>
  <c r="GE193" i="2"/>
  <c r="GE25" i="2"/>
  <c r="GE84" i="2"/>
  <c r="GE132" i="2"/>
  <c r="GE194" i="2"/>
  <c r="GE26" i="2"/>
  <c r="GE89" i="2"/>
  <c r="GE148" i="2"/>
  <c r="GE196" i="2"/>
  <c r="GE42" i="2"/>
  <c r="GE90" i="2"/>
  <c r="GE153" i="2"/>
  <c r="GE44" i="2"/>
  <c r="GE106" i="2"/>
  <c r="GE154" i="2"/>
  <c r="GE65" i="2"/>
  <c r="GE113" i="2"/>
  <c r="GE172" i="2"/>
  <c r="GE4" i="2"/>
  <c r="GE49" i="2"/>
  <c r="GE66" i="2"/>
  <c r="GE108" i="2"/>
  <c r="GE129" i="2"/>
  <c r="GE170" i="2"/>
  <c r="GE177" i="2"/>
  <c r="GZ4" i="2"/>
  <c r="GZ12" i="2"/>
  <c r="GZ20" i="2"/>
  <c r="GZ28" i="2"/>
  <c r="GZ36" i="2"/>
  <c r="GZ44" i="2"/>
  <c r="GZ52" i="2"/>
  <c r="GZ60" i="2"/>
  <c r="GZ68" i="2"/>
  <c r="GZ76" i="2"/>
  <c r="GZ84" i="2"/>
  <c r="GZ92" i="2"/>
  <c r="GZ100" i="2"/>
  <c r="GZ108" i="2"/>
  <c r="GZ116" i="2"/>
  <c r="GZ124" i="2"/>
  <c r="GZ132" i="2"/>
  <c r="GZ140" i="2"/>
  <c r="GZ148" i="2"/>
  <c r="GZ156" i="2"/>
  <c r="GZ164" i="2"/>
  <c r="GZ172" i="2"/>
  <c r="GZ180" i="2"/>
  <c r="GZ188" i="2"/>
  <c r="GZ196" i="2"/>
  <c r="GZ5" i="2"/>
  <c r="GZ13" i="2"/>
  <c r="GZ21" i="2"/>
  <c r="GZ29" i="2"/>
  <c r="GZ37" i="2"/>
  <c r="GZ45" i="2"/>
  <c r="GZ53" i="2"/>
  <c r="GZ61" i="2"/>
  <c r="GZ69" i="2"/>
  <c r="GZ77" i="2"/>
  <c r="GZ85" i="2"/>
  <c r="GZ93" i="2"/>
  <c r="GZ101" i="2"/>
  <c r="GZ109" i="2"/>
  <c r="GZ117" i="2"/>
  <c r="GZ125" i="2"/>
  <c r="GZ133" i="2"/>
  <c r="GZ141" i="2"/>
  <c r="GZ149" i="2"/>
  <c r="GZ157" i="2"/>
  <c r="GZ165" i="2"/>
  <c r="GZ173" i="2"/>
  <c r="GZ181" i="2"/>
  <c r="GZ189" i="2"/>
  <c r="GZ197" i="2"/>
  <c r="GZ6" i="2"/>
  <c r="GZ14" i="2"/>
  <c r="GZ22" i="2"/>
  <c r="GZ30" i="2"/>
  <c r="GZ38" i="2"/>
  <c r="GZ46" i="2"/>
  <c r="GZ54" i="2"/>
  <c r="GZ62" i="2"/>
  <c r="GZ70" i="2"/>
  <c r="GZ78" i="2"/>
  <c r="GZ86" i="2"/>
  <c r="GZ94" i="2"/>
  <c r="GZ102" i="2"/>
  <c r="GZ110" i="2"/>
  <c r="GZ118" i="2"/>
  <c r="GZ126" i="2"/>
  <c r="GZ134" i="2"/>
  <c r="GZ142" i="2"/>
  <c r="GZ150" i="2"/>
  <c r="GZ158" i="2"/>
  <c r="GZ166" i="2"/>
  <c r="GZ174" i="2"/>
  <c r="GZ182" i="2"/>
  <c r="GZ190" i="2"/>
  <c r="GZ198" i="2"/>
  <c r="GZ7" i="2"/>
  <c r="GZ15" i="2"/>
  <c r="GZ23" i="2"/>
  <c r="GZ31" i="2"/>
  <c r="GZ39" i="2"/>
  <c r="GZ47" i="2"/>
  <c r="GZ55" i="2"/>
  <c r="GZ63" i="2"/>
  <c r="GZ71" i="2"/>
  <c r="GZ79" i="2"/>
  <c r="GZ87" i="2"/>
  <c r="GZ95" i="2"/>
  <c r="GZ103" i="2"/>
  <c r="GZ111" i="2"/>
  <c r="GZ119" i="2"/>
  <c r="GZ127" i="2"/>
  <c r="GZ135" i="2"/>
  <c r="GZ143" i="2"/>
  <c r="GZ151" i="2"/>
  <c r="GZ159" i="2"/>
  <c r="GZ167" i="2"/>
  <c r="GZ175" i="2"/>
  <c r="GZ183" i="2"/>
  <c r="GZ191" i="2"/>
  <c r="GZ199" i="2"/>
  <c r="GZ16" i="2"/>
  <c r="GZ24" i="2"/>
  <c r="GZ32" i="2"/>
  <c r="GZ40" i="2"/>
  <c r="GZ48" i="2"/>
  <c r="GZ56" i="2"/>
  <c r="GZ64" i="2"/>
  <c r="GZ72" i="2"/>
  <c r="GZ80" i="2"/>
  <c r="GZ88" i="2"/>
  <c r="GZ96" i="2"/>
  <c r="GZ104" i="2"/>
  <c r="GZ112" i="2"/>
  <c r="GZ120" i="2"/>
  <c r="GZ128" i="2"/>
  <c r="GZ136" i="2"/>
  <c r="GZ144" i="2"/>
  <c r="GZ152" i="2"/>
  <c r="GZ160" i="2"/>
  <c r="GZ168" i="2"/>
  <c r="GZ176" i="2"/>
  <c r="GZ184" i="2"/>
  <c r="GZ192" i="2"/>
  <c r="GZ200" i="2"/>
  <c r="GZ9" i="2"/>
  <c r="GZ17" i="2"/>
  <c r="GZ25" i="2"/>
  <c r="GZ33" i="2"/>
  <c r="GZ41" i="2"/>
  <c r="GZ49" i="2"/>
  <c r="GZ57" i="2"/>
  <c r="GZ65" i="2"/>
  <c r="GZ73" i="2"/>
  <c r="GZ81" i="2"/>
  <c r="GZ89" i="2"/>
  <c r="GZ97" i="2"/>
  <c r="GZ105" i="2"/>
  <c r="GZ113" i="2"/>
  <c r="GZ121" i="2"/>
  <c r="GZ129" i="2"/>
  <c r="GZ137" i="2"/>
  <c r="GZ145" i="2"/>
  <c r="GZ153" i="2"/>
  <c r="GZ161" i="2"/>
  <c r="GZ169" i="2"/>
  <c r="GZ177" i="2"/>
  <c r="GZ185" i="2"/>
  <c r="GZ193" i="2"/>
  <c r="GZ201" i="2"/>
  <c r="GZ10" i="2"/>
  <c r="GZ18" i="2"/>
  <c r="GZ26" i="2"/>
  <c r="GZ34" i="2"/>
  <c r="GZ42" i="2"/>
  <c r="GZ50" i="2"/>
  <c r="GZ58" i="2"/>
  <c r="GZ66" i="2"/>
  <c r="GZ74" i="2"/>
  <c r="GZ82" i="2"/>
  <c r="GZ90" i="2"/>
  <c r="GZ98" i="2"/>
  <c r="GZ106" i="2"/>
  <c r="GZ114" i="2"/>
  <c r="GZ122" i="2"/>
  <c r="GZ130" i="2"/>
  <c r="GZ138" i="2"/>
  <c r="GZ146" i="2"/>
  <c r="GZ154" i="2"/>
  <c r="GZ162" i="2"/>
  <c r="GZ170" i="2"/>
  <c r="GZ178" i="2"/>
  <c r="GZ186" i="2"/>
  <c r="GZ194" i="2"/>
  <c r="GZ202" i="2"/>
  <c r="GZ67" i="2"/>
  <c r="GZ131" i="2"/>
  <c r="GZ195" i="2"/>
  <c r="GZ11" i="2"/>
  <c r="GZ75" i="2"/>
  <c r="GZ139" i="2"/>
  <c r="GZ203" i="2"/>
  <c r="GZ19" i="2"/>
  <c r="GZ83" i="2"/>
  <c r="GZ147" i="2"/>
  <c r="GZ27" i="2"/>
  <c r="GZ91" i="2"/>
  <c r="GZ155" i="2"/>
  <c r="GZ51" i="2"/>
  <c r="GZ115" i="2"/>
  <c r="GZ179" i="2"/>
  <c r="GZ171" i="2"/>
  <c r="GZ35" i="2"/>
  <c r="GZ187" i="2"/>
  <c r="GZ43" i="2"/>
  <c r="GZ59" i="2"/>
  <c r="GZ99" i="2"/>
  <c r="GZ107" i="2"/>
  <c r="GZ123" i="2"/>
  <c r="GZ163" i="2"/>
  <c r="S61" i="6"/>
  <c r="H17" i="2"/>
  <c r="D18" i="2"/>
  <c r="G18" i="2" s="1"/>
  <c r="S34" i="6"/>
  <c r="D12" i="1"/>
  <c r="D13" i="1"/>
  <c r="D14" i="1"/>
  <c r="K25" i="6" s="1"/>
  <c r="L25" i="6" s="1"/>
  <c r="D15" i="1"/>
  <c r="K26" i="6" s="1"/>
  <c r="L26" i="6" s="1"/>
  <c r="D16" i="1"/>
  <c r="K27" i="6" s="1"/>
  <c r="L27" i="6" s="1"/>
  <c r="D17" i="1"/>
  <c r="K28" i="6" s="1"/>
  <c r="L28" i="6" s="1"/>
  <c r="D18" i="1"/>
  <c r="S62" i="6" l="1"/>
  <c r="H18" i="2"/>
  <c r="D19" i="2"/>
  <c r="G19" i="2" s="1"/>
  <c r="S35" i="6"/>
  <c r="B13" i="4"/>
  <c r="B15" i="4"/>
  <c r="K29" i="6"/>
  <c r="L29" i="6" s="1"/>
  <c r="B6" i="4"/>
  <c r="K20" i="6"/>
  <c r="B8" i="4"/>
  <c r="K22" i="6"/>
  <c r="L22" i="6" s="1"/>
  <c r="B12" i="4"/>
  <c r="B7" i="4"/>
  <c r="K21" i="6"/>
  <c r="L21" i="6" s="1"/>
  <c r="B11" i="4"/>
  <c r="B10" i="4"/>
  <c r="K24" i="6"/>
  <c r="L24" i="6" s="1"/>
  <c r="B9" i="4"/>
  <c r="K23" i="6"/>
  <c r="L23" i="6" s="1"/>
  <c r="D19" i="1"/>
  <c r="B14" i="4"/>
  <c r="L20" i="6" l="1"/>
  <c r="J33" i="6"/>
  <c r="S63" i="6"/>
  <c r="H19" i="2"/>
  <c r="D20" i="2"/>
  <c r="G20" i="2" s="1"/>
  <c r="S36" i="6"/>
  <c r="S64" i="6" l="1"/>
  <c r="H20" i="2"/>
  <c r="D21" i="2"/>
  <c r="G21" i="2" s="1"/>
  <c r="S37" i="6"/>
  <c r="S65" i="6" l="1"/>
  <c r="H21" i="2"/>
  <c r="D22" i="2"/>
  <c r="G22" i="2" s="1"/>
  <c r="S38" i="6"/>
  <c r="S66" i="6" l="1"/>
  <c r="H22" i="2"/>
  <c r="D23" i="2"/>
  <c r="G23" i="2" s="1"/>
  <c r="S39" i="6"/>
  <c r="S67" i="6" l="1"/>
  <c r="H23" i="2"/>
  <c r="D24" i="2"/>
  <c r="G24" i="2" s="1"/>
  <c r="S40" i="6"/>
  <c r="S68" i="6" l="1"/>
  <c r="H24" i="2"/>
  <c r="D25" i="2"/>
  <c r="G25" i="2" s="1"/>
  <c r="S41" i="6"/>
  <c r="S69" i="6" l="1"/>
  <c r="H25" i="2"/>
  <c r="D26" i="2"/>
  <c r="G26" i="2" s="1"/>
  <c r="S42" i="6"/>
  <c r="S70" i="6" l="1"/>
  <c r="H26" i="2"/>
  <c r="D27" i="2"/>
  <c r="G27" i="2" s="1"/>
  <c r="S43" i="6"/>
  <c r="S71" i="6" l="1"/>
  <c r="H27" i="2"/>
  <c r="D28" i="2"/>
  <c r="G28" i="2" s="1"/>
  <c r="S44" i="6"/>
  <c r="S72" i="6" l="1"/>
  <c r="H28" i="2"/>
  <c r="D29" i="2"/>
  <c r="G29" i="2" s="1"/>
  <c r="S45" i="6"/>
  <c r="S73" i="6" l="1"/>
  <c r="H29" i="2"/>
  <c r="D30" i="2"/>
  <c r="G30" i="2" s="1"/>
  <c r="S46" i="6"/>
  <c r="S74" i="6" l="1"/>
  <c r="H30" i="2"/>
  <c r="D31" i="2"/>
  <c r="G31" i="2" s="1"/>
  <c r="S47" i="6"/>
  <c r="S75" i="6" l="1"/>
  <c r="H31" i="2"/>
  <c r="D32" i="2"/>
  <c r="G32" i="2" s="1"/>
  <c r="S48" i="6"/>
  <c r="S76" i="6" l="1"/>
  <c r="H32" i="2"/>
  <c r="D33" i="2"/>
  <c r="G33" i="2" s="1"/>
  <c r="S49" i="6"/>
  <c r="S77" i="6" l="1"/>
  <c r="H33" i="2"/>
  <c r="D34" i="2"/>
  <c r="G34" i="2" s="1"/>
  <c r="S50" i="6"/>
  <c r="S78" i="6" l="1"/>
  <c r="H34" i="2"/>
  <c r="D35" i="2"/>
  <c r="G35" i="2" s="1"/>
  <c r="S51" i="6"/>
  <c r="S79" i="6" l="1"/>
  <c r="H35" i="2"/>
  <c r="D36" i="2"/>
  <c r="G36" i="2" s="1"/>
  <c r="S52" i="6"/>
  <c r="S80" i="6" l="1"/>
  <c r="H36" i="2"/>
  <c r="D37" i="2"/>
  <c r="G37" i="2" s="1"/>
  <c r="S53" i="6"/>
  <c r="Y3" i="2"/>
  <c r="AC3" i="2"/>
  <c r="S81" i="6" l="1"/>
  <c r="H37" i="2"/>
  <c r="D38" i="2"/>
  <c r="G38" i="2" s="1"/>
  <c r="S54" i="6"/>
  <c r="V3" i="2"/>
  <c r="U3" i="2"/>
  <c r="S82" i="6" l="1"/>
  <c r="H38" i="2"/>
  <c r="D39" i="2"/>
  <c r="G39" i="2" s="1"/>
  <c r="S55" i="6"/>
  <c r="I39" i="1"/>
  <c r="I38" i="1"/>
  <c r="S84" i="6" l="1"/>
  <c r="S83" i="6"/>
  <c r="H39" i="2"/>
  <c r="D40" i="2"/>
  <c r="G40" i="2" s="1"/>
  <c r="S57" i="6"/>
  <c r="S56" i="6"/>
  <c r="H40" i="2" l="1"/>
  <c r="D41" i="2"/>
  <c r="G41" i="2" s="1"/>
  <c r="P28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DF4" i="2" s="1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GN4" i="2"/>
  <c r="GM4" i="2"/>
  <c r="GL4" i="2"/>
  <c r="BQ4" i="2"/>
  <c r="HI4" i="2"/>
  <c r="HH4" i="2"/>
  <c r="HG4" i="2"/>
  <c r="DG4" i="2"/>
  <c r="EX4" i="2"/>
  <c r="EW4" i="2"/>
  <c r="EV4" i="2"/>
  <c r="CM4" i="2"/>
  <c r="FS4" i="2"/>
  <c r="FR4" i="2"/>
  <c r="FQ4" i="2"/>
  <c r="DH4" i="2"/>
  <c r="EA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Q5" i="2" l="1"/>
  <c r="HG5" i="2"/>
  <c r="FR5" i="2"/>
  <c r="HH5" i="2"/>
  <c r="FS5" i="2"/>
  <c r="HI5" i="2"/>
  <c r="EV5" i="2"/>
  <c r="EV6" i="2" s="1"/>
  <c r="GL5" i="2"/>
  <c r="GL6" i="2" s="1"/>
  <c r="EW5" i="2"/>
  <c r="GM5" i="2"/>
  <c r="EX5" i="2"/>
  <c r="GN5" i="2"/>
  <c r="DH5" i="2"/>
  <c r="DF5" i="2"/>
  <c r="EA5" i="2"/>
  <c r="EC5" i="2"/>
  <c r="EB5" i="2"/>
  <c r="DG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I6" i="2" l="1"/>
  <c r="FS6" i="2"/>
  <c r="DH6" i="2"/>
  <c r="GN6" i="2"/>
  <c r="HH6" i="2"/>
  <c r="HH7" i="2" s="1"/>
  <c r="EC6" i="2"/>
  <c r="EX6" i="2"/>
  <c r="EX7" i="2" s="1"/>
  <c r="FR6" i="2"/>
  <c r="GM6" i="2"/>
  <c r="HG6" i="2"/>
  <c r="EB6" i="2"/>
  <c r="EW6" i="2"/>
  <c r="FQ6" i="2"/>
  <c r="DF6" i="2"/>
  <c r="EA6" i="2"/>
  <c r="DG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GL7" i="2" s="1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V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Q7" i="2" l="1"/>
  <c r="GN7" i="2"/>
  <c r="EW7" i="2"/>
  <c r="HG7" i="2"/>
  <c r="HG8" i="2" s="1"/>
  <c r="GM7" i="2"/>
  <c r="FS7" i="2"/>
  <c r="FR7" i="2"/>
  <c r="HI7" i="2"/>
  <c r="DH7" i="2"/>
  <c r="EB7" i="2"/>
  <c r="EC7" i="2"/>
  <c r="DF7" i="2"/>
  <c r="DG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H8" i="2" s="1"/>
  <c r="HF8" i="2"/>
  <c r="GR8" i="2"/>
  <c r="GH8" i="2"/>
  <c r="GL8" i="2" s="1"/>
  <c r="GK8" i="2"/>
  <c r="GS8" i="2"/>
  <c r="FP8" i="2"/>
  <c r="FB8" i="2"/>
  <c r="GG8" i="2"/>
  <c r="FX8" i="2"/>
  <c r="FL8" i="2"/>
  <c r="FC8" i="2"/>
  <c r="ER8" i="2"/>
  <c r="EV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W8" i="2" l="1"/>
  <c r="GN8" i="2"/>
  <c r="EB8" i="2"/>
  <c r="HI8" i="2"/>
  <c r="FQ8" i="2"/>
  <c r="FR8" i="2"/>
  <c r="EX8" i="2"/>
  <c r="FS8" i="2"/>
  <c r="GM8" i="2"/>
  <c r="DH8" i="2"/>
  <c r="EC8" i="2"/>
  <c r="EA8" i="2"/>
  <c r="DF8" i="2"/>
  <c r="DG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L9" i="2" s="1"/>
  <c r="GK9" i="2"/>
  <c r="FW9" i="2"/>
  <c r="FM9" i="2"/>
  <c r="FP9" i="2"/>
  <c r="FB9" i="2"/>
  <c r="HC9" i="2"/>
  <c r="HH9" i="2" s="1"/>
  <c r="GG9" i="2"/>
  <c r="FX9" i="2"/>
  <c r="FL9" i="2"/>
  <c r="FC9" i="2"/>
  <c r="EQ9" i="2"/>
  <c r="EH9" i="2"/>
  <c r="CJ9" i="2"/>
  <c r="GS9" i="2"/>
  <c r="ER9" i="2"/>
  <c r="EV9" i="2" s="1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GN9" i="2"/>
  <c r="GM9" i="2"/>
  <c r="EW9" i="2"/>
  <c r="FS9" i="2"/>
  <c r="FS10" i="2" s="1"/>
  <c r="HG9" i="2"/>
  <c r="EX9" i="2"/>
  <c r="FR9" i="2"/>
  <c r="FQ9" i="2"/>
  <c r="DH9" i="2"/>
  <c r="EC9" i="2"/>
  <c r="EA9" i="2"/>
  <c r="EB9" i="2"/>
  <c r="DF9" i="2"/>
  <c r="DG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H10" i="2" s="1"/>
  <c r="HF10" i="2"/>
  <c r="GS10" i="2"/>
  <c r="HB10" i="2"/>
  <c r="GR10" i="2"/>
  <c r="GH10" i="2"/>
  <c r="GL10" i="2" s="1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EV10" i="2" s="1"/>
  <c r="DV10" i="2"/>
  <c r="DM10" i="2"/>
  <c r="DA10" i="2"/>
  <c r="CQ10" i="2"/>
  <c r="GG10" i="2"/>
  <c r="DW10" i="2"/>
  <c r="EG10" i="2"/>
  <c r="DB10" i="2"/>
  <c r="DH10" i="2" s="1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W10" i="2" l="1"/>
  <c r="GM10" i="2"/>
  <c r="GN10" i="2"/>
  <c r="FQ10" i="2"/>
  <c r="FQ11" i="2" s="1"/>
  <c r="HI10" i="2"/>
  <c r="FR10" i="2"/>
  <c r="EX10" i="2"/>
  <c r="HG10" i="2"/>
  <c r="EA10" i="2"/>
  <c r="EB10" i="2"/>
  <c r="EC10" i="2"/>
  <c r="DF10" i="2"/>
  <c r="DG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H11" i="2" s="1"/>
  <c r="HF11" i="2"/>
  <c r="GK11" i="2"/>
  <c r="GS11" i="2"/>
  <c r="GG11" i="2"/>
  <c r="FX11" i="2"/>
  <c r="FL11" i="2"/>
  <c r="FC11" i="2"/>
  <c r="GR11" i="2"/>
  <c r="FW11" i="2"/>
  <c r="FM11" i="2"/>
  <c r="FS11" i="2" s="1"/>
  <c r="GH11" i="2"/>
  <c r="GL11" i="2" s="1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EV11" i="2" s="1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GN11" i="2" l="1"/>
  <c r="GM11" i="2"/>
  <c r="AU11" i="2"/>
  <c r="EW11" i="2"/>
  <c r="HG11" i="2"/>
  <c r="EX11" i="2"/>
  <c r="FR11" i="2"/>
  <c r="HI11" i="2"/>
  <c r="EC11" i="2"/>
  <c r="EB11" i="2"/>
  <c r="EA11" i="2"/>
  <c r="DH11" i="2"/>
  <c r="DF11" i="2"/>
  <c r="DG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HH12" i="2" s="1"/>
  <c r="GR12" i="2"/>
  <c r="GH12" i="2"/>
  <c r="GL12" i="2" s="1"/>
  <c r="HF12" i="2"/>
  <c r="GK12" i="2"/>
  <c r="GS12" i="2"/>
  <c r="FP12" i="2"/>
  <c r="FB12" i="2"/>
  <c r="GG12" i="2"/>
  <c r="FX12" i="2"/>
  <c r="FL12" i="2"/>
  <c r="FC12" i="2"/>
  <c r="FW12" i="2"/>
  <c r="ER12" i="2"/>
  <c r="EV12" i="2" s="1"/>
  <c r="DV12" i="2"/>
  <c r="DM12" i="2"/>
  <c r="DA12" i="2"/>
  <c r="EU12" i="2"/>
  <c r="EG12" i="2"/>
  <c r="DW12" i="2"/>
  <c r="DB12" i="2"/>
  <c r="DH12" i="2" s="1"/>
  <c r="FM12" i="2"/>
  <c r="FS12" i="2" s="1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GM12" i="2" l="1"/>
  <c r="AW12" i="2"/>
  <c r="GN12" i="2"/>
  <c r="HI12" i="2"/>
  <c r="HI13" i="2" s="1"/>
  <c r="FQ12" i="2"/>
  <c r="FR12" i="2"/>
  <c r="FR13" i="2" s="1"/>
  <c r="EX12" i="2"/>
  <c r="HG12" i="2"/>
  <c r="EW12" i="2"/>
  <c r="EB12" i="2"/>
  <c r="EC12" i="2"/>
  <c r="EA12" i="2"/>
  <c r="AU12" i="2"/>
  <c r="DF12" i="2"/>
  <c r="DG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HH13" i="2" s="1"/>
  <c r="GR13" i="2"/>
  <c r="GH13" i="2"/>
  <c r="GL13" i="2" s="1"/>
  <c r="GK13" i="2"/>
  <c r="GS13" i="2"/>
  <c r="FW13" i="2"/>
  <c r="FM13" i="2"/>
  <c r="FS13" i="2" s="1"/>
  <c r="FP13" i="2"/>
  <c r="FB13" i="2"/>
  <c r="GG13" i="2"/>
  <c r="FX13" i="2"/>
  <c r="EQ13" i="2"/>
  <c r="EH13" i="2"/>
  <c r="CJ13" i="2"/>
  <c r="FL13" i="2"/>
  <c r="FC13" i="2"/>
  <c r="ER13" i="2"/>
  <c r="EV13" i="2" s="1"/>
  <c r="DV13" i="2"/>
  <c r="DM13" i="2"/>
  <c r="DA13" i="2"/>
  <c r="CQ13" i="2"/>
  <c r="EU13" i="2"/>
  <c r="EG13" i="2"/>
  <c r="DW13" i="2"/>
  <c r="DB13" i="2"/>
  <c r="DH13" i="2" s="1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U13" i="2" s="1"/>
  <c r="AG13" i="2"/>
  <c r="AP13" i="2"/>
  <c r="AF13" i="2"/>
  <c r="V13" i="2"/>
  <c r="A14" i="2"/>
  <c r="Y13" i="2"/>
  <c r="U13" i="2"/>
  <c r="AX9" i="2"/>
  <c r="Z12" i="2"/>
  <c r="AC11" i="2"/>
  <c r="GN13" i="2" l="1"/>
  <c r="EW13" i="2"/>
  <c r="GM13" i="2"/>
  <c r="HG13" i="2"/>
  <c r="HG14" i="2" s="1"/>
  <c r="EX13" i="2"/>
  <c r="FQ13" i="2"/>
  <c r="DG13" i="2"/>
  <c r="DF13" i="2"/>
  <c r="EC13" i="2"/>
  <c r="EA13" i="2"/>
  <c r="EB13" i="2"/>
  <c r="CM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H14" i="2" s="1"/>
  <c r="HF14" i="2"/>
  <c r="GS14" i="2"/>
  <c r="GR14" i="2"/>
  <c r="GH14" i="2"/>
  <c r="GL14" i="2" s="1"/>
  <c r="FL14" i="2"/>
  <c r="FC14" i="2"/>
  <c r="HB14" i="2"/>
  <c r="FW14" i="2"/>
  <c r="FM14" i="2"/>
  <c r="FR14" i="2" s="1"/>
  <c r="GK14" i="2"/>
  <c r="FP14" i="2"/>
  <c r="FB14" i="2"/>
  <c r="GG14" i="2"/>
  <c r="DZ14" i="2"/>
  <c r="DL14" i="2"/>
  <c r="DE14" i="2"/>
  <c r="EQ14" i="2"/>
  <c r="EH14" i="2"/>
  <c r="CJ14" i="2"/>
  <c r="ER14" i="2"/>
  <c r="EV14" i="2" s="1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W14" i="2" l="1"/>
  <c r="AW14" i="2"/>
  <c r="HI14" i="2"/>
  <c r="GN14" i="2"/>
  <c r="GN15" i="2" s="1"/>
  <c r="FQ14" i="2"/>
  <c r="FS14" i="2"/>
  <c r="GM14" i="2"/>
  <c r="EX14" i="2"/>
  <c r="DH14" i="2"/>
  <c r="EC14" i="2"/>
  <c r="EB14" i="2"/>
  <c r="EA14" i="2"/>
  <c r="CM14" i="2"/>
  <c r="DG14" i="2"/>
  <c r="DF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H15" i="2" s="1"/>
  <c r="HF15" i="2"/>
  <c r="GK15" i="2"/>
  <c r="GS15" i="2"/>
  <c r="GH15" i="2"/>
  <c r="GL15" i="2" s="1"/>
  <c r="GG15" i="2"/>
  <c r="FX15" i="2"/>
  <c r="FL15" i="2"/>
  <c r="FC15" i="2"/>
  <c r="FW15" i="2"/>
  <c r="FM15" i="2"/>
  <c r="FR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EV15" i="2" s="1"/>
  <c r="DM15" i="2"/>
  <c r="CQ15" i="2"/>
  <c r="DV15" i="2"/>
  <c r="BW15" i="2"/>
  <c r="CF15" i="2"/>
  <c r="BL15" i="2"/>
  <c r="CG15" i="2"/>
  <c r="CM15" i="2" s="1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HG15" i="2"/>
  <c r="EW15" i="2"/>
  <c r="EW16" i="2" s="1"/>
  <c r="EX15" i="2"/>
  <c r="GM15" i="2"/>
  <c r="FS15" i="2"/>
  <c r="FQ15" i="2"/>
  <c r="EC15" i="2"/>
  <c r="EA15" i="2"/>
  <c r="EB15" i="2"/>
  <c r="DH15" i="2"/>
  <c r="DG15" i="2"/>
  <c r="DF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HH16" i="2" s="1"/>
  <c r="GR16" i="2"/>
  <c r="GH16" i="2"/>
  <c r="GL16" i="2" s="1"/>
  <c r="GK16" i="2"/>
  <c r="HF16" i="2"/>
  <c r="GS16" i="2"/>
  <c r="FP16" i="2"/>
  <c r="FB16" i="2"/>
  <c r="GG16" i="2"/>
  <c r="FX16" i="2"/>
  <c r="FL16" i="2"/>
  <c r="FC16" i="2"/>
  <c r="ER16" i="2"/>
  <c r="EV16" i="2" s="1"/>
  <c r="DV16" i="2"/>
  <c r="DM16" i="2"/>
  <c r="DA16" i="2"/>
  <c r="FW16" i="2"/>
  <c r="EU16" i="2"/>
  <c r="EG16" i="2"/>
  <c r="DW16" i="2"/>
  <c r="DB16" i="2"/>
  <c r="DZ16" i="2"/>
  <c r="DL16" i="2"/>
  <c r="DE16" i="2"/>
  <c r="FM16" i="2"/>
  <c r="FR16" i="2" s="1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G16" i="2" l="1"/>
  <c r="GN16" i="2"/>
  <c r="HI16" i="2"/>
  <c r="FQ16" i="2"/>
  <c r="FS16" i="2"/>
  <c r="GM16" i="2"/>
  <c r="EX16" i="2"/>
  <c r="EC16" i="2"/>
  <c r="EA16" i="2"/>
  <c r="EB16" i="2"/>
  <c r="DG16" i="2"/>
  <c r="DH16" i="2"/>
  <c r="DF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HH17" i="2" s="1"/>
  <c r="GR17" i="2"/>
  <c r="GH17" i="2"/>
  <c r="GL17" i="2" s="1"/>
  <c r="GK17" i="2"/>
  <c r="FW17" i="2"/>
  <c r="FM17" i="2"/>
  <c r="FR17" i="2" s="1"/>
  <c r="GS17" i="2"/>
  <c r="FP17" i="2"/>
  <c r="GG17" i="2"/>
  <c r="FX17" i="2"/>
  <c r="EQ17" i="2"/>
  <c r="EH17" i="2"/>
  <c r="CJ17" i="2"/>
  <c r="FB17" i="2"/>
  <c r="ER17" i="2"/>
  <c r="EV17" i="2" s="1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HI18" i="2" s="1"/>
  <c r="GN17" i="2"/>
  <c r="EW17" i="2"/>
  <c r="EW18" i="2" s="1"/>
  <c r="HG17" i="2"/>
  <c r="HG18" i="2" s="1"/>
  <c r="EX17" i="2"/>
  <c r="GM17" i="2"/>
  <c r="FS17" i="2"/>
  <c r="FQ17" i="2"/>
  <c r="DG17" i="2"/>
  <c r="EC17" i="2"/>
  <c r="EA17" i="2"/>
  <c r="EB17" i="2"/>
  <c r="DH17" i="2"/>
  <c r="DF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H18" i="2" s="1"/>
  <c r="HF18" i="2"/>
  <c r="HB18" i="2"/>
  <c r="GS18" i="2"/>
  <c r="GR18" i="2"/>
  <c r="GH18" i="2"/>
  <c r="GL18" i="2" s="1"/>
  <c r="FL18" i="2"/>
  <c r="FC18" i="2"/>
  <c r="FW18" i="2"/>
  <c r="FM18" i="2"/>
  <c r="FR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V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GN18" i="2" l="1"/>
  <c r="EC18" i="2"/>
  <c r="FQ18" i="2"/>
  <c r="FS18" i="2"/>
  <c r="GM18" i="2"/>
  <c r="EX18" i="2"/>
  <c r="DG18" i="2"/>
  <c r="EB18" i="2"/>
  <c r="EA18" i="2"/>
  <c r="CM18" i="2"/>
  <c r="DH18" i="2"/>
  <c r="DF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EB19" i="2" s="1"/>
  <c r="DD19" i="2"/>
  <c r="BN19" i="2"/>
  <c r="FN19" i="2"/>
  <c r="CI19" i="2"/>
  <c r="BM19" i="2"/>
  <c r="W19" i="2"/>
  <c r="AS19" i="2"/>
  <c r="CH19" i="2"/>
  <c r="X19" i="2"/>
  <c r="AR19" i="2"/>
  <c r="HB19" i="2"/>
  <c r="HC19" i="2"/>
  <c r="HG19" i="2" s="1"/>
  <c r="HF19" i="2"/>
  <c r="GK19" i="2"/>
  <c r="GS19" i="2"/>
  <c r="GR19" i="2"/>
  <c r="GG19" i="2"/>
  <c r="FX19" i="2"/>
  <c r="GH19" i="2"/>
  <c r="GL19" i="2" s="1"/>
  <c r="FL19" i="2"/>
  <c r="FC19" i="2"/>
  <c r="FW19" i="2"/>
  <c r="FM19" i="2"/>
  <c r="FR19" i="2" s="1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EV19" i="2" s="1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EC19" i="2" l="1"/>
  <c r="HI19" i="2"/>
  <c r="DG19" i="2"/>
  <c r="GN19" i="2"/>
  <c r="GN20" i="2" s="1"/>
  <c r="EX19" i="2"/>
  <c r="EW19" i="2"/>
  <c r="GM19" i="2"/>
  <c r="HH19" i="2"/>
  <c r="FS19" i="2"/>
  <c r="FQ19" i="2"/>
  <c r="FQ20" i="2" s="1"/>
  <c r="EA19" i="2"/>
  <c r="DH19" i="2"/>
  <c r="DF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HG20" i="2" s="1"/>
  <c r="GR20" i="2"/>
  <c r="GH20" i="2"/>
  <c r="GL20" i="2" s="1"/>
  <c r="GK20" i="2"/>
  <c r="GS20" i="2"/>
  <c r="HF20" i="2"/>
  <c r="FP20" i="2"/>
  <c r="GG20" i="2"/>
  <c r="FX20" i="2"/>
  <c r="FL20" i="2"/>
  <c r="FC20" i="2"/>
  <c r="FM20" i="2"/>
  <c r="FR20" i="2" s="1"/>
  <c r="FB20" i="2"/>
  <c r="ER20" i="2"/>
  <c r="EV20" i="2" s="1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FS20" i="2"/>
  <c r="FS21" i="2" s="1"/>
  <c r="HH20" i="2"/>
  <c r="GN21" i="2"/>
  <c r="GM20" i="2"/>
  <c r="EW20" i="2"/>
  <c r="EX20" i="2"/>
  <c r="DG20" i="2"/>
  <c r="EC20" i="2"/>
  <c r="EA20" i="2"/>
  <c r="EB20" i="2"/>
  <c r="AW20" i="2"/>
  <c r="CM20" i="2"/>
  <c r="DH20" i="2"/>
  <c r="DF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GL21" i="2" s="1"/>
  <c r="HC21" i="2"/>
  <c r="HG21" i="2" s="1"/>
  <c r="GK21" i="2"/>
  <c r="FW21" i="2"/>
  <c r="FM21" i="2"/>
  <c r="FR21" i="2" s="1"/>
  <c r="FP21" i="2"/>
  <c r="GS21" i="2"/>
  <c r="GG21" i="2"/>
  <c r="FX21" i="2"/>
  <c r="EQ21" i="2"/>
  <c r="EH21" i="2"/>
  <c r="CJ21" i="2"/>
  <c r="FB21" i="2"/>
  <c r="ER21" i="2"/>
  <c r="EV21" i="2" s="1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X21" i="2"/>
  <c r="FQ21" i="2"/>
  <c r="FQ22" i="2" s="1"/>
  <c r="GN22" i="2"/>
  <c r="EC21" i="2"/>
  <c r="EW21" i="2"/>
  <c r="GM21" i="2"/>
  <c r="HH21" i="2"/>
  <c r="DG21" i="2"/>
  <c r="EA21" i="2"/>
  <c r="EB21" i="2"/>
  <c r="DH21" i="2"/>
  <c r="DF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G22" i="2" s="1"/>
  <c r="HF22" i="2"/>
  <c r="GS22" i="2"/>
  <c r="HB22" i="2"/>
  <c r="GR22" i="2"/>
  <c r="GH22" i="2"/>
  <c r="GL22" i="2" s="1"/>
  <c r="GK22" i="2"/>
  <c r="FL22" i="2"/>
  <c r="FC22" i="2"/>
  <c r="FW22" i="2"/>
  <c r="FM22" i="2"/>
  <c r="FS22" i="2" s="1"/>
  <c r="FP22" i="2"/>
  <c r="DZ22" i="2"/>
  <c r="DL22" i="2"/>
  <c r="DE22" i="2"/>
  <c r="FX22" i="2"/>
  <c r="EQ22" i="2"/>
  <c r="EH22" i="2"/>
  <c r="CJ22" i="2"/>
  <c r="GG22" i="2"/>
  <c r="FB22" i="2"/>
  <c r="ER22" i="2"/>
  <c r="EV22" i="2" s="1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HI22" i="2"/>
  <c r="HI23" i="2" s="1"/>
  <c r="GN23" i="2"/>
  <c r="EX22" i="2"/>
  <c r="EX23" i="2" s="1"/>
  <c r="GM22" i="2"/>
  <c r="EW22" i="2"/>
  <c r="FR22" i="2"/>
  <c r="EC22" i="2"/>
  <c r="EA22" i="2"/>
  <c r="EB22" i="2"/>
  <c r="DH22" i="2"/>
  <c r="DG22" i="2"/>
  <c r="DF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G23" i="2" s="1"/>
  <c r="HF23" i="2"/>
  <c r="GK23" i="2"/>
  <c r="GS23" i="2"/>
  <c r="GG23" i="2"/>
  <c r="FX23" i="2"/>
  <c r="GR23" i="2"/>
  <c r="FL23" i="2"/>
  <c r="FC23" i="2"/>
  <c r="GH23" i="2"/>
  <c r="GL23" i="2" s="1"/>
  <c r="FW23" i="2"/>
  <c r="FM23" i="2"/>
  <c r="FS23" i="2" s="1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V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H23" i="2" l="1"/>
  <c r="FQ23" i="2"/>
  <c r="FQ24" i="2" s="1"/>
  <c r="FR23" i="2"/>
  <c r="EW23" i="2"/>
  <c r="GM23" i="2"/>
  <c r="DH23" i="2"/>
  <c r="DF23" i="2"/>
  <c r="DG23" i="2"/>
  <c r="EC23" i="2"/>
  <c r="EA23" i="2"/>
  <c r="EB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G24" i="2" s="1"/>
  <c r="HF24" i="2"/>
  <c r="GR24" i="2"/>
  <c r="GH24" i="2"/>
  <c r="GL24" i="2" s="1"/>
  <c r="GK24" i="2"/>
  <c r="GS24" i="2"/>
  <c r="FP24" i="2"/>
  <c r="GG24" i="2"/>
  <c r="FX24" i="2"/>
  <c r="FL24" i="2"/>
  <c r="FC24" i="2"/>
  <c r="FB24" i="2"/>
  <c r="ER24" i="2"/>
  <c r="EV24" i="2" s="1"/>
  <c r="DV24" i="2"/>
  <c r="DM24" i="2"/>
  <c r="DA24" i="2"/>
  <c r="FM24" i="2"/>
  <c r="FS24" i="2" s="1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CM24" i="2" s="1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I24" i="2"/>
  <c r="GN24" i="2"/>
  <c r="GN25" i="2" s="1"/>
  <c r="GM24" i="2"/>
  <c r="EW24" i="2"/>
  <c r="FR24" i="2"/>
  <c r="EX24" i="2"/>
  <c r="EX25" i="2" s="1"/>
  <c r="DH24" i="2"/>
  <c r="EC24" i="2"/>
  <c r="EA24" i="2"/>
  <c r="EB24" i="2"/>
  <c r="DF24" i="2"/>
  <c r="DG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GL25" i="2" s="1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S25" i="2" s="1"/>
  <c r="FP25" i="2"/>
  <c r="GG25" i="2"/>
  <c r="FX25" i="2"/>
  <c r="FL25" i="2"/>
  <c r="FC25" i="2"/>
  <c r="EQ25" i="2"/>
  <c r="EH25" i="2"/>
  <c r="CJ25" i="2"/>
  <c r="FB25" i="2"/>
  <c r="ER25" i="2"/>
  <c r="EV25" i="2" s="1"/>
  <c r="DV25" i="2"/>
  <c r="DM25" i="2"/>
  <c r="DA25" i="2"/>
  <c r="CQ25" i="2"/>
  <c r="GS25" i="2"/>
  <c r="EU25" i="2"/>
  <c r="EG25" i="2"/>
  <c r="DW25" i="2"/>
  <c r="DB25" i="2"/>
  <c r="HC25" i="2"/>
  <c r="HG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HI25" i="2"/>
  <c r="CM25" i="2"/>
  <c r="HH25" i="2"/>
  <c r="FQ25" i="2"/>
  <c r="FR25" i="2"/>
  <c r="EW25" i="2"/>
  <c r="GM25" i="2"/>
  <c r="EB25" i="2"/>
  <c r="EA25" i="2"/>
  <c r="DH25" i="2"/>
  <c r="DG25" i="2"/>
  <c r="DF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EB26" i="2" s="1"/>
  <c r="DD26" i="2"/>
  <c r="DC26" i="2"/>
  <c r="W26" i="2"/>
  <c r="X26" i="2"/>
  <c r="CI26" i="2"/>
  <c r="BM26" i="2"/>
  <c r="AR26" i="2"/>
  <c r="HC26" i="2"/>
  <c r="HG26" i="2" s="1"/>
  <c r="HF26" i="2"/>
  <c r="GS26" i="2"/>
  <c r="HB26" i="2"/>
  <c r="GR26" i="2"/>
  <c r="GH26" i="2"/>
  <c r="GL26" i="2" s="1"/>
  <c r="FL26" i="2"/>
  <c r="FC26" i="2"/>
  <c r="GK26" i="2"/>
  <c r="FW26" i="2"/>
  <c r="FM26" i="2"/>
  <c r="FS26" i="2" s="1"/>
  <c r="FP26" i="2"/>
  <c r="DZ26" i="2"/>
  <c r="DL26" i="2"/>
  <c r="DE26" i="2"/>
  <c r="EQ26" i="2"/>
  <c r="EH26" i="2"/>
  <c r="CJ26" i="2"/>
  <c r="CR26" i="2"/>
  <c r="FX26" i="2"/>
  <c r="FB26" i="2"/>
  <c r="ER26" i="2"/>
  <c r="EX26" i="2" s="1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GM26" i="2" l="1"/>
  <c r="HI26" i="2"/>
  <c r="EA26" i="2"/>
  <c r="EW26" i="2"/>
  <c r="EW27" i="2" s="1"/>
  <c r="GN26" i="2"/>
  <c r="FR26" i="2"/>
  <c r="EV26" i="2"/>
  <c r="FQ26" i="2"/>
  <c r="CM26" i="2"/>
  <c r="HH26" i="2"/>
  <c r="EC26" i="2"/>
  <c r="DG26" i="2"/>
  <c r="DH26" i="2"/>
  <c r="DF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G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GL27" i="2" s="1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CM27" i="2" s="1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HH27" i="2"/>
  <c r="EC27" i="2"/>
  <c r="GM27" i="2"/>
  <c r="FQ27" i="2"/>
  <c r="EV27" i="2"/>
  <c r="FR27" i="2"/>
  <c r="GN27" i="2"/>
  <c r="EA27" i="2"/>
  <c r="EB27" i="2"/>
  <c r="AW27" i="2"/>
  <c r="DG27" i="2"/>
  <c r="DH27" i="2"/>
  <c r="DF27" i="2"/>
  <c r="AV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G28" i="2" s="1"/>
  <c r="GR28" i="2"/>
  <c r="GH28" i="2"/>
  <c r="GL28" i="2" s="1"/>
  <c r="HF28" i="2"/>
  <c r="GK28" i="2"/>
  <c r="GS28" i="2"/>
  <c r="FP28" i="2"/>
  <c r="GG28" i="2"/>
  <c r="FX28" i="2"/>
  <c r="FL28" i="2"/>
  <c r="FC28" i="2"/>
  <c r="FW28" i="2"/>
  <c r="FB28" i="2"/>
  <c r="ER28" i="2"/>
  <c r="EX28" i="2" s="1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HH28" i="2"/>
  <c r="HI28" i="2"/>
  <c r="GN28" i="2"/>
  <c r="EW28" i="2"/>
  <c r="FR28" i="2"/>
  <c r="EC28" i="2"/>
  <c r="DG28" i="2"/>
  <c r="EV28" i="2"/>
  <c r="CM28" i="2"/>
  <c r="FQ28" i="2"/>
  <c r="GM28" i="2"/>
  <c r="DF28" i="2"/>
  <c r="EA28" i="2"/>
  <c r="DH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G29" i="2" s="1"/>
  <c r="GR29" i="2"/>
  <c r="GH29" i="2"/>
  <c r="GL29" i="2" s="1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CM29" i="2" s="1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GM29" i="2" l="1"/>
  <c r="GN29" i="2"/>
  <c r="FQ29" i="2"/>
  <c r="HI29" i="2"/>
  <c r="HH29" i="2"/>
  <c r="EV29" i="2"/>
  <c r="FR29" i="2"/>
  <c r="EC29" i="2"/>
  <c r="EW29" i="2"/>
  <c r="EA29" i="2"/>
  <c r="EB29" i="2"/>
  <c r="DH29" i="2"/>
  <c r="DG29" i="2"/>
  <c r="DF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G30" i="2" s="1"/>
  <c r="HF30" i="2"/>
  <c r="GS30" i="2"/>
  <c r="GR30" i="2"/>
  <c r="GH30" i="2"/>
  <c r="GL30" i="2" s="1"/>
  <c r="FL30" i="2"/>
  <c r="FC30" i="2"/>
  <c r="FW30" i="2"/>
  <c r="FM30" i="2"/>
  <c r="FS30" i="2" s="1"/>
  <c r="HB30" i="2"/>
  <c r="GK30" i="2"/>
  <c r="FP30" i="2"/>
  <c r="GG30" i="2"/>
  <c r="DZ30" i="2"/>
  <c r="DL30" i="2"/>
  <c r="DE30" i="2"/>
  <c r="EQ30" i="2"/>
  <c r="EH30" i="2"/>
  <c r="CJ30" i="2"/>
  <c r="FB30" i="2"/>
  <c r="ER30" i="2"/>
  <c r="EX30" i="2" s="1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CM30" i="2" s="1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FQ30" i="2"/>
  <c r="GN30" i="2"/>
  <c r="EW30" i="2"/>
  <c r="GM30" i="2"/>
  <c r="EA30" i="2"/>
  <c r="FR30" i="2"/>
  <c r="EV30" i="2"/>
  <c r="HH30" i="2"/>
  <c r="EB30" i="2"/>
  <c r="EC30" i="2"/>
  <c r="DH30" i="2"/>
  <c r="DG30" i="2"/>
  <c r="DF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G31" i="2" s="1"/>
  <c r="HF31" i="2"/>
  <c r="HB31" i="2"/>
  <c r="GK31" i="2"/>
  <c r="GS31" i="2"/>
  <c r="GG31" i="2"/>
  <c r="FX31" i="2"/>
  <c r="GH31" i="2"/>
  <c r="GL31" i="2" s="1"/>
  <c r="FL31" i="2"/>
  <c r="FC31" i="2"/>
  <c r="FW31" i="2"/>
  <c r="FM31" i="2"/>
  <c r="FS31" i="2" s="1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EX31" i="2" s="1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W31" i="2" l="1"/>
  <c r="GN31" i="2"/>
  <c r="FQ31" i="2"/>
  <c r="EA31" i="2"/>
  <c r="HH31" i="2"/>
  <c r="HI31" i="2"/>
  <c r="EC31" i="2"/>
  <c r="EV31" i="2"/>
  <c r="CM31" i="2"/>
  <c r="EB31" i="2"/>
  <c r="FR31" i="2"/>
  <c r="GM31" i="2"/>
  <c r="DH31" i="2"/>
  <c r="DF31" i="2"/>
  <c r="DG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HG32" i="2" s="1"/>
  <c r="GR32" i="2"/>
  <c r="GK32" i="2"/>
  <c r="HF32" i="2"/>
  <c r="GS32" i="2"/>
  <c r="FP32" i="2"/>
  <c r="GG32" i="2"/>
  <c r="FX32" i="2"/>
  <c r="GH32" i="2"/>
  <c r="GL32" i="2" s="1"/>
  <c r="FL32" i="2"/>
  <c r="FC32" i="2"/>
  <c r="FB32" i="2"/>
  <c r="ER32" i="2"/>
  <c r="EX32" i="2" s="1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FS32" i="2" s="1"/>
  <c r="EQ32" i="2"/>
  <c r="EH32" i="2"/>
  <c r="CJ32" i="2"/>
  <c r="CQ32" i="2"/>
  <c r="BK32" i="2"/>
  <c r="BW32" i="2"/>
  <c r="BL32" i="2"/>
  <c r="CF32" i="2"/>
  <c r="BB32" i="2"/>
  <c r="CG32" i="2"/>
  <c r="CM32" i="2" s="1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GM32" i="2" l="1"/>
  <c r="FR32" i="2"/>
  <c r="FQ32" i="2"/>
  <c r="GN32" i="2"/>
  <c r="EW32" i="2"/>
  <c r="EV32" i="2"/>
  <c r="HI32" i="2"/>
  <c r="HH32" i="2"/>
  <c r="EC32" i="2"/>
  <c r="EB32" i="2"/>
  <c r="EA32" i="2"/>
  <c r="DH32" i="2"/>
  <c r="DF32" i="2"/>
  <c r="DG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N33" i="2" l="1"/>
  <c r="FQ33" i="2"/>
  <c r="FR33" i="2"/>
  <c r="GM33" i="2"/>
  <c r="HH33" i="2"/>
  <c r="FS33" i="2"/>
  <c r="HI33" i="2"/>
  <c r="EX33" i="2"/>
  <c r="EB33" i="2"/>
  <c r="EV33" i="2"/>
  <c r="HG33" i="2"/>
  <c r="EW33" i="2"/>
  <c r="GL33" i="2"/>
  <c r="EA33" i="2"/>
  <c r="EC33" i="2"/>
  <c r="DF33" i="2"/>
  <c r="DG33" i="2"/>
  <c r="DH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X34" i="2" l="1"/>
  <c r="HI34" i="2"/>
  <c r="FS34" i="2"/>
  <c r="GL34" i="2"/>
  <c r="HH34" i="2"/>
  <c r="EW34" i="2"/>
  <c r="GM34" i="2"/>
  <c r="CM34" i="2"/>
  <c r="HG34" i="2"/>
  <c r="FR34" i="2"/>
  <c r="DH34" i="2"/>
  <c r="EV34" i="2"/>
  <c r="FQ34" i="2"/>
  <c r="GN34" i="2"/>
  <c r="EB34" i="2"/>
  <c r="EA34" i="2"/>
  <c r="EC34" i="2"/>
  <c r="DF34" i="2"/>
  <c r="DG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GM35" i="2"/>
  <c r="GN35" i="2"/>
  <c r="EW35" i="2"/>
  <c r="FQ35" i="2"/>
  <c r="HH35" i="2"/>
  <c r="DH35" i="2"/>
  <c r="EV35" i="2"/>
  <c r="GL35" i="2"/>
  <c r="FS35" i="2"/>
  <c r="FR35" i="2"/>
  <c r="HI35" i="2"/>
  <c r="HG35" i="2"/>
  <c r="EX35" i="2"/>
  <c r="EC35" i="2"/>
  <c r="DG35" i="2"/>
  <c r="DF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EX36" i="2" l="1"/>
  <c r="HH36" i="2"/>
  <c r="EA36" i="2"/>
  <c r="HG36" i="2"/>
  <c r="FQ36" i="2"/>
  <c r="HI36" i="2"/>
  <c r="EW36" i="2"/>
  <c r="FR36" i="2"/>
  <c r="GN36" i="2"/>
  <c r="FS36" i="2"/>
  <c r="GM36" i="2"/>
  <c r="GL36" i="2"/>
  <c r="EV36" i="2"/>
  <c r="DH36" i="2"/>
  <c r="EB36" i="2"/>
  <c r="EC36" i="2"/>
  <c r="DF36" i="2"/>
  <c r="DG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FR37" i="2" l="1"/>
  <c r="EW37" i="2"/>
  <c r="HI37" i="2"/>
  <c r="EV37" i="2"/>
  <c r="FQ37" i="2"/>
  <c r="GL37" i="2"/>
  <c r="HG37" i="2"/>
  <c r="GM37" i="2"/>
  <c r="FS37" i="2"/>
  <c r="HH37" i="2"/>
  <c r="GN37" i="2"/>
  <c r="EX37" i="2"/>
  <c r="DH37" i="2"/>
  <c r="EB37" i="2"/>
  <c r="EA37" i="2"/>
  <c r="EC37" i="2"/>
  <c r="DG37" i="2"/>
  <c r="DF37" i="2"/>
  <c r="AV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GM38" i="2" l="1"/>
  <c r="HG38" i="2"/>
  <c r="GL38" i="2"/>
  <c r="FQ38" i="2"/>
  <c r="EX38" i="2"/>
  <c r="EV38" i="2"/>
  <c r="GN38" i="2"/>
  <c r="HI38" i="2"/>
  <c r="HI39" i="2" s="1"/>
  <c r="HH38" i="2"/>
  <c r="EW38" i="2"/>
  <c r="FS38" i="2"/>
  <c r="FR38" i="2"/>
  <c r="FR39" i="2" s="1"/>
  <c r="EB38" i="2"/>
  <c r="EA38" i="2"/>
  <c r="EC38" i="2"/>
  <c r="CM38" i="2"/>
  <c r="DH38" i="2"/>
  <c r="DG38" i="2"/>
  <c r="DF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AW39" i="2" l="1"/>
  <c r="GN39" i="2"/>
  <c r="CM39" i="2"/>
  <c r="EV39" i="2"/>
  <c r="EX39" i="2"/>
  <c r="FQ39" i="2"/>
  <c r="FQ40" i="2" s="1"/>
  <c r="FS39" i="2"/>
  <c r="GL39" i="2"/>
  <c r="EW39" i="2"/>
  <c r="HG39" i="2"/>
  <c r="HH39" i="2"/>
  <c r="GM39" i="2"/>
  <c r="EB39" i="2"/>
  <c r="EA39" i="2"/>
  <c r="EC39" i="2"/>
  <c r="DH39" i="2"/>
  <c r="DF39" i="2"/>
  <c r="DG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I40" i="2" s="1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FR40" i="2" s="1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CM40" i="2" s="1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GM40" i="2" l="1"/>
  <c r="EX40" i="2"/>
  <c r="HH40" i="2"/>
  <c r="EV40" i="2"/>
  <c r="HG40" i="2"/>
  <c r="EW40" i="2"/>
  <c r="GN40" i="2"/>
  <c r="GL40" i="2"/>
  <c r="FS40" i="2"/>
  <c r="EA40" i="2"/>
  <c r="EB40" i="2"/>
  <c r="EC40" i="2"/>
  <c r="DH40" i="2"/>
  <c r="DF40" i="2"/>
  <c r="DG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HI41" i="2" s="1"/>
  <c r="FW41" i="2"/>
  <c r="FM41" i="2"/>
  <c r="FR41" i="2" s="1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CM41" i="2" s="1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EV41" i="2"/>
  <c r="HH41" i="2"/>
  <c r="AW41" i="2"/>
  <c r="EX41" i="2"/>
  <c r="FS41" i="2"/>
  <c r="GM41" i="2"/>
  <c r="GL41" i="2"/>
  <c r="FQ41" i="2"/>
  <c r="GN41" i="2"/>
  <c r="EW41" i="2"/>
  <c r="EA41" i="2"/>
  <c r="EB41" i="2"/>
  <c r="EC41" i="2"/>
  <c r="DH41" i="2"/>
  <c r="DG41" i="2"/>
  <c r="DF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I42" i="2" s="1"/>
  <c r="HF42" i="2"/>
  <c r="GS42" i="2"/>
  <c r="HB42" i="2"/>
  <c r="GR42" i="2"/>
  <c r="GH42" i="2"/>
  <c r="FL42" i="2"/>
  <c r="FC42" i="2"/>
  <c r="GK42" i="2"/>
  <c r="FW42" i="2"/>
  <c r="FM42" i="2"/>
  <c r="FR42" i="2" s="1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CM42" i="2" s="1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FS42" i="2" l="1"/>
  <c r="EX42" i="2"/>
  <c r="EW42" i="2"/>
  <c r="HH42" i="2"/>
  <c r="GN42" i="2"/>
  <c r="EV42" i="2"/>
  <c r="FQ42" i="2"/>
  <c r="HG42" i="2"/>
  <c r="GL42" i="2"/>
  <c r="GM42" i="2"/>
  <c r="EA42" i="2"/>
  <c r="EB42" i="2"/>
  <c r="EC42" i="2"/>
  <c r="DH42" i="2"/>
  <c r="DF42" i="2"/>
  <c r="DG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FR43" i="2" s="1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V43" i="2" l="1"/>
  <c r="EB43" i="2"/>
  <c r="GN43" i="2"/>
  <c r="HH43" i="2"/>
  <c r="EW43" i="2"/>
  <c r="GM43" i="2"/>
  <c r="EX43" i="2"/>
  <c r="CM43" i="2"/>
  <c r="EA43" i="2"/>
  <c r="GL43" i="2"/>
  <c r="FS43" i="2"/>
  <c r="HG43" i="2"/>
  <c r="FQ43" i="2"/>
  <c r="EC43" i="2"/>
  <c r="AW43" i="2"/>
  <c r="DH43" i="2"/>
  <c r="DF43" i="2"/>
  <c r="DG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HI44" i="2" s="1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R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CM44" i="2" s="1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GM44" i="2" l="1"/>
  <c r="AU44" i="2"/>
  <c r="FQ44" i="2"/>
  <c r="EW44" i="2"/>
  <c r="HG44" i="2"/>
  <c r="HH44" i="2"/>
  <c r="FS44" i="2"/>
  <c r="GN44" i="2"/>
  <c r="GL44" i="2"/>
  <c r="EV44" i="2"/>
  <c r="EX44" i="2"/>
  <c r="DH44" i="2"/>
  <c r="EB44" i="2"/>
  <c r="EA44" i="2"/>
  <c r="EC44" i="2"/>
  <c r="DG44" i="2"/>
  <c r="DF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R45" i="2" s="1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H45" i="2" l="1"/>
  <c r="HG45" i="2"/>
  <c r="EW45" i="2"/>
  <c r="CM45" i="2"/>
  <c r="EX45" i="2"/>
  <c r="FQ45" i="2"/>
  <c r="EV45" i="2"/>
  <c r="GL45" i="2"/>
  <c r="GM45" i="2"/>
  <c r="GN45" i="2"/>
  <c r="FS45" i="2"/>
  <c r="DH45" i="2"/>
  <c r="EB45" i="2"/>
  <c r="EA45" i="2"/>
  <c r="EC45" i="2"/>
  <c r="DF45" i="2"/>
  <c r="DG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FR46" i="2" s="1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CM46" i="2" s="1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Q46" i="2" l="1"/>
  <c r="EX46" i="2"/>
  <c r="FS46" i="2"/>
  <c r="EW46" i="2"/>
  <c r="GN46" i="2"/>
  <c r="HG46" i="2"/>
  <c r="GM46" i="2"/>
  <c r="HH46" i="2"/>
  <c r="GL46" i="2"/>
  <c r="EV46" i="2"/>
  <c r="EB46" i="2"/>
  <c r="EA46" i="2"/>
  <c r="EC46" i="2"/>
  <c r="DH46" i="2"/>
  <c r="DF46" i="2"/>
  <c r="DG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I47" i="2" s="1"/>
  <c r="HF47" i="2"/>
  <c r="GK47" i="2"/>
  <c r="HB47" i="2"/>
  <c r="GS47" i="2"/>
  <c r="GG47" i="2"/>
  <c r="FX47" i="2"/>
  <c r="GH47" i="2"/>
  <c r="FL47" i="2"/>
  <c r="FC47" i="2"/>
  <c r="FW47" i="2"/>
  <c r="FM47" i="2"/>
  <c r="FR47" i="2" s="1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GN47" i="2"/>
  <c r="EW47" i="2"/>
  <c r="FS47" i="2"/>
  <c r="EV47" i="2"/>
  <c r="EX47" i="2"/>
  <c r="CM47" i="2"/>
  <c r="GL47" i="2"/>
  <c r="FQ47" i="2"/>
  <c r="HH47" i="2"/>
  <c r="GM47" i="2"/>
  <c r="EA47" i="2"/>
  <c r="EB47" i="2"/>
  <c r="EC47" i="2"/>
  <c r="DH47" i="2"/>
  <c r="DF47" i="2"/>
  <c r="DG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FR48" i="2" s="1"/>
  <c r="EQ48" i="2"/>
  <c r="EH48" i="2"/>
  <c r="CJ48" i="2"/>
  <c r="CQ48" i="2"/>
  <c r="BK48" i="2"/>
  <c r="BW48" i="2"/>
  <c r="BL48" i="2"/>
  <c r="CF48" i="2"/>
  <c r="BB48" i="2"/>
  <c r="CG48" i="2"/>
  <c r="CM48" i="2" s="1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X48" i="2" l="1"/>
  <c r="EV48" i="2"/>
  <c r="FS48" i="2"/>
  <c r="GM48" i="2"/>
  <c r="EW48" i="2"/>
  <c r="HH48" i="2"/>
  <c r="GN48" i="2"/>
  <c r="FQ48" i="2"/>
  <c r="HG48" i="2"/>
  <c r="GL48" i="2"/>
  <c r="EA48" i="2"/>
  <c r="EB48" i="2"/>
  <c r="EC48" i="2"/>
  <c r="DH48" i="2"/>
  <c r="DG48" i="2"/>
  <c r="DF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FR49" i="2" s="1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CM49" i="2" s="1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H49" i="2" l="1"/>
  <c r="EW49" i="2"/>
  <c r="GM49" i="2"/>
  <c r="FS49" i="2"/>
  <c r="GL49" i="2"/>
  <c r="EV49" i="2"/>
  <c r="HG49" i="2"/>
  <c r="EX49" i="2"/>
  <c r="FQ49" i="2"/>
  <c r="GN49" i="2"/>
  <c r="DH49" i="2"/>
  <c r="EB49" i="2"/>
  <c r="EC49" i="2"/>
  <c r="EA49" i="2"/>
  <c r="DG49" i="2"/>
  <c r="DF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R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V50" i="2" l="1"/>
  <c r="GL50" i="2"/>
  <c r="FS50" i="2"/>
  <c r="GM50" i="2"/>
  <c r="GN50" i="2"/>
  <c r="EW50" i="2"/>
  <c r="FQ50" i="2"/>
  <c r="HH50" i="2"/>
  <c r="EX50" i="2"/>
  <c r="HG50" i="2"/>
  <c r="DH50" i="2"/>
  <c r="EA50" i="2"/>
  <c r="EB50" i="2"/>
  <c r="EC50" i="2"/>
  <c r="DG50" i="2"/>
  <c r="DF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I51" i="2" s="1"/>
  <c r="HF51" i="2"/>
  <c r="GK51" i="2"/>
  <c r="HB51" i="2"/>
  <c r="GS51" i="2"/>
  <c r="GR51" i="2"/>
  <c r="GG51" i="2"/>
  <c r="FX51" i="2"/>
  <c r="GH51" i="2"/>
  <c r="FL51" i="2"/>
  <c r="FC51" i="2"/>
  <c r="FW51" i="2"/>
  <c r="FM51" i="2"/>
  <c r="FR51" i="2" s="1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W51" i="2" l="1"/>
  <c r="GN51" i="2"/>
  <c r="AW51" i="2"/>
  <c r="GM51" i="2"/>
  <c r="FS51" i="2"/>
  <c r="HG51" i="2"/>
  <c r="GL51" i="2"/>
  <c r="EX51" i="2"/>
  <c r="EV51" i="2"/>
  <c r="DH51" i="2"/>
  <c r="HH51" i="2"/>
  <c r="FQ51" i="2"/>
  <c r="EB51" i="2"/>
  <c r="EA51" i="2"/>
  <c r="EC51" i="2"/>
  <c r="DF51" i="2"/>
  <c r="DG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HI52" i="2" s="1"/>
  <c r="GR52" i="2"/>
  <c r="GK52" i="2"/>
  <c r="HB52" i="2"/>
  <c r="GS52" i="2"/>
  <c r="FP52" i="2"/>
  <c r="GG52" i="2"/>
  <c r="FX52" i="2"/>
  <c r="HF52" i="2"/>
  <c r="GH52" i="2"/>
  <c r="FL52" i="2"/>
  <c r="FC52" i="2"/>
  <c r="FM52" i="2"/>
  <c r="FR52" i="2" s="1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G52" i="2" l="1"/>
  <c r="AU52" i="2"/>
  <c r="FS52" i="2"/>
  <c r="FQ52" i="2"/>
  <c r="GM52" i="2"/>
  <c r="DH52" i="2"/>
  <c r="HH52" i="2"/>
  <c r="GN52" i="2"/>
  <c r="EV52" i="2"/>
  <c r="EW52" i="2"/>
  <c r="EX52" i="2"/>
  <c r="GL52" i="2"/>
  <c r="EB52" i="2"/>
  <c r="EA52" i="2"/>
  <c r="EC52" i="2"/>
  <c r="DF52" i="2"/>
  <c r="DG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HI53" i="2" s="1"/>
  <c r="GK53" i="2"/>
  <c r="FW53" i="2"/>
  <c r="FM53" i="2"/>
  <c r="FR53" i="2" s="1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GM53" i="2" l="1"/>
  <c r="GL53" i="2"/>
  <c r="FQ53" i="2"/>
  <c r="EX53" i="2"/>
  <c r="FS53" i="2"/>
  <c r="EW53" i="2"/>
  <c r="EW54" i="2" s="1"/>
  <c r="EV53" i="2"/>
  <c r="HG53" i="2"/>
  <c r="GN53" i="2"/>
  <c r="HH53" i="2"/>
  <c r="EB53" i="2"/>
  <c r="EC53" i="2"/>
  <c r="EA53" i="2"/>
  <c r="AW53" i="2"/>
  <c r="DH53" i="2"/>
  <c r="DG53" i="2"/>
  <c r="DF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I54" i="2" s="1"/>
  <c r="HF54" i="2"/>
  <c r="HB54" i="2"/>
  <c r="GS54" i="2"/>
  <c r="GR54" i="2"/>
  <c r="GK54" i="2"/>
  <c r="GH54" i="2"/>
  <c r="FL54" i="2"/>
  <c r="FC54" i="2"/>
  <c r="FW54" i="2"/>
  <c r="FM54" i="2"/>
  <c r="FR54" i="2" s="1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FS54" i="2" l="1"/>
  <c r="EX54" i="2"/>
  <c r="FQ54" i="2"/>
  <c r="HH54" i="2"/>
  <c r="GL54" i="2"/>
  <c r="GN54" i="2"/>
  <c r="GN55" i="2" s="1"/>
  <c r="GM54" i="2"/>
  <c r="HG54" i="2"/>
  <c r="EV54" i="2"/>
  <c r="EA54" i="2"/>
  <c r="EB54" i="2"/>
  <c r="EC54" i="2"/>
  <c r="DH54" i="2"/>
  <c r="DF54" i="2"/>
  <c r="DG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EB55" i="2" s="1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FR55" i="2" s="1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W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GL55" i="2" l="1"/>
  <c r="EA55" i="2"/>
  <c r="HH55" i="2"/>
  <c r="FQ55" i="2"/>
  <c r="EV55" i="2"/>
  <c r="EX55" i="2"/>
  <c r="HG55" i="2"/>
  <c r="FS55" i="2"/>
  <c r="GM55" i="2"/>
  <c r="EC55" i="2"/>
  <c r="DH55" i="2"/>
  <c r="DG55" i="2"/>
  <c r="DF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I56" i="2" s="1"/>
  <c r="HF56" i="2"/>
  <c r="GR56" i="2"/>
  <c r="GK56" i="2"/>
  <c r="HB56" i="2"/>
  <c r="GS56" i="2"/>
  <c r="FP56" i="2"/>
  <c r="GG56" i="2"/>
  <c r="FX56" i="2"/>
  <c r="GH56" i="2"/>
  <c r="GN56" i="2" s="1"/>
  <c r="FL56" i="2"/>
  <c r="FC56" i="2"/>
  <c r="FB56" i="2"/>
  <c r="ER56" i="2"/>
  <c r="EW56" i="2" s="1"/>
  <c r="DV56" i="2"/>
  <c r="DM56" i="2"/>
  <c r="DA56" i="2"/>
  <c r="FM56" i="2"/>
  <c r="FR56" i="2" s="1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H56" i="2" l="1"/>
  <c r="FQ56" i="2"/>
  <c r="GM56" i="2"/>
  <c r="GL56" i="2"/>
  <c r="EB56" i="2"/>
  <c r="FS56" i="2"/>
  <c r="HG56" i="2"/>
  <c r="EX56" i="2"/>
  <c r="EV56" i="2"/>
  <c r="EA56" i="2"/>
  <c r="EC56" i="2"/>
  <c r="DH56" i="2"/>
  <c r="DF56" i="2"/>
  <c r="DG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R57" i="2" s="1"/>
  <c r="HC57" i="2"/>
  <c r="HI57" i="2" s="1"/>
  <c r="FP57" i="2"/>
  <c r="GG57" i="2"/>
  <c r="FX57" i="2"/>
  <c r="HB57" i="2"/>
  <c r="GS57" i="2"/>
  <c r="GH57" i="2"/>
  <c r="GN57" i="2" s="1"/>
  <c r="FL57" i="2"/>
  <c r="FC57" i="2"/>
  <c r="EQ57" i="2"/>
  <c r="EH57" i="2"/>
  <c r="CJ57" i="2"/>
  <c r="FB57" i="2"/>
  <c r="ER57" i="2"/>
  <c r="EW57" i="2" s="1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GM57" i="2" l="1"/>
  <c r="FQ57" i="2"/>
  <c r="GL57" i="2"/>
  <c r="EV57" i="2"/>
  <c r="EV58" i="2" s="1"/>
  <c r="HH57" i="2"/>
  <c r="EX57" i="2"/>
  <c r="HG57" i="2"/>
  <c r="FS57" i="2"/>
  <c r="EA57" i="2"/>
  <c r="EC57" i="2"/>
  <c r="EB57" i="2"/>
  <c r="DH57" i="2"/>
  <c r="DF57" i="2"/>
  <c r="DG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I58" i="2" s="1"/>
  <c r="HF58" i="2"/>
  <c r="HB58" i="2"/>
  <c r="GS58" i="2"/>
  <c r="GR58" i="2"/>
  <c r="GH58" i="2"/>
  <c r="GN58" i="2" s="1"/>
  <c r="FL58" i="2"/>
  <c r="FC58" i="2"/>
  <c r="GK58" i="2"/>
  <c r="FW58" i="2"/>
  <c r="FM58" i="2"/>
  <c r="FR58" i="2" s="1"/>
  <c r="FP58" i="2"/>
  <c r="DZ58" i="2"/>
  <c r="DL58" i="2"/>
  <c r="DE58" i="2"/>
  <c r="EQ58" i="2"/>
  <c r="EH58" i="2"/>
  <c r="CJ58" i="2"/>
  <c r="FX58" i="2"/>
  <c r="FB58" i="2"/>
  <c r="ER58" i="2"/>
  <c r="EW58" i="2" s="1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GL58" i="2" l="1"/>
  <c r="FQ58" i="2"/>
  <c r="GM58" i="2"/>
  <c r="GM59" i="2" s="1"/>
  <c r="EB58" i="2"/>
  <c r="FS58" i="2"/>
  <c r="HG58" i="2"/>
  <c r="EX58" i="2"/>
  <c r="HH58" i="2"/>
  <c r="EA58" i="2"/>
  <c r="EC58" i="2"/>
  <c r="DH58" i="2"/>
  <c r="DF58" i="2"/>
  <c r="DG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I59" i="2" s="1"/>
  <c r="HF59" i="2"/>
  <c r="GK59" i="2"/>
  <c r="HB59" i="2"/>
  <c r="GS59" i="2"/>
  <c r="GG59" i="2"/>
  <c r="FX59" i="2"/>
  <c r="GH59" i="2"/>
  <c r="GN59" i="2" s="1"/>
  <c r="FL59" i="2"/>
  <c r="FC59" i="2"/>
  <c r="GR59" i="2"/>
  <c r="FW59" i="2"/>
  <c r="FM59" i="2"/>
  <c r="FR59" i="2" s="1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EW59" i="2" s="1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Q59" i="2" l="1"/>
  <c r="GL59" i="2"/>
  <c r="HH59" i="2"/>
  <c r="EV59" i="2"/>
  <c r="EX59" i="2"/>
  <c r="HG59" i="2"/>
  <c r="FS59" i="2"/>
  <c r="DH59" i="2"/>
  <c r="EB59" i="2"/>
  <c r="EA59" i="2"/>
  <c r="EC59" i="2"/>
  <c r="DG59" i="2"/>
  <c r="DF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GN60" i="2" s="1"/>
  <c r="FL60" i="2"/>
  <c r="FC60" i="2"/>
  <c r="FW60" i="2"/>
  <c r="FB60" i="2"/>
  <c r="ER60" i="2"/>
  <c r="EW60" i="2" s="1"/>
  <c r="DV60" i="2"/>
  <c r="DM60" i="2"/>
  <c r="DA60" i="2"/>
  <c r="EU60" i="2"/>
  <c r="EG60" i="2"/>
  <c r="DW60" i="2"/>
  <c r="DB60" i="2"/>
  <c r="CR60" i="2"/>
  <c r="FM60" i="2"/>
  <c r="FR60" i="2" s="1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GL60" i="2"/>
  <c r="FQ60" i="2"/>
  <c r="GM60" i="2"/>
  <c r="FS60" i="2"/>
  <c r="HG60" i="2"/>
  <c r="EX60" i="2"/>
  <c r="EV60" i="2"/>
  <c r="DH60" i="2"/>
  <c r="EA60" i="2"/>
  <c r="EB60" i="2"/>
  <c r="EC60" i="2"/>
  <c r="DG60" i="2"/>
  <c r="DF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HI61" i="2" s="1"/>
  <c r="GR61" i="2"/>
  <c r="GK61" i="2"/>
  <c r="HB61" i="2"/>
  <c r="GS61" i="2"/>
  <c r="FW61" i="2"/>
  <c r="FM61" i="2"/>
  <c r="FR61" i="2" s="1"/>
  <c r="FP61" i="2"/>
  <c r="GG61" i="2"/>
  <c r="FX61" i="2"/>
  <c r="EQ61" i="2"/>
  <c r="EH61" i="2"/>
  <c r="CJ61" i="2"/>
  <c r="GH61" i="2"/>
  <c r="GN61" i="2" s="1"/>
  <c r="FL61" i="2"/>
  <c r="FC61" i="2"/>
  <c r="FB61" i="2"/>
  <c r="ER61" i="2"/>
  <c r="EW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GM61" i="2" l="1"/>
  <c r="FQ61" i="2"/>
  <c r="GL61" i="2"/>
  <c r="EA61" i="2"/>
  <c r="HH61" i="2"/>
  <c r="DH61" i="2"/>
  <c r="EV61" i="2"/>
  <c r="EX61" i="2"/>
  <c r="HG61" i="2"/>
  <c r="FS61" i="2"/>
  <c r="EB61" i="2"/>
  <c r="EC61" i="2"/>
  <c r="DF61" i="2"/>
  <c r="DG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GN62" i="2" s="1"/>
  <c r="FL62" i="2"/>
  <c r="FC62" i="2"/>
  <c r="FW62" i="2"/>
  <c r="FM62" i="2"/>
  <c r="FR62" i="2" s="1"/>
  <c r="GK62" i="2"/>
  <c r="FP62" i="2"/>
  <c r="GG62" i="2"/>
  <c r="DZ62" i="2"/>
  <c r="DL62" i="2"/>
  <c r="DE62" i="2"/>
  <c r="EQ62" i="2"/>
  <c r="EH62" i="2"/>
  <c r="CJ62" i="2"/>
  <c r="FB62" i="2"/>
  <c r="ER62" i="2"/>
  <c r="EW62" i="2" s="1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GL62" i="2" l="1"/>
  <c r="EB62" i="2"/>
  <c r="FS62" i="2"/>
  <c r="FQ62" i="2"/>
  <c r="FQ63" i="2" s="1"/>
  <c r="HG62" i="2"/>
  <c r="GM62" i="2"/>
  <c r="EX62" i="2"/>
  <c r="EV62" i="2"/>
  <c r="HH62" i="2"/>
  <c r="EC62" i="2"/>
  <c r="EA62" i="2"/>
  <c r="DH62" i="2"/>
  <c r="DF62" i="2"/>
  <c r="DG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I63" i="2" s="1"/>
  <c r="HF63" i="2"/>
  <c r="GK63" i="2"/>
  <c r="HB63" i="2"/>
  <c r="GS63" i="2"/>
  <c r="GG63" i="2"/>
  <c r="FX63" i="2"/>
  <c r="GH63" i="2"/>
  <c r="GN63" i="2" s="1"/>
  <c r="FL63" i="2"/>
  <c r="FC63" i="2"/>
  <c r="FW63" i="2"/>
  <c r="FM63" i="2"/>
  <c r="FR63" i="2" s="1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W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FS63" i="2" l="1"/>
  <c r="HH63" i="2"/>
  <c r="GL63" i="2"/>
  <c r="GL64" i="2" s="1"/>
  <c r="EV63" i="2"/>
  <c r="EX63" i="2"/>
  <c r="GM63" i="2"/>
  <c r="HG63" i="2"/>
  <c r="EC63" i="2"/>
  <c r="EA63" i="2"/>
  <c r="EB63" i="2"/>
  <c r="DH63" i="2"/>
  <c r="DG63" i="2"/>
  <c r="DF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HI64" i="2" s="1"/>
  <c r="GR64" i="2"/>
  <c r="GK64" i="2"/>
  <c r="HF64" i="2"/>
  <c r="HB64" i="2"/>
  <c r="GS64" i="2"/>
  <c r="FP64" i="2"/>
  <c r="GG64" i="2"/>
  <c r="FX64" i="2"/>
  <c r="GH64" i="2"/>
  <c r="GN64" i="2" s="1"/>
  <c r="FL64" i="2"/>
  <c r="FC64" i="2"/>
  <c r="FB64" i="2"/>
  <c r="ER64" i="2"/>
  <c r="EW64" i="2" s="1"/>
  <c r="DV64" i="2"/>
  <c r="DM64" i="2"/>
  <c r="DA64" i="2"/>
  <c r="FW64" i="2"/>
  <c r="EU64" i="2"/>
  <c r="EG64" i="2"/>
  <c r="DW64" i="2"/>
  <c r="DB64" i="2"/>
  <c r="DZ64" i="2"/>
  <c r="DL64" i="2"/>
  <c r="DE64" i="2"/>
  <c r="FM64" i="2"/>
  <c r="FR64" i="2" s="1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FS64" i="2"/>
  <c r="FQ64" i="2"/>
  <c r="HG64" i="2"/>
  <c r="GM64" i="2"/>
  <c r="EX64" i="2"/>
  <c r="EV64" i="2"/>
  <c r="EC64" i="2"/>
  <c r="EA64" i="2"/>
  <c r="EB64" i="2"/>
  <c r="DH64" i="2"/>
  <c r="DG64" i="2"/>
  <c r="DF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HI65" i="2" s="1"/>
  <c r="GR65" i="2"/>
  <c r="GK65" i="2"/>
  <c r="FW65" i="2"/>
  <c r="FM65" i="2"/>
  <c r="FR65" i="2" s="1"/>
  <c r="HB65" i="2"/>
  <c r="GS65" i="2"/>
  <c r="FP65" i="2"/>
  <c r="GG65" i="2"/>
  <c r="FX65" i="2"/>
  <c r="EQ65" i="2"/>
  <c r="EH65" i="2"/>
  <c r="CJ65" i="2"/>
  <c r="FB65" i="2"/>
  <c r="ER65" i="2"/>
  <c r="EW65" i="2" s="1"/>
  <c r="DV65" i="2"/>
  <c r="DM65" i="2"/>
  <c r="DA65" i="2"/>
  <c r="CR65" i="2"/>
  <c r="GH65" i="2"/>
  <c r="GN65" i="2" s="1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FQ65" i="2" l="1"/>
  <c r="FS65" i="2"/>
  <c r="GL65" i="2"/>
  <c r="GL66" i="2" s="1"/>
  <c r="HH65" i="2"/>
  <c r="EV65" i="2"/>
  <c r="EX65" i="2"/>
  <c r="DH65" i="2"/>
  <c r="GM65" i="2"/>
  <c r="EC65" i="2"/>
  <c r="HG65" i="2"/>
  <c r="EB65" i="2"/>
  <c r="EA65" i="2"/>
  <c r="DG65" i="2"/>
  <c r="DF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I66" i="2" s="1"/>
  <c r="HF66" i="2"/>
  <c r="HB66" i="2"/>
  <c r="GS66" i="2"/>
  <c r="GR66" i="2"/>
  <c r="GH66" i="2"/>
  <c r="GN66" i="2" s="1"/>
  <c r="FL66" i="2"/>
  <c r="FC66" i="2"/>
  <c r="FW66" i="2"/>
  <c r="FM66" i="2"/>
  <c r="FR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W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B66" i="2" l="1"/>
  <c r="HG66" i="2"/>
  <c r="FS66" i="2"/>
  <c r="HH66" i="2"/>
  <c r="HH67" i="2" s="1"/>
  <c r="FQ66" i="2"/>
  <c r="EA66" i="2"/>
  <c r="GM66" i="2"/>
  <c r="EX66" i="2"/>
  <c r="EV66" i="2"/>
  <c r="DH66" i="2"/>
  <c r="EC66" i="2"/>
  <c r="DG66" i="2"/>
  <c r="DF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I67" i="2" s="1"/>
  <c r="HF67" i="2"/>
  <c r="GK67" i="2"/>
  <c r="HB67" i="2"/>
  <c r="GS67" i="2"/>
  <c r="GR67" i="2"/>
  <c r="GG67" i="2"/>
  <c r="FX67" i="2"/>
  <c r="GH67" i="2"/>
  <c r="GL67" i="2" s="1"/>
  <c r="FL67" i="2"/>
  <c r="FC67" i="2"/>
  <c r="FW67" i="2"/>
  <c r="FM67" i="2"/>
  <c r="FR67" i="2" s="1"/>
  <c r="EU67" i="2"/>
  <c r="EG67" i="2"/>
  <c r="DW67" i="2"/>
  <c r="DB67" i="2"/>
  <c r="DH67" i="2" s="1"/>
  <c r="FP67" i="2"/>
  <c r="DZ67" i="2"/>
  <c r="DL67" i="2"/>
  <c r="DE67" i="2"/>
  <c r="EQ67" i="2"/>
  <c r="EH67" i="2"/>
  <c r="CJ67" i="2"/>
  <c r="FB67" i="2"/>
  <c r="DV67" i="2"/>
  <c r="DA67" i="2"/>
  <c r="ER67" i="2"/>
  <c r="EW67" i="2" s="1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EV67" i="2"/>
  <c r="EV68" i="2" s="1"/>
  <c r="HG67" i="2"/>
  <c r="HG68" i="2" s="1"/>
  <c r="EA67" i="2"/>
  <c r="EX67" i="2"/>
  <c r="GM67" i="2"/>
  <c r="GN67" i="2"/>
  <c r="FQ67" i="2"/>
  <c r="EC67" i="2"/>
  <c r="EB67" i="2"/>
  <c r="DG67" i="2"/>
  <c r="DF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HI68" i="2" s="1"/>
  <c r="GR68" i="2"/>
  <c r="GK68" i="2"/>
  <c r="HB68" i="2"/>
  <c r="GS68" i="2"/>
  <c r="FP68" i="2"/>
  <c r="GG68" i="2"/>
  <c r="FX68" i="2"/>
  <c r="GH68" i="2"/>
  <c r="GL68" i="2" s="1"/>
  <c r="FL68" i="2"/>
  <c r="FC68" i="2"/>
  <c r="HF68" i="2"/>
  <c r="FM68" i="2"/>
  <c r="FR68" i="2" s="1"/>
  <c r="FB68" i="2"/>
  <c r="ER68" i="2"/>
  <c r="EW68" i="2" s="1"/>
  <c r="DV68" i="2"/>
  <c r="DM68" i="2"/>
  <c r="DA68" i="2"/>
  <c r="EU68" i="2"/>
  <c r="EG68" i="2"/>
  <c r="DW68" i="2"/>
  <c r="EC68" i="2" s="1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FQ68" i="2"/>
  <c r="HH68" i="2"/>
  <c r="GN68" i="2"/>
  <c r="GM68" i="2"/>
  <c r="EX68" i="2"/>
  <c r="EB68" i="2"/>
  <c r="DH68" i="2"/>
  <c r="EA68" i="2"/>
  <c r="DG68" i="2"/>
  <c r="DF68" i="2"/>
  <c r="AU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HI69" i="2" s="1"/>
  <c r="GK69" i="2"/>
  <c r="FW69" i="2"/>
  <c r="FM69" i="2"/>
  <c r="FR69" i="2" s="1"/>
  <c r="FP69" i="2"/>
  <c r="HB69" i="2"/>
  <c r="GS69" i="2"/>
  <c r="GG69" i="2"/>
  <c r="FX69" i="2"/>
  <c r="EQ69" i="2"/>
  <c r="EH69" i="2"/>
  <c r="CJ69" i="2"/>
  <c r="FB69" i="2"/>
  <c r="ER69" i="2"/>
  <c r="EV69" i="2" s="1"/>
  <c r="DV69" i="2"/>
  <c r="DM69" i="2"/>
  <c r="DA69" i="2"/>
  <c r="EU69" i="2"/>
  <c r="EG69" i="2"/>
  <c r="DW69" i="2"/>
  <c r="DB69" i="2"/>
  <c r="GH69" i="2"/>
  <c r="GL69" i="2" s="1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GN69" i="2" l="1"/>
  <c r="FQ69" i="2"/>
  <c r="EA69" i="2"/>
  <c r="FS69" i="2"/>
  <c r="FS70" i="2" s="1"/>
  <c r="HH69" i="2"/>
  <c r="HG69" i="2"/>
  <c r="EX69" i="2"/>
  <c r="EW69" i="2"/>
  <c r="EC69" i="2"/>
  <c r="GM69" i="2"/>
  <c r="EB69" i="2"/>
  <c r="DH69" i="2"/>
  <c r="DG69" i="2"/>
  <c r="DF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GL70" i="2" s="1"/>
  <c r="FL70" i="2"/>
  <c r="FC70" i="2"/>
  <c r="FW70" i="2"/>
  <c r="FM70" i="2"/>
  <c r="FR70" i="2" s="1"/>
  <c r="FP70" i="2"/>
  <c r="DZ70" i="2"/>
  <c r="DL70" i="2"/>
  <c r="DE70" i="2"/>
  <c r="FX70" i="2"/>
  <c r="EQ70" i="2"/>
  <c r="EH70" i="2"/>
  <c r="CJ70" i="2"/>
  <c r="CR70" i="2"/>
  <c r="GG70" i="2"/>
  <c r="FB70" i="2"/>
  <c r="ER70" i="2"/>
  <c r="EV70" i="2" s="1"/>
  <c r="DV70" i="2"/>
  <c r="DM70" i="2"/>
  <c r="DA70" i="2"/>
  <c r="EG70" i="2"/>
  <c r="EU70" i="2"/>
  <c r="DW70" i="2"/>
  <c r="EC70" i="2" s="1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GM70" i="2" l="1"/>
  <c r="FQ70" i="2"/>
  <c r="GN70" i="2"/>
  <c r="GN71" i="2" s="1"/>
  <c r="EW70" i="2"/>
  <c r="EX70" i="2"/>
  <c r="HG70" i="2"/>
  <c r="HH70" i="2"/>
  <c r="EA70" i="2"/>
  <c r="EB70" i="2"/>
  <c r="DH70" i="2"/>
  <c r="DF70" i="2"/>
  <c r="DG70" i="2"/>
  <c r="AU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I71" i="2" s="1"/>
  <c r="HF71" i="2"/>
  <c r="GK71" i="2"/>
  <c r="HB71" i="2"/>
  <c r="GS71" i="2"/>
  <c r="GG71" i="2"/>
  <c r="FX71" i="2"/>
  <c r="GR71" i="2"/>
  <c r="GH71" i="2"/>
  <c r="GL71" i="2" s="1"/>
  <c r="FL71" i="2"/>
  <c r="FC71" i="2"/>
  <c r="FW71" i="2"/>
  <c r="FM71" i="2"/>
  <c r="FR71" i="2" s="1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EV71" i="2" s="1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GM71" i="2" l="1"/>
  <c r="FQ71" i="2"/>
  <c r="FS71" i="2"/>
  <c r="EC71" i="2"/>
  <c r="HH71" i="2"/>
  <c r="HG71" i="2"/>
  <c r="EX71" i="2"/>
  <c r="EW71" i="2"/>
  <c r="EB71" i="2"/>
  <c r="EA71" i="2"/>
  <c r="DH71" i="2"/>
  <c r="DF71" i="2"/>
  <c r="DG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I72" i="2" s="1"/>
  <c r="HF72" i="2"/>
  <c r="GR72" i="2"/>
  <c r="GK72" i="2"/>
  <c r="HB72" i="2"/>
  <c r="GS72" i="2"/>
  <c r="FP72" i="2"/>
  <c r="GG72" i="2"/>
  <c r="FX72" i="2"/>
  <c r="GH72" i="2"/>
  <c r="GL72" i="2" s="1"/>
  <c r="FL72" i="2"/>
  <c r="FC72" i="2"/>
  <c r="FB72" i="2"/>
  <c r="ER72" i="2"/>
  <c r="EV72" i="2" s="1"/>
  <c r="DV72" i="2"/>
  <c r="DM72" i="2"/>
  <c r="DA72" i="2"/>
  <c r="FM72" i="2"/>
  <c r="FR72" i="2" s="1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FS72" i="2" l="1"/>
  <c r="FQ72" i="2"/>
  <c r="EW72" i="2"/>
  <c r="GM72" i="2"/>
  <c r="GM73" i="2" s="1"/>
  <c r="EX72" i="2"/>
  <c r="HG72" i="2"/>
  <c r="GN72" i="2"/>
  <c r="HH72" i="2"/>
  <c r="EC72" i="2"/>
  <c r="EB72" i="2"/>
  <c r="EA72" i="2"/>
  <c r="DH72" i="2"/>
  <c r="DF72" i="2"/>
  <c r="DG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R73" i="2" s="1"/>
  <c r="FP73" i="2"/>
  <c r="HC73" i="2"/>
  <c r="HI73" i="2" s="1"/>
  <c r="GG73" i="2"/>
  <c r="FX73" i="2"/>
  <c r="GH73" i="2"/>
  <c r="GL73" i="2" s="1"/>
  <c r="FL73" i="2"/>
  <c r="FC73" i="2"/>
  <c r="EQ73" i="2"/>
  <c r="EH73" i="2"/>
  <c r="CJ73" i="2"/>
  <c r="HB73" i="2"/>
  <c r="GS73" i="2"/>
  <c r="FB73" i="2"/>
  <c r="ER73" i="2"/>
  <c r="EV73" i="2" s="1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FS73" i="2"/>
  <c r="FQ73" i="2"/>
  <c r="HH73" i="2"/>
  <c r="GN73" i="2"/>
  <c r="HG73" i="2"/>
  <c r="EB73" i="2"/>
  <c r="EX73" i="2"/>
  <c r="EC73" i="2"/>
  <c r="EA73" i="2"/>
  <c r="DH73" i="2"/>
  <c r="DF73" i="2"/>
  <c r="DG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I74" i="2" s="1"/>
  <c r="HF74" i="2"/>
  <c r="HB74" i="2"/>
  <c r="GS74" i="2"/>
  <c r="GR74" i="2"/>
  <c r="GH74" i="2"/>
  <c r="GL74" i="2" s="1"/>
  <c r="FL74" i="2"/>
  <c r="FC74" i="2"/>
  <c r="GK74" i="2"/>
  <c r="FW74" i="2"/>
  <c r="FM74" i="2"/>
  <c r="FR74" i="2" s="1"/>
  <c r="FP74" i="2"/>
  <c r="DZ74" i="2"/>
  <c r="DL74" i="2"/>
  <c r="DE74" i="2"/>
  <c r="EQ74" i="2"/>
  <c r="EH74" i="2"/>
  <c r="CJ74" i="2"/>
  <c r="CR74" i="2"/>
  <c r="FX74" i="2"/>
  <c r="FB74" i="2"/>
  <c r="ER74" i="2"/>
  <c r="EV74" i="2" s="1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Q74" i="2" l="1"/>
  <c r="GM74" i="2"/>
  <c r="FS74" i="2"/>
  <c r="EX74" i="2"/>
  <c r="EW74" i="2"/>
  <c r="HG74" i="2"/>
  <c r="GN74" i="2"/>
  <c r="HH74" i="2"/>
  <c r="DH74" i="2"/>
  <c r="EA74" i="2"/>
  <c r="EC74" i="2"/>
  <c r="EB74" i="2"/>
  <c r="DF74" i="2"/>
  <c r="DG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I75" i="2" s="1"/>
  <c r="HF75" i="2"/>
  <c r="GK75" i="2"/>
  <c r="HB75" i="2"/>
  <c r="GS75" i="2"/>
  <c r="GG75" i="2"/>
  <c r="FX75" i="2"/>
  <c r="GH75" i="2"/>
  <c r="GL75" i="2" s="1"/>
  <c r="FL75" i="2"/>
  <c r="FC75" i="2"/>
  <c r="GR75" i="2"/>
  <c r="FW75" i="2"/>
  <c r="FM75" i="2"/>
  <c r="FR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EV75" i="2" s="1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X75" i="2" l="1"/>
  <c r="FS75" i="2"/>
  <c r="GM75" i="2"/>
  <c r="EB75" i="2"/>
  <c r="FQ75" i="2"/>
  <c r="HH75" i="2"/>
  <c r="EA75" i="2"/>
  <c r="GN75" i="2"/>
  <c r="DH75" i="2"/>
  <c r="HG75" i="2"/>
  <c r="EW75" i="2"/>
  <c r="EC75" i="2"/>
  <c r="DF75" i="2"/>
  <c r="DG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HI76" i="2" s="1"/>
  <c r="GR76" i="2"/>
  <c r="HF76" i="2"/>
  <c r="GK76" i="2"/>
  <c r="HB76" i="2"/>
  <c r="GS76" i="2"/>
  <c r="FP76" i="2"/>
  <c r="GG76" i="2"/>
  <c r="FX76" i="2"/>
  <c r="GH76" i="2"/>
  <c r="GL76" i="2" s="1"/>
  <c r="FL76" i="2"/>
  <c r="FC76" i="2"/>
  <c r="FW76" i="2"/>
  <c r="FB76" i="2"/>
  <c r="ER76" i="2"/>
  <c r="EV76" i="2" s="1"/>
  <c r="DV76" i="2"/>
  <c r="DM76" i="2"/>
  <c r="DA76" i="2"/>
  <c r="EU76" i="2"/>
  <c r="EG76" i="2"/>
  <c r="DW76" i="2"/>
  <c r="DB76" i="2"/>
  <c r="FM76" i="2"/>
  <c r="FR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EW76" i="2" l="1"/>
  <c r="GM76" i="2"/>
  <c r="HG76" i="2"/>
  <c r="FS76" i="2"/>
  <c r="EA76" i="2"/>
  <c r="EX76" i="2"/>
  <c r="GN76" i="2"/>
  <c r="EB76" i="2"/>
  <c r="HH76" i="2"/>
  <c r="FQ76" i="2"/>
  <c r="DH76" i="2"/>
  <c r="EC76" i="2"/>
  <c r="DG76" i="2"/>
  <c r="DF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R77" i="2" s="1"/>
  <c r="FP77" i="2"/>
  <c r="GG77" i="2"/>
  <c r="FX77" i="2"/>
  <c r="EQ77" i="2"/>
  <c r="EH77" i="2"/>
  <c r="CJ77" i="2"/>
  <c r="GH77" i="2"/>
  <c r="GL77" i="2" s="1"/>
  <c r="FL77" i="2"/>
  <c r="FC77" i="2"/>
  <c r="FB77" i="2"/>
  <c r="ER77" i="2"/>
  <c r="EV77" i="2" s="1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HG77" i="2"/>
  <c r="FQ77" i="2"/>
  <c r="GM77" i="2"/>
  <c r="HH77" i="2"/>
  <c r="EW77" i="2"/>
  <c r="EB77" i="2"/>
  <c r="GN77" i="2"/>
  <c r="EX77" i="2"/>
  <c r="EA77" i="2"/>
  <c r="EC77" i="2"/>
  <c r="DH77" i="2"/>
  <c r="DG77" i="2"/>
  <c r="DF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GL78" i="2" s="1"/>
  <c r="FL78" i="2"/>
  <c r="FC78" i="2"/>
  <c r="FW78" i="2"/>
  <c r="FM78" i="2"/>
  <c r="FR78" i="2" s="1"/>
  <c r="GK78" i="2"/>
  <c r="FP78" i="2"/>
  <c r="GG78" i="2"/>
  <c r="DZ78" i="2"/>
  <c r="DL78" i="2"/>
  <c r="DE78" i="2"/>
  <c r="EQ78" i="2"/>
  <c r="EH78" i="2"/>
  <c r="CJ78" i="2"/>
  <c r="CR78" i="2"/>
  <c r="FB78" i="2"/>
  <c r="ER78" i="2"/>
  <c r="EV78" i="2" s="1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GM78" i="2" l="1"/>
  <c r="EB78" i="2"/>
  <c r="FQ78" i="2"/>
  <c r="HG78" i="2"/>
  <c r="EC78" i="2"/>
  <c r="EX78" i="2"/>
  <c r="FS78" i="2"/>
  <c r="GN78" i="2"/>
  <c r="EW78" i="2"/>
  <c r="HH78" i="2"/>
  <c r="EA78" i="2"/>
  <c r="DH78" i="2"/>
  <c r="DF78" i="2"/>
  <c r="DG78" i="2"/>
  <c r="AU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I79" i="2" s="1"/>
  <c r="HF79" i="2"/>
  <c r="GK79" i="2"/>
  <c r="HB79" i="2"/>
  <c r="GS79" i="2"/>
  <c r="GG79" i="2"/>
  <c r="FX79" i="2"/>
  <c r="GH79" i="2"/>
  <c r="GL79" i="2" s="1"/>
  <c r="FL79" i="2"/>
  <c r="FC79" i="2"/>
  <c r="FW79" i="2"/>
  <c r="FM79" i="2"/>
  <c r="FR79" i="2" s="1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EV79" i="2" s="1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FQ79" i="2"/>
  <c r="HH79" i="2"/>
  <c r="EW79" i="2"/>
  <c r="GM79" i="2"/>
  <c r="GN79" i="2"/>
  <c r="FS79" i="2"/>
  <c r="EX79" i="2"/>
  <c r="EC79" i="2"/>
  <c r="EA79" i="2"/>
  <c r="EB79" i="2"/>
  <c r="DH79" i="2"/>
  <c r="DF79" i="2"/>
  <c r="DG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HI80" i="2" s="1"/>
  <c r="GR80" i="2"/>
  <c r="GK80" i="2"/>
  <c r="HF80" i="2"/>
  <c r="HB80" i="2"/>
  <c r="GS80" i="2"/>
  <c r="FP80" i="2"/>
  <c r="GG80" i="2"/>
  <c r="FX80" i="2"/>
  <c r="GH80" i="2"/>
  <c r="GL80" i="2" s="1"/>
  <c r="FL80" i="2"/>
  <c r="FC80" i="2"/>
  <c r="FB80" i="2"/>
  <c r="ER80" i="2"/>
  <c r="EV80" i="2" s="1"/>
  <c r="DV80" i="2"/>
  <c r="DM80" i="2"/>
  <c r="DA80" i="2"/>
  <c r="FW80" i="2"/>
  <c r="EU80" i="2"/>
  <c r="EG80" i="2"/>
  <c r="DW80" i="2"/>
  <c r="DB80" i="2"/>
  <c r="DZ80" i="2"/>
  <c r="DL80" i="2"/>
  <c r="DE80" i="2"/>
  <c r="FM80" i="2"/>
  <c r="FR80" i="2" s="1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W80" i="2" l="1"/>
  <c r="EC80" i="2"/>
  <c r="HH80" i="2"/>
  <c r="FQ80" i="2"/>
  <c r="HG80" i="2"/>
  <c r="EX80" i="2"/>
  <c r="FS80" i="2"/>
  <c r="GN80" i="2"/>
  <c r="GM80" i="2"/>
  <c r="EA80" i="2"/>
  <c r="EB80" i="2"/>
  <c r="DH80" i="2"/>
  <c r="DG80" i="2"/>
  <c r="DF80" i="2"/>
  <c r="AU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HI81" i="2" s="1"/>
  <c r="GR81" i="2"/>
  <c r="GK81" i="2"/>
  <c r="FW81" i="2"/>
  <c r="FM81" i="2"/>
  <c r="FR81" i="2" s="1"/>
  <c r="HB81" i="2"/>
  <c r="GS81" i="2"/>
  <c r="FP81" i="2"/>
  <c r="GG81" i="2"/>
  <c r="FX81" i="2"/>
  <c r="EQ81" i="2"/>
  <c r="EH81" i="2"/>
  <c r="CJ81" i="2"/>
  <c r="FB81" i="2"/>
  <c r="ER81" i="2"/>
  <c r="EV81" i="2" s="1"/>
  <c r="DV81" i="2"/>
  <c r="DM81" i="2"/>
  <c r="DA81" i="2"/>
  <c r="GH81" i="2"/>
  <c r="GL81" i="2" s="1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FQ81" i="2" l="1"/>
  <c r="HH81" i="2"/>
  <c r="GM81" i="2"/>
  <c r="EW81" i="2"/>
  <c r="GN81" i="2"/>
  <c r="FS81" i="2"/>
  <c r="EX81" i="2"/>
  <c r="HG81" i="2"/>
  <c r="EB81" i="2"/>
  <c r="EA81" i="2"/>
  <c r="AW81" i="2"/>
  <c r="DH81" i="2"/>
  <c r="DG81" i="2"/>
  <c r="DF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I82" i="2" s="1"/>
  <c r="HF82" i="2"/>
  <c r="HB82" i="2"/>
  <c r="GS82" i="2"/>
  <c r="GR82" i="2"/>
  <c r="GH82" i="2"/>
  <c r="GL82" i="2" s="1"/>
  <c r="FL82" i="2"/>
  <c r="FC82" i="2"/>
  <c r="FW82" i="2"/>
  <c r="FM82" i="2"/>
  <c r="FR82" i="2" s="1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EV82" i="2" s="1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W82" i="2" l="1"/>
  <c r="GM82" i="2"/>
  <c r="HH82" i="2"/>
  <c r="FQ82" i="2"/>
  <c r="HG82" i="2"/>
  <c r="EX82" i="2"/>
  <c r="FS82" i="2"/>
  <c r="GN82" i="2"/>
  <c r="EC82" i="2"/>
  <c r="EB82" i="2"/>
  <c r="EA82" i="2"/>
  <c r="DH82" i="2"/>
  <c r="DG82" i="2"/>
  <c r="DF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I83" i="2" s="1"/>
  <c r="HF83" i="2"/>
  <c r="GK83" i="2"/>
  <c r="HB83" i="2"/>
  <c r="GS83" i="2"/>
  <c r="GR83" i="2"/>
  <c r="GG83" i="2"/>
  <c r="FX83" i="2"/>
  <c r="GH83" i="2"/>
  <c r="GL83" i="2" s="1"/>
  <c r="FL83" i="2"/>
  <c r="FC83" i="2"/>
  <c r="FW83" i="2"/>
  <c r="FM83" i="2"/>
  <c r="FR83" i="2" s="1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EV83" i="2" s="1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FQ83" i="2" l="1"/>
  <c r="HH83" i="2"/>
  <c r="GM83" i="2"/>
  <c r="EW83" i="2"/>
  <c r="GN83" i="2"/>
  <c r="FS83" i="2"/>
  <c r="EX83" i="2"/>
  <c r="HG83" i="2"/>
  <c r="EC83" i="2"/>
  <c r="EA83" i="2"/>
  <c r="EB83" i="2"/>
  <c r="DH83" i="2"/>
  <c r="DF83" i="2"/>
  <c r="DG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HI84" i="2" s="1"/>
  <c r="GR84" i="2"/>
  <c r="GK84" i="2"/>
  <c r="HB84" i="2"/>
  <c r="GS84" i="2"/>
  <c r="HF84" i="2"/>
  <c r="FP84" i="2"/>
  <c r="GG84" i="2"/>
  <c r="FX84" i="2"/>
  <c r="GH84" i="2"/>
  <c r="GL84" i="2" s="1"/>
  <c r="FL84" i="2"/>
  <c r="FC84" i="2"/>
  <c r="FM84" i="2"/>
  <c r="FR84" i="2" s="1"/>
  <c r="FB84" i="2"/>
  <c r="ER84" i="2"/>
  <c r="EV84" i="2" s="1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W84" i="2" l="1"/>
  <c r="GM84" i="2"/>
  <c r="HH84" i="2"/>
  <c r="FQ84" i="2"/>
  <c r="HG84" i="2"/>
  <c r="EX84" i="2"/>
  <c r="FS84" i="2"/>
  <c r="GN84" i="2"/>
  <c r="EB84" i="2"/>
  <c r="EA84" i="2"/>
  <c r="EC84" i="2"/>
  <c r="DH84" i="2"/>
  <c r="DF84" i="2"/>
  <c r="DG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R85" i="2" s="1"/>
  <c r="FP85" i="2"/>
  <c r="HB85" i="2"/>
  <c r="GS85" i="2"/>
  <c r="GG85" i="2"/>
  <c r="FX85" i="2"/>
  <c r="EQ85" i="2"/>
  <c r="EH85" i="2"/>
  <c r="CJ85" i="2"/>
  <c r="FB85" i="2"/>
  <c r="ER85" i="2"/>
  <c r="EV85" i="2" s="1"/>
  <c r="DV85" i="2"/>
  <c r="DM85" i="2"/>
  <c r="DA85" i="2"/>
  <c r="EU85" i="2"/>
  <c r="EG85" i="2"/>
  <c r="DW85" i="2"/>
  <c r="DB85" i="2"/>
  <c r="GH85" i="2"/>
  <c r="GL85" i="2" s="1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Q85" i="2" l="1"/>
  <c r="HH85" i="2"/>
  <c r="GM85" i="2"/>
  <c r="EW85" i="2"/>
  <c r="GN85" i="2"/>
  <c r="FS85" i="2"/>
  <c r="DH85" i="2"/>
  <c r="EX85" i="2"/>
  <c r="HG85" i="2"/>
  <c r="EA85" i="2"/>
  <c r="EC85" i="2"/>
  <c r="EB85" i="2"/>
  <c r="DF85" i="2"/>
  <c r="DG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I86" i="2" s="1"/>
  <c r="HF86" i="2"/>
  <c r="HB86" i="2"/>
  <c r="GS86" i="2"/>
  <c r="GR86" i="2"/>
  <c r="GK86" i="2"/>
  <c r="GH86" i="2"/>
  <c r="GL86" i="2" s="1"/>
  <c r="FL86" i="2"/>
  <c r="FC86" i="2"/>
  <c r="FW86" i="2"/>
  <c r="FM86" i="2"/>
  <c r="FR86" i="2" s="1"/>
  <c r="FP86" i="2"/>
  <c r="DZ86" i="2"/>
  <c r="DL86" i="2"/>
  <c r="DE86" i="2"/>
  <c r="FX86" i="2"/>
  <c r="EQ86" i="2"/>
  <c r="EH86" i="2"/>
  <c r="CJ86" i="2"/>
  <c r="CR86" i="2"/>
  <c r="GG86" i="2"/>
  <c r="FB86" i="2"/>
  <c r="ER86" i="2"/>
  <c r="EV86" i="2" s="1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W86" i="2" l="1"/>
  <c r="GM86" i="2"/>
  <c r="HH86" i="2"/>
  <c r="HG86" i="2"/>
  <c r="FQ86" i="2"/>
  <c r="EX86" i="2"/>
  <c r="FS86" i="2"/>
  <c r="GN86" i="2"/>
  <c r="DH86" i="2"/>
  <c r="EB86" i="2"/>
  <c r="EA86" i="2"/>
  <c r="DF86" i="2"/>
  <c r="DG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I87" i="2" s="1"/>
  <c r="HF87" i="2"/>
  <c r="GK87" i="2"/>
  <c r="HB87" i="2"/>
  <c r="GS87" i="2"/>
  <c r="GG87" i="2"/>
  <c r="FX87" i="2"/>
  <c r="GR87" i="2"/>
  <c r="GH87" i="2"/>
  <c r="GL87" i="2" s="1"/>
  <c r="FL87" i="2"/>
  <c r="FC87" i="2"/>
  <c r="FW87" i="2"/>
  <c r="FM87" i="2"/>
  <c r="FR87" i="2" s="1"/>
  <c r="EU87" i="2"/>
  <c r="EG87" i="2"/>
  <c r="DW87" i="2"/>
  <c r="DB87" i="2"/>
  <c r="DH87" i="2" s="1"/>
  <c r="DZ87" i="2"/>
  <c r="DL87" i="2"/>
  <c r="DE87" i="2"/>
  <c r="FP87" i="2"/>
  <c r="EQ87" i="2"/>
  <c r="EH87" i="2"/>
  <c r="CJ87" i="2"/>
  <c r="CR87" i="2"/>
  <c r="FB87" i="2"/>
  <c r="DV87" i="2"/>
  <c r="DA87" i="2"/>
  <c r="ER87" i="2"/>
  <c r="EV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H87" i="2"/>
  <c r="GM87" i="2"/>
  <c r="EA87" i="2"/>
  <c r="EW87" i="2"/>
  <c r="GN87" i="2"/>
  <c r="FS87" i="2"/>
  <c r="EX87" i="2"/>
  <c r="FQ87" i="2"/>
  <c r="EC87" i="2"/>
  <c r="EB87" i="2"/>
  <c r="DG87" i="2"/>
  <c r="DF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GL88" i="2" s="1"/>
  <c r="FL88" i="2"/>
  <c r="FC88" i="2"/>
  <c r="FB88" i="2"/>
  <c r="ER88" i="2"/>
  <c r="EV88" i="2" s="1"/>
  <c r="DV88" i="2"/>
  <c r="DM88" i="2"/>
  <c r="DA88" i="2"/>
  <c r="FM88" i="2"/>
  <c r="FR88" i="2" s="1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GM88" i="2" l="1"/>
  <c r="HH88" i="2"/>
  <c r="FQ88" i="2"/>
  <c r="HG88" i="2"/>
  <c r="EX88" i="2"/>
  <c r="EB88" i="2"/>
  <c r="EA88" i="2"/>
  <c r="FS88" i="2"/>
  <c r="GN88" i="2"/>
  <c r="EW88" i="2"/>
  <c r="DH88" i="2"/>
  <c r="EC88" i="2"/>
  <c r="DG88" i="2"/>
  <c r="DF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R89" i="2" s="1"/>
  <c r="FP89" i="2"/>
  <c r="GG89" i="2"/>
  <c r="FX89" i="2"/>
  <c r="HC89" i="2"/>
  <c r="HI89" i="2" s="1"/>
  <c r="GH89" i="2"/>
  <c r="GL89" i="2" s="1"/>
  <c r="FL89" i="2"/>
  <c r="FC89" i="2"/>
  <c r="EQ89" i="2"/>
  <c r="EH89" i="2"/>
  <c r="CJ89" i="2"/>
  <c r="FB89" i="2"/>
  <c r="ER89" i="2"/>
  <c r="EV89" i="2" s="1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Q89" i="2"/>
  <c r="EW89" i="2"/>
  <c r="HH89" i="2"/>
  <c r="GN89" i="2"/>
  <c r="GM89" i="2"/>
  <c r="FS89" i="2"/>
  <c r="EX89" i="2"/>
  <c r="DH89" i="2"/>
  <c r="EC89" i="2"/>
  <c r="EA89" i="2"/>
  <c r="EB89" i="2"/>
  <c r="DF89" i="2"/>
  <c r="DG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GL90" i="2" s="1"/>
  <c r="FL90" i="2"/>
  <c r="FC90" i="2"/>
  <c r="GK90" i="2"/>
  <c r="FW90" i="2"/>
  <c r="FM90" i="2"/>
  <c r="FR90" i="2" s="1"/>
  <c r="FP90" i="2"/>
  <c r="DZ90" i="2"/>
  <c r="DL90" i="2"/>
  <c r="DE90" i="2"/>
  <c r="EQ90" i="2"/>
  <c r="EH90" i="2"/>
  <c r="CJ90" i="2"/>
  <c r="CR90" i="2"/>
  <c r="FX90" i="2"/>
  <c r="FB90" i="2"/>
  <c r="ER90" i="2"/>
  <c r="EV90" i="2" s="1"/>
  <c r="DV90" i="2"/>
  <c r="DM90" i="2"/>
  <c r="DA90" i="2"/>
  <c r="GG90" i="2"/>
  <c r="DW90" i="2"/>
  <c r="EC90" i="2" s="1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H90" i="2" l="1"/>
  <c r="EW90" i="2"/>
  <c r="FQ90" i="2"/>
  <c r="HG90" i="2"/>
  <c r="EX90" i="2"/>
  <c r="FS90" i="2"/>
  <c r="GM90" i="2"/>
  <c r="GN90" i="2"/>
  <c r="DH90" i="2"/>
  <c r="EA90" i="2"/>
  <c r="EB90" i="2"/>
  <c r="DF90" i="2"/>
  <c r="DG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I91" i="2" s="1"/>
  <c r="HF91" i="2"/>
  <c r="GK91" i="2"/>
  <c r="HB91" i="2"/>
  <c r="GS91" i="2"/>
  <c r="GG91" i="2"/>
  <c r="FX91" i="2"/>
  <c r="GH91" i="2"/>
  <c r="GL91" i="2" s="1"/>
  <c r="FL91" i="2"/>
  <c r="FC91" i="2"/>
  <c r="GR91" i="2"/>
  <c r="FW91" i="2"/>
  <c r="FM91" i="2"/>
  <c r="FR91" i="2" s="1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EV91" i="2" s="1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HG91" i="2" l="1"/>
  <c r="FQ91" i="2"/>
  <c r="EW91" i="2"/>
  <c r="HH91" i="2"/>
  <c r="GN91" i="2"/>
  <c r="GM91" i="2"/>
  <c r="FS91" i="2"/>
  <c r="EX91" i="2"/>
  <c r="DH91" i="2"/>
  <c r="EC91" i="2"/>
  <c r="EA91" i="2"/>
  <c r="EB91" i="2"/>
  <c r="DG91" i="2"/>
  <c r="DF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HI92" i="2" s="1"/>
  <c r="GR92" i="2"/>
  <c r="HF92" i="2"/>
  <c r="GK92" i="2"/>
  <c r="HB92" i="2"/>
  <c r="GS92" i="2"/>
  <c r="FP92" i="2"/>
  <c r="GG92" i="2"/>
  <c r="FX92" i="2"/>
  <c r="GH92" i="2"/>
  <c r="GL92" i="2" s="1"/>
  <c r="FL92" i="2"/>
  <c r="FC92" i="2"/>
  <c r="FW92" i="2"/>
  <c r="FB92" i="2"/>
  <c r="ER92" i="2"/>
  <c r="EV92" i="2" s="1"/>
  <c r="DV92" i="2"/>
  <c r="DM92" i="2"/>
  <c r="DA92" i="2"/>
  <c r="EU92" i="2"/>
  <c r="EG92" i="2"/>
  <c r="DW92" i="2"/>
  <c r="DB92" i="2"/>
  <c r="DH92" i="2" s="1"/>
  <c r="FM92" i="2"/>
  <c r="FR92" i="2" s="1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H92" i="2" l="1"/>
  <c r="EW92" i="2"/>
  <c r="FQ92" i="2"/>
  <c r="HG92" i="2"/>
  <c r="EB92" i="2"/>
  <c r="EX92" i="2"/>
  <c r="FS92" i="2"/>
  <c r="GM92" i="2"/>
  <c r="GN92" i="2"/>
  <c r="EC92" i="2"/>
  <c r="EA92" i="2"/>
  <c r="DF92" i="2"/>
  <c r="DG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R93" i="2" s="1"/>
  <c r="FP93" i="2"/>
  <c r="GG93" i="2"/>
  <c r="FX93" i="2"/>
  <c r="EQ93" i="2"/>
  <c r="EH93" i="2"/>
  <c r="CJ93" i="2"/>
  <c r="GH93" i="2"/>
  <c r="GL93" i="2" s="1"/>
  <c r="FL93" i="2"/>
  <c r="FC93" i="2"/>
  <c r="FB93" i="2"/>
  <c r="ER93" i="2"/>
  <c r="EV93" i="2" s="1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G93" i="2" l="1"/>
  <c r="FQ93" i="2"/>
  <c r="AW93" i="2"/>
  <c r="EW93" i="2"/>
  <c r="GN93" i="2"/>
  <c r="HH93" i="2"/>
  <c r="GM93" i="2"/>
  <c r="EB93" i="2"/>
  <c r="FS93" i="2"/>
  <c r="EX93" i="2"/>
  <c r="EC93" i="2"/>
  <c r="EA93" i="2"/>
  <c r="DH93" i="2"/>
  <c r="DG93" i="2"/>
  <c r="DF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I94" i="2" s="1"/>
  <c r="HF94" i="2"/>
  <c r="HB94" i="2"/>
  <c r="GS94" i="2"/>
  <c r="GR94" i="2"/>
  <c r="GH94" i="2"/>
  <c r="GL94" i="2" s="1"/>
  <c r="FL94" i="2"/>
  <c r="FC94" i="2"/>
  <c r="FW94" i="2"/>
  <c r="FM94" i="2"/>
  <c r="FR94" i="2" s="1"/>
  <c r="GK94" i="2"/>
  <c r="FP94" i="2"/>
  <c r="GG94" i="2"/>
  <c r="DZ94" i="2"/>
  <c r="DL94" i="2"/>
  <c r="DE94" i="2"/>
  <c r="EQ94" i="2"/>
  <c r="EH94" i="2"/>
  <c r="CJ94" i="2"/>
  <c r="CR94" i="2"/>
  <c r="FB94" i="2"/>
  <c r="ER94" i="2"/>
  <c r="EV94" i="2" s="1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W94" i="2" l="1"/>
  <c r="EX94" i="2"/>
  <c r="FQ94" i="2"/>
  <c r="FS94" i="2"/>
  <c r="HG94" i="2"/>
  <c r="GM94" i="2"/>
  <c r="HH94" i="2"/>
  <c r="GN94" i="2"/>
  <c r="EC94" i="2"/>
  <c r="EB94" i="2"/>
  <c r="EA94" i="2"/>
  <c r="DH94" i="2"/>
  <c r="DF94" i="2"/>
  <c r="DG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I95" i="2" s="1"/>
  <c r="HF95" i="2"/>
  <c r="GK95" i="2"/>
  <c r="HB95" i="2"/>
  <c r="GS95" i="2"/>
  <c r="GG95" i="2"/>
  <c r="FX95" i="2"/>
  <c r="GH95" i="2"/>
  <c r="GL95" i="2" s="1"/>
  <c r="FL95" i="2"/>
  <c r="FC95" i="2"/>
  <c r="FW95" i="2"/>
  <c r="FM95" i="2"/>
  <c r="FR95" i="2" s="1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V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FQ95" i="2"/>
  <c r="EX95" i="2"/>
  <c r="EW95" i="2"/>
  <c r="GN95" i="2"/>
  <c r="HH95" i="2"/>
  <c r="GM95" i="2"/>
  <c r="HG95" i="2"/>
  <c r="DH95" i="2"/>
  <c r="EB95" i="2"/>
  <c r="EC95" i="2"/>
  <c r="EA95" i="2"/>
  <c r="DF95" i="2"/>
  <c r="DG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HI96" i="2" s="1"/>
  <c r="GR96" i="2"/>
  <c r="GK96" i="2"/>
  <c r="HF96" i="2"/>
  <c r="HB96" i="2"/>
  <c r="GS96" i="2"/>
  <c r="FP96" i="2"/>
  <c r="GG96" i="2"/>
  <c r="FX96" i="2"/>
  <c r="GH96" i="2"/>
  <c r="GL96" i="2" s="1"/>
  <c r="FL96" i="2"/>
  <c r="FC96" i="2"/>
  <c r="FB96" i="2"/>
  <c r="ER96" i="2"/>
  <c r="EV96" i="2" s="1"/>
  <c r="DV96" i="2"/>
  <c r="DM96" i="2"/>
  <c r="DA96" i="2"/>
  <c r="FW96" i="2"/>
  <c r="EU96" i="2"/>
  <c r="EG96" i="2"/>
  <c r="DW96" i="2"/>
  <c r="DB96" i="2"/>
  <c r="DZ96" i="2"/>
  <c r="DL96" i="2"/>
  <c r="DE96" i="2"/>
  <c r="FM96" i="2"/>
  <c r="FR96" i="2" s="1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EB96" i="2" l="1"/>
  <c r="EW96" i="2"/>
  <c r="EX96" i="2"/>
  <c r="FQ96" i="2"/>
  <c r="FS96" i="2"/>
  <c r="HG96" i="2"/>
  <c r="GM96" i="2"/>
  <c r="HH96" i="2"/>
  <c r="GN96" i="2"/>
  <c r="DH96" i="2"/>
  <c r="EA96" i="2"/>
  <c r="EC96" i="2"/>
  <c r="DF96" i="2"/>
  <c r="DG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HI97" i="2" s="1"/>
  <c r="GR97" i="2"/>
  <c r="GK97" i="2"/>
  <c r="FW97" i="2"/>
  <c r="FM97" i="2"/>
  <c r="FR97" i="2" s="1"/>
  <c r="HB97" i="2"/>
  <c r="GS97" i="2"/>
  <c r="FP97" i="2"/>
  <c r="GG97" i="2"/>
  <c r="FX97" i="2"/>
  <c r="EQ97" i="2"/>
  <c r="EH97" i="2"/>
  <c r="CJ97" i="2"/>
  <c r="FB97" i="2"/>
  <c r="ER97" i="2"/>
  <c r="EV97" i="2" s="1"/>
  <c r="DV97" i="2"/>
  <c r="DM97" i="2"/>
  <c r="DA97" i="2"/>
  <c r="GH97" i="2"/>
  <c r="GL97" i="2" s="1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FQ97" i="2" l="1"/>
  <c r="EX97" i="2"/>
  <c r="EX98" i="2" s="1"/>
  <c r="AW97" i="2"/>
  <c r="EW97" i="2"/>
  <c r="GN97" i="2"/>
  <c r="HH97" i="2"/>
  <c r="GM97" i="2"/>
  <c r="HG97" i="2"/>
  <c r="FS97" i="2"/>
  <c r="EC97" i="2"/>
  <c r="EB97" i="2"/>
  <c r="EA97" i="2"/>
  <c r="DH97" i="2"/>
  <c r="DG97" i="2"/>
  <c r="DF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GL98" i="2" s="1"/>
  <c r="FL98" i="2"/>
  <c r="FC98" i="2"/>
  <c r="FW98" i="2"/>
  <c r="FM98" i="2"/>
  <c r="FR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V98" i="2" s="1"/>
  <c r="DV98" i="2"/>
  <c r="DM98" i="2"/>
  <c r="DA98" i="2"/>
  <c r="GK98" i="2"/>
  <c r="EU98" i="2"/>
  <c r="DW98" i="2"/>
  <c r="EG98" i="2"/>
  <c r="DB98" i="2"/>
  <c r="DH98" i="2" s="1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EW99" i="2" s="1"/>
  <c r="FS98" i="2"/>
  <c r="FQ98" i="2"/>
  <c r="EB98" i="2"/>
  <c r="HG98" i="2"/>
  <c r="GM98" i="2"/>
  <c r="HH98" i="2"/>
  <c r="EC98" i="2"/>
  <c r="EA98" i="2"/>
  <c r="GN98" i="2"/>
  <c r="DG98" i="2"/>
  <c r="DF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I99" i="2" s="1"/>
  <c r="HF99" i="2"/>
  <c r="GK99" i="2"/>
  <c r="HB99" i="2"/>
  <c r="GS99" i="2"/>
  <c r="GR99" i="2"/>
  <c r="GG99" i="2"/>
  <c r="FX99" i="2"/>
  <c r="GH99" i="2"/>
  <c r="GL99" i="2" s="1"/>
  <c r="FL99" i="2"/>
  <c r="FC99" i="2"/>
  <c r="FW99" i="2"/>
  <c r="FM99" i="2"/>
  <c r="FR99" i="2" s="1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EV99" i="2" s="1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DH99" i="2"/>
  <c r="GN99" i="2"/>
  <c r="FQ99" i="2"/>
  <c r="FQ100" i="2" s="1"/>
  <c r="EC99" i="2"/>
  <c r="FS99" i="2"/>
  <c r="HH99" i="2"/>
  <c r="GM99" i="2"/>
  <c r="HG99" i="2"/>
  <c r="EA99" i="2"/>
  <c r="EB99" i="2"/>
  <c r="DG99" i="2"/>
  <c r="DF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HI100" i="2" s="1"/>
  <c r="GR100" i="2"/>
  <c r="GK100" i="2"/>
  <c r="HB100" i="2"/>
  <c r="GS100" i="2"/>
  <c r="FP100" i="2"/>
  <c r="HF100" i="2"/>
  <c r="GG100" i="2"/>
  <c r="FX100" i="2"/>
  <c r="GH100" i="2"/>
  <c r="GL100" i="2" s="1"/>
  <c r="FL100" i="2"/>
  <c r="FC100" i="2"/>
  <c r="FM100" i="2"/>
  <c r="FR100" i="2" s="1"/>
  <c r="FB100" i="2"/>
  <c r="ER100" i="2"/>
  <c r="EV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GN100" i="2" l="1"/>
  <c r="HG100" i="2"/>
  <c r="GM100" i="2"/>
  <c r="EX100" i="2"/>
  <c r="HH100" i="2"/>
  <c r="EW100" i="2"/>
  <c r="FS100" i="2"/>
  <c r="DH100" i="2"/>
  <c r="EA100" i="2"/>
  <c r="EC100" i="2"/>
  <c r="EB100" i="2"/>
  <c r="DG100" i="2"/>
  <c r="DF100" i="2"/>
  <c r="AU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R101" i="2" s="1"/>
  <c r="FP101" i="2"/>
  <c r="HB101" i="2"/>
  <c r="GS101" i="2"/>
  <c r="GG101" i="2"/>
  <c r="FX101" i="2"/>
  <c r="EQ101" i="2"/>
  <c r="EH101" i="2"/>
  <c r="CJ101" i="2"/>
  <c r="FB101" i="2"/>
  <c r="ER101" i="2"/>
  <c r="EV101" i="2" s="1"/>
  <c r="DV101" i="2"/>
  <c r="DM101" i="2"/>
  <c r="DA101" i="2"/>
  <c r="EU101" i="2"/>
  <c r="EG101" i="2"/>
  <c r="DW101" i="2"/>
  <c r="DB101" i="2"/>
  <c r="GH101" i="2"/>
  <c r="GL101" i="2" s="1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GM101" i="2" l="1"/>
  <c r="HG101" i="2"/>
  <c r="GN101" i="2"/>
  <c r="FQ101" i="2"/>
  <c r="FS101" i="2"/>
  <c r="EW101" i="2"/>
  <c r="HH101" i="2"/>
  <c r="EX101" i="2"/>
  <c r="DH101" i="2"/>
  <c r="EC101" i="2"/>
  <c r="EB101" i="2"/>
  <c r="EA101" i="2"/>
  <c r="AW101" i="2"/>
  <c r="DF101" i="2"/>
  <c r="DG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I102" i="2" s="1"/>
  <c r="HF102" i="2"/>
  <c r="HB102" i="2"/>
  <c r="GS102" i="2"/>
  <c r="GR102" i="2"/>
  <c r="GK102" i="2"/>
  <c r="GH102" i="2"/>
  <c r="GL102" i="2" s="1"/>
  <c r="FL102" i="2"/>
  <c r="FC102" i="2"/>
  <c r="FW102" i="2"/>
  <c r="FM102" i="2"/>
  <c r="FR102" i="2" s="1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EV102" i="2" s="1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DH102" i="2" s="1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FQ102" i="2" l="1"/>
  <c r="GN102" i="2"/>
  <c r="HG102" i="2"/>
  <c r="GM102" i="2"/>
  <c r="GF3" i="2"/>
  <c r="FK3" i="2"/>
  <c r="EP3" i="2"/>
  <c r="HA3" i="2"/>
  <c r="EX102" i="2"/>
  <c r="HH102" i="2"/>
  <c r="EW102" i="2"/>
  <c r="FS102" i="2"/>
  <c r="EA102" i="2"/>
  <c r="EB102" i="2"/>
  <c r="AU102" i="2"/>
  <c r="DF102" i="2"/>
  <c r="DG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GL103" i="2" s="1"/>
  <c r="FL103" i="2"/>
  <c r="FC103" i="2"/>
  <c r="FW103" i="2"/>
  <c r="FM103" i="2"/>
  <c r="FR103" i="2" s="1"/>
  <c r="EU103" i="2"/>
  <c r="EG103" i="2"/>
  <c r="DW103" i="2"/>
  <c r="DB103" i="2"/>
  <c r="DH103" i="2" s="1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EV103" i="2" s="1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FS103" i="2"/>
  <c r="GM103" i="2"/>
  <c r="EW103" i="2"/>
  <c r="HG103" i="2"/>
  <c r="HH103" i="2"/>
  <c r="GN103" i="2"/>
  <c r="EX103" i="2"/>
  <c r="FQ103" i="2"/>
  <c r="AW103" i="2"/>
  <c r="EB103" i="2"/>
  <c r="EC103" i="2"/>
  <c r="DF103" i="2"/>
  <c r="DG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EB104" i="2" s="1"/>
  <c r="DD104" i="2"/>
  <c r="CH104" i="2"/>
  <c r="BN104" i="2"/>
  <c r="AS104" i="2"/>
  <c r="X104" i="2"/>
  <c r="W104" i="2"/>
  <c r="HC104" i="2"/>
  <c r="HI104" i="2" s="1"/>
  <c r="HF104" i="2"/>
  <c r="GR104" i="2"/>
  <c r="GK104" i="2"/>
  <c r="HB104" i="2"/>
  <c r="GS104" i="2"/>
  <c r="FP104" i="2"/>
  <c r="GG104" i="2"/>
  <c r="FX104" i="2"/>
  <c r="GH104" i="2"/>
  <c r="GL104" i="2" s="1"/>
  <c r="FL104" i="2"/>
  <c r="FC104" i="2"/>
  <c r="FB104" i="2"/>
  <c r="ER104" i="2"/>
  <c r="EV104" i="2" s="1"/>
  <c r="DV104" i="2"/>
  <c r="DM104" i="2"/>
  <c r="DA104" i="2"/>
  <c r="FM104" i="2"/>
  <c r="FR104" i="2" s="1"/>
  <c r="EU104" i="2"/>
  <c r="EG104" i="2"/>
  <c r="DW104" i="2"/>
  <c r="DB104" i="2"/>
  <c r="DH104" i="2" s="1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AU104" i="2" l="1"/>
  <c r="EW104" i="2"/>
  <c r="GM104" i="2"/>
  <c r="FS104" i="2"/>
  <c r="FQ104" i="2"/>
  <c r="EX104" i="2"/>
  <c r="GN104" i="2"/>
  <c r="HH104" i="2"/>
  <c r="HG104" i="2"/>
  <c r="EA104" i="2"/>
  <c r="EC104" i="2"/>
  <c r="DG104" i="2"/>
  <c r="DF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HI105" i="2" s="1"/>
  <c r="FW105" i="2"/>
  <c r="FM105" i="2"/>
  <c r="FR105" i="2" s="1"/>
  <c r="FP105" i="2"/>
  <c r="GG105" i="2"/>
  <c r="FX105" i="2"/>
  <c r="GH105" i="2"/>
  <c r="GL105" i="2" s="1"/>
  <c r="FL105" i="2"/>
  <c r="FC105" i="2"/>
  <c r="EQ105" i="2"/>
  <c r="EH105" i="2"/>
  <c r="CJ105" i="2"/>
  <c r="FB105" i="2"/>
  <c r="ER105" i="2"/>
  <c r="EV105" i="2" s="1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GM105" i="2"/>
  <c r="EW105" i="2"/>
  <c r="HG105" i="2"/>
  <c r="HH105" i="2"/>
  <c r="GN105" i="2"/>
  <c r="EX105" i="2"/>
  <c r="FQ105" i="2"/>
  <c r="EA105" i="2"/>
  <c r="EC105" i="2"/>
  <c r="DH105" i="2"/>
  <c r="DG105" i="2"/>
  <c r="DF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I106" i="2" s="1"/>
  <c r="HF106" i="2"/>
  <c r="HB106" i="2"/>
  <c r="GS106" i="2"/>
  <c r="GR106" i="2"/>
  <c r="GH106" i="2"/>
  <c r="GL106" i="2" s="1"/>
  <c r="FL106" i="2"/>
  <c r="FC106" i="2"/>
  <c r="GK106" i="2"/>
  <c r="FW106" i="2"/>
  <c r="FM106" i="2"/>
  <c r="FR106" i="2" s="1"/>
  <c r="FP106" i="2"/>
  <c r="DZ106" i="2"/>
  <c r="DL106" i="2"/>
  <c r="DE106" i="2"/>
  <c r="EQ106" i="2"/>
  <c r="EH106" i="2"/>
  <c r="CJ106" i="2"/>
  <c r="CR106" i="2"/>
  <c r="FX106" i="2"/>
  <c r="FB106" i="2"/>
  <c r="ER106" i="2"/>
  <c r="EV106" i="2" s="1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W106" i="2"/>
  <c r="AU106" i="2"/>
  <c r="GM106" i="2"/>
  <c r="EC106" i="2"/>
  <c r="FS106" i="2"/>
  <c r="FQ106" i="2"/>
  <c r="EX106" i="2"/>
  <c r="GN106" i="2"/>
  <c r="HH106" i="2"/>
  <c r="EA106" i="2"/>
  <c r="EB106" i="2"/>
  <c r="DH106" i="2"/>
  <c r="DF106" i="2"/>
  <c r="DG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I107" i="2" s="1"/>
  <c r="HF107" i="2"/>
  <c r="GK107" i="2"/>
  <c r="HB107" i="2"/>
  <c r="GS107" i="2"/>
  <c r="GG107" i="2"/>
  <c r="FX107" i="2"/>
  <c r="GH107" i="2"/>
  <c r="GL107" i="2" s="1"/>
  <c r="FL107" i="2"/>
  <c r="FC107" i="2"/>
  <c r="GR107" i="2"/>
  <c r="FW107" i="2"/>
  <c r="FM107" i="2"/>
  <c r="FR107" i="2" s="1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V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GM107" i="2" l="1"/>
  <c r="HH107" i="2"/>
  <c r="EW107" i="2"/>
  <c r="GN107" i="2"/>
  <c r="HG107" i="2"/>
  <c r="EX107" i="2"/>
  <c r="FQ107" i="2"/>
  <c r="FS107" i="2"/>
  <c r="EB107" i="2"/>
  <c r="EC107" i="2"/>
  <c r="DH107" i="2"/>
  <c r="DG107" i="2"/>
  <c r="DF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HI108" i="2" s="1"/>
  <c r="GR108" i="2"/>
  <c r="HF108" i="2"/>
  <c r="GK108" i="2"/>
  <c r="HB108" i="2"/>
  <c r="GS108" i="2"/>
  <c r="FP108" i="2"/>
  <c r="GG108" i="2"/>
  <c r="FX108" i="2"/>
  <c r="GH108" i="2"/>
  <c r="GL108" i="2" s="1"/>
  <c r="FL108" i="2"/>
  <c r="FC108" i="2"/>
  <c r="FW108" i="2"/>
  <c r="FB108" i="2"/>
  <c r="ER108" i="2"/>
  <c r="EV108" i="2" s="1"/>
  <c r="DV108" i="2"/>
  <c r="DM108" i="2"/>
  <c r="DA108" i="2"/>
  <c r="EU108" i="2"/>
  <c r="EG108" i="2"/>
  <c r="DW108" i="2"/>
  <c r="DB108" i="2"/>
  <c r="FM108" i="2"/>
  <c r="FR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GN108" i="2" l="1"/>
  <c r="EW108" i="2"/>
  <c r="HH108" i="2"/>
  <c r="HH109" i="2" s="1"/>
  <c r="GM108" i="2"/>
  <c r="GM109" i="2" s="1"/>
  <c r="FS108" i="2"/>
  <c r="FQ108" i="2"/>
  <c r="EX108" i="2"/>
  <c r="HG108" i="2"/>
  <c r="EB108" i="2"/>
  <c r="EC108" i="2"/>
  <c r="EA108" i="2"/>
  <c r="DH108" i="2"/>
  <c r="DG108" i="2"/>
  <c r="DF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HI109" i="2" s="1"/>
  <c r="GR109" i="2"/>
  <c r="GK109" i="2"/>
  <c r="HB109" i="2"/>
  <c r="GS109" i="2"/>
  <c r="FW109" i="2"/>
  <c r="FM109" i="2"/>
  <c r="FR109" i="2" s="1"/>
  <c r="FP109" i="2"/>
  <c r="GG109" i="2"/>
  <c r="FX109" i="2"/>
  <c r="EQ109" i="2"/>
  <c r="EH109" i="2"/>
  <c r="CJ109" i="2"/>
  <c r="GH109" i="2"/>
  <c r="GL109" i="2" s="1"/>
  <c r="FL109" i="2"/>
  <c r="FC109" i="2"/>
  <c r="FB109" i="2"/>
  <c r="ER109" i="2"/>
  <c r="EV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W109" i="2" l="1"/>
  <c r="GN109" i="2"/>
  <c r="GM110" i="2"/>
  <c r="HH110" i="2"/>
  <c r="HG109" i="2"/>
  <c r="EX109" i="2"/>
  <c r="FQ109" i="2"/>
  <c r="FS109" i="2"/>
  <c r="EC109" i="2"/>
  <c r="EA109" i="2"/>
  <c r="EB109" i="2"/>
  <c r="DH109" i="2"/>
  <c r="DG109" i="2"/>
  <c r="DF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I110" i="2" s="1"/>
  <c r="HF110" i="2"/>
  <c r="HB110" i="2"/>
  <c r="GS110" i="2"/>
  <c r="GR110" i="2"/>
  <c r="GH110" i="2"/>
  <c r="GL110" i="2" s="1"/>
  <c r="FL110" i="2"/>
  <c r="FC110" i="2"/>
  <c r="FW110" i="2"/>
  <c r="FM110" i="2"/>
  <c r="FR110" i="2" s="1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EV110" i="2" s="1"/>
  <c r="DV110" i="2"/>
  <c r="DM110" i="2"/>
  <c r="DA110" i="2"/>
  <c r="FX110" i="2"/>
  <c r="DW110" i="2"/>
  <c r="EC110" i="2" s="1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1" i="2" l="1"/>
  <c r="GN110" i="2"/>
  <c r="EW110" i="2"/>
  <c r="EW111" i="2" s="1"/>
  <c r="FS110" i="2"/>
  <c r="FQ110" i="2"/>
  <c r="EX110" i="2"/>
  <c r="HG110" i="2"/>
  <c r="HG111" i="2" s="1"/>
  <c r="EA110" i="2"/>
  <c r="EB110" i="2"/>
  <c r="DH110" i="2"/>
  <c r="DF110" i="2"/>
  <c r="DG110" i="2"/>
  <c r="AU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H111" i="2" s="1"/>
  <c r="HF111" i="2"/>
  <c r="GK111" i="2"/>
  <c r="HB111" i="2"/>
  <c r="GS111" i="2"/>
  <c r="GG111" i="2"/>
  <c r="FX111" i="2"/>
  <c r="GH111" i="2"/>
  <c r="GL111" i="2" s="1"/>
  <c r="FL111" i="2"/>
  <c r="FC111" i="2"/>
  <c r="FW111" i="2"/>
  <c r="FM111" i="2"/>
  <c r="FR111" i="2" s="1"/>
  <c r="FP111" i="2"/>
  <c r="EU111" i="2"/>
  <c r="EG111" i="2"/>
  <c r="DW111" i="2"/>
  <c r="EC111" i="2" s="1"/>
  <c r="DB111" i="2"/>
  <c r="DZ111" i="2"/>
  <c r="DL111" i="2"/>
  <c r="DE111" i="2"/>
  <c r="GR111" i="2"/>
  <c r="EQ111" i="2"/>
  <c r="EH111" i="2"/>
  <c r="CJ111" i="2"/>
  <c r="CR111" i="2"/>
  <c r="FB111" i="2"/>
  <c r="ER111" i="2"/>
  <c r="EV111" i="2" s="1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GN111" i="2" l="1"/>
  <c r="GM111" i="2"/>
  <c r="HI112" i="2"/>
  <c r="EX111" i="2"/>
  <c r="FQ111" i="2"/>
  <c r="FS111" i="2"/>
  <c r="EA111" i="2"/>
  <c r="EB111" i="2"/>
  <c r="AW111" i="2"/>
  <c r="DH111" i="2"/>
  <c r="DG111" i="2"/>
  <c r="DF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H112" i="2" s="1"/>
  <c r="GR112" i="2"/>
  <c r="GK112" i="2"/>
  <c r="HF112" i="2"/>
  <c r="HB112" i="2"/>
  <c r="GS112" i="2"/>
  <c r="FP112" i="2"/>
  <c r="GG112" i="2"/>
  <c r="FX112" i="2"/>
  <c r="GH112" i="2"/>
  <c r="GL112" i="2" s="1"/>
  <c r="FL112" i="2"/>
  <c r="FC112" i="2"/>
  <c r="FB112" i="2"/>
  <c r="ER112" i="2"/>
  <c r="EV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FR112" i="2" s="1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GM112" i="2" l="1"/>
  <c r="GN112" i="2"/>
  <c r="HI113" i="2"/>
  <c r="EW112" i="2"/>
  <c r="EW113" i="2" s="1"/>
  <c r="FS112" i="2"/>
  <c r="FQ112" i="2"/>
  <c r="HG112" i="2"/>
  <c r="EX112" i="2"/>
  <c r="EC112" i="2"/>
  <c r="EA112" i="2"/>
  <c r="EB112" i="2"/>
  <c r="DH112" i="2"/>
  <c r="DG112" i="2"/>
  <c r="DF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H113" i="2" s="1"/>
  <c r="GR113" i="2"/>
  <c r="GK113" i="2"/>
  <c r="FW113" i="2"/>
  <c r="FM113" i="2"/>
  <c r="FR113" i="2" s="1"/>
  <c r="HB113" i="2"/>
  <c r="GS113" i="2"/>
  <c r="FP113" i="2"/>
  <c r="GG113" i="2"/>
  <c r="FX113" i="2"/>
  <c r="EQ113" i="2"/>
  <c r="EH113" i="2"/>
  <c r="CJ113" i="2"/>
  <c r="FB113" i="2"/>
  <c r="ER113" i="2"/>
  <c r="EV113" i="2" s="1"/>
  <c r="DV113" i="2"/>
  <c r="DM113" i="2"/>
  <c r="DA113" i="2"/>
  <c r="GH113" i="2"/>
  <c r="GL113" i="2" s="1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V114" i="2" l="1"/>
  <c r="AW113" i="2"/>
  <c r="GN113" i="2"/>
  <c r="GM113" i="2"/>
  <c r="HI114" i="2"/>
  <c r="EX113" i="2"/>
  <c r="HG113" i="2"/>
  <c r="FQ113" i="2"/>
  <c r="FS113" i="2"/>
  <c r="EA113" i="2"/>
  <c r="EB113" i="2"/>
  <c r="DH113" i="2"/>
  <c r="DG113" i="2"/>
  <c r="DF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H114" i="2" s="1"/>
  <c r="HF114" i="2"/>
  <c r="HB114" i="2"/>
  <c r="GS114" i="2"/>
  <c r="GR114" i="2"/>
  <c r="GH114" i="2"/>
  <c r="GL114" i="2" s="1"/>
  <c r="FL114" i="2"/>
  <c r="FC114" i="2"/>
  <c r="FW114" i="2"/>
  <c r="FM114" i="2"/>
  <c r="FR114" i="2" s="1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EW114" i="2" s="1"/>
  <c r="DV114" i="2"/>
  <c r="DM114" i="2"/>
  <c r="DA114" i="2"/>
  <c r="EU114" i="2"/>
  <c r="DW114" i="2"/>
  <c r="EC114" i="2" s="1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GM114" i="2" l="1"/>
  <c r="GN114" i="2"/>
  <c r="AU114" i="2"/>
  <c r="FS114" i="2"/>
  <c r="FQ114" i="2"/>
  <c r="HG114" i="2"/>
  <c r="EX114" i="2"/>
  <c r="EA114" i="2"/>
  <c r="EB114" i="2"/>
  <c r="DH114" i="2"/>
  <c r="DG114" i="2"/>
  <c r="DF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H115" i="2" s="1"/>
  <c r="HF115" i="2"/>
  <c r="GK115" i="2"/>
  <c r="HB115" i="2"/>
  <c r="GS115" i="2"/>
  <c r="GR115" i="2"/>
  <c r="GG115" i="2"/>
  <c r="FX115" i="2"/>
  <c r="GH115" i="2"/>
  <c r="GL115" i="2" s="1"/>
  <c r="FL115" i="2"/>
  <c r="FC115" i="2"/>
  <c r="FW115" i="2"/>
  <c r="FM115" i="2"/>
  <c r="FR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W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GN115" i="2"/>
  <c r="EX115" i="2"/>
  <c r="GM115" i="2"/>
  <c r="GM116" i="2" s="1"/>
  <c r="HG115" i="2"/>
  <c r="EV115" i="2"/>
  <c r="FQ115" i="2"/>
  <c r="FS115" i="2"/>
  <c r="EC115" i="2"/>
  <c r="EA115" i="2"/>
  <c r="EB115" i="2"/>
  <c r="AW115" i="2"/>
  <c r="DH115" i="2"/>
  <c r="DG115" i="2"/>
  <c r="DF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HH116" i="2" s="1"/>
  <c r="GR116" i="2"/>
  <c r="GK116" i="2"/>
  <c r="HB116" i="2"/>
  <c r="GS116" i="2"/>
  <c r="FP116" i="2"/>
  <c r="GG116" i="2"/>
  <c r="FX116" i="2"/>
  <c r="HF116" i="2"/>
  <c r="GH116" i="2"/>
  <c r="GL116" i="2" s="1"/>
  <c r="FL116" i="2"/>
  <c r="FC116" i="2"/>
  <c r="FM116" i="2"/>
  <c r="FR116" i="2" s="1"/>
  <c r="FB116" i="2"/>
  <c r="ER116" i="2"/>
  <c r="EW116" i="2" s="1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GN116" i="2" l="1"/>
  <c r="HI116" i="2"/>
  <c r="FS116" i="2"/>
  <c r="EX116" i="2"/>
  <c r="FQ116" i="2"/>
  <c r="EV116" i="2"/>
  <c r="HG116" i="2"/>
  <c r="EC116" i="2"/>
  <c r="EA116" i="2"/>
  <c r="EB116" i="2"/>
  <c r="DH116" i="2"/>
  <c r="DG116" i="2"/>
  <c r="DF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H117" i="2" s="1"/>
  <c r="GK117" i="2"/>
  <c r="FW117" i="2"/>
  <c r="FM117" i="2"/>
  <c r="FR117" i="2" s="1"/>
  <c r="FP117" i="2"/>
  <c r="HB117" i="2"/>
  <c r="GS117" i="2"/>
  <c r="GG117" i="2"/>
  <c r="FX117" i="2"/>
  <c r="EQ117" i="2"/>
  <c r="EH117" i="2"/>
  <c r="CJ117" i="2"/>
  <c r="FB117" i="2"/>
  <c r="ER117" i="2"/>
  <c r="EW117" i="2" s="1"/>
  <c r="DV117" i="2"/>
  <c r="DM117" i="2"/>
  <c r="DA117" i="2"/>
  <c r="EU117" i="2"/>
  <c r="EG117" i="2"/>
  <c r="DW117" i="2"/>
  <c r="DB117" i="2"/>
  <c r="GH117" i="2"/>
  <c r="GL117" i="2" s="1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FS117" i="2" l="1"/>
  <c r="GM117" i="2"/>
  <c r="HI117" i="2"/>
  <c r="GN117" i="2"/>
  <c r="HG117" i="2"/>
  <c r="EV117" i="2"/>
  <c r="FQ117" i="2"/>
  <c r="EX117" i="2"/>
  <c r="EC117" i="2"/>
  <c r="EB117" i="2"/>
  <c r="EA117" i="2"/>
  <c r="DH117" i="2"/>
  <c r="DF117" i="2"/>
  <c r="DG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H118" i="2" s="1"/>
  <c r="HF118" i="2"/>
  <c r="HB118" i="2"/>
  <c r="GS118" i="2"/>
  <c r="GR118" i="2"/>
  <c r="GK118" i="2"/>
  <c r="GH118" i="2"/>
  <c r="GL118" i="2" s="1"/>
  <c r="FL118" i="2"/>
  <c r="FC118" i="2"/>
  <c r="FW118" i="2"/>
  <c r="FM118" i="2"/>
  <c r="FR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W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GN118" i="2" l="1"/>
  <c r="HI118" i="2"/>
  <c r="GM118" i="2"/>
  <c r="FS118" i="2"/>
  <c r="EX118" i="2"/>
  <c r="FQ118" i="2"/>
  <c r="EV118" i="2"/>
  <c r="HG118" i="2"/>
  <c r="EB118" i="2"/>
  <c r="EA118" i="2"/>
  <c r="DH118" i="2"/>
  <c r="DF118" i="2"/>
  <c r="DG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H119" i="2" s="1"/>
  <c r="HF119" i="2"/>
  <c r="GK119" i="2"/>
  <c r="HB119" i="2"/>
  <c r="GS119" i="2"/>
  <c r="GG119" i="2"/>
  <c r="FX119" i="2"/>
  <c r="GR119" i="2"/>
  <c r="GH119" i="2"/>
  <c r="GL119" i="2" s="1"/>
  <c r="FL119" i="2"/>
  <c r="FC119" i="2"/>
  <c r="FW119" i="2"/>
  <c r="FM119" i="2"/>
  <c r="FR119" i="2" s="1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W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S119" i="2" l="1"/>
  <c r="GM119" i="2"/>
  <c r="HI119" i="2"/>
  <c r="GN119" i="2"/>
  <c r="HG119" i="2"/>
  <c r="EV119" i="2"/>
  <c r="FQ119" i="2"/>
  <c r="EX119" i="2"/>
  <c r="DH119" i="2"/>
  <c r="EC119" i="2"/>
  <c r="EA119" i="2"/>
  <c r="EB119" i="2"/>
  <c r="DG119" i="2"/>
  <c r="DF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H120" i="2" s="1"/>
  <c r="HF120" i="2"/>
  <c r="GR120" i="2"/>
  <c r="GK120" i="2"/>
  <c r="HB120" i="2"/>
  <c r="GS120" i="2"/>
  <c r="FP120" i="2"/>
  <c r="GG120" i="2"/>
  <c r="FX120" i="2"/>
  <c r="GH120" i="2"/>
  <c r="GL120" i="2" s="1"/>
  <c r="FL120" i="2"/>
  <c r="FC120" i="2"/>
  <c r="FB120" i="2"/>
  <c r="ER120" i="2"/>
  <c r="EW120" i="2" s="1"/>
  <c r="DV120" i="2"/>
  <c r="DM120" i="2"/>
  <c r="DA120" i="2"/>
  <c r="FM120" i="2"/>
  <c r="FR120" i="2" s="1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GN120" i="2" l="1"/>
  <c r="HI120" i="2"/>
  <c r="AU120" i="2"/>
  <c r="GM120" i="2"/>
  <c r="FS120" i="2"/>
  <c r="EX120" i="2"/>
  <c r="FQ120" i="2"/>
  <c r="EV120" i="2"/>
  <c r="HG120" i="2"/>
  <c r="EC120" i="2"/>
  <c r="EB120" i="2"/>
  <c r="EA120" i="2"/>
  <c r="DH120" i="2"/>
  <c r="DG120" i="2"/>
  <c r="DF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FR121" i="2" s="1"/>
  <c r="HC121" i="2"/>
  <c r="HH121" i="2" s="1"/>
  <c r="FP121" i="2"/>
  <c r="GG121" i="2"/>
  <c r="FX121" i="2"/>
  <c r="HB121" i="2"/>
  <c r="GS121" i="2"/>
  <c r="GH121" i="2"/>
  <c r="GL121" i="2" s="1"/>
  <c r="FL121" i="2"/>
  <c r="FC121" i="2"/>
  <c r="EQ121" i="2"/>
  <c r="EH121" i="2"/>
  <c r="CJ121" i="2"/>
  <c r="FB121" i="2"/>
  <c r="ER121" i="2"/>
  <c r="EW121" i="2" s="1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GM121" i="2" l="1"/>
  <c r="AW121" i="2"/>
  <c r="HI121" i="2"/>
  <c r="EC121" i="2"/>
  <c r="HG121" i="2"/>
  <c r="GN121" i="2"/>
  <c r="EV121" i="2"/>
  <c r="FQ121" i="2"/>
  <c r="EX121" i="2"/>
  <c r="FS121" i="2"/>
  <c r="EA121" i="2"/>
  <c r="EB121" i="2"/>
  <c r="DH121" i="2"/>
  <c r="DF121" i="2"/>
  <c r="DG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H122" i="2" s="1"/>
  <c r="HF122" i="2"/>
  <c r="HB122" i="2"/>
  <c r="GS122" i="2"/>
  <c r="GR122" i="2"/>
  <c r="GH122" i="2"/>
  <c r="GL122" i="2" s="1"/>
  <c r="FL122" i="2"/>
  <c r="FC122" i="2"/>
  <c r="GK122" i="2"/>
  <c r="FW122" i="2"/>
  <c r="FM122" i="2"/>
  <c r="FR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EW122" i="2" s="1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AU122" i="2"/>
  <c r="FS122" i="2"/>
  <c r="EX122" i="2"/>
  <c r="GM122" i="2"/>
  <c r="FQ122" i="2"/>
  <c r="EV122" i="2"/>
  <c r="GN122" i="2"/>
  <c r="HG122" i="2"/>
  <c r="EC122" i="2"/>
  <c r="EB122" i="2"/>
  <c r="EA122" i="2"/>
  <c r="DH122" i="2"/>
  <c r="DG122" i="2"/>
  <c r="DF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H123" i="2" s="1"/>
  <c r="HF123" i="2"/>
  <c r="GK123" i="2"/>
  <c r="HB123" i="2"/>
  <c r="GS123" i="2"/>
  <c r="GG123" i="2"/>
  <c r="FX123" i="2"/>
  <c r="GH123" i="2"/>
  <c r="GL123" i="2" s="1"/>
  <c r="FL123" i="2"/>
  <c r="FC123" i="2"/>
  <c r="GR123" i="2"/>
  <c r="FW123" i="2"/>
  <c r="FM123" i="2"/>
  <c r="FR123" i="2" s="1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EW123" i="2" s="1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EX123" i="2" l="1"/>
  <c r="FS123" i="2"/>
  <c r="HG123" i="2"/>
  <c r="HI123" i="2"/>
  <c r="GN123" i="2"/>
  <c r="EV123" i="2"/>
  <c r="FQ123" i="2"/>
  <c r="GM123" i="2"/>
  <c r="EC123" i="2"/>
  <c r="EA123" i="2"/>
  <c r="EB123" i="2"/>
  <c r="DH123" i="2"/>
  <c r="DG123" i="2"/>
  <c r="DF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HH124" i="2" s="1"/>
  <c r="GR124" i="2"/>
  <c r="HF124" i="2"/>
  <c r="GK124" i="2"/>
  <c r="HB124" i="2"/>
  <c r="GS124" i="2"/>
  <c r="FP124" i="2"/>
  <c r="GG124" i="2"/>
  <c r="FX124" i="2"/>
  <c r="GH124" i="2"/>
  <c r="GL124" i="2" s="1"/>
  <c r="FL124" i="2"/>
  <c r="FC124" i="2"/>
  <c r="FW124" i="2"/>
  <c r="FB124" i="2"/>
  <c r="ER124" i="2"/>
  <c r="EW124" i="2" s="1"/>
  <c r="DV124" i="2"/>
  <c r="DM124" i="2"/>
  <c r="DA124" i="2"/>
  <c r="EU124" i="2"/>
  <c r="EG124" i="2"/>
  <c r="DW124" i="2"/>
  <c r="DB124" i="2"/>
  <c r="FM124" i="2"/>
  <c r="FR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I124" i="2" l="1"/>
  <c r="HG124" i="2"/>
  <c r="FS124" i="2"/>
  <c r="EX124" i="2"/>
  <c r="GM124" i="2"/>
  <c r="FQ124" i="2"/>
  <c r="EV124" i="2"/>
  <c r="GN124" i="2"/>
  <c r="EA124" i="2"/>
  <c r="EC124" i="2"/>
  <c r="EB124" i="2"/>
  <c r="DH124" i="2"/>
  <c r="DF124" i="2"/>
  <c r="DG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H125" i="2" s="1"/>
  <c r="GR125" i="2"/>
  <c r="GK125" i="2"/>
  <c r="HB125" i="2"/>
  <c r="GS125" i="2"/>
  <c r="FW125" i="2"/>
  <c r="FM125" i="2"/>
  <c r="FR125" i="2" s="1"/>
  <c r="FP125" i="2"/>
  <c r="GG125" i="2"/>
  <c r="FX125" i="2"/>
  <c r="EQ125" i="2"/>
  <c r="EH125" i="2"/>
  <c r="CJ125" i="2"/>
  <c r="GH125" i="2"/>
  <c r="GL125" i="2" s="1"/>
  <c r="FL125" i="2"/>
  <c r="FC125" i="2"/>
  <c r="FB125" i="2"/>
  <c r="ER125" i="2"/>
  <c r="EW125" i="2" s="1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X125" i="2" l="1"/>
  <c r="FS125" i="2"/>
  <c r="HG125" i="2"/>
  <c r="HI125" i="2"/>
  <c r="GN125" i="2"/>
  <c r="EV125" i="2"/>
  <c r="FQ125" i="2"/>
  <c r="GM125" i="2"/>
  <c r="EB125" i="2"/>
  <c r="EA125" i="2"/>
  <c r="DH125" i="2"/>
  <c r="DG125" i="2"/>
  <c r="DF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H126" i="2" s="1"/>
  <c r="HF126" i="2"/>
  <c r="HB126" i="2"/>
  <c r="GS126" i="2"/>
  <c r="GR126" i="2"/>
  <c r="GH126" i="2"/>
  <c r="GL126" i="2" s="1"/>
  <c r="FL126" i="2"/>
  <c r="FC126" i="2"/>
  <c r="FW126" i="2"/>
  <c r="FM126" i="2"/>
  <c r="FR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EW126" i="2" s="1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HG126" i="2"/>
  <c r="EB126" i="2"/>
  <c r="FS126" i="2"/>
  <c r="EX126" i="2"/>
  <c r="GM126" i="2"/>
  <c r="FQ126" i="2"/>
  <c r="EV126" i="2"/>
  <c r="GN126" i="2"/>
  <c r="EA126" i="2"/>
  <c r="EC126" i="2"/>
  <c r="DH126" i="2"/>
  <c r="DG126" i="2"/>
  <c r="DF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H127" i="2" s="1"/>
  <c r="HF127" i="2"/>
  <c r="GK127" i="2"/>
  <c r="HB127" i="2"/>
  <c r="GS127" i="2"/>
  <c r="GG127" i="2"/>
  <c r="FX127" i="2"/>
  <c r="GH127" i="2"/>
  <c r="GL127" i="2" s="1"/>
  <c r="FL127" i="2"/>
  <c r="FC127" i="2"/>
  <c r="FW127" i="2"/>
  <c r="FM127" i="2"/>
  <c r="FR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EW127" i="2" s="1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G127" i="2"/>
  <c r="GN127" i="2"/>
  <c r="HI127" i="2"/>
  <c r="EV127" i="2"/>
  <c r="FQ127" i="2"/>
  <c r="GM127" i="2"/>
  <c r="EX127" i="2"/>
  <c r="EC127" i="2"/>
  <c r="EA127" i="2"/>
  <c r="EB127" i="2"/>
  <c r="DH127" i="2"/>
  <c r="DG127" i="2"/>
  <c r="DF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HH128" i="2" s="1"/>
  <c r="GR128" i="2"/>
  <c r="GK128" i="2"/>
  <c r="HF128" i="2"/>
  <c r="HB128" i="2"/>
  <c r="GS128" i="2"/>
  <c r="FP128" i="2"/>
  <c r="GG128" i="2"/>
  <c r="FX128" i="2"/>
  <c r="GH128" i="2"/>
  <c r="GL128" i="2" s="1"/>
  <c r="FL128" i="2"/>
  <c r="FC128" i="2"/>
  <c r="FB128" i="2"/>
  <c r="ER128" i="2"/>
  <c r="EW128" i="2" s="1"/>
  <c r="DV128" i="2"/>
  <c r="DM128" i="2"/>
  <c r="DA128" i="2"/>
  <c r="FW128" i="2"/>
  <c r="EU128" i="2"/>
  <c r="EG128" i="2"/>
  <c r="DW128" i="2"/>
  <c r="DB128" i="2"/>
  <c r="DH128" i="2" s="1"/>
  <c r="DZ128" i="2"/>
  <c r="DL128" i="2"/>
  <c r="DE128" i="2"/>
  <c r="FM128" i="2"/>
  <c r="FR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GN128" i="2"/>
  <c r="HG128" i="2"/>
  <c r="FS128" i="2"/>
  <c r="EX128" i="2"/>
  <c r="GM128" i="2"/>
  <c r="FQ128" i="2"/>
  <c r="EV128" i="2"/>
  <c r="EB128" i="2"/>
  <c r="EA128" i="2"/>
  <c r="EC128" i="2"/>
  <c r="DF128" i="2"/>
  <c r="DG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H129" i="2" s="1"/>
  <c r="GR129" i="2"/>
  <c r="GK129" i="2"/>
  <c r="FW129" i="2"/>
  <c r="FM129" i="2"/>
  <c r="FR129" i="2" s="1"/>
  <c r="HB129" i="2"/>
  <c r="GS129" i="2"/>
  <c r="FP129" i="2"/>
  <c r="GG129" i="2"/>
  <c r="FX129" i="2"/>
  <c r="EQ129" i="2"/>
  <c r="EH129" i="2"/>
  <c r="CJ129" i="2"/>
  <c r="FB129" i="2"/>
  <c r="ER129" i="2"/>
  <c r="EW129" i="2" s="1"/>
  <c r="DV129" i="2"/>
  <c r="DM129" i="2"/>
  <c r="DA129" i="2"/>
  <c r="GH129" i="2"/>
  <c r="GL129" i="2" s="1"/>
  <c r="FL129" i="2"/>
  <c r="FC129" i="2"/>
  <c r="EU129" i="2"/>
  <c r="EG129" i="2"/>
  <c r="DW129" i="2"/>
  <c r="DB129" i="2"/>
  <c r="DH129" i="2" s="1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FS129" i="2" l="1"/>
  <c r="HG129" i="2"/>
  <c r="GN129" i="2"/>
  <c r="EC129" i="2"/>
  <c r="HI129" i="2"/>
  <c r="EV129" i="2"/>
  <c r="FQ129" i="2"/>
  <c r="GM129" i="2"/>
  <c r="EX129" i="2"/>
  <c r="EB129" i="2"/>
  <c r="EA129" i="2"/>
  <c r="DF129" i="2"/>
  <c r="DG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H130" i="2" s="1"/>
  <c r="HF130" i="2"/>
  <c r="HB130" i="2"/>
  <c r="GS130" i="2"/>
  <c r="GR130" i="2"/>
  <c r="GH130" i="2"/>
  <c r="GL130" i="2" s="1"/>
  <c r="FL130" i="2"/>
  <c r="FC130" i="2"/>
  <c r="FW130" i="2"/>
  <c r="FM130" i="2"/>
  <c r="FR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W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GN130" i="2" l="1"/>
  <c r="HG130" i="2"/>
  <c r="EX130" i="2"/>
  <c r="FS130" i="2"/>
  <c r="GM130" i="2"/>
  <c r="EB130" i="2"/>
  <c r="FQ130" i="2"/>
  <c r="EV130" i="2"/>
  <c r="EA130" i="2"/>
  <c r="HI130" i="2"/>
  <c r="DH130" i="2"/>
  <c r="EC130" i="2"/>
  <c r="DF130" i="2"/>
  <c r="DG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H131" i="2" s="1"/>
  <c r="HF131" i="2"/>
  <c r="GK131" i="2"/>
  <c r="HB131" i="2"/>
  <c r="GS131" i="2"/>
  <c r="GR131" i="2"/>
  <c r="GG131" i="2"/>
  <c r="FX131" i="2"/>
  <c r="GH131" i="2"/>
  <c r="GL131" i="2" s="1"/>
  <c r="FL131" i="2"/>
  <c r="FC131" i="2"/>
  <c r="FW131" i="2"/>
  <c r="FM131" i="2"/>
  <c r="FR131" i="2" s="1"/>
  <c r="EU131" i="2"/>
  <c r="EG131" i="2"/>
  <c r="DW131" i="2"/>
  <c r="DB131" i="2"/>
  <c r="DH131" i="2" s="1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EW131" i="2" s="1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FS131" i="2" l="1"/>
  <c r="EX131" i="2"/>
  <c r="EA131" i="2"/>
  <c r="HI131" i="2"/>
  <c r="HG131" i="2"/>
  <c r="GN131" i="2"/>
  <c r="EB131" i="2"/>
  <c r="EV131" i="2"/>
  <c r="FQ131" i="2"/>
  <c r="GM131" i="2"/>
  <c r="EC131" i="2"/>
  <c r="DF131" i="2"/>
  <c r="DG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HH132" i="2" s="1"/>
  <c r="GR132" i="2"/>
  <c r="GK132" i="2"/>
  <c r="HB132" i="2"/>
  <c r="GS132" i="2"/>
  <c r="FP132" i="2"/>
  <c r="GG132" i="2"/>
  <c r="FX132" i="2"/>
  <c r="GH132" i="2"/>
  <c r="GL132" i="2" s="1"/>
  <c r="FL132" i="2"/>
  <c r="FC132" i="2"/>
  <c r="FM132" i="2"/>
  <c r="FR132" i="2" s="1"/>
  <c r="FB132" i="2"/>
  <c r="ER132" i="2"/>
  <c r="EW132" i="2" s="1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GM132" i="2"/>
  <c r="EX132" i="2"/>
  <c r="FQ132" i="2"/>
  <c r="FS132" i="2"/>
  <c r="EC132" i="2"/>
  <c r="EB132" i="2"/>
  <c r="EV132" i="2"/>
  <c r="GN132" i="2"/>
  <c r="HG132" i="2"/>
  <c r="EA132" i="2"/>
  <c r="DH132" i="2"/>
  <c r="DF132" i="2"/>
  <c r="DG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HH133" i="2" s="1"/>
  <c r="GK133" i="2"/>
  <c r="FW133" i="2"/>
  <c r="FM133" i="2"/>
  <c r="FR133" i="2" s="1"/>
  <c r="FP133" i="2"/>
  <c r="HB133" i="2"/>
  <c r="GS133" i="2"/>
  <c r="GG133" i="2"/>
  <c r="FX133" i="2"/>
  <c r="EQ133" i="2"/>
  <c r="EH133" i="2"/>
  <c r="CJ133" i="2"/>
  <c r="FB133" i="2"/>
  <c r="ER133" i="2"/>
  <c r="EW133" i="2" s="1"/>
  <c r="DV133" i="2"/>
  <c r="DM133" i="2"/>
  <c r="DA133" i="2"/>
  <c r="EU133" i="2"/>
  <c r="EG133" i="2"/>
  <c r="DW133" i="2"/>
  <c r="DB133" i="2"/>
  <c r="GH133" i="2"/>
  <c r="GL133" i="2" s="1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FQ133" i="2" l="1"/>
  <c r="EX133" i="2"/>
  <c r="HG133" i="2"/>
  <c r="GM133" i="2"/>
  <c r="GN133" i="2"/>
  <c r="HI133" i="2"/>
  <c r="EV133" i="2"/>
  <c r="FS133" i="2"/>
  <c r="DH133" i="2"/>
  <c r="EC133" i="2"/>
  <c r="EA133" i="2"/>
  <c r="EB133" i="2"/>
  <c r="DF133" i="2"/>
  <c r="DG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H134" i="2" s="1"/>
  <c r="HF134" i="2"/>
  <c r="HB134" i="2"/>
  <c r="GS134" i="2"/>
  <c r="GR134" i="2"/>
  <c r="GK134" i="2"/>
  <c r="GH134" i="2"/>
  <c r="GL134" i="2" s="1"/>
  <c r="FL134" i="2"/>
  <c r="FC134" i="2"/>
  <c r="FW134" i="2"/>
  <c r="FM134" i="2"/>
  <c r="FR134" i="2" s="1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EW134" i="2" s="1"/>
  <c r="DV134" i="2"/>
  <c r="DM134" i="2"/>
  <c r="DA134" i="2"/>
  <c r="EG134" i="2"/>
  <c r="EU134" i="2"/>
  <c r="DW134" i="2"/>
  <c r="EC134" i="2" s="1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GM134" i="2" l="1"/>
  <c r="HG134" i="2"/>
  <c r="EX134" i="2"/>
  <c r="FQ134" i="2"/>
  <c r="FS134" i="2"/>
  <c r="EV134" i="2"/>
  <c r="HI134" i="2"/>
  <c r="GN134" i="2"/>
  <c r="EB134" i="2"/>
  <c r="EA134" i="2"/>
  <c r="DH134" i="2"/>
  <c r="DG134" i="2"/>
  <c r="DF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H135" i="2" s="1"/>
  <c r="HF135" i="2"/>
  <c r="GK135" i="2"/>
  <c r="HB135" i="2"/>
  <c r="GS135" i="2"/>
  <c r="GG135" i="2"/>
  <c r="FX135" i="2"/>
  <c r="GR135" i="2"/>
  <c r="GH135" i="2"/>
  <c r="GL135" i="2" s="1"/>
  <c r="FL135" i="2"/>
  <c r="FC135" i="2"/>
  <c r="FW135" i="2"/>
  <c r="FM135" i="2"/>
  <c r="FR135" i="2" s="1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W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FQ135" i="2" l="1"/>
  <c r="EX135" i="2"/>
  <c r="HG135" i="2"/>
  <c r="GM135" i="2"/>
  <c r="EC135" i="2"/>
  <c r="GN135" i="2"/>
  <c r="HI135" i="2"/>
  <c r="EV135" i="2"/>
  <c r="FS135" i="2"/>
  <c r="EA135" i="2"/>
  <c r="EB135" i="2"/>
  <c r="DH135" i="2"/>
  <c r="DG135" i="2"/>
  <c r="DF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H136" i="2" s="1"/>
  <c r="HF136" i="2"/>
  <c r="GR136" i="2"/>
  <c r="GK136" i="2"/>
  <c r="HB136" i="2"/>
  <c r="GS136" i="2"/>
  <c r="FP136" i="2"/>
  <c r="GG136" i="2"/>
  <c r="FX136" i="2"/>
  <c r="GH136" i="2"/>
  <c r="GL136" i="2" s="1"/>
  <c r="FL136" i="2"/>
  <c r="FC136" i="2"/>
  <c r="FB136" i="2"/>
  <c r="ER136" i="2"/>
  <c r="EW136" i="2" s="1"/>
  <c r="DV136" i="2"/>
  <c r="DM136" i="2"/>
  <c r="DA136" i="2"/>
  <c r="FM136" i="2"/>
  <c r="FR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GM136" i="2" l="1"/>
  <c r="HG136" i="2"/>
  <c r="EX136" i="2"/>
  <c r="FS136" i="2"/>
  <c r="FQ136" i="2"/>
  <c r="EV136" i="2"/>
  <c r="HI136" i="2"/>
  <c r="GN136" i="2"/>
  <c r="EC136" i="2"/>
  <c r="EB136" i="2"/>
  <c r="EA136" i="2"/>
  <c r="DH136" i="2"/>
  <c r="DF136" i="2"/>
  <c r="DG136" i="2"/>
  <c r="AU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R137" i="2" s="1"/>
  <c r="FP137" i="2"/>
  <c r="HC137" i="2"/>
  <c r="HH137" i="2" s="1"/>
  <c r="GG137" i="2"/>
  <c r="FX137" i="2"/>
  <c r="GH137" i="2"/>
  <c r="GL137" i="2" s="1"/>
  <c r="FL137" i="2"/>
  <c r="FC137" i="2"/>
  <c r="EQ137" i="2"/>
  <c r="EH137" i="2"/>
  <c r="CJ137" i="2"/>
  <c r="HB137" i="2"/>
  <c r="GS137" i="2"/>
  <c r="FB137" i="2"/>
  <c r="ER137" i="2"/>
  <c r="EW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X137" i="2"/>
  <c r="HG137" i="2"/>
  <c r="GM137" i="2"/>
  <c r="GN137" i="2"/>
  <c r="HI137" i="2"/>
  <c r="EV137" i="2"/>
  <c r="FQ137" i="2"/>
  <c r="EC137" i="2"/>
  <c r="EA137" i="2"/>
  <c r="EB137" i="2"/>
  <c r="DH137" i="2"/>
  <c r="DF137" i="2"/>
  <c r="DG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H138" i="2" s="1"/>
  <c r="HF138" i="2"/>
  <c r="HB138" i="2"/>
  <c r="GS138" i="2"/>
  <c r="GR138" i="2"/>
  <c r="GH138" i="2"/>
  <c r="GL138" i="2" s="1"/>
  <c r="FL138" i="2"/>
  <c r="FC138" i="2"/>
  <c r="GK138" i="2"/>
  <c r="FW138" i="2"/>
  <c r="FM138" i="2"/>
  <c r="FR138" i="2" s="1"/>
  <c r="FP138" i="2"/>
  <c r="DZ138" i="2"/>
  <c r="DL138" i="2"/>
  <c r="DE138" i="2"/>
  <c r="EQ138" i="2"/>
  <c r="EH138" i="2"/>
  <c r="CJ138" i="2"/>
  <c r="CR138" i="2"/>
  <c r="FX138" i="2"/>
  <c r="FB138" i="2"/>
  <c r="ER138" i="2"/>
  <c r="EW138" i="2" s="1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GM138" i="2" l="1"/>
  <c r="HG138" i="2"/>
  <c r="EX138" i="2"/>
  <c r="FS138" i="2"/>
  <c r="FQ138" i="2"/>
  <c r="EV138" i="2"/>
  <c r="HI138" i="2"/>
  <c r="GN138" i="2"/>
  <c r="EC138" i="2"/>
  <c r="EB138" i="2"/>
  <c r="EA138" i="2"/>
  <c r="DH138" i="2"/>
  <c r="DG138" i="2"/>
  <c r="DF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H139" i="2" s="1"/>
  <c r="HF139" i="2"/>
  <c r="GK139" i="2"/>
  <c r="HB139" i="2"/>
  <c r="GS139" i="2"/>
  <c r="GG139" i="2"/>
  <c r="FX139" i="2"/>
  <c r="GH139" i="2"/>
  <c r="GL139" i="2" s="1"/>
  <c r="FL139" i="2"/>
  <c r="FC139" i="2"/>
  <c r="GR139" i="2"/>
  <c r="FW139" i="2"/>
  <c r="FM139" i="2"/>
  <c r="FR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EW139" i="2" s="1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X139" i="2"/>
  <c r="HG139" i="2"/>
  <c r="GM139" i="2"/>
  <c r="GN139" i="2"/>
  <c r="HI139" i="2"/>
  <c r="EV139" i="2"/>
  <c r="FQ139" i="2"/>
  <c r="EA139" i="2"/>
  <c r="EB139" i="2"/>
  <c r="EC139" i="2"/>
  <c r="DH139" i="2"/>
  <c r="DG139" i="2"/>
  <c r="DF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HH140" i="2" s="1"/>
  <c r="GR140" i="2"/>
  <c r="HF140" i="2"/>
  <c r="GK140" i="2"/>
  <c r="HB140" i="2"/>
  <c r="GS140" i="2"/>
  <c r="FP140" i="2"/>
  <c r="GG140" i="2"/>
  <c r="FX140" i="2"/>
  <c r="GH140" i="2"/>
  <c r="GL140" i="2" s="1"/>
  <c r="FL140" i="2"/>
  <c r="FC140" i="2"/>
  <c r="FW140" i="2"/>
  <c r="FB140" i="2"/>
  <c r="ER140" i="2"/>
  <c r="EW140" i="2" s="1"/>
  <c r="DV140" i="2"/>
  <c r="DM140" i="2"/>
  <c r="DA140" i="2"/>
  <c r="EU140" i="2"/>
  <c r="EG140" i="2"/>
  <c r="DW140" i="2"/>
  <c r="DB140" i="2"/>
  <c r="FM140" i="2"/>
  <c r="FR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GM140" i="2" l="1"/>
  <c r="HG140" i="2"/>
  <c r="EX140" i="2"/>
  <c r="FS140" i="2"/>
  <c r="FQ140" i="2"/>
  <c r="EV140" i="2"/>
  <c r="HI140" i="2"/>
  <c r="GN140" i="2"/>
  <c r="EC140" i="2"/>
  <c r="EA140" i="2"/>
  <c r="EB140" i="2"/>
  <c r="DH140" i="2"/>
  <c r="DG140" i="2"/>
  <c r="DF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HH141" i="2" s="1"/>
  <c r="GR141" i="2"/>
  <c r="GK141" i="2"/>
  <c r="HB141" i="2"/>
  <c r="GS141" i="2"/>
  <c r="FW141" i="2"/>
  <c r="FM141" i="2"/>
  <c r="FR141" i="2" s="1"/>
  <c r="FP141" i="2"/>
  <c r="GG141" i="2"/>
  <c r="FX141" i="2"/>
  <c r="EQ141" i="2"/>
  <c r="EH141" i="2"/>
  <c r="CJ141" i="2"/>
  <c r="GH141" i="2"/>
  <c r="GL141" i="2" s="1"/>
  <c r="FL141" i="2"/>
  <c r="FC141" i="2"/>
  <c r="FB141" i="2"/>
  <c r="ER141" i="2"/>
  <c r="EW141" i="2" s="1"/>
  <c r="DV141" i="2"/>
  <c r="DM141" i="2"/>
  <c r="DA141" i="2"/>
  <c r="EU141" i="2"/>
  <c r="EG141" i="2"/>
  <c r="DW141" i="2"/>
  <c r="EC141" i="2" s="1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X141" i="2"/>
  <c r="HG141" i="2"/>
  <c r="GM141" i="2"/>
  <c r="GN141" i="2"/>
  <c r="HI141" i="2"/>
  <c r="EV141" i="2"/>
  <c r="FQ141" i="2"/>
  <c r="EB141" i="2"/>
  <c r="EA141" i="2"/>
  <c r="DH141" i="2"/>
  <c r="DF141" i="2"/>
  <c r="DG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H142" i="2" s="1"/>
  <c r="HF142" i="2"/>
  <c r="HB142" i="2"/>
  <c r="GS142" i="2"/>
  <c r="GR142" i="2"/>
  <c r="GH142" i="2"/>
  <c r="GL142" i="2" s="1"/>
  <c r="FL142" i="2"/>
  <c r="FC142" i="2"/>
  <c r="FW142" i="2"/>
  <c r="FM142" i="2"/>
  <c r="FR142" i="2" s="1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EW142" i="2" s="1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GM142" i="2" l="1"/>
  <c r="HG142" i="2"/>
  <c r="EX142" i="2"/>
  <c r="FS142" i="2"/>
  <c r="FQ142" i="2"/>
  <c r="EV142" i="2"/>
  <c r="HI142" i="2"/>
  <c r="GN142" i="2"/>
  <c r="EA142" i="2"/>
  <c r="EB142" i="2"/>
  <c r="DH142" i="2"/>
  <c r="DG142" i="2"/>
  <c r="DF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H143" i="2" s="1"/>
  <c r="HF143" i="2"/>
  <c r="GK143" i="2"/>
  <c r="HB143" i="2"/>
  <c r="GS143" i="2"/>
  <c r="GG143" i="2"/>
  <c r="FX143" i="2"/>
  <c r="GH143" i="2"/>
  <c r="GL143" i="2" s="1"/>
  <c r="FL143" i="2"/>
  <c r="FC143" i="2"/>
  <c r="FW143" i="2"/>
  <c r="FM143" i="2"/>
  <c r="FR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EW143" i="2" s="1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X143" i="2"/>
  <c r="HG143" i="2"/>
  <c r="GM143" i="2"/>
  <c r="GN143" i="2"/>
  <c r="HI143" i="2"/>
  <c r="EV143" i="2"/>
  <c r="FQ143" i="2"/>
  <c r="EC143" i="2"/>
  <c r="EB143" i="2"/>
  <c r="EA143" i="2"/>
  <c r="DH143" i="2"/>
  <c r="DG143" i="2"/>
  <c r="DF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HH144" i="2" s="1"/>
  <c r="GR144" i="2"/>
  <c r="GK144" i="2"/>
  <c r="HF144" i="2"/>
  <c r="HB144" i="2"/>
  <c r="GS144" i="2"/>
  <c r="FP144" i="2"/>
  <c r="GG144" i="2"/>
  <c r="FX144" i="2"/>
  <c r="GH144" i="2"/>
  <c r="GL144" i="2" s="1"/>
  <c r="FL144" i="2"/>
  <c r="FC144" i="2"/>
  <c r="FB144" i="2"/>
  <c r="ER144" i="2"/>
  <c r="EW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FR144" i="2" s="1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GM144" i="2" l="1"/>
  <c r="HG144" i="2"/>
  <c r="EX144" i="2"/>
  <c r="FS144" i="2"/>
  <c r="FQ144" i="2"/>
  <c r="EV144" i="2"/>
  <c r="HI144" i="2"/>
  <c r="GN144" i="2"/>
  <c r="EC144" i="2"/>
  <c r="EB144" i="2"/>
  <c r="EA144" i="2"/>
  <c r="DH144" i="2"/>
  <c r="DG144" i="2"/>
  <c r="DF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HH145" i="2" s="1"/>
  <c r="GR145" i="2"/>
  <c r="GK145" i="2"/>
  <c r="FW145" i="2"/>
  <c r="FM145" i="2"/>
  <c r="FR145" i="2" s="1"/>
  <c r="HB145" i="2"/>
  <c r="GS145" i="2"/>
  <c r="FP145" i="2"/>
  <c r="GG145" i="2"/>
  <c r="FX145" i="2"/>
  <c r="EQ145" i="2"/>
  <c r="EH145" i="2"/>
  <c r="CJ145" i="2"/>
  <c r="FB145" i="2"/>
  <c r="ER145" i="2"/>
  <c r="EW145" i="2" s="1"/>
  <c r="DV145" i="2"/>
  <c r="DM145" i="2"/>
  <c r="DA145" i="2"/>
  <c r="GH145" i="2"/>
  <c r="GL145" i="2" s="1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S145" i="2" l="1"/>
  <c r="EX145" i="2"/>
  <c r="HG145" i="2"/>
  <c r="GM145" i="2"/>
  <c r="GN145" i="2"/>
  <c r="HI145" i="2"/>
  <c r="EV145" i="2"/>
  <c r="FQ145" i="2"/>
  <c r="EC145" i="2"/>
  <c r="EA145" i="2"/>
  <c r="EB145" i="2"/>
  <c r="DH145" i="2"/>
  <c r="DG145" i="2"/>
  <c r="DF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H146" i="2" s="1"/>
  <c r="HF146" i="2"/>
  <c r="HB146" i="2"/>
  <c r="GS146" i="2"/>
  <c r="GR146" i="2"/>
  <c r="GH146" i="2"/>
  <c r="GL146" i="2" s="1"/>
  <c r="FL146" i="2"/>
  <c r="FC146" i="2"/>
  <c r="FW146" i="2"/>
  <c r="FM146" i="2"/>
  <c r="FR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EW146" i="2" s="1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GM146" i="2" l="1"/>
  <c r="HG146" i="2"/>
  <c r="EX146" i="2"/>
  <c r="FS146" i="2"/>
  <c r="FQ146" i="2"/>
  <c r="EV146" i="2"/>
  <c r="HI146" i="2"/>
  <c r="GN146" i="2"/>
  <c r="EC146" i="2"/>
  <c r="EB146" i="2"/>
  <c r="EA146" i="2"/>
  <c r="DH146" i="2"/>
  <c r="DF146" i="2"/>
  <c r="DG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H147" i="2" s="1"/>
  <c r="HF147" i="2"/>
  <c r="GK147" i="2"/>
  <c r="HB147" i="2"/>
  <c r="GS147" i="2"/>
  <c r="GR147" i="2"/>
  <c r="GG147" i="2"/>
  <c r="FX147" i="2"/>
  <c r="GH147" i="2"/>
  <c r="GL147" i="2" s="1"/>
  <c r="FL147" i="2"/>
  <c r="FC147" i="2"/>
  <c r="FW147" i="2"/>
  <c r="FM147" i="2"/>
  <c r="FR147" i="2" s="1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W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FS147" i="2" l="1"/>
  <c r="EX147" i="2"/>
  <c r="HG147" i="2"/>
  <c r="GM147" i="2"/>
  <c r="GN147" i="2"/>
  <c r="HI147" i="2"/>
  <c r="EV147" i="2"/>
  <c r="FQ147" i="2"/>
  <c r="EB147" i="2"/>
  <c r="EC147" i="2"/>
  <c r="EA147" i="2"/>
  <c r="DH147" i="2"/>
  <c r="DG147" i="2"/>
  <c r="DF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HH148" i="2" s="1"/>
  <c r="GR148" i="2"/>
  <c r="GK148" i="2"/>
  <c r="HB148" i="2"/>
  <c r="GS148" i="2"/>
  <c r="HF148" i="2"/>
  <c r="FP148" i="2"/>
  <c r="GG148" i="2"/>
  <c r="FX148" i="2"/>
  <c r="GH148" i="2"/>
  <c r="GL148" i="2" s="1"/>
  <c r="FL148" i="2"/>
  <c r="FC148" i="2"/>
  <c r="FM148" i="2"/>
  <c r="FR148" i="2" s="1"/>
  <c r="FB148" i="2"/>
  <c r="ER148" i="2"/>
  <c r="EW148" i="2" s="1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GM148" i="2" l="1"/>
  <c r="HG148" i="2"/>
  <c r="EX148" i="2"/>
  <c r="FS148" i="2"/>
  <c r="FQ148" i="2"/>
  <c r="EV148" i="2"/>
  <c r="HI148" i="2"/>
  <c r="GN148" i="2"/>
  <c r="EC148" i="2"/>
  <c r="EB148" i="2"/>
  <c r="EA148" i="2"/>
  <c r="DH148" i="2"/>
  <c r="DG148" i="2"/>
  <c r="DF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HH149" i="2" s="1"/>
  <c r="GK149" i="2"/>
  <c r="FW149" i="2"/>
  <c r="FM149" i="2"/>
  <c r="FR149" i="2" s="1"/>
  <c r="FP149" i="2"/>
  <c r="HB149" i="2"/>
  <c r="GS149" i="2"/>
  <c r="GG149" i="2"/>
  <c r="FX149" i="2"/>
  <c r="EQ149" i="2"/>
  <c r="EH149" i="2"/>
  <c r="CJ149" i="2"/>
  <c r="FB149" i="2"/>
  <c r="ER149" i="2"/>
  <c r="EW149" i="2" s="1"/>
  <c r="DV149" i="2"/>
  <c r="DM149" i="2"/>
  <c r="DA149" i="2"/>
  <c r="EU149" i="2"/>
  <c r="EG149" i="2"/>
  <c r="DW149" i="2"/>
  <c r="DB149" i="2"/>
  <c r="GH149" i="2"/>
  <c r="GL149" i="2" s="1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X149" i="2"/>
  <c r="HG149" i="2"/>
  <c r="GM149" i="2"/>
  <c r="GN149" i="2"/>
  <c r="HI149" i="2"/>
  <c r="EV149" i="2"/>
  <c r="FQ149" i="2"/>
  <c r="EC149" i="2"/>
  <c r="EB149" i="2"/>
  <c r="EA149" i="2"/>
  <c r="DH149" i="2"/>
  <c r="DG149" i="2"/>
  <c r="DF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H150" i="2" s="1"/>
  <c r="HF150" i="2"/>
  <c r="HB150" i="2"/>
  <c r="GS150" i="2"/>
  <c r="GR150" i="2"/>
  <c r="GK150" i="2"/>
  <c r="GH150" i="2"/>
  <c r="GL150" i="2" s="1"/>
  <c r="FL150" i="2"/>
  <c r="FC150" i="2"/>
  <c r="FW150" i="2"/>
  <c r="FM150" i="2"/>
  <c r="FR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EW150" i="2" s="1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GM150" i="2" l="1"/>
  <c r="HG150" i="2"/>
  <c r="EX150" i="2"/>
  <c r="FS150" i="2"/>
  <c r="FQ150" i="2"/>
  <c r="EV150" i="2"/>
  <c r="HI150" i="2"/>
  <c r="GN150" i="2"/>
  <c r="EA150" i="2"/>
  <c r="EB150" i="2"/>
  <c r="DH150" i="2"/>
  <c r="DG150" i="2"/>
  <c r="DF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H151" i="2" s="1"/>
  <c r="HF151" i="2"/>
  <c r="GK151" i="2"/>
  <c r="HB151" i="2"/>
  <c r="GS151" i="2"/>
  <c r="GG151" i="2"/>
  <c r="FX151" i="2"/>
  <c r="GR151" i="2"/>
  <c r="GH151" i="2"/>
  <c r="GL151" i="2" s="1"/>
  <c r="FL151" i="2"/>
  <c r="FC151" i="2"/>
  <c r="FW151" i="2"/>
  <c r="FM151" i="2"/>
  <c r="FR151" i="2" s="1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W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Q18" i="6"/>
  <c r="Q20" i="6" s="1"/>
  <c r="FS151" i="2" l="1"/>
  <c r="EX151" i="2"/>
  <c r="HG151" i="2"/>
  <c r="GM151" i="2"/>
  <c r="GN151" i="2"/>
  <c r="HI151" i="2"/>
  <c r="EV151" i="2"/>
  <c r="FQ151" i="2"/>
  <c r="EC151" i="2"/>
  <c r="EA151" i="2"/>
  <c r="EB151" i="2"/>
  <c r="AW151" i="2"/>
  <c r="DH151" i="2"/>
  <c r="DG151" i="2"/>
  <c r="DF151" i="2"/>
  <c r="BQ151" i="2"/>
  <c r="BR151" i="2"/>
  <c r="CM151" i="2"/>
  <c r="AV151" i="2"/>
  <c r="AU151" i="2"/>
  <c r="BP151" i="2"/>
  <c r="CK151" i="2"/>
  <c r="CL151" i="2"/>
  <c r="J34" i="6"/>
  <c r="J35" i="6" s="1"/>
  <c r="J3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H152" i="2" s="1"/>
  <c r="HF152" i="2"/>
  <c r="GR152" i="2"/>
  <c r="GK152" i="2"/>
  <c r="HB152" i="2"/>
  <c r="GS152" i="2"/>
  <c r="FP152" i="2"/>
  <c r="GG152" i="2"/>
  <c r="FX152" i="2"/>
  <c r="GH152" i="2"/>
  <c r="GL152" i="2" s="1"/>
  <c r="FL152" i="2"/>
  <c r="FC152" i="2"/>
  <c r="FB152" i="2"/>
  <c r="ER152" i="2"/>
  <c r="EW152" i="2" s="1"/>
  <c r="DV152" i="2"/>
  <c r="DM152" i="2"/>
  <c r="DA152" i="2"/>
  <c r="FM152" i="2"/>
  <c r="FR152" i="2" s="1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GM152" i="2" l="1"/>
  <c r="HG152" i="2"/>
  <c r="EX152" i="2"/>
  <c r="FS152" i="2"/>
  <c r="FQ152" i="2"/>
  <c r="EV152" i="2"/>
  <c r="HI152" i="2"/>
  <c r="GN152" i="2"/>
  <c r="EC152" i="2"/>
  <c r="EB152" i="2"/>
  <c r="EA152" i="2"/>
  <c r="DH152" i="2"/>
  <c r="DG152" i="2"/>
  <c r="DF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R153" i="2" s="1"/>
  <c r="FP153" i="2"/>
  <c r="GG153" i="2"/>
  <c r="FX153" i="2"/>
  <c r="GH153" i="2"/>
  <c r="GL153" i="2" s="1"/>
  <c r="FL153" i="2"/>
  <c r="FC153" i="2"/>
  <c r="EQ153" i="2"/>
  <c r="EH153" i="2"/>
  <c r="CJ153" i="2"/>
  <c r="HC153" i="2"/>
  <c r="HH153" i="2" s="1"/>
  <c r="FB153" i="2"/>
  <c r="ER153" i="2"/>
  <c r="EW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FS153" i="2" l="1"/>
  <c r="EX153" i="2"/>
  <c r="HG153" i="2"/>
  <c r="GM153" i="2"/>
  <c r="GN153" i="2"/>
  <c r="HI153" i="2"/>
  <c r="EV153" i="2"/>
  <c r="FQ153" i="2"/>
  <c r="EA153" i="2"/>
  <c r="EB153" i="2"/>
  <c r="EC153" i="2"/>
  <c r="DH153" i="2"/>
  <c r="DG153" i="2"/>
  <c r="DF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FR154" i="2" s="1"/>
  <c r="GS154" i="2"/>
  <c r="GG154" i="2"/>
  <c r="FN154" i="2"/>
  <c r="HB154" i="2"/>
  <c r="HC154" i="2"/>
  <c r="HH154" i="2" s="1"/>
  <c r="GI154" i="2"/>
  <c r="FP154" i="2"/>
  <c r="HD154" i="2"/>
  <c r="GJ154" i="2"/>
  <c r="HE154" i="2"/>
  <c r="GK154" i="2"/>
  <c r="FB154" i="2"/>
  <c r="HF154" i="2"/>
  <c r="FC154" i="2"/>
  <c r="ER154" i="2"/>
  <c r="EW154" i="2" s="1"/>
  <c r="EH154" i="2"/>
  <c r="DV154" i="2"/>
  <c r="GH154" i="2"/>
  <c r="GL154" i="2" s="1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A154" i="2" s="1"/>
  <c r="AB153" i="2"/>
  <c r="AB154" i="2" s="1"/>
  <c r="AX150" i="2"/>
  <c r="Z153" i="2"/>
  <c r="Z154" i="2" s="1"/>
  <c r="AC152" i="2"/>
  <c r="GM154" i="2" l="1"/>
  <c r="HG154" i="2"/>
  <c r="EX154" i="2"/>
  <c r="FS154" i="2"/>
  <c r="FS155" i="2" s="1"/>
  <c r="FQ154" i="2"/>
  <c r="EV154" i="2"/>
  <c r="HI154" i="2"/>
  <c r="GN154" i="2"/>
  <c r="EA154" i="2"/>
  <c r="EC154" i="2"/>
  <c r="DH154" i="2"/>
  <c r="DG154" i="2"/>
  <c r="DF154" i="2"/>
  <c r="CM154" i="2"/>
  <c r="BR154" i="2"/>
  <c r="AV154" i="2"/>
  <c r="AU154" i="2"/>
  <c r="AW154" i="2"/>
  <c r="BQ154" i="2"/>
  <c r="BP154" i="2"/>
  <c r="CL154" i="2"/>
  <c r="CK154" i="2"/>
  <c r="CN154" i="2" s="1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FR155" i="2" s="1"/>
  <c r="GS155" i="2"/>
  <c r="GG155" i="2"/>
  <c r="FN155" i="2"/>
  <c r="HB155" i="2"/>
  <c r="GH155" i="2"/>
  <c r="GL155" i="2" s="1"/>
  <c r="FO155" i="2"/>
  <c r="HC155" i="2"/>
  <c r="HH155" i="2" s="1"/>
  <c r="HD155" i="2"/>
  <c r="GJ155" i="2"/>
  <c r="HE155" i="2"/>
  <c r="GK155" i="2"/>
  <c r="FB155" i="2"/>
  <c r="HF155" i="2"/>
  <c r="FC155" i="2"/>
  <c r="FW155" i="2"/>
  <c r="FL155" i="2"/>
  <c r="ES155" i="2"/>
  <c r="ER155" i="2"/>
  <c r="EW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AC154" i="2"/>
  <c r="HJ154" i="2"/>
  <c r="EY154" i="2"/>
  <c r="GO154" i="2"/>
  <c r="FT154" i="2"/>
  <c r="D194" i="2"/>
  <c r="G194" i="2" s="1"/>
  <c r="DI153" i="2"/>
  <c r="FT153" i="2"/>
  <c r="CN153" i="2"/>
  <c r="HJ153" i="2"/>
  <c r="GO153" i="2"/>
  <c r="EY153" i="2"/>
  <c r="ED153" i="2"/>
  <c r="AC153" i="2"/>
  <c r="AX151" i="2"/>
  <c r="EX155" i="2" l="1"/>
  <c r="AW155" i="2"/>
  <c r="ED154" i="2"/>
  <c r="HG155" i="2"/>
  <c r="GM155" i="2"/>
  <c r="Z155" i="2"/>
  <c r="GN155" i="2"/>
  <c r="HI155" i="2"/>
  <c r="EV155" i="2"/>
  <c r="FQ155" i="2"/>
  <c r="DI154" i="2"/>
  <c r="EC155" i="2"/>
  <c r="EB155" i="2"/>
  <c r="EA155" i="2"/>
  <c r="DH155" i="2"/>
  <c r="DG155" i="2"/>
  <c r="DF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GL156" i="2" s="1"/>
  <c r="FO156" i="2"/>
  <c r="HC156" i="2"/>
  <c r="HH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FR156" i="2" s="1"/>
  <c r="ET156" i="2"/>
  <c r="EU156" i="2"/>
  <c r="DX156" i="2"/>
  <c r="GJ156" i="2"/>
  <c r="EH156" i="2"/>
  <c r="DL156" i="2"/>
  <c r="EQ156" i="2"/>
  <c r="ER156" i="2"/>
  <c r="EW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GO155" i="2"/>
  <c r="AX152" i="2"/>
  <c r="HG156" i="2" l="1"/>
  <c r="FQ156" i="2"/>
  <c r="EV156" i="2"/>
  <c r="HI156" i="2"/>
  <c r="EX156" i="2"/>
  <c r="GN156" i="2"/>
  <c r="GM156" i="2"/>
  <c r="FS156" i="2"/>
  <c r="EC156" i="2"/>
  <c r="ED155" i="2"/>
  <c r="EA156" i="2"/>
  <c r="EB156" i="2"/>
  <c r="DH156" i="2"/>
  <c r="DI155" i="2"/>
  <c r="DF156" i="2"/>
  <c r="DG156" i="2"/>
  <c r="CN155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GL157" i="2" s="1"/>
  <c r="FO157" i="2"/>
  <c r="HC157" i="2"/>
  <c r="HH157" i="2" s="1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FR157" i="2" s="1"/>
  <c r="GS157" i="2"/>
  <c r="GG157" i="2"/>
  <c r="FN157" i="2"/>
  <c r="EU157" i="2"/>
  <c r="DY157" i="2"/>
  <c r="EG157" i="2"/>
  <c r="EH157" i="2"/>
  <c r="GK157" i="2"/>
  <c r="ER157" i="2"/>
  <c r="EW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I157" i="2" l="1"/>
  <c r="EV157" i="2"/>
  <c r="FQ157" i="2"/>
  <c r="HG157" i="2"/>
  <c r="FS157" i="2"/>
  <c r="GM157" i="2"/>
  <c r="GN157" i="2"/>
  <c r="EX157" i="2"/>
  <c r="EC157" i="2"/>
  <c r="EB157" i="2"/>
  <c r="EA157" i="2"/>
  <c r="DH157" i="2"/>
  <c r="DF157" i="2"/>
  <c r="DG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HH158" i="2" s="1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FR158" i="2" s="1"/>
  <c r="GS158" i="2"/>
  <c r="GG158" i="2"/>
  <c r="FN158" i="2"/>
  <c r="HB158" i="2"/>
  <c r="GH158" i="2"/>
  <c r="GL158" i="2" s="1"/>
  <c r="FO158" i="2"/>
  <c r="FC158" i="2"/>
  <c r="EH158" i="2"/>
  <c r="DZ158" i="2"/>
  <c r="EQ158" i="2"/>
  <c r="ER158" i="2"/>
  <c r="EW158" i="2" s="1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FQ158" i="2"/>
  <c r="EV158" i="2"/>
  <c r="HI158" i="2"/>
  <c r="EX158" i="2"/>
  <c r="GN158" i="2"/>
  <c r="GM158" i="2"/>
  <c r="FS158" i="2"/>
  <c r="FS159" i="2" s="1"/>
  <c r="EB158" i="2"/>
  <c r="EA158" i="2"/>
  <c r="DH158" i="2"/>
  <c r="DI157" i="2"/>
  <c r="DG158" i="2"/>
  <c r="DF158" i="2"/>
  <c r="AU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FR159" i="2" s="1"/>
  <c r="GS159" i="2"/>
  <c r="GG159" i="2"/>
  <c r="FN159" i="2"/>
  <c r="HB159" i="2"/>
  <c r="GH159" i="2"/>
  <c r="FO159" i="2"/>
  <c r="HC159" i="2"/>
  <c r="HH159" i="2" s="1"/>
  <c r="GI159" i="2"/>
  <c r="GL159" i="2" s="1"/>
  <c r="FP159" i="2"/>
  <c r="EG159" i="2"/>
  <c r="ER159" i="2"/>
  <c r="EW159" i="2" s="1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V159" i="2" l="1"/>
  <c r="FQ159" i="2"/>
  <c r="HI159" i="2"/>
  <c r="HG159" i="2"/>
  <c r="HG160" i="2" s="1"/>
  <c r="GM159" i="2"/>
  <c r="GN159" i="2"/>
  <c r="EX159" i="2"/>
  <c r="DI158" i="2"/>
  <c r="EA159" i="2"/>
  <c r="ED158" i="2"/>
  <c r="EC159" i="2"/>
  <c r="EB159" i="2"/>
  <c r="DH159" i="2"/>
  <c r="DG159" i="2"/>
  <c r="DF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GL160" i="2" s="1"/>
  <c r="FO160" i="2"/>
  <c r="HC160" i="2"/>
  <c r="HH160" i="2" s="1"/>
  <c r="GI160" i="2"/>
  <c r="FP160" i="2"/>
  <c r="HD160" i="2"/>
  <c r="GJ160" i="2"/>
  <c r="EH160" i="2"/>
  <c r="ET160" i="2"/>
  <c r="DL160" i="2"/>
  <c r="FM160" i="2"/>
  <c r="FR160" i="2" s="1"/>
  <c r="EG160" i="2"/>
  <c r="DX160" i="2"/>
  <c r="EQ160" i="2"/>
  <c r="FX160" i="2"/>
  <c r="ER160" i="2"/>
  <c r="EW160" i="2" s="1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/>
  <c r="HI160" i="2" l="1"/>
  <c r="FQ160" i="2"/>
  <c r="EV160" i="2"/>
  <c r="EV161" i="2" s="1"/>
  <c r="EX160" i="2"/>
  <c r="GN160" i="2"/>
  <c r="FS160" i="2"/>
  <c r="EB160" i="2"/>
  <c r="ED159" i="2"/>
  <c r="GM160" i="2"/>
  <c r="DI159" i="2"/>
  <c r="DH160" i="2"/>
  <c r="EA160" i="2"/>
  <c r="EC160" i="2"/>
  <c r="DG160" i="2"/>
  <c r="DF160" i="2"/>
  <c r="AU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R161" i="2" s="1"/>
  <c r="GS161" i="2"/>
  <c r="HB161" i="2"/>
  <c r="GH161" i="2"/>
  <c r="GL161" i="2" s="1"/>
  <c r="FO161" i="2"/>
  <c r="HC161" i="2"/>
  <c r="HH161" i="2" s="1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W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GM161" i="2" l="1"/>
  <c r="FQ161" i="2"/>
  <c r="HI161" i="2"/>
  <c r="HI162" i="2" s="1"/>
  <c r="FS161" i="2"/>
  <c r="GN161" i="2"/>
  <c r="AW161" i="2"/>
  <c r="EX161" i="2"/>
  <c r="EA161" i="2"/>
  <c r="ED160" i="2"/>
  <c r="EC161" i="2"/>
  <c r="EB161" i="2"/>
  <c r="DH161" i="2"/>
  <c r="DF161" i="2"/>
  <c r="DG161" i="2"/>
  <c r="CN160" i="2"/>
  <c r="CM161" i="2"/>
  <c r="AV161" i="2"/>
  <c r="AU161" i="2"/>
  <c r="AU162" i="2" s="1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FR162" i="2" s="1"/>
  <c r="GS162" i="2"/>
  <c r="GG162" i="2"/>
  <c r="FN162" i="2"/>
  <c r="HB162" i="2"/>
  <c r="HC162" i="2"/>
  <c r="HG162" i="2" s="1"/>
  <c r="GI162" i="2"/>
  <c r="FP162" i="2"/>
  <c r="HD162" i="2"/>
  <c r="GJ162" i="2"/>
  <c r="HE162" i="2"/>
  <c r="GK162" i="2"/>
  <c r="FB162" i="2"/>
  <c r="HF162" i="2"/>
  <c r="FC162" i="2"/>
  <c r="ER162" i="2"/>
  <c r="EW162" i="2" s="1"/>
  <c r="GH162" i="2"/>
  <c r="GL162" i="2" s="1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/>
  <c r="EX162" i="2" l="1"/>
  <c r="HH162" i="2"/>
  <c r="HI163" i="2"/>
  <c r="FQ162" i="2"/>
  <c r="GM162" i="2"/>
  <c r="GN162" i="2"/>
  <c r="EV162" i="2"/>
  <c r="FS162" i="2"/>
  <c r="ED161" i="2"/>
  <c r="EA162" i="2"/>
  <c r="EB162" i="2"/>
  <c r="EC162" i="2"/>
  <c r="DH162" i="2"/>
  <c r="DI161" i="2"/>
  <c r="DG162" i="2"/>
  <c r="DF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FR163" i="2" s="1"/>
  <c r="GS163" i="2"/>
  <c r="GG163" i="2"/>
  <c r="FN163" i="2"/>
  <c r="HB163" i="2"/>
  <c r="GH163" i="2"/>
  <c r="GL163" i="2" s="1"/>
  <c r="FO163" i="2"/>
  <c r="HC163" i="2"/>
  <c r="HG163" i="2" s="1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EW163" i="2" s="1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X163" i="2"/>
  <c r="FS163" i="2"/>
  <c r="EV163" i="2"/>
  <c r="GN163" i="2"/>
  <c r="FQ163" i="2"/>
  <c r="GM163" i="2"/>
  <c r="GM164" i="2" s="1"/>
  <c r="EB163" i="2"/>
  <c r="ED162" i="2"/>
  <c r="EA163" i="2"/>
  <c r="EC163" i="2"/>
  <c r="DH163" i="2"/>
  <c r="DG163" i="2"/>
  <c r="DF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GL164" i="2" s="1"/>
  <c r="FO164" i="2"/>
  <c r="FR164" i="2" s="1"/>
  <c r="HC164" i="2"/>
  <c r="HG164" i="2" s="1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EW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EV164" i="2" l="1"/>
  <c r="FS164" i="2"/>
  <c r="EX164" i="2"/>
  <c r="HH164" i="2"/>
  <c r="HI164" i="2"/>
  <c r="FQ164" i="2"/>
  <c r="GN164" i="2"/>
  <c r="DI163" i="2"/>
  <c r="EB164" i="2"/>
  <c r="ED163" i="2"/>
  <c r="EA164" i="2"/>
  <c r="EC164" i="2"/>
  <c r="DH164" i="2"/>
  <c r="DF164" i="2"/>
  <c r="DG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GM165" i="2" s="1"/>
  <c r="FO165" i="2"/>
  <c r="HC165" i="2"/>
  <c r="HG165" i="2" s="1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FR165" i="2" s="1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W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X165" i="2"/>
  <c r="FS165" i="2"/>
  <c r="EV165" i="2"/>
  <c r="EV166" i="2" s="1"/>
  <c r="GN165" i="2"/>
  <c r="GL165" i="2"/>
  <c r="FQ165" i="2"/>
  <c r="HI165" i="2"/>
  <c r="EC165" i="2"/>
  <c r="EB165" i="2"/>
  <c r="EA165" i="2"/>
  <c r="DH165" i="2"/>
  <c r="DI164" i="2"/>
  <c r="DF165" i="2"/>
  <c r="DG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HG166" i="2" s="1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R166" i="2" s="1"/>
  <c r="GS166" i="2"/>
  <c r="GG166" i="2"/>
  <c r="FN166" i="2"/>
  <c r="HB166" i="2"/>
  <c r="GH166" i="2"/>
  <c r="GM166" i="2" s="1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EW166" i="2" s="1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H166" i="2" l="1"/>
  <c r="HI166" i="2"/>
  <c r="FS166" i="2"/>
  <c r="FQ166" i="2"/>
  <c r="EX166" i="2"/>
  <c r="EY165" i="2"/>
  <c r="GL166" i="2"/>
  <c r="GN166" i="2"/>
  <c r="EC166" i="2"/>
  <c r="ED165" i="2"/>
  <c r="EB166" i="2"/>
  <c r="EA166" i="2"/>
  <c r="DH166" i="2"/>
  <c r="DF166" i="2"/>
  <c r="DG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EY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FR167" i="2" s="1"/>
  <c r="GS167" i="2"/>
  <c r="GG167" i="2"/>
  <c r="FN167" i="2"/>
  <c r="HB167" i="2"/>
  <c r="GH167" i="2"/>
  <c r="GM167" i="2" s="1"/>
  <c r="FO167" i="2"/>
  <c r="HC167" i="2"/>
  <c r="HG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W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S167" i="2" l="1"/>
  <c r="EV167" i="2"/>
  <c r="HI167" i="2"/>
  <c r="GN167" i="2"/>
  <c r="HH167" i="2"/>
  <c r="GL167" i="2"/>
  <c r="EX167" i="2"/>
  <c r="FQ167" i="2"/>
  <c r="DH167" i="2"/>
  <c r="EA167" i="2"/>
  <c r="EC167" i="2"/>
  <c r="EB167" i="2"/>
  <c r="DI166" i="2"/>
  <c r="DF167" i="2"/>
  <c r="DG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EY167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GM168" i="2" s="1"/>
  <c r="FO168" i="2"/>
  <c r="HC168" i="2"/>
  <c r="HG168" i="2" s="1"/>
  <c r="GI168" i="2"/>
  <c r="FP168" i="2"/>
  <c r="HD168" i="2"/>
  <c r="GJ168" i="2"/>
  <c r="EH168" i="2"/>
  <c r="ES168" i="2"/>
  <c r="DL168" i="2"/>
  <c r="FM168" i="2"/>
  <c r="FR168" i="2" s="1"/>
  <c r="DX168" i="2"/>
  <c r="FX168" i="2"/>
  <c r="EQ168" i="2"/>
  <c r="DZ168" i="2"/>
  <c r="DB168" i="2"/>
  <c r="CH168" i="2"/>
  <c r="ER168" i="2"/>
  <c r="EW168" i="2" s="1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GN168" i="2" l="1"/>
  <c r="HI168" i="2"/>
  <c r="EV168" i="2"/>
  <c r="FS168" i="2"/>
  <c r="FQ168" i="2"/>
  <c r="EX168" i="2"/>
  <c r="GL168" i="2"/>
  <c r="HH168" i="2"/>
  <c r="DH168" i="2"/>
  <c r="DI167" i="2"/>
  <c r="EA168" i="2"/>
  <c r="EB168" i="2"/>
  <c r="DG168" i="2"/>
  <c r="DF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R169" i="2" s="1"/>
  <c r="GS169" i="2"/>
  <c r="HB169" i="2"/>
  <c r="GH169" i="2"/>
  <c r="GM169" i="2" s="1"/>
  <c r="FO169" i="2"/>
  <c r="HC169" i="2"/>
  <c r="HG169" i="2" s="1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EC169" i="2" s="1"/>
  <c r="DX169" i="2"/>
  <c r="DZ169" i="2"/>
  <c r="CR169" i="2"/>
  <c r="CF169" i="2"/>
  <c r="BB169" i="2"/>
  <c r="DA169" i="2"/>
  <c r="CG169" i="2"/>
  <c r="DB169" i="2"/>
  <c r="DH169" i="2" s="1"/>
  <c r="EG169" i="2"/>
  <c r="ER169" i="2"/>
  <c r="EW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V169" i="2"/>
  <c r="HI169" i="2"/>
  <c r="GN169" i="2"/>
  <c r="HH169" i="2"/>
  <c r="GL169" i="2"/>
  <c r="EX169" i="2"/>
  <c r="FQ169" i="2"/>
  <c r="DI168" i="2"/>
  <c r="EA169" i="2"/>
  <c r="EB169" i="2"/>
  <c r="DF169" i="2"/>
  <c r="DG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EY169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FR170" i="2" s="1"/>
  <c r="GS170" i="2"/>
  <c r="GG170" i="2"/>
  <c r="FN170" i="2"/>
  <c r="HB170" i="2"/>
  <c r="HC170" i="2"/>
  <c r="HG170" i="2" s="1"/>
  <c r="GI170" i="2"/>
  <c r="FP170" i="2"/>
  <c r="HD170" i="2"/>
  <c r="GJ170" i="2"/>
  <c r="HE170" i="2"/>
  <c r="GK170" i="2"/>
  <c r="FB170" i="2"/>
  <c r="HF170" i="2"/>
  <c r="FC170" i="2"/>
  <c r="ER170" i="2"/>
  <c r="EW170" i="2" s="1"/>
  <c r="DV170" i="2"/>
  <c r="ES170" i="2"/>
  <c r="DZ170" i="2"/>
  <c r="EU170" i="2"/>
  <c r="DL170" i="2"/>
  <c r="DD170" i="2"/>
  <c r="CJ170" i="2"/>
  <c r="GH170" i="2"/>
  <c r="GM170" i="2" s="1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EA170" i="2" s="1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DH170" i="2" s="1"/>
  <c r="BN170" i="2"/>
  <c r="BO170" i="2"/>
  <c r="X170" i="2"/>
  <c r="CF170" i="2"/>
  <c r="Y170" i="2"/>
  <c r="AQ170" i="2"/>
  <c r="AX167" i="2"/>
  <c r="EC170" i="2" l="1"/>
  <c r="GN170" i="2"/>
  <c r="HI170" i="2"/>
  <c r="EV170" i="2"/>
  <c r="EB170" i="2"/>
  <c r="FS170" i="2"/>
  <c r="FQ170" i="2"/>
  <c r="EX170" i="2"/>
  <c r="GL170" i="2"/>
  <c r="HH170" i="2"/>
  <c r="DF170" i="2"/>
  <c r="DG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FR171" i="2" s="1"/>
  <c r="GS171" i="2"/>
  <c r="GG171" i="2"/>
  <c r="FN171" i="2"/>
  <c r="HB171" i="2"/>
  <c r="GH171" i="2"/>
  <c r="GM171" i="2" s="1"/>
  <c r="FO171" i="2"/>
  <c r="HC171" i="2"/>
  <c r="HG171" i="2" s="1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EW171" i="2" s="1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V171" i="2" l="1"/>
  <c r="HI171" i="2"/>
  <c r="HH171" i="2"/>
  <c r="GN171" i="2"/>
  <c r="GL171" i="2"/>
  <c r="EX171" i="2"/>
  <c r="FQ171" i="2"/>
  <c r="FS171" i="2"/>
  <c r="DH171" i="2"/>
  <c r="EC171" i="2"/>
  <c r="DI170" i="2"/>
  <c r="DF171" i="2"/>
  <c r="DG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GM172" i="2" s="1"/>
  <c r="FO172" i="2"/>
  <c r="HC172" i="2"/>
  <c r="HG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FR172" i="2" s="1"/>
  <c r="ET172" i="2"/>
  <c r="ER172" i="2"/>
  <c r="EW172" i="2" s="1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GN172" i="2" l="1"/>
  <c r="HH172" i="2"/>
  <c r="HI172" i="2"/>
  <c r="EV172" i="2"/>
  <c r="FS172" i="2"/>
  <c r="FQ172" i="2"/>
  <c r="EX172" i="2"/>
  <c r="GL172" i="2"/>
  <c r="DH172" i="2"/>
  <c r="EC172" i="2"/>
  <c r="ED172" i="2" s="1"/>
  <c r="DF172" i="2"/>
  <c r="DG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HJ172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GM173" i="2" s="1"/>
  <c r="FO173" i="2"/>
  <c r="HC173" i="2"/>
  <c r="HG173" i="2" s="1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FR173" i="2" s="1"/>
  <c r="GS173" i="2"/>
  <c r="GG173" i="2"/>
  <c r="FN173" i="2"/>
  <c r="EU173" i="2"/>
  <c r="ET173" i="2"/>
  <c r="DY173" i="2"/>
  <c r="GK173" i="2"/>
  <c r="EH173" i="2"/>
  <c r="DM173" i="2"/>
  <c r="FB173" i="2"/>
  <c r="ER173" i="2"/>
  <c r="EW173" i="2" s="1"/>
  <c r="DW173" i="2"/>
  <c r="CQ173" i="2"/>
  <c r="BW173" i="2"/>
  <c r="ES173" i="2"/>
  <c r="DX173" i="2"/>
  <c r="CR173" i="2"/>
  <c r="CF173" i="2"/>
  <c r="DB173" i="2"/>
  <c r="DH173" i="2" s="1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CL173" i="2" s="1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V173" i="2" l="1"/>
  <c r="HI173" i="2"/>
  <c r="HH173" i="2"/>
  <c r="GN173" i="2"/>
  <c r="GL173" i="2"/>
  <c r="EX173" i="2"/>
  <c r="FQ173" i="2"/>
  <c r="FS173" i="2"/>
  <c r="EC173" i="2"/>
  <c r="EA173" i="2"/>
  <c r="EB173" i="2"/>
  <c r="DF173" i="2"/>
  <c r="DG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HG174" i="2" s="1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FR174" i="2" s="1"/>
  <c r="GS174" i="2"/>
  <c r="GG174" i="2"/>
  <c r="FN174" i="2"/>
  <c r="HB174" i="2"/>
  <c r="GH174" i="2"/>
  <c r="GM174" i="2" s="1"/>
  <c r="FO174" i="2"/>
  <c r="DZ174" i="2"/>
  <c r="ER174" i="2"/>
  <c r="EW174" i="2" s="1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GN174" i="2" l="1"/>
  <c r="HH174" i="2"/>
  <c r="HI174" i="2"/>
  <c r="EV174" i="2"/>
  <c r="FS174" i="2"/>
  <c r="FQ174" i="2"/>
  <c r="EX174" i="2"/>
  <c r="GL174" i="2"/>
  <c r="DI173" i="2"/>
  <c r="DH174" i="2"/>
  <c r="EA174" i="2"/>
  <c r="EB174" i="2"/>
  <c r="EC174" i="2"/>
  <c r="DF174" i="2"/>
  <c r="DG174" i="2"/>
  <c r="CL174" i="2"/>
  <c r="CM174" i="2"/>
  <c r="BR174" i="2"/>
  <c r="AV174" i="2"/>
  <c r="AU174" i="2"/>
  <c r="AW174" i="2"/>
  <c r="BQ174" i="2"/>
  <c r="BP174" i="2"/>
  <c r="CK174" i="2"/>
  <c r="CN174" i="2" s="1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R175" i="2" s="1"/>
  <c r="GS175" i="2"/>
  <c r="GG175" i="2"/>
  <c r="FN175" i="2"/>
  <c r="HB175" i="2"/>
  <c r="GH175" i="2"/>
  <c r="GM175" i="2" s="1"/>
  <c r="FO175" i="2"/>
  <c r="HC175" i="2"/>
  <c r="HG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W175" i="2" s="1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V175" i="2" l="1"/>
  <c r="HI175" i="2"/>
  <c r="HH175" i="2"/>
  <c r="GN175" i="2"/>
  <c r="GL175" i="2"/>
  <c r="EX175" i="2"/>
  <c r="FQ175" i="2"/>
  <c r="FS175" i="2"/>
  <c r="EC175" i="2"/>
  <c r="EA175" i="2"/>
  <c r="EB175" i="2"/>
  <c r="DH175" i="2"/>
  <c r="DI174" i="2"/>
  <c r="DG175" i="2"/>
  <c r="DF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GM176" i="2" s="1"/>
  <c r="FO176" i="2"/>
  <c r="HC176" i="2"/>
  <c r="HG176" i="2" s="1"/>
  <c r="GI176" i="2"/>
  <c r="FP176" i="2"/>
  <c r="HD176" i="2"/>
  <c r="GJ176" i="2"/>
  <c r="EH176" i="2"/>
  <c r="FM176" i="2"/>
  <c r="FR176" i="2" s="1"/>
  <c r="ER176" i="2"/>
  <c r="EW176" i="2" s="1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GN176" i="2" l="1"/>
  <c r="HH176" i="2"/>
  <c r="HI176" i="2"/>
  <c r="EV176" i="2"/>
  <c r="FS176" i="2"/>
  <c r="FQ176" i="2"/>
  <c r="EX176" i="2"/>
  <c r="GL176" i="2"/>
  <c r="DI175" i="2"/>
  <c r="DH176" i="2"/>
  <c r="EC176" i="2"/>
  <c r="EA176" i="2"/>
  <c r="EB176" i="2"/>
  <c r="AU176" i="2"/>
  <c r="DG176" i="2"/>
  <c r="DF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R177" i="2" s="1"/>
  <c r="GS177" i="2"/>
  <c r="HB177" i="2"/>
  <c r="GH177" i="2"/>
  <c r="GM177" i="2" s="1"/>
  <c r="FO177" i="2"/>
  <c r="HC177" i="2"/>
  <c r="HG177" i="2" s="1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EW177" i="2" s="1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A177" i="2" s="1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V177" i="2" l="1"/>
  <c r="HI177" i="2"/>
  <c r="HH177" i="2"/>
  <c r="GN177" i="2"/>
  <c r="GL177" i="2"/>
  <c r="EX177" i="2"/>
  <c r="FQ177" i="2"/>
  <c r="FS177" i="2"/>
  <c r="EB177" i="2"/>
  <c r="ED177" i="2" s="1"/>
  <c r="DH177" i="2"/>
  <c r="DF177" i="2"/>
  <c r="DG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R178" i="2" s="1"/>
  <c r="GS178" i="2"/>
  <c r="GG178" i="2"/>
  <c r="FN178" i="2"/>
  <c r="HB178" i="2"/>
  <c r="HC178" i="2"/>
  <c r="HG178" i="2" s="1"/>
  <c r="GI178" i="2"/>
  <c r="FP178" i="2"/>
  <c r="HD178" i="2"/>
  <c r="GJ178" i="2"/>
  <c r="HE178" i="2"/>
  <c r="GK178" i="2"/>
  <c r="FB178" i="2"/>
  <c r="HF178" i="2"/>
  <c r="FC178" i="2"/>
  <c r="ER178" i="2"/>
  <c r="EW178" i="2" s="1"/>
  <c r="DV178" i="2"/>
  <c r="FO178" i="2"/>
  <c r="EQ178" i="2"/>
  <c r="DZ178" i="2"/>
  <c r="GH178" i="2"/>
  <c r="GM178" i="2" s="1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GN178" i="2" l="1"/>
  <c r="HH178" i="2"/>
  <c r="HI178" i="2"/>
  <c r="EV178" i="2"/>
  <c r="FS178" i="2"/>
  <c r="FQ178" i="2"/>
  <c r="EX178" i="2"/>
  <c r="GL178" i="2"/>
  <c r="DH178" i="2"/>
  <c r="EB178" i="2"/>
  <c r="EA178" i="2"/>
  <c r="EC178" i="2"/>
  <c r="DF178" i="2"/>
  <c r="DG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FR179" i="2" s="1"/>
  <c r="GS179" i="2"/>
  <c r="GG179" i="2"/>
  <c r="FN179" i="2"/>
  <c r="HB179" i="2"/>
  <c r="GH179" i="2"/>
  <c r="GM179" i="2" s="1"/>
  <c r="FO179" i="2"/>
  <c r="HC179" i="2"/>
  <c r="HG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EW179" i="2" s="1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V179" i="2" l="1"/>
  <c r="AW179" i="2"/>
  <c r="HI179" i="2"/>
  <c r="HH179" i="2"/>
  <c r="GN179" i="2"/>
  <c r="GL179" i="2"/>
  <c r="EX179" i="2"/>
  <c r="FQ179" i="2"/>
  <c r="FS179" i="2"/>
  <c r="DH179" i="2"/>
  <c r="ED178" i="2"/>
  <c r="EC179" i="2"/>
  <c r="EA179" i="2"/>
  <c r="EB179" i="2"/>
  <c r="DF179" i="2"/>
  <c r="DG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GM180" i="2" s="1"/>
  <c r="FO180" i="2"/>
  <c r="HC180" i="2"/>
  <c r="HG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FR180" i="2" s="1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W180" i="2" s="1"/>
  <c r="DY180" i="2"/>
  <c r="DB180" i="2"/>
  <c r="DH180" i="2" s="1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HH180" i="2" l="1"/>
  <c r="HI180" i="2"/>
  <c r="FS180" i="2"/>
  <c r="EV180" i="2"/>
  <c r="FQ180" i="2"/>
  <c r="EX180" i="2"/>
  <c r="GL180" i="2"/>
  <c r="GN180" i="2"/>
  <c r="EB180" i="2"/>
  <c r="ED179" i="2"/>
  <c r="EA180" i="2"/>
  <c r="EC180" i="2"/>
  <c r="DI179" i="2"/>
  <c r="DG180" i="2"/>
  <c r="DF180" i="2"/>
  <c r="CN179" i="2"/>
  <c r="CM180" i="2"/>
  <c r="BR180" i="2"/>
  <c r="AV180" i="2"/>
  <c r="AW180" i="2"/>
  <c r="AU180" i="2"/>
  <c r="BP180" i="2"/>
  <c r="BQ180" i="2"/>
  <c r="CL180" i="2"/>
  <c r="CK180" i="2"/>
  <c r="CN180" i="2" s="1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GM181" i="2" s="1"/>
  <c r="FO181" i="2"/>
  <c r="HC181" i="2"/>
  <c r="HG181" i="2" s="1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R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EW181" i="2" s="1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FS181" i="2"/>
  <c r="HI181" i="2"/>
  <c r="HH181" i="2"/>
  <c r="GN181" i="2"/>
  <c r="GL181" i="2"/>
  <c r="EX181" i="2"/>
  <c r="FQ181" i="2"/>
  <c r="EC181" i="2"/>
  <c r="EA181" i="2"/>
  <c r="EB181" i="2"/>
  <c r="DH181" i="2"/>
  <c r="DI180" i="2"/>
  <c r="DG181" i="2"/>
  <c r="DF181" i="2"/>
  <c r="AU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HG182" i="2" s="1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R182" i="2" s="1"/>
  <c r="GS182" i="2"/>
  <c r="GG182" i="2"/>
  <c r="FN182" i="2"/>
  <c r="HB182" i="2"/>
  <c r="GH182" i="2"/>
  <c r="GM182" i="2" s="1"/>
  <c r="FO182" i="2"/>
  <c r="EU182" i="2"/>
  <c r="EQ182" i="2"/>
  <c r="DV182" i="2"/>
  <c r="FC182" i="2"/>
  <c r="ES182" i="2"/>
  <c r="DX182" i="2"/>
  <c r="EA182" i="2" s="1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W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B182" i="2" s="1"/>
  <c r="AX179" i="2"/>
  <c r="HH182" i="2" l="1"/>
  <c r="HI182" i="2"/>
  <c r="FS182" i="2"/>
  <c r="EV182" i="2"/>
  <c r="FQ182" i="2"/>
  <c r="EX182" i="2"/>
  <c r="GL182" i="2"/>
  <c r="GN182" i="2"/>
  <c r="EC182" i="2"/>
  <c r="EB182" i="2"/>
  <c r="AW182" i="2"/>
  <c r="DH182" i="2"/>
  <c r="DF182" i="2"/>
  <c r="DG182" i="2"/>
  <c r="CN181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R183" i="2" s="1"/>
  <c r="GS183" i="2"/>
  <c r="GG183" i="2"/>
  <c r="FN183" i="2"/>
  <c r="HB183" i="2"/>
  <c r="GH183" i="2"/>
  <c r="GM183" i="2" s="1"/>
  <c r="FO183" i="2"/>
  <c r="HC183" i="2"/>
  <c r="HG183" i="2" s="1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EW183" i="2" s="1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V183" i="2" l="1"/>
  <c r="FS183" i="2"/>
  <c r="HI183" i="2"/>
  <c r="HH183" i="2"/>
  <c r="GN183" i="2"/>
  <c r="EA183" i="2"/>
  <c r="EB183" i="2"/>
  <c r="GL183" i="2"/>
  <c r="EX183" i="2"/>
  <c r="FQ183" i="2"/>
  <c r="DH183" i="2"/>
  <c r="EC183" i="2"/>
  <c r="DI182" i="2"/>
  <c r="DG183" i="2"/>
  <c r="DF183" i="2"/>
  <c r="CM183" i="2"/>
  <c r="AV183" i="2"/>
  <c r="AU183" i="2"/>
  <c r="AW183" i="2"/>
  <c r="BP183" i="2"/>
  <c r="BQ183" i="2"/>
  <c r="BR183" i="2"/>
  <c r="CK183" i="2"/>
  <c r="CL183" i="2"/>
  <c r="FT182" i="2"/>
  <c r="CN182" i="2"/>
  <c r="EY183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GM184" i="2" s="1"/>
  <c r="FO184" i="2"/>
  <c r="HC184" i="2"/>
  <c r="HG184" i="2" s="1"/>
  <c r="GI184" i="2"/>
  <c r="FP184" i="2"/>
  <c r="HD184" i="2"/>
  <c r="GJ184" i="2"/>
  <c r="EH184" i="2"/>
  <c r="EQ184" i="2"/>
  <c r="EU184" i="2"/>
  <c r="DZ184" i="2"/>
  <c r="DB184" i="2"/>
  <c r="FM184" i="2"/>
  <c r="FR184" i="2" s="1"/>
  <c r="EG184" i="2"/>
  <c r="DC184" i="2"/>
  <c r="DW184" i="2"/>
  <c r="CQ184" i="2"/>
  <c r="FX184" i="2"/>
  <c r="DX184" i="2"/>
  <c r="DY184" i="2"/>
  <c r="DA184" i="2"/>
  <c r="CI184" i="2"/>
  <c r="BN184" i="2"/>
  <c r="ER184" i="2"/>
  <c r="EW184" i="2" s="1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H184" i="2" l="1"/>
  <c r="HI184" i="2"/>
  <c r="FQ184" i="2"/>
  <c r="FS184" i="2"/>
  <c r="EX184" i="2"/>
  <c r="EV184" i="2"/>
  <c r="GL184" i="2"/>
  <c r="DH184" i="2"/>
  <c r="GN184" i="2"/>
  <c r="EC184" i="2"/>
  <c r="EA184" i="2"/>
  <c r="EB184" i="2"/>
  <c r="AW184" i="2"/>
  <c r="DI183" i="2"/>
  <c r="DG184" i="2"/>
  <c r="DF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FR185" i="2" s="1"/>
  <c r="GS185" i="2"/>
  <c r="HB185" i="2"/>
  <c r="GH185" i="2"/>
  <c r="GM185" i="2" s="1"/>
  <c r="FO185" i="2"/>
  <c r="HC185" i="2"/>
  <c r="HG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EW185" i="2" s="1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FS185" i="2" l="1"/>
  <c r="FQ185" i="2"/>
  <c r="HI185" i="2"/>
  <c r="GN185" i="2"/>
  <c r="HH185" i="2"/>
  <c r="GL185" i="2"/>
  <c r="EV185" i="2"/>
  <c r="EA185" i="2"/>
  <c r="AU185" i="2"/>
  <c r="EX185" i="2"/>
  <c r="DI184" i="2"/>
  <c r="EC185" i="2"/>
  <c r="ED184" i="2"/>
  <c r="DH185" i="2"/>
  <c r="DF185" i="2"/>
  <c r="DG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ED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R186" i="2" s="1"/>
  <c r="GS186" i="2"/>
  <c r="GG186" i="2"/>
  <c r="FN186" i="2"/>
  <c r="HB186" i="2"/>
  <c r="HC186" i="2"/>
  <c r="HG186" i="2" s="1"/>
  <c r="GI186" i="2"/>
  <c r="FP186" i="2"/>
  <c r="HD186" i="2"/>
  <c r="GJ186" i="2"/>
  <c r="HE186" i="2"/>
  <c r="GK186" i="2"/>
  <c r="FB186" i="2"/>
  <c r="HF186" i="2"/>
  <c r="FC186" i="2"/>
  <c r="ER186" i="2"/>
  <c r="EW186" i="2" s="1"/>
  <c r="EU186" i="2"/>
  <c r="FO186" i="2"/>
  <c r="EH186" i="2"/>
  <c r="GH186" i="2"/>
  <c r="GM186" i="2" s="1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GN186" i="2" l="1"/>
  <c r="HI186" i="2"/>
  <c r="EX186" i="2"/>
  <c r="FQ186" i="2"/>
  <c r="FS186" i="2"/>
  <c r="EV186" i="2"/>
  <c r="GL186" i="2"/>
  <c r="HH186" i="2"/>
  <c r="EC186" i="2"/>
  <c r="DH186" i="2"/>
  <c r="DI185" i="2"/>
  <c r="DF186" i="2"/>
  <c r="DG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FR187" i="2" s="1"/>
  <c r="GS187" i="2"/>
  <c r="GG187" i="2"/>
  <c r="FN187" i="2"/>
  <c r="HB187" i="2"/>
  <c r="GH187" i="2"/>
  <c r="GM187" i="2" s="1"/>
  <c r="FO187" i="2"/>
  <c r="HC187" i="2"/>
  <c r="HG187" i="2" s="1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EW187" i="2" s="1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B187" i="2" s="1"/>
  <c r="EY186" i="2"/>
  <c r="AX184" i="2"/>
  <c r="FQ187" i="2" l="1"/>
  <c r="EX187" i="2"/>
  <c r="HI187" i="2"/>
  <c r="GN187" i="2"/>
  <c r="DH187" i="2"/>
  <c r="EA187" i="2"/>
  <c r="HH187" i="2"/>
  <c r="GL187" i="2"/>
  <c r="EV187" i="2"/>
  <c r="FS187" i="2"/>
  <c r="EC187" i="2"/>
  <c r="EB187" i="2"/>
  <c r="DI186" i="2"/>
  <c r="DF187" i="2"/>
  <c r="DG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GM188" i="2" s="1"/>
  <c r="FO188" i="2"/>
  <c r="HC188" i="2"/>
  <c r="HG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FR188" i="2" s="1"/>
  <c r="ET188" i="2"/>
  <c r="EH188" i="2"/>
  <c r="EU188" i="2"/>
  <c r="DV188" i="2"/>
  <c r="GJ188" i="2"/>
  <c r="EG188" i="2"/>
  <c r="DW188" i="2"/>
  <c r="CQ188" i="2"/>
  <c r="ER188" i="2"/>
  <c r="EW188" i="2" s="1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GN188" i="2" l="1"/>
  <c r="HI188" i="2"/>
  <c r="DH188" i="2"/>
  <c r="FS188" i="2"/>
  <c r="EX188" i="2"/>
  <c r="EC188" i="2"/>
  <c r="EV188" i="2"/>
  <c r="FQ188" i="2"/>
  <c r="GL188" i="2"/>
  <c r="HH188" i="2"/>
  <c r="ED187" i="2"/>
  <c r="EB188" i="2"/>
  <c r="EA188" i="2"/>
  <c r="DI187" i="2"/>
  <c r="DG188" i="2"/>
  <c r="DF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GM189" i="2" s="1"/>
  <c r="FO189" i="2"/>
  <c r="HC189" i="2"/>
  <c r="HG189" i="2" s="1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FR189" i="2" s="1"/>
  <c r="GS189" i="2"/>
  <c r="GG189" i="2"/>
  <c r="FN189" i="2"/>
  <c r="EU189" i="2"/>
  <c r="GK189" i="2"/>
  <c r="ER189" i="2"/>
  <c r="EW189" i="2" s="1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FS189" i="2"/>
  <c r="DH189" i="2"/>
  <c r="HH189" i="2"/>
  <c r="HI189" i="2"/>
  <c r="GL189" i="2"/>
  <c r="GN189" i="2"/>
  <c r="FQ189" i="2"/>
  <c r="EV189" i="2"/>
  <c r="EX189" i="2"/>
  <c r="EA189" i="2"/>
  <c r="EC189" i="2"/>
  <c r="DF189" i="2"/>
  <c r="DG189" i="2"/>
  <c r="CM189" i="2"/>
  <c r="AV189" i="2"/>
  <c r="AU189" i="2"/>
  <c r="AW189" i="2"/>
  <c r="BR189" i="2"/>
  <c r="BP189" i="2"/>
  <c r="BQ189" i="2"/>
  <c r="CL189" i="2"/>
  <c r="CK189" i="2"/>
  <c r="CN189" i="2" s="1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HG190" i="2" s="1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FR190" i="2" s="1"/>
  <c r="GS190" i="2"/>
  <c r="GG190" i="2"/>
  <c r="HB190" i="2"/>
  <c r="GH190" i="2"/>
  <c r="GM190" i="2" s="1"/>
  <c r="FO190" i="2"/>
  <c r="ET190" i="2"/>
  <c r="FC190" i="2"/>
  <c r="EH190" i="2"/>
  <c r="FN190" i="2"/>
  <c r="FP190" i="2"/>
  <c r="ER190" i="2"/>
  <c r="EW190" i="2" s="1"/>
  <c r="DX190" i="2"/>
  <c r="CR190" i="2"/>
  <c r="ES190" i="2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HH190" i="2" l="1"/>
  <c r="EX190" i="2"/>
  <c r="FS190" i="2"/>
  <c r="EV190" i="2"/>
  <c r="FQ190" i="2"/>
  <c r="GN190" i="2"/>
  <c r="GL190" i="2"/>
  <c r="HI190" i="2"/>
  <c r="ED189" i="2"/>
  <c r="EC190" i="2"/>
  <c r="EA190" i="2"/>
  <c r="ED190" i="2" s="1"/>
  <c r="DH190" i="2"/>
  <c r="DG190" i="2"/>
  <c r="DF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GM191" i="2" s="1"/>
  <c r="HC191" i="2"/>
  <c r="HG191" i="2" s="1"/>
  <c r="GI191" i="2"/>
  <c r="FP191" i="2"/>
  <c r="EG191" i="2"/>
  <c r="FC191" i="2"/>
  <c r="FW191" i="2"/>
  <c r="FL191" i="2"/>
  <c r="FM191" i="2"/>
  <c r="FR191" i="2" s="1"/>
  <c r="FO191" i="2"/>
  <c r="ER191" i="2"/>
  <c r="EW191" i="2" s="1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V191" i="2" l="1"/>
  <c r="FS191" i="2"/>
  <c r="EX191" i="2"/>
  <c r="HH191" i="2"/>
  <c r="HI191" i="2"/>
  <c r="GL191" i="2"/>
  <c r="GN191" i="2"/>
  <c r="FQ191" i="2"/>
  <c r="EA191" i="2"/>
  <c r="EB191" i="2"/>
  <c r="EC191" i="2"/>
  <c r="DH191" i="2"/>
  <c r="DG191" i="2"/>
  <c r="DF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GO191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GM192" i="2" s="1"/>
  <c r="HC192" i="2"/>
  <c r="HG192" i="2" s="1"/>
  <c r="GI192" i="2"/>
  <c r="HD192" i="2"/>
  <c r="GJ192" i="2"/>
  <c r="EH192" i="2"/>
  <c r="FM192" i="2"/>
  <c r="FR192" i="2" s="1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EW192" i="2" s="1"/>
  <c r="DY192" i="2"/>
  <c r="EB192" i="2" s="1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EX192" i="2"/>
  <c r="FS192" i="2"/>
  <c r="EV192" i="2"/>
  <c r="FQ192" i="2"/>
  <c r="GN192" i="2"/>
  <c r="GL192" i="2"/>
  <c r="HI192" i="2"/>
  <c r="DI191" i="2"/>
  <c r="EA192" i="2"/>
  <c r="EC192" i="2"/>
  <c r="AW192" i="2"/>
  <c r="DH192" i="2"/>
  <c r="DF192" i="2"/>
  <c r="DG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GM193" i="2" s="1"/>
  <c r="HC193" i="2"/>
  <c r="HG193" i="2" s="1"/>
  <c r="GI193" i="2"/>
  <c r="HD193" i="2"/>
  <c r="GJ193" i="2"/>
  <c r="HE193" i="2"/>
  <c r="GK193" i="2"/>
  <c r="FB193" i="2"/>
  <c r="EQ193" i="2"/>
  <c r="FO193" i="2"/>
  <c r="ER193" i="2"/>
  <c r="EW193" i="2" s="1"/>
  <c r="FP193" i="2"/>
  <c r="FC193" i="2"/>
  <c r="FL193" i="2"/>
  <c r="FM193" i="2"/>
  <c r="FR193" i="2" s="1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EV193" i="2" l="1"/>
  <c r="FS193" i="2"/>
  <c r="EX193" i="2"/>
  <c r="EA193" i="2"/>
  <c r="HH193" i="2"/>
  <c r="HI193" i="2"/>
  <c r="GL193" i="2"/>
  <c r="GN193" i="2"/>
  <c r="FQ193" i="2"/>
  <c r="DH193" i="2"/>
  <c r="ED192" i="2"/>
  <c r="EC193" i="2"/>
  <c r="EB193" i="2"/>
  <c r="DI192" i="2"/>
  <c r="DF193" i="2"/>
  <c r="DG193" i="2"/>
  <c r="CN192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G194" i="2" s="1"/>
  <c r="GI194" i="2"/>
  <c r="HD194" i="2"/>
  <c r="GJ194" i="2"/>
  <c r="HE194" i="2"/>
  <c r="GK194" i="2"/>
  <c r="HF194" i="2"/>
  <c r="FC194" i="2"/>
  <c r="ER194" i="2"/>
  <c r="EW194" i="2" s="1"/>
  <c r="ET194" i="2"/>
  <c r="FB194" i="2"/>
  <c r="GH194" i="2"/>
  <c r="GM194" i="2" s="1"/>
  <c r="FM194" i="2"/>
  <c r="FR194" i="2" s="1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DH194" i="2" s="1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EX194" i="2" l="1"/>
  <c r="FS194" i="2"/>
  <c r="FQ194" i="2"/>
  <c r="EV194" i="2"/>
  <c r="GN194" i="2"/>
  <c r="GL194" i="2"/>
  <c r="HI194" i="2"/>
  <c r="HH194" i="2"/>
  <c r="EC194" i="2"/>
  <c r="EA194" i="2"/>
  <c r="AW194" i="2"/>
  <c r="DI193" i="2"/>
  <c r="DF194" i="2"/>
  <c r="DG194" i="2"/>
  <c r="CM194" i="2"/>
  <c r="AV194" i="2"/>
  <c r="AU194" i="2"/>
  <c r="BR194" i="2"/>
  <c r="BQ194" i="2"/>
  <c r="BP194" i="2"/>
  <c r="CL194" i="2"/>
  <c r="CK194" i="2"/>
  <c r="FT193" i="2"/>
  <c r="GO193" i="2"/>
  <c r="HJ193" i="2"/>
  <c r="EY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GM195" i="2" s="1"/>
  <c r="HC195" i="2"/>
  <c r="HG195" i="2" s="1"/>
  <c r="HD195" i="2"/>
  <c r="GJ195" i="2"/>
  <c r="HE195" i="2"/>
  <c r="GK195" i="2"/>
  <c r="HF195" i="2"/>
  <c r="FW195" i="2"/>
  <c r="FL195" i="2"/>
  <c r="ES195" i="2"/>
  <c r="FB195" i="2"/>
  <c r="FC195" i="2"/>
  <c r="FM195" i="2"/>
  <c r="FR195" i="2" s="1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EW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V195" i="2" l="1"/>
  <c r="FQ195" i="2"/>
  <c r="FS195" i="2"/>
  <c r="EX195" i="2"/>
  <c r="HH195" i="2"/>
  <c r="EB195" i="2"/>
  <c r="HI195" i="2"/>
  <c r="GL195" i="2"/>
  <c r="GN195" i="2"/>
  <c r="ED194" i="2"/>
  <c r="EC195" i="2"/>
  <c r="DF195" i="2"/>
  <c r="DG195" i="2"/>
  <c r="AU195" i="2"/>
  <c r="CN194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EY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GM196" i="2" s="1"/>
  <c r="HC196" i="2"/>
  <c r="HG196" i="2" s="1"/>
  <c r="GI196" i="2"/>
  <c r="HD196" i="2"/>
  <c r="HE196" i="2"/>
  <c r="GK196" i="2"/>
  <c r="HF196" i="2"/>
  <c r="FW196" i="2"/>
  <c r="GR196" i="2"/>
  <c r="FX196" i="2"/>
  <c r="FM196" i="2"/>
  <c r="FR196" i="2" s="1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EW196" i="2" s="1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X196" i="2" l="1"/>
  <c r="AW196" i="2"/>
  <c r="FS196" i="2"/>
  <c r="FQ196" i="2"/>
  <c r="EB196" i="2"/>
  <c r="GN196" i="2"/>
  <c r="EV196" i="2"/>
  <c r="EA196" i="2"/>
  <c r="GL196" i="2"/>
  <c r="HI196" i="2"/>
  <c r="HH196" i="2"/>
  <c r="DF196" i="2"/>
  <c r="EC196" i="2"/>
  <c r="DH196" i="2"/>
  <c r="DG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EY196" i="2"/>
  <c r="Z196" i="2"/>
  <c r="Z197" i="2" s="1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GM197" i="2" s="1"/>
  <c r="HC197" i="2"/>
  <c r="HG197" i="2" s="1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R197" i="2" s="1"/>
  <c r="EH197" i="2"/>
  <c r="DX197" i="2"/>
  <c r="CR197" i="2"/>
  <c r="DL197" i="2"/>
  <c r="CF197" i="2"/>
  <c r="BM197" i="2"/>
  <c r="BB197" i="2"/>
  <c r="ER197" i="2"/>
  <c r="EW197" i="2" s="1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D196" i="2"/>
  <c r="FQ197" i="2" l="1"/>
  <c r="HH197" i="2"/>
  <c r="FS197" i="2"/>
  <c r="HI197" i="2"/>
  <c r="GL197" i="2"/>
  <c r="EX197" i="2"/>
  <c r="DI196" i="2"/>
  <c r="EV197" i="2"/>
  <c r="GN197" i="2"/>
  <c r="DF197" i="2"/>
  <c r="EA197" i="2"/>
  <c r="EB197" i="2"/>
  <c r="EC197" i="2"/>
  <c r="DH197" i="2"/>
  <c r="DG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7" i="2" s="1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G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GM198" i="2" s="1"/>
  <c r="FO198" i="2"/>
  <c r="ES198" i="2"/>
  <c r="FB198" i="2"/>
  <c r="FL198" i="2"/>
  <c r="EG198" i="2"/>
  <c r="FM198" i="2"/>
  <c r="FR198" i="2" s="1"/>
  <c r="FN198" i="2"/>
  <c r="EQ198" i="2"/>
  <c r="DW198" i="2"/>
  <c r="CR198" i="2"/>
  <c r="FP198" i="2"/>
  <c r="ER198" i="2"/>
  <c r="EW198" i="2" s="1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Z198" i="2" s="1"/>
  <c r="CF198" i="2"/>
  <c r="BV198" i="2"/>
  <c r="AG198" i="2"/>
  <c r="U198" i="2"/>
  <c r="ED197" i="2"/>
  <c r="AX195" i="2"/>
  <c r="HI198" i="2" l="1"/>
  <c r="FS198" i="2"/>
  <c r="HH198" i="2"/>
  <c r="GN198" i="2"/>
  <c r="FQ198" i="2"/>
  <c r="EV198" i="2"/>
  <c r="EX198" i="2"/>
  <c r="GL198" i="2"/>
  <c r="EC198" i="2"/>
  <c r="EA198" i="2"/>
  <c r="EB198" i="2"/>
  <c r="AW198" i="2"/>
  <c r="DH198" i="2"/>
  <c r="DG198" i="2"/>
  <c r="DF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GM199" i="2" s="1"/>
  <c r="HC199" i="2"/>
  <c r="HG199" i="2" s="1"/>
  <c r="GI199" i="2"/>
  <c r="FP199" i="2"/>
  <c r="FW199" i="2"/>
  <c r="FB199" i="2"/>
  <c r="ET199" i="2"/>
  <c r="FC199" i="2"/>
  <c r="FL199" i="2"/>
  <c r="FN199" i="2"/>
  <c r="EH199" i="2"/>
  <c r="FO199" i="2"/>
  <c r="ER199" i="2"/>
  <c r="EW199" i="2" s="1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R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AU199" i="2" l="1"/>
  <c r="GN199" i="2"/>
  <c r="HH199" i="2"/>
  <c r="FS199" i="2"/>
  <c r="HI199" i="2"/>
  <c r="GL199" i="2"/>
  <c r="EX199" i="2"/>
  <c r="EV199" i="2"/>
  <c r="FQ199" i="2"/>
  <c r="DI198" i="2"/>
  <c r="EB199" i="2"/>
  <c r="EA199" i="2"/>
  <c r="EC199" i="2"/>
  <c r="DH199" i="2"/>
  <c r="DF199" i="2"/>
  <c r="DG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GM200" i="2" s="1"/>
  <c r="HC200" i="2"/>
  <c r="HG200" i="2" s="1"/>
  <c r="GI200" i="2"/>
  <c r="HD200" i="2"/>
  <c r="GJ200" i="2"/>
  <c r="FL200" i="2"/>
  <c r="EU200" i="2"/>
  <c r="FX200" i="2"/>
  <c r="FM200" i="2"/>
  <c r="FR200" i="2" s="1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W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B200" i="2" s="1"/>
  <c r="BX4" i="2" a="1"/>
  <c r="BX4" i="2" s="1"/>
  <c r="BY4" i="2" s="1"/>
  <c r="AA199" i="2"/>
  <c r="AX197" i="2"/>
  <c r="FS200" i="2" l="1"/>
  <c r="HH200" i="2"/>
  <c r="GN200" i="2"/>
  <c r="FQ200" i="2"/>
  <c r="EV200" i="2"/>
  <c r="EX200" i="2"/>
  <c r="GL200" i="2"/>
  <c r="HI200" i="2"/>
  <c r="EC200" i="2"/>
  <c r="EA200" i="2"/>
  <c r="EB200" i="2"/>
  <c r="DH200" i="2"/>
  <c r="DG200" i="2"/>
  <c r="DF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HJ200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GM201" i="2" s="1"/>
  <c r="HC201" i="2"/>
  <c r="HG201" i="2" s="1"/>
  <c r="GI201" i="2"/>
  <c r="HD201" i="2"/>
  <c r="GJ201" i="2"/>
  <c r="HE201" i="2"/>
  <c r="GK201" i="2"/>
  <c r="FB201" i="2"/>
  <c r="FN201" i="2"/>
  <c r="FO201" i="2"/>
  <c r="GG201" i="2"/>
  <c r="FP201" i="2"/>
  <c r="ER201" i="2"/>
  <c r="EW201" i="2" s="1"/>
  <c r="FC201" i="2"/>
  <c r="FL201" i="2"/>
  <c r="ET201" i="2"/>
  <c r="DY201" i="2"/>
  <c r="DC201" i="2"/>
  <c r="FM201" i="2"/>
  <c r="FR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CM201" i="2" s="1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I5" i="2" s="1"/>
  <c r="AH5" i="2" a="1"/>
  <c r="AH5" i="2" s="1"/>
  <c r="EI4" i="2" a="1"/>
  <c r="EI4" i="2" s="1"/>
  <c r="EJ4" i="2" s="1"/>
  <c r="AX198" i="2"/>
  <c r="EY200" i="2"/>
  <c r="FQ201" i="2" l="1"/>
  <c r="GN201" i="2"/>
  <c r="HH201" i="2"/>
  <c r="FS201" i="2"/>
  <c r="HI201" i="2"/>
  <c r="GL201" i="2"/>
  <c r="EX201" i="2"/>
  <c r="EV201" i="2"/>
  <c r="DH201" i="2"/>
  <c r="EC201" i="2"/>
  <c r="EA201" i="2"/>
  <c r="ED200" i="2"/>
  <c r="EB201" i="2"/>
  <c r="DI200" i="2"/>
  <c r="DG201" i="2"/>
  <c r="DF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G202" i="2" s="1"/>
  <c r="GJ202" i="2"/>
  <c r="HD202" i="2"/>
  <c r="GK202" i="2"/>
  <c r="HE202" i="2"/>
  <c r="FC202" i="2"/>
  <c r="FP202" i="2"/>
  <c r="EG202" i="2"/>
  <c r="FL202" i="2"/>
  <c r="ES202" i="2"/>
  <c r="FM202" i="2"/>
  <c r="FR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GM202" i="2" s="1"/>
  <c r="EH202" i="2"/>
  <c r="BV202" i="2"/>
  <c r="BM202" i="2"/>
  <c r="BA202" i="2"/>
  <c r="EQ202" i="2"/>
  <c r="ER202" i="2"/>
  <c r="EW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CN201" i="2" l="1"/>
  <c r="FS202" i="2"/>
  <c r="HH202" i="2"/>
  <c r="GN202" i="2"/>
  <c r="FQ202" i="2"/>
  <c r="EV202" i="2"/>
  <c r="EA202" i="2"/>
  <c r="EX202" i="2"/>
  <c r="GL202" i="2"/>
  <c r="FZ6" i="2"/>
  <c r="ED201" i="2"/>
  <c r="HI202" i="2"/>
  <c r="EC202" i="2"/>
  <c r="EB202" i="2"/>
  <c r="DH202" i="2"/>
  <c r="DG202" i="2"/>
  <c r="DF202" i="2"/>
  <c r="CM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GM203" i="2" s="1"/>
  <c r="HC203" i="2"/>
  <c r="HG203" i="2" s="1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EW203" i="2" s="1"/>
  <c r="DW203" i="2"/>
  <c r="FM203" i="2"/>
  <c r="FR203" i="2" s="1"/>
  <c r="ES203" i="2"/>
  <c r="EU203" i="2"/>
  <c r="BV203" i="2"/>
  <c r="BO203" i="2"/>
  <c r="DL203" i="2"/>
  <c r="CQ203" i="2"/>
  <c r="BW203" i="2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BQ203" i="2" s="1"/>
  <c r="CF203" i="2"/>
  <c r="L203" i="2"/>
  <c r="M203" i="2" s="1" a="1"/>
  <c r="M203" i="2" s="1"/>
  <c r="AP203" i="2"/>
  <c r="W203" i="2"/>
  <c r="CG203" i="2"/>
  <c r="CM203" i="2" s="1"/>
  <c r="U203" i="2"/>
  <c r="CJ203" i="2"/>
  <c r="AG203" i="2"/>
  <c r="FY61" i="2" a="1"/>
  <c r="FY61" i="2" s="1"/>
  <c r="FY8" i="2" a="1"/>
  <c r="FY8" i="2" s="1"/>
  <c r="FY189" i="2" a="1"/>
  <c r="FY189" i="2" s="1"/>
  <c r="FY51" i="2" a="1"/>
  <c r="FY51" i="2" s="1"/>
  <c r="FY138" i="2" a="1"/>
  <c r="FY138" i="2" s="1"/>
  <c r="FY48" i="2" a="1"/>
  <c r="FY48" i="2" s="1"/>
  <c r="FY180" i="2" a="1"/>
  <c r="FY180" i="2" s="1"/>
  <c r="FY103" i="2" a="1"/>
  <c r="FY103" i="2" s="1"/>
  <c r="FY105" i="2" a="1"/>
  <c r="FY105" i="2" s="1"/>
  <c r="FY150" i="2" a="1"/>
  <c r="FY150" i="2" s="1"/>
  <c r="FY130" i="2" a="1"/>
  <c r="FY130" i="2" s="1"/>
  <c r="FY37" i="2" a="1"/>
  <c r="FY37" i="2" s="1"/>
  <c r="FY141" i="2" a="1"/>
  <c r="FY141" i="2" s="1"/>
  <c r="FY119" i="2" a="1"/>
  <c r="FY119" i="2" s="1"/>
  <c r="FY20" i="2" a="1"/>
  <c r="FY20" i="2" s="1"/>
  <c r="FY144" i="2" a="1"/>
  <c r="FY144" i="2" s="1"/>
  <c r="FY123" i="2" a="1"/>
  <c r="FY123" i="2" s="1"/>
  <c r="FY93" i="2" a="1"/>
  <c r="FY93" i="2" s="1"/>
  <c r="FY91" i="2" a="1"/>
  <c r="FY91" i="2" s="1"/>
  <c r="FY77" i="2" a="1"/>
  <c r="FY77" i="2" s="1"/>
  <c r="FY9" i="2" a="1"/>
  <c r="FY9" i="2" s="1"/>
  <c r="FY198" i="2" a="1"/>
  <c r="FY198" i="2" s="1"/>
  <c r="FY132" i="2" a="1"/>
  <c r="FY132" i="2" s="1"/>
  <c r="FY16" i="2" a="1"/>
  <c r="FY16" i="2" s="1"/>
  <c r="FY11" i="2" a="1"/>
  <c r="FY11" i="2" s="1"/>
  <c r="FY129" i="2" a="1"/>
  <c r="FY129" i="2" s="1"/>
  <c r="FY47" i="2" a="1"/>
  <c r="FY47" i="2" s="1"/>
  <c r="FY157" i="2" a="1"/>
  <c r="FY157" i="2" s="1"/>
  <c r="FY155" i="2" a="1"/>
  <c r="FY155" i="2" s="1"/>
  <c r="FY195" i="2" a="1"/>
  <c r="FY195" i="2" s="1"/>
  <c r="FY147" i="2" a="1"/>
  <c r="FY147" i="2" s="1"/>
  <c r="FY101" i="2" a="1"/>
  <c r="FY101" i="2" s="1"/>
  <c r="FY113" i="2" a="1"/>
  <c r="FY113" i="2" s="1"/>
  <c r="FY183" i="2" a="1"/>
  <c r="FY183" i="2" s="1"/>
  <c r="FY40" i="2" a="1"/>
  <c r="FY40" i="2" s="1"/>
  <c r="FY112" i="2" a="1"/>
  <c r="FY112" i="2" s="1"/>
  <c r="FY175" i="2" a="1"/>
  <c r="FY175" i="2" s="1"/>
  <c r="FY67" i="2" a="1"/>
  <c r="FY67" i="2" s="1"/>
  <c r="FY68" i="2" a="1"/>
  <c r="FY68" i="2" s="1"/>
  <c r="FY108" i="2" a="1"/>
  <c r="FY108" i="2" s="1"/>
  <c r="FY27" i="2" a="1"/>
  <c r="FY27" i="2" s="1"/>
  <c r="FY26" i="2" a="1"/>
  <c r="FY26" i="2" s="1"/>
  <c r="FY79" i="2" a="1"/>
  <c r="FY79" i="2" s="1"/>
  <c r="FY63" i="2" a="1"/>
  <c r="FY63" i="2" s="1"/>
  <c r="FY36" i="2" a="1"/>
  <c r="FY36" i="2" s="1"/>
  <c r="FY137" i="2" a="1"/>
  <c r="FY137" i="2" s="1"/>
  <c r="FY200" i="2" a="1"/>
  <c r="FY200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185" i="2" a="1"/>
  <c r="AH185" i="2" s="1"/>
  <c r="AH162" i="2" a="1"/>
  <c r="AH162" i="2" s="1"/>
  <c r="AH140" i="2" a="1"/>
  <c r="AH140" i="2" s="1"/>
  <c r="AH155" i="2" a="1"/>
  <c r="AH155" i="2" s="1"/>
  <c r="AH143" i="2" a="1"/>
  <c r="AH143" i="2" s="1"/>
  <c r="AH17" i="2" a="1"/>
  <c r="AH17" i="2" s="1"/>
  <c r="AH37" i="2" a="1"/>
  <c r="AH37" i="2" s="1"/>
  <c r="AH136" i="2" a="1"/>
  <c r="AH136" i="2" s="1"/>
  <c r="AH198" i="2" a="1"/>
  <c r="AH198" i="2" s="1"/>
  <c r="AH92" i="2" a="1"/>
  <c r="AH92" i="2" s="1"/>
  <c r="AH38" i="2" a="1"/>
  <c r="AH38" i="2" s="1"/>
  <c r="AH83" i="2" a="1"/>
  <c r="AH83" i="2" s="1"/>
  <c r="CS27" i="2" a="1"/>
  <c r="CS27" i="2" s="1"/>
  <c r="CS133" i="2" a="1"/>
  <c r="CS133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196" i="2" a="1"/>
  <c r="BC196" i="2" s="1"/>
  <c r="BC15" i="2" a="1"/>
  <c r="BC15" i="2" s="1"/>
  <c r="BC146" i="2" a="1"/>
  <c r="BC146" i="2" s="1"/>
  <c r="BC68" i="2" a="1"/>
  <c r="BC68" i="2" s="1"/>
  <c r="BC71" i="2" a="1"/>
  <c r="BC71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CS58" i="2" a="1"/>
  <c r="CS58" i="2" s="1"/>
  <c r="CS195" i="2" a="1"/>
  <c r="CS195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BX29" i="2" a="1"/>
  <c r="BX29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BX197" i="2" a="1"/>
  <c r="BX197" i="2" s="1"/>
  <c r="BX136" i="2" a="1"/>
  <c r="BX136" i="2" s="1"/>
  <c r="BX163" i="2" a="1"/>
  <c r="BX163" i="2" s="1"/>
  <c r="BX158" i="2" a="1"/>
  <c r="BX158" i="2" s="1"/>
  <c r="BX117" i="2" a="1"/>
  <c r="BX117" i="2" s="1"/>
  <c r="BX67" i="2" a="1"/>
  <c r="BX67" i="2" s="1"/>
  <c r="BX176" i="2" a="1"/>
  <c r="BX176" i="2" s="1"/>
  <c r="BX113" i="2" a="1"/>
  <c r="BX113" i="2" s="1"/>
  <c r="BX110" i="2" a="1"/>
  <c r="BX110" i="2" s="1"/>
  <c r="BX157" i="2" a="1"/>
  <c r="BX157" i="2" s="1"/>
  <c r="BX125" i="2" a="1"/>
  <c r="BX125" i="2" s="1"/>
  <c r="BX73" i="2" a="1"/>
  <c r="BX73" i="2" s="1"/>
  <c r="BX41" i="2" a="1"/>
  <c r="BX41" i="2" s="1"/>
  <c r="BX12" i="2" a="1"/>
  <c r="BX12" i="2" s="1"/>
  <c r="BX119" i="2" a="1"/>
  <c r="BX119" i="2" s="1"/>
  <c r="BX174" i="2" a="1"/>
  <c r="BX174" i="2" s="1"/>
  <c r="BX182" i="2" a="1"/>
  <c r="BX182" i="2" s="1"/>
  <c r="BX177" i="2" a="1"/>
  <c r="BX177" i="2" s="1"/>
  <c r="BX142" i="2" a="1"/>
  <c r="BX142" i="2" s="1"/>
  <c r="BX96" i="2" a="1"/>
  <c r="BX96" i="2" s="1"/>
  <c r="BX76" i="2" a="1"/>
  <c r="BX76" i="2" s="1"/>
  <c r="BX152" i="2" a="1"/>
  <c r="BX152" i="2" s="1"/>
  <c r="BX201" i="2" a="1"/>
  <c r="BX201" i="2" s="1"/>
  <c r="AH151" i="2" a="1"/>
  <c r="AH151" i="2" s="1"/>
  <c r="AH14" i="2" a="1"/>
  <c r="AH14" i="2" s="1"/>
  <c r="AH157" i="2" a="1"/>
  <c r="AH157" i="2" s="1"/>
  <c r="AH79" i="2" a="1"/>
  <c r="AH79" i="2" s="1"/>
  <c r="AH201" i="2" a="1"/>
  <c r="AH201" i="2" s="1"/>
  <c r="DN103" i="2" a="1"/>
  <c r="DN103" i="2" s="1"/>
  <c r="DN114" i="2" a="1"/>
  <c r="DN114" i="2" s="1"/>
  <c r="CS77" i="2" a="1"/>
  <c r="CS77" i="2" s="1"/>
  <c r="BX8" i="2" a="1"/>
  <c r="BX8" i="2" s="1"/>
  <c r="AH90" i="2" a="1"/>
  <c r="AH90" i="2" s="1"/>
  <c r="AH89" i="2" a="1"/>
  <c r="AH89" i="2" s="1"/>
  <c r="AH19" i="2" a="1"/>
  <c r="AH19" i="2" s="1"/>
  <c r="AH186" i="2" a="1"/>
  <c r="AH186" i="2" s="1"/>
  <c r="AH56" i="2" a="1"/>
  <c r="AH56" i="2" s="1"/>
  <c r="AH197" i="2" a="1"/>
  <c r="AH197" i="2" s="1"/>
  <c r="AH146" i="2" a="1"/>
  <c r="AH146" i="2" s="1"/>
  <c r="AH144" i="2" a="1"/>
  <c r="AH144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BX50" i="2" a="1"/>
  <c r="BX50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7" i="2" a="1"/>
  <c r="BX7" i="2" s="1"/>
  <c r="BX100" i="2" a="1"/>
  <c r="BX100" i="2" s="1"/>
  <c r="BX79" i="2" a="1"/>
  <c r="BX79" i="2" s="1"/>
  <c r="BX72" i="2" a="1"/>
  <c r="BX72" i="2" s="1"/>
  <c r="BX66" i="2" a="1"/>
  <c r="BX66" i="2" s="1"/>
  <c r="BX65" i="2" a="1"/>
  <c r="BX65" i="2" s="1"/>
  <c r="BX107" i="2" a="1"/>
  <c r="BX107" i="2" s="1"/>
  <c r="BX171" i="2" a="1"/>
  <c r="BX171" i="2" s="1"/>
  <c r="BX54" i="2" a="1"/>
  <c r="BX54" i="2" s="1"/>
  <c r="BX59" i="2" a="1"/>
  <c r="BX59" i="2" s="1"/>
  <c r="BX63" i="2" a="1"/>
  <c r="BX63" i="2" s="1"/>
  <c r="BX58" i="2" a="1"/>
  <c r="BX58" i="2" s="1"/>
  <c r="BX155" i="2" a="1"/>
  <c r="BX155" i="2" s="1"/>
  <c r="BX159" i="2" a="1"/>
  <c r="BX159" i="2" s="1"/>
  <c r="BX150" i="2" a="1"/>
  <c r="BX150" i="2" s="1"/>
  <c r="BX17" i="2" a="1"/>
  <c r="BX17" i="2" s="1"/>
  <c r="BX55" i="2" a="1"/>
  <c r="BX55" i="2" s="1"/>
  <c r="BX9" i="2" a="1"/>
  <c r="BX9" i="2" s="1"/>
  <c r="BX146" i="2" a="1"/>
  <c r="BX146" i="2" s="1"/>
  <c r="BX36" i="2" a="1"/>
  <c r="BX36" i="2" s="1"/>
  <c r="BX80" i="2" a="1"/>
  <c r="BX80" i="2" s="1"/>
  <c r="BX51" i="2" a="1"/>
  <c r="BX51" i="2" s="1"/>
  <c r="FD82" i="2" a="1"/>
  <c r="FD82" i="2" s="1"/>
  <c r="DN187" i="2" a="1"/>
  <c r="DN187" i="2" s="1"/>
  <c r="HJ202" i="2"/>
  <c r="EY202" i="2"/>
  <c r="AX200" i="2"/>
  <c r="FY59" i="2" l="1" a="1"/>
  <c r="FY59" i="2" s="1"/>
  <c r="HI203" i="2"/>
  <c r="GN203" i="2"/>
  <c r="HH203" i="2"/>
  <c r="FS203" i="2"/>
  <c r="GL203" i="2"/>
  <c r="FY177" i="2" a="1"/>
  <c r="FY177" i="2" s="1"/>
  <c r="FY125" i="2" a="1"/>
  <c r="FY125" i="2" s="1"/>
  <c r="EX203" i="2"/>
  <c r="FY7" i="2" a="1"/>
  <c r="FY7" i="2" s="1"/>
  <c r="FZ7" i="2" s="1"/>
  <c r="EV203" i="2"/>
  <c r="FY10" i="2" a="1"/>
  <c r="FY10" i="2" s="1"/>
  <c r="FY122" i="2" a="1"/>
  <c r="FY122" i="2" s="1"/>
  <c r="FQ203" i="2"/>
  <c r="DH203" i="2"/>
  <c r="EC203" i="2"/>
  <c r="EB203" i="2"/>
  <c r="EA203" i="2"/>
  <c r="BP203" i="2"/>
  <c r="DF203" i="2"/>
  <c r="DG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D15" i="4"/>
  <c r="D13" i="4"/>
  <c r="D14" i="4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D12" i="4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V33" i="2"/>
  <c r="GW33" i="2" s="1"/>
  <c r="GX33" i="2" s="1"/>
  <c r="GY33" i="2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GE3" i="2"/>
  <c r="C14" i="4" s="1"/>
  <c r="E14" i="4" s="1"/>
  <c r="F14" i="4" s="1"/>
  <c r="G14" i="4" s="1"/>
  <c r="L14" i="4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93" i="2" l="1"/>
  <c r="CY47" i="2"/>
  <c r="CY16" i="2"/>
  <c r="CY70" i="2"/>
  <c r="CY6" i="2"/>
  <c r="CY130" i="2"/>
  <c r="CY69" i="2"/>
  <c r="CY201" i="2"/>
  <c r="CY164" i="2"/>
  <c r="CY24" i="2"/>
  <c r="CY10" i="2"/>
  <c r="CY168" i="2"/>
  <c r="CY175" i="2"/>
  <c r="CY74" i="2"/>
  <c r="CY73" i="2"/>
  <c r="CY60" i="2"/>
  <c r="CY117" i="2"/>
  <c r="CY7" i="2"/>
  <c r="CY51" i="2"/>
  <c r="CY91" i="2"/>
  <c r="CY152" i="2"/>
  <c r="CY176" i="2"/>
  <c r="CY68" i="2"/>
  <c r="CY26" i="2"/>
  <c r="CY85" i="2"/>
  <c r="CY44" i="2"/>
  <c r="CY66" i="2"/>
  <c r="CY107" i="2"/>
  <c r="CY62" i="2"/>
  <c r="CY21" i="2"/>
  <c r="CY137" i="2"/>
  <c r="CY172" i="2"/>
  <c r="CY97" i="2"/>
  <c r="CY22" i="2"/>
  <c r="CY127" i="2"/>
  <c r="CY179" i="2"/>
  <c r="CY115" i="2"/>
  <c r="CY188" i="2"/>
  <c r="CY109" i="2"/>
  <c r="CY86" i="2"/>
  <c r="CY28" i="2"/>
  <c r="CY31" i="2"/>
  <c r="CY183" i="2"/>
  <c r="CY134" i="2"/>
  <c r="CY143" i="2"/>
  <c r="CY36" i="2"/>
  <c r="CY76" i="2"/>
  <c r="CY61" i="2"/>
  <c r="CY52" i="2"/>
  <c r="CY42" i="2"/>
  <c r="CY45" i="2"/>
  <c r="CY58" i="2"/>
  <c r="CY129" i="2"/>
  <c r="CY75" i="2"/>
  <c r="CY59" i="2"/>
  <c r="CY40" i="2"/>
  <c r="CY148" i="2"/>
  <c r="CY131" i="2"/>
  <c r="CY88" i="2"/>
  <c r="CY57" i="2"/>
  <c r="CY99" i="2"/>
  <c r="CY166" i="2"/>
  <c r="CY193" i="2"/>
  <c r="CY173" i="2"/>
  <c r="CY111" i="2"/>
  <c r="CY133" i="2"/>
  <c r="CY23" i="2"/>
  <c r="CY100" i="2"/>
  <c r="CY101" i="2"/>
  <c r="CY180" i="2"/>
  <c r="CY140" i="2"/>
  <c r="CY80" i="2"/>
  <c r="CY119" i="2"/>
  <c r="CY29" i="2"/>
  <c r="CY64" i="2"/>
  <c r="CY113" i="2"/>
  <c r="CY162" i="2"/>
  <c r="CY128" i="2"/>
  <c r="CY34" i="2"/>
  <c r="CY158" i="2"/>
  <c r="CY72" i="2"/>
  <c r="CY191" i="2"/>
  <c r="CY181" i="2"/>
  <c r="CY203" i="2"/>
  <c r="CY156" i="2"/>
  <c r="CY150" i="2"/>
  <c r="CY83" i="2"/>
  <c r="CY190" i="2"/>
  <c r="CY8" i="2"/>
  <c r="CY171" i="2"/>
  <c r="CY104" i="2"/>
  <c r="CY138" i="2"/>
  <c r="CY186" i="2"/>
  <c r="CY79" i="2"/>
  <c r="CY3" i="2"/>
  <c r="C10" i="4" s="1"/>
  <c r="E10" i="4" s="1"/>
  <c r="F10" i="4" s="1"/>
  <c r="G10" i="4" s="1"/>
  <c r="L10" i="4" s="1"/>
  <c r="CY170" i="2"/>
  <c r="CY165" i="2"/>
  <c r="CY163" i="2"/>
  <c r="CY132" i="2"/>
  <c r="CY112" i="2"/>
  <c r="CY139" i="2"/>
  <c r="CY200" i="2"/>
  <c r="CY147" i="2"/>
  <c r="CY39" i="2"/>
  <c r="CY199" i="2"/>
  <c r="CY56" i="2"/>
  <c r="CY102" i="2"/>
  <c r="CY108" i="2"/>
  <c r="CY142" i="2"/>
  <c r="CY161" i="2"/>
  <c r="CY151" i="2"/>
  <c r="CY18" i="2"/>
  <c r="CY15" i="2"/>
  <c r="CY98" i="2"/>
  <c r="CY106" i="2"/>
  <c r="CY178" i="2"/>
  <c r="CY146" i="2"/>
  <c r="CY177" i="2"/>
  <c r="CY84" i="2"/>
  <c r="CY154" i="2"/>
  <c r="CY92" i="2"/>
  <c r="CY25" i="2"/>
  <c r="CY196" i="2"/>
  <c r="CY185" i="2"/>
  <c r="CY118" i="2"/>
  <c r="CY155" i="2"/>
  <c r="CY124" i="2"/>
  <c r="CY65" i="2"/>
  <c r="CY103" i="2"/>
  <c r="CY87" i="2"/>
  <c r="CY55" i="2"/>
  <c r="CY135" i="2"/>
  <c r="CY197" i="2"/>
  <c r="CY13" i="2"/>
  <c r="CY153" i="2"/>
  <c r="CY94" i="2"/>
  <c r="CY48" i="2"/>
  <c r="CY189" i="2"/>
  <c r="CY160" i="2"/>
  <c r="CY27" i="2"/>
  <c r="CY149" i="2"/>
  <c r="CY30" i="2"/>
  <c r="CY81" i="2"/>
  <c r="CY78" i="2"/>
  <c r="CY159" i="2"/>
  <c r="CY14" i="2"/>
  <c r="CY4" i="2"/>
  <c r="CY121" i="2"/>
  <c r="CY192" i="2"/>
  <c r="CY54" i="2"/>
  <c r="CY9" i="2"/>
  <c r="CY198" i="2"/>
  <c r="CY202" i="2"/>
  <c r="CY96" i="2"/>
  <c r="CY195" i="2"/>
  <c r="CY43" i="2"/>
  <c r="CY46" i="2"/>
  <c r="CY184" i="2"/>
  <c r="CY63" i="2"/>
  <c r="CY126" i="2"/>
  <c r="CY123" i="2"/>
  <c r="CY5" i="2"/>
  <c r="CY145" i="2"/>
  <c r="CY35" i="2"/>
  <c r="CY95" i="2"/>
  <c r="CY90" i="2"/>
  <c r="CY110" i="2"/>
  <c r="CY169" i="2"/>
  <c r="CY120" i="2"/>
  <c r="CY114" i="2"/>
  <c r="CY182" i="2"/>
  <c r="CY41" i="2"/>
  <c r="CY89" i="2"/>
  <c r="CY32" i="2"/>
  <c r="CY11" i="2"/>
  <c r="CY167" i="2"/>
  <c r="CY194" i="2"/>
  <c r="CY71" i="2"/>
  <c r="CY67" i="2"/>
  <c r="CY38" i="2"/>
  <c r="CY157" i="2"/>
  <c r="CY105" i="2"/>
  <c r="CY141" i="2"/>
  <c r="CY37" i="2"/>
  <c r="CY17" i="2"/>
  <c r="CY19" i="2"/>
  <c r="CY187" i="2"/>
  <c r="CY53" i="2"/>
  <c r="CY50" i="2"/>
  <c r="CY82" i="2"/>
  <c r="CY33" i="2"/>
  <c r="CY122" i="2"/>
  <c r="CY116" i="2"/>
  <c r="CY125" i="2"/>
  <c r="CY12" i="2"/>
  <c r="CY20" i="2"/>
  <c r="CY77" i="2"/>
  <c r="CY49" i="2"/>
  <c r="CY136" i="2"/>
  <c r="CY144" i="2"/>
  <c r="CY174" i="2"/>
  <c r="CD60" i="2"/>
  <c r="CD158" i="2"/>
  <c r="CD53" i="2"/>
  <c r="CD101" i="2"/>
  <c r="CD150" i="2"/>
  <c r="CD119" i="2"/>
  <c r="CD65" i="2"/>
  <c r="CD97" i="2"/>
  <c r="CD52" i="2"/>
  <c r="CD151" i="2"/>
  <c r="CD177" i="2"/>
  <c r="CD43" i="2"/>
  <c r="CD61" i="2"/>
  <c r="CD18" i="2"/>
  <c r="CD168" i="2"/>
  <c r="CD22" i="2"/>
  <c r="CD133" i="2"/>
  <c r="CD10" i="2"/>
  <c r="CD176" i="2"/>
  <c r="CD29" i="2"/>
  <c r="CD120" i="2"/>
  <c r="CD121" i="2"/>
  <c r="CD169" i="2"/>
  <c r="CD106" i="2"/>
  <c r="CD163" i="2"/>
  <c r="CD155" i="2"/>
  <c r="CD44" i="2"/>
  <c r="CD138" i="2"/>
  <c r="CD123" i="2"/>
  <c r="CD201" i="2"/>
  <c r="CD14" i="2"/>
  <c r="CD75" i="2"/>
  <c r="CD70" i="2"/>
  <c r="CD90" i="2"/>
  <c r="CD183" i="2"/>
  <c r="CD186" i="2"/>
  <c r="CD113" i="2"/>
  <c r="CD41" i="2"/>
  <c r="CD81" i="2"/>
  <c r="CD99" i="2"/>
  <c r="CD170" i="2"/>
  <c r="CD98" i="2"/>
  <c r="CD172" i="2"/>
  <c r="CD132" i="2"/>
  <c r="CD145" i="2"/>
  <c r="CD109" i="2"/>
  <c r="CD33" i="2"/>
  <c r="CD185" i="2"/>
  <c r="CD76" i="2"/>
  <c r="CD20" i="2"/>
  <c r="CD112" i="2"/>
  <c r="CD87" i="2"/>
  <c r="CD181" i="2"/>
  <c r="CD157" i="2"/>
  <c r="CD124" i="2"/>
  <c r="CD47" i="2"/>
  <c r="CD35" i="2"/>
  <c r="CD152" i="2"/>
  <c r="CD182" i="2"/>
  <c r="CD104" i="2"/>
  <c r="CD15" i="2"/>
  <c r="CD128" i="2"/>
  <c r="CD200" i="2"/>
  <c r="CD139" i="2"/>
  <c r="CD92" i="2"/>
  <c r="CD114" i="2"/>
  <c r="CD191" i="2"/>
  <c r="CD39" i="2"/>
  <c r="CD66" i="2"/>
  <c r="CD40" i="2"/>
  <c r="CD78" i="2"/>
  <c r="CD79" i="2"/>
  <c r="CD93" i="2"/>
  <c r="CD136" i="2"/>
  <c r="CD74" i="2"/>
  <c r="CD34" i="2"/>
  <c r="CD154" i="2"/>
  <c r="CD129" i="2"/>
  <c r="CD13" i="2"/>
  <c r="CD8" i="2"/>
  <c r="CD46" i="2"/>
  <c r="CD23" i="2"/>
  <c r="CD173" i="2"/>
  <c r="CD141" i="2"/>
  <c r="CD164" i="2"/>
  <c r="CD142" i="2"/>
  <c r="CD12" i="2"/>
  <c r="CD36" i="2"/>
  <c r="CD64" i="2"/>
  <c r="CD54" i="2"/>
  <c r="CD160" i="2"/>
  <c r="CD38" i="2"/>
  <c r="CD7" i="2"/>
  <c r="CD147" i="2"/>
  <c r="CD162" i="2"/>
  <c r="CD187" i="2"/>
  <c r="CD198" i="2"/>
  <c r="CD108" i="2"/>
  <c r="CD68" i="2"/>
  <c r="CD131" i="2"/>
  <c r="CD122" i="2"/>
  <c r="CD80" i="2"/>
  <c r="CD6" i="2"/>
  <c r="CD71" i="2"/>
  <c r="CD96" i="2"/>
  <c r="CD171" i="2"/>
  <c r="CD125" i="2"/>
  <c r="CD134" i="2"/>
  <c r="CD25" i="2"/>
  <c r="CD11" i="2"/>
  <c r="CD100" i="2"/>
  <c r="CD27" i="2"/>
  <c r="CD28" i="2"/>
  <c r="CD62" i="2"/>
  <c r="CD130" i="2"/>
  <c r="CD69" i="2"/>
  <c r="CD126" i="2"/>
  <c r="CD159" i="2"/>
  <c r="CD17" i="2"/>
  <c r="CD73" i="2"/>
  <c r="CD116" i="2"/>
  <c r="CD161" i="2"/>
  <c r="CD144" i="2"/>
  <c r="CD166" i="2"/>
  <c r="CD5" i="2"/>
  <c r="CD32" i="2"/>
  <c r="CD50" i="2"/>
  <c r="CD59" i="2"/>
  <c r="CD55" i="2"/>
  <c r="CD85" i="2"/>
  <c r="CD56" i="2"/>
  <c r="CD179" i="2"/>
  <c r="CD95" i="2"/>
  <c r="CD156" i="2"/>
  <c r="CD195" i="2"/>
  <c r="CD67" i="2"/>
  <c r="CD143" i="2"/>
  <c r="CD180" i="2"/>
  <c r="CD115" i="2"/>
  <c r="CD58" i="2"/>
  <c r="CD83" i="2"/>
  <c r="CD45" i="2"/>
  <c r="CD4" i="2"/>
  <c r="CD82" i="2"/>
  <c r="CD196" i="2"/>
  <c r="CD167" i="2"/>
  <c r="CD193" i="2"/>
  <c r="CD91" i="2"/>
  <c r="CD165" i="2"/>
  <c r="CD118" i="2"/>
  <c r="CD110" i="2"/>
  <c r="CD77" i="2"/>
  <c r="CD16" i="2"/>
  <c r="CD135" i="2"/>
  <c r="CD63" i="2"/>
  <c r="CD102" i="2"/>
  <c r="CD107" i="2"/>
  <c r="CD117" i="2"/>
  <c r="CD111" i="2"/>
  <c r="CD105" i="2"/>
  <c r="CD188" i="2"/>
  <c r="CD199" i="2"/>
  <c r="CD202" i="2"/>
  <c r="CD190" i="2"/>
  <c r="CD175" i="2"/>
  <c r="CD153" i="2"/>
  <c r="CD189" i="2"/>
  <c r="CD149" i="2"/>
  <c r="CD192" i="2"/>
  <c r="CD146" i="2"/>
  <c r="CD174" i="2"/>
  <c r="CD37" i="2"/>
  <c r="CD94" i="2"/>
  <c r="CD19" i="2"/>
  <c r="CD48" i="2"/>
  <c r="CD103" i="2"/>
  <c r="CD30" i="2"/>
  <c r="CD31" i="2"/>
  <c r="CD88" i="2"/>
  <c r="CD86" i="2"/>
  <c r="CD140" i="2"/>
  <c r="CD51" i="2"/>
  <c r="CD127" i="2"/>
  <c r="CD42" i="2"/>
  <c r="CD9" i="2"/>
  <c r="CD3" i="2"/>
  <c r="C9" i="4" s="1"/>
  <c r="E9" i="4" s="1"/>
  <c r="F9" i="4" s="1"/>
  <c r="G9" i="4" s="1"/>
  <c r="L9" i="4" s="1"/>
  <c r="CD57" i="2"/>
  <c r="CD194" i="2"/>
  <c r="CD49" i="2"/>
  <c r="CD137" i="2"/>
  <c r="CD84" i="2"/>
  <c r="CD24" i="2"/>
  <c r="CD26" i="2"/>
  <c r="CD21" i="2"/>
  <c r="CD148" i="2"/>
  <c r="CD178" i="2"/>
  <c r="CD72" i="2"/>
  <c r="CD197" i="2"/>
  <c r="CD203" i="2"/>
  <c r="CD89" i="2"/>
  <c r="CD184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<sst xmlns="http://schemas.openxmlformats.org/spreadsheetml/2006/main" count="1005" uniqueCount="314">
  <si>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</si>
  <si>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</si>
  <si>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</si>
  <si>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</si>
  <si>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</si>
  <si>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</si>
  <si>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</si>
  <si>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</si>
  <si>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</si>
  <si>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</si>
  <si>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</si>
  <si>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</si>
  <si>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</si>
  <si>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</si>
  <si>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</si>
  <si>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</si>
  <si>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</si>
  <si>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</si>
  <si>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</si>
  <si>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</si>
  <si>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</si>
  <si>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</si>
  <si>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</si>
  <si>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</si>
  <si>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</si>
  <si>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</si>
  <si>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</si>
  <si>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</si>
  <si>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</si>
  <si>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</si>
  <si>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</si>
  <si>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</si>
  <si>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</si>
  <si>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</si>
  <si>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</si>
  <si>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</si>
  <si>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</si>
  <si>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</si>
  <si>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</si>
  <si>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</si>
  <si>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</si>
  <si>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</si>
  <si>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</si>
  <si>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</si>
  <si>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</si>
  <si>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</si>
  <si>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</si>
  <si>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</si>
  <si>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</si>
  <si>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</si>
  <si>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</si>
  <si>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</si>
  <si>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</si>
  <si>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</si>
  <si>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</si>
  <si>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</si>
  <si>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</si>
  <si>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</si>
  <si>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</si>
  <si>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</si>
  <si>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</si>
  <si>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</si>
  <si>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</si>
  <si>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</si>
  <si>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</si>
  <si>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</si>
  <si>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</si>
  <si>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</si>
  <si>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</si>
  <si>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</si>
  <si>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</si>
  <si>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</si>
  <si>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</si>
  <si>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</si>
  <si>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</si>
  <si>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</si>
  <si>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</si>
  <si>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</si>
  <si>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</si>
  <si>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</si>
  <si>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</si>
  <si>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</si>
  <si>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</si>
  <si>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</si>
  <si>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</si>
  <si>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</si>
  <si>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</si>
  <si>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</si>
  <si>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</si>
  <si>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</si>
  <si>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</si>
  <si>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</si>
  <si>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</si>
  <si>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</si>
  <si>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</si>
  <si>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</si>
  <si>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</si>
  <si>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</si>
  <si>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</si>
  <si>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</si>
  <si>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</si>
  <si>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</si>
  <si>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</si>
  <si>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</si>
  <si>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</si>
  <si>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</si>
  <si>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</si>
  <si>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</si>
  <si>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</si>
  <si>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</si>
  <si>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</si>
  <si>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</si>
  <si>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</si>
  <si>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</si>
  <si>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</si>
  <si>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</si>
  <si>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</si>
  <si>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</si>
  <si>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</si>
  <si>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</si>
  <si>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</si>
  <si>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</si>
  <si>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</si>
  <si>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</si>
  <si>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</si>
  <si>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</si>
  <si>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</si>
  <si>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</si>
  <si>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</si>
  <si>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</si>
  <si>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</si>
  <si>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</si>
  <si>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</si>
  <si>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</si>
  <si>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</si>
  <si>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</si>
  <si>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</si>
  <si>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</si>
  <si>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</si>
  <si>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</si>
  <si>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</si>
  <si>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</si>
  <si>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</si>
  <si>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</si>
  <si>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</si>
  <si>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</si>
  <si>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</si>
  <si>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</si>
  <si>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</si>
  <si>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</si>
  <si>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</si>
  <si>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</si>
  <si>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</si>
  <si>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</si>
  <si>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</si>
  <si>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</si>
  <si>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</si>
  <si>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</si>
  <si>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</si>
  <si>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</si>
  <si>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</si>
  <si>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</si>
  <si>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</si>
  <si>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</si>
  <si>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</si>
  <si>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</si>
  <si>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</si>
  <si>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</si>
  <si>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</si>
  <si>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</si>
  <si>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</si>
  <si>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</si>
  <si>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</si>
  <si>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</si>
  <si>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</si>
  <si>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</si>
  <si>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</si>
  <si>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</si>
  <si>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</si>
  <si>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</si>
  <si>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</si>
  <si>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</si>
  <si>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</si>
  <si>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</si>
  <si>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</si>
  <si>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</si>
  <si>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</si>
  <si>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</si>
  <si>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</si>
  <si>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</si>
  <si>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</si>
  <si>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</si>
  <si>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</si>
  <si>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</si>
  <si>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</si>
  <si>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</si>
  <si>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</si>
  <si>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</si>
  <si>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</si>
  <si>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</si>
  <si>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</si>
  <si>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</si>
  <si>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</si>
  <si>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</si>
  <si>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</si>
  <si>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</si>
  <si>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</si>
  <si>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</si>
  <si>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</si>
  <si>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</si>
  <si>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</si>
  <si>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</si>
  <si>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</si>
  <si>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</si>
  <si>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</si>
  <si>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</si>
  <si>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</si>
  <si>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</si>
  <si>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</si>
  <si>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</si>
  <si>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</si>
  <si>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</si>
  <si>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</si>
  <si>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</si>
  <si>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</si>
  <si>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</si>
  <si>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</si>
  <si>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</si>
  <si>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</si>
  <si>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</si>
  <si>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</si>
  <si>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</si>
  <si>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</si>
  <si>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</si>
  <si>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</si>
  <si>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</si>
  <si>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</si>
  <si>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</si>
  <si>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</si>
  <si>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</si>
  <si>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</si>
  <si>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</si>
  <si>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</si>
  <si>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</si>
  <si>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</si>
  <si>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</si>
  <si>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</si>
  <si>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</si>
  <si>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</si>
  <si>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</si>
  <si>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</si>
  <si>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</si>
  <si>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</si>
  <si>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</si>
  <si>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</si>
  <si>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</si>
  <si>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</si>
  <si>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</si>
  <si>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</si>
  <si>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</si>
  <si>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Etirer la formule de la colonne "Année"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</si>
  <si>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</si>
  <si>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</si>
  <si>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</si>
  <si>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</si>
  <si>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</si>
  <si>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</si>
  <si>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</si>
  <si>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</si>
  <si>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</si>
  <si>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</si>
  <si>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</si>
  <si>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</si>
  <si>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</si>
  <si>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</si>
  <si>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</si>
  <si>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</si>
  <si>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</si>
  <si>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</si>
  <si>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</si>
  <si>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</si>
  <si>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</si>
  <si>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</si>
  <si>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</si>
  <si>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</si>
  <si>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</si>
  <si>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</si>
  <si>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</si>
  <si>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</si>
  <si>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</si>
  <si>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</si>
  <si>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</si>
  <si>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Ce coût doit intégrer les coûts non imputables aux essences (préparation de la parcelle, protections, dégagements et autres).</t>
  </si>
  <si>
    <t>Ce coût doit intégrer les coûts imputables à l'essence (achats des plants, opération de plantation, éclaircies, etc).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</si>
  <si>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</si>
  <si>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</si>
  <si>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</si>
  <si>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à partir de la cellule R29 jusqu'au "STOP"</t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</si>
  <si>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</si>
  <si>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</si>
  <si>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</si>
  <si>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</si>
  <si>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</si>
  <si>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</si>
  <si>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</si>
  <si>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</si>
  <si>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Renseignez les % de surfaces de culture à l'année 0</t>
  </si>
  <si>
    <t>→ Si scénarios 2, 3, 4 ou 5 :</t>
  </si>
  <si>
    <t>Biomasse totale (tCO₂/ha)</t>
  </si>
  <si>
    <t>Stock moyen de long terme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</si>
  <si>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</si>
  <si>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</si>
  <si>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ainsi que pour laisser la possibilité de noter des commentaires dans les cellules non verrouillées.</t>
  </si>
  <si>
    <t>V28/09/2021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</si>
</sst>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6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5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6" xfId="0" applyFont="1" applyFill="1" applyBorder="1" applyAlignment="1" applyProtection="1">
      <alignment horizontal="center" vertical="center" wrapText="1"/>
      <protection hidden="1"/>
    </xf>
    <xf numFmtId="164" fontId="0" fillId="6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0" fontId="1" fillId="2" borderId="44" xfId="0" applyFont="1" applyFill="1" applyBorder="1" applyAlignment="1" applyProtection="1">
      <alignment horizontal="center" vertical="center" wrapText="1"/>
      <protection hidden="1"/>
    </xf>
    <xf numFmtId="164" fontId="0" fillId="2" borderId="37" xfId="0" applyNumberFormat="1" applyFill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6" borderId="38" xfId="0" applyFont="1" applyFill="1" applyBorder="1" applyAlignment="1" applyProtection="1">
      <alignment horizontal="center" vertical="center" wrapText="1"/>
      <protection hidden="1"/>
    </xf>
    <xf numFmtId="0" fontId="0" fillId="6" borderId="37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7" xfId="0" applyNumberFormat="1" applyFill="1" applyBorder="1" applyAlignment="1" applyProtection="1">
      <alignment horizontal="center" vertical="center"/>
      <protection hidden="1"/>
    </xf>
    <xf numFmtId="0" fontId="0" fillId="2" borderId="37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/>
      <protection hidden="1"/>
    </xf>
    <xf numFmtId="0" fontId="0" fillId="10" borderId="34" xfId="0" applyFill="1" applyBorder="1" applyAlignment="1" applyProtection="1">
      <alignment horizontal="center" vertical="center"/>
      <protection hidden="1"/>
    </xf>
    <xf numFmtId="0" fontId="0" fillId="10" borderId="10" xfId="0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0" fillId="0" borderId="6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1" fillId="4" borderId="14" xfId="0" applyFont="1" applyFill="1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0" borderId="46" xfId="0" applyNumberFormat="1" applyBorder="1" applyAlignment="1" applyProtection="1">
      <alignment horizontal="center" vertical="center"/>
      <protection hidden="1"/>
    </xf>
    <xf numFmtId="0" fontId="0" fillId="0" borderId="46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9" fontId="0" fillId="8" borderId="17" xfId="0" applyNumberFormat="1" applyFill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9" fontId="0" fillId="8" borderId="22" xfId="0" applyNumberFormat="1" applyFill="1" applyBorder="1" applyAlignment="1" applyProtection="1">
      <alignment horizontal="center" vertical="center"/>
      <protection hidden="1"/>
    </xf>
    <xf numFmtId="9" fontId="0" fillId="8" borderId="19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9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1" xfId="0" applyBorder="1" applyProtection="1"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0" fillId="0" borderId="22" xfId="0" applyBorder="1" applyProtection="1">
      <protection hidden="1"/>
    </xf>
    <xf numFmtId="0" fontId="1" fillId="15" borderId="12" xfId="0" applyFont="1" applyFill="1" applyBorder="1" applyAlignment="1" applyProtection="1">
      <alignment horizontal="center" vertical="center"/>
      <protection hidden="1"/>
    </xf>
    <xf numFmtId="0" fontId="1" fillId="15" borderId="29" xfId="0" applyFont="1" applyFill="1" applyBorder="1" applyAlignment="1" applyProtection="1">
      <alignment horizontal="center" vertical="center" wrapText="1"/>
      <protection hidden="1"/>
    </xf>
    <xf numFmtId="0" fontId="1" fillId="13" borderId="13" xfId="0" applyFont="1" applyFill="1" applyBorder="1" applyAlignment="1" applyProtection="1">
      <alignment horizontal="center" vertical="center" wrapText="1"/>
      <protection hidden="1"/>
    </xf>
    <xf numFmtId="0" fontId="1" fillId="9" borderId="12" xfId="0" applyFont="1" applyFill="1" applyBorder="1" applyAlignment="1" applyProtection="1">
      <alignment horizontal="center" vertical="center" wrapText="1"/>
      <protection hidden="1"/>
    </xf>
    <xf numFmtId="0" fontId="1" fillId="9" borderId="14" xfId="0" applyFont="1" applyFill="1" applyBorder="1" applyAlignment="1" applyProtection="1">
      <alignment horizontal="center" vertical="center" wrapText="1"/>
      <protection hidden="1"/>
    </xf>
    <xf numFmtId="0" fontId="1" fillId="17" borderId="31" xfId="0" applyFont="1" applyFill="1" applyBorder="1" applyAlignment="1" applyProtection="1">
      <alignment horizontal="center" vertical="center" wrapText="1"/>
      <protection hidden="1"/>
    </xf>
    <xf numFmtId="0" fontId="1" fillId="17" borderId="29" xfId="0" applyFont="1" applyFill="1" applyBorder="1" applyAlignment="1" applyProtection="1">
      <alignment horizontal="center" vertical="center" wrapText="1"/>
      <protection hidden="1"/>
    </xf>
    <xf numFmtId="0" fontId="1" fillId="15" borderId="2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4" borderId="11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3" borderId="28" xfId="0" applyNumberFormat="1" applyFill="1" applyBorder="1" applyAlignment="1" applyProtection="1">
      <alignment horizontal="center"/>
      <protection hidden="1"/>
    </xf>
    <xf numFmtId="1" fontId="0" fillId="16" borderId="32" xfId="0" applyNumberFormat="1" applyFill="1" applyBorder="1" applyAlignment="1" applyProtection="1">
      <alignment horizontal="center"/>
      <protection hidden="1"/>
    </xf>
    <xf numFmtId="1" fontId="0" fillId="16" borderId="4" xfId="0" applyNumberFormat="1" applyFill="1" applyBorder="1" applyAlignment="1" applyProtection="1">
      <alignment horizontal="center"/>
      <protection hidden="1"/>
    </xf>
    <xf numFmtId="1" fontId="0" fillId="10" borderId="33" xfId="0" applyNumberFormat="1" applyFill="1" applyBorder="1" applyAlignment="1" applyProtection="1">
      <alignment horizontal="center"/>
      <protection hidden="1"/>
    </xf>
    <xf numFmtId="0" fontId="1" fillId="15" borderId="18" xfId="0" applyFont="1" applyFill="1" applyBorder="1" applyAlignment="1" applyProtection="1">
      <alignment horizontal="center"/>
      <protection hidden="1"/>
    </xf>
    <xf numFmtId="2" fontId="1" fillId="15" borderId="5" xfId="0" applyNumberFormat="1" applyFont="1" applyFill="1" applyBorder="1" applyAlignment="1" applyProtection="1">
      <alignment horizontal="center"/>
      <protection hidden="1"/>
    </xf>
    <xf numFmtId="1" fontId="0" fillId="3" borderId="18" xfId="0" applyNumberFormat="1" applyFill="1" applyBorder="1" applyAlignment="1" applyProtection="1">
      <alignment horizontal="center"/>
      <protection hidden="1"/>
    </xf>
    <xf numFmtId="0" fontId="1" fillId="15" borderId="20" xfId="0" applyFont="1" applyFill="1" applyBorder="1" applyAlignment="1" applyProtection="1">
      <alignment horizontal="center"/>
      <protection hidden="1"/>
    </xf>
    <xf numFmtId="2" fontId="1" fillId="15" borderId="30" xfId="0" applyNumberFormat="1" applyFont="1" applyFill="1" applyBorder="1" applyAlignment="1" applyProtection="1">
      <alignment horizontal="center"/>
      <protection hidden="1"/>
    </xf>
    <xf numFmtId="1" fontId="0" fillId="4" borderId="21" xfId="0" applyNumberFormat="1" applyFill="1" applyBorder="1" applyAlignment="1" applyProtection="1">
      <alignment horizontal="center"/>
      <protection hidden="1"/>
    </xf>
    <xf numFmtId="1" fontId="0" fillId="4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3" borderId="50" xfId="0" applyNumberFormat="1" applyFill="1" applyBorder="1" applyAlignment="1" applyProtection="1">
      <alignment horizontal="center"/>
      <protection hidden="1"/>
    </xf>
    <xf numFmtId="1" fontId="0" fillId="16" borderId="51" xfId="0" applyNumberFormat="1" applyFill="1" applyBorder="1" applyAlignment="1" applyProtection="1">
      <alignment horizontal="center"/>
      <protection hidden="1"/>
    </xf>
    <xf numFmtId="1" fontId="0" fillId="16" borderId="39" xfId="0" applyNumberFormat="1" applyFill="1" applyBorder="1" applyAlignment="1" applyProtection="1">
      <alignment horizontal="center"/>
      <protection hidden="1"/>
    </xf>
    <xf numFmtId="1" fontId="0" fillId="10" borderId="47" xfId="0" applyNumberForma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13" borderId="13" xfId="0" applyNumberFormat="1" applyFont="1" applyFill="1" applyBorder="1" applyAlignment="1" applyProtection="1">
      <alignment horizontal="center"/>
      <protection hidden="1"/>
    </xf>
    <xf numFmtId="1" fontId="1" fillId="9" borderId="13" xfId="0" applyNumberFormat="1" applyFont="1" applyFill="1" applyBorder="1" applyAlignment="1" applyProtection="1">
      <alignment horizontal="center"/>
      <protection hidden="1"/>
    </xf>
    <xf numFmtId="1" fontId="1" fillId="17" borderId="13" xfId="0" applyNumberFormat="1" applyFont="1" applyFill="1" applyBorder="1" applyAlignment="1" applyProtection="1">
      <alignment horizontal="center"/>
      <protection hidden="1"/>
    </xf>
    <xf numFmtId="1" fontId="1" fillId="10" borderId="14" xfId="0" applyNumberFormat="1" applyFont="1" applyFill="1" applyBorder="1" applyAlignment="1" applyProtection="1">
      <alignment horizontal="center"/>
      <protection hidden="1"/>
    </xf>
    <xf numFmtId="0" fontId="1" fillId="15" borderId="10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165" fontId="1" fillId="4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42" xfId="0" applyFont="1" applyBorder="1" applyProtection="1">
      <protection hidden="1"/>
    </xf>
    <xf numFmtId="0" fontId="0" fillId="0" borderId="42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2" xfId="0" applyFont="1" applyBorder="1" applyProtection="1">
      <protection hidden="1"/>
    </xf>
    <xf numFmtId="0" fontId="15" fillId="0" borderId="0" xfId="0" applyFont="1" applyAlignment="1" applyProtection="1">
      <alignment wrapText="1"/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0" fontId="0" fillId="0" borderId="9" xfId="0" applyFill="1" applyBorder="1" applyProtection="1">
      <protection locked="0" hidden="1"/>
    </xf>
    <xf numFmtId="168" fontId="0" fillId="0" borderId="9" xfId="0" applyNumberFormat="1" applyFill="1" applyBorder="1" applyAlignment="1" applyProtection="1">
      <alignment horizontal="center" vertical="center"/>
      <protection locked="0" hidden="1"/>
    </xf>
    <xf numFmtId="0" fontId="1" fillId="0" borderId="9" xfId="0" applyFont="1" applyFill="1" applyBorder="1" applyAlignment="1" applyProtection="1">
      <alignment horizontal="center" vertical="center"/>
      <protection locked="0" hidden="1"/>
    </xf>
    <xf numFmtId="168" fontId="0" fillId="0" borderId="9" xfId="0" applyNumberFormat="1" applyFill="1" applyBorder="1" applyAlignment="1" applyProtection="1">
      <alignment horizontal="center"/>
      <protection locked="0"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Protection="1">
      <protection locked="0" hidden="1"/>
    </xf>
    <xf numFmtId="168" fontId="15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6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Fill="1" applyAlignment="1" applyProtection="1">
      <alignment horizontal="center"/>
      <protection locked="0" hidden="1"/>
    </xf>
    <xf numFmtId="0" fontId="0" fillId="0" borderId="42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2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9" xfId="0" applyFont="1" applyFill="1" applyBorder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6" fillId="0" borderId="0" xfId="0" applyFont="1" applyFill="1" applyBorder="1" applyAlignment="1" applyProtection="1">
      <alignment horizontal="center"/>
      <protection locked="0" hidden="1"/>
    </xf>
    <xf numFmtId="0" fontId="0" fillId="0" borderId="0" xfId="0" applyFill="1" applyProtection="1">
      <protection locked="0" hidden="1"/>
    </xf>
    <xf numFmtId="0" fontId="15" fillId="0" borderId="0" xfId="0" applyFont="1" applyAlignment="1" applyProtection="1">
      <alignment wrapText="1"/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9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8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1" fillId="4" borderId="7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7" fillId="4" borderId="45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8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4" borderId="45" xfId="0" applyFont="1" applyFill="1" applyBorder="1" applyAlignment="1" applyProtection="1">
      <alignment horizontal="center"/>
      <protection hidden="1"/>
    </xf>
    <xf numFmtId="0" fontId="7" fillId="2" borderId="38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6" xfId="0" applyFont="1" applyFill="1" applyBorder="1" applyAlignment="1" applyProtection="1">
      <alignment horizontal="center"/>
      <protection hidden="1"/>
    </xf>
    <xf numFmtId="0" fontId="7" fillId="6" borderId="38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6" xfId="0" applyFont="1" applyFill="1" applyBorder="1" applyAlignment="1" applyProtection="1">
      <alignment horizont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" fillId="9" borderId="25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5" fillId="0" borderId="26" xfId="0" applyFont="1" applyBorder="1" applyAlignment="1" applyProtection="1">
      <alignment horizontal="center" wrapText="1"/>
      <protection hidden="1"/>
    </xf>
    <xf numFmtId="0" fontId="15" fillId="0" borderId="26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5" fillId="0" borderId="40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 wrapText="1"/>
      <protection hidden="1"/>
    </xf>
    <xf numFmtId="0" fontId="0" fillId="0" borderId="1" xfId="0" applyBorder="1" applyAlignment="1" applyProtection="1">
      <alignment horizontal="center"/>
      <protection hidden="1"/>
    </xf>
    <xf numFmtId="0" fontId="15" fillId="0" borderId="1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/>
      <protection hidden="1"/>
    </xf>
    <xf numFmtId="0" fontId="15" fillId="0" borderId="9" xfId="0" applyFont="1" applyBorder="1" applyAlignment="1" applyProtection="1">
      <alignment horizontal="center" wrapText="1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0" fillId="0" borderId="1" xfId="0" applyNumberForma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5" fillId="0" borderId="41" xfId="0" applyFon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2.0730494889998439</c:v>
                </c:pt>
                <c:pt idx="2">
                  <c:v>2.7713902099624388</c:v>
                </c:pt>
                <c:pt idx="3">
                  <c:v>3.7059598746197273</c:v>
                </c:pt>
                <c:pt idx="4">
                  <c:v>4.9569808986894621</c:v>
                </c:pt>
                <c:pt idx="5">
                  <c:v>6.6320182179794296</c:v>
                </c:pt>
                <c:pt idx="6">
                  <c:v>8.8753299463916484</c:v>
                </c:pt>
                <c:pt idx="7">
                  <c:v>11.880425685941423</c:v>
                </c:pt>
                <c:pt idx="8">
                  <c:v>15.906935948657278</c:v>
                </c:pt>
                <c:pt idx="9">
                  <c:v>21.303276722194457</c:v>
                </c:pt>
                <c:pt idx="10">
                  <c:v>28.537105341810928</c:v>
                </c:pt>
                <c:pt idx="11">
                  <c:v>38.236253093719412</c:v>
                </c:pt>
                <c:pt idx="12">
                  <c:v>51.243747757418383</c:v>
                </c:pt>
                <c:pt idx="13">
                  <c:v>68.691788300102857</c:v>
                </c:pt>
                <c:pt idx="14">
                  <c:v>92.101215593440472</c:v>
                </c:pt>
                <c:pt idx="15">
                  <c:v>123.51528748012358</c:v>
                </c:pt>
                <c:pt idx="16">
                  <c:v>142.310508240378</c:v>
                </c:pt>
                <c:pt idx="17">
                  <c:v>166.24108621267092</c:v>
                </c:pt>
                <c:pt idx="18">
                  <c:v>190.09024760279837</c:v>
                </c:pt>
                <c:pt idx="19">
                  <c:v>213.86965334974414</c:v>
                </c:pt>
                <c:pt idx="20">
                  <c:v>237.58815254200752</c:v>
                </c:pt>
                <c:pt idx="21">
                  <c:v>191.38430889136703</c:v>
                </c:pt>
                <c:pt idx="22">
                  <c:v>217.48272877564315</c:v>
                </c:pt>
                <c:pt idx="23">
                  <c:v>243.50910656067663</c:v>
                </c:pt>
                <c:pt idx="24">
                  <c:v>269.47222443165776</c:v>
                </c:pt>
                <c:pt idx="25">
                  <c:v>295.37903204669743</c:v>
                </c:pt>
                <c:pt idx="26">
                  <c:v>251.22718469835789</c:v>
                </c:pt>
                <c:pt idx="27">
                  <c:v>278.96905083089666</c:v>
                </c:pt>
                <c:pt idx="28">
                  <c:v>306.64902461461685</c:v>
                </c:pt>
                <c:pt idx="29">
                  <c:v>334.27347444605743</c:v>
                </c:pt>
                <c:pt idx="30">
                  <c:v>361.84763005162063</c:v>
                </c:pt>
                <c:pt idx="31">
                  <c:v>318.1656372745901</c:v>
                </c:pt>
                <c:pt idx="32">
                  <c:v>346.02389994775172</c:v>
                </c:pt>
                <c:pt idx="33">
                  <c:v>373.83292076812228</c:v>
                </c:pt>
                <c:pt idx="34">
                  <c:v>401.59687406880653</c:v>
                </c:pt>
                <c:pt idx="35">
                  <c:v>429.3193102010203</c:v>
                </c:pt>
                <c:pt idx="36">
                  <c:v>384.79084614161474</c:v>
                </c:pt>
                <c:pt idx="37">
                  <c:v>411.52051238897451</c:v>
                </c:pt>
                <c:pt idx="38">
                  <c:v>438.21271714302679</c:v>
                </c:pt>
                <c:pt idx="39">
                  <c:v>464.87006056330733</c:v>
                </c:pt>
                <c:pt idx="40">
                  <c:v>491.49482053067408</c:v>
                </c:pt>
                <c:pt idx="41">
                  <c:v>445.32465141602398</c:v>
                </c:pt>
                <c:pt idx="42">
                  <c:v>470.19755134133334</c:v>
                </c:pt>
                <c:pt idx="43">
                  <c:v>495.04243748759899</c:v>
                </c:pt>
                <c:pt idx="44">
                  <c:v>519.86091201489683</c:v>
                </c:pt>
                <c:pt idx="45">
                  <c:v>544.65441177955734</c:v>
                </c:pt>
                <c:pt idx="46">
                  <c:v>499.34953422631764</c:v>
                </c:pt>
                <c:pt idx="47">
                  <c:v>522.39198231059845</c:v>
                </c:pt>
                <c:pt idx="48">
                  <c:v>545.41301666320339</c:v>
                </c:pt>
                <c:pt idx="49">
                  <c:v>568.41366735640975</c:v>
                </c:pt>
                <c:pt idx="50">
                  <c:v>591.39487438498247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1.5484921385321033</c:v>
                </c:pt>
                <c:pt idx="2">
                  <c:v>1.9570504206517165</c:v>
                </c:pt>
                <c:pt idx="3">
                  <c:v>2.4738374403318768</c:v>
                </c:pt>
                <c:pt idx="4">
                  <c:v>3.1276320809194096</c:v>
                </c:pt>
                <c:pt idx="5">
                  <c:v>3.9548928759939277</c:v>
                </c:pt>
                <c:pt idx="6">
                  <c:v>5.0018140669827131</c:v>
                </c:pt>
                <c:pt idx="7">
                  <c:v>6.326933795194571</c:v>
                </c:pt>
                <c:pt idx="8">
                  <c:v>8.0044431110535275</c:v>
                </c:pt>
                <c:pt idx="9">
                  <c:v>10.128384623225291</c:v>
                </c:pt>
                <c:pt idx="10">
                  <c:v>12.817980611745156</c:v>
                </c:pt>
                <c:pt idx="11">
                  <c:v>16.224395237304858</c:v>
                </c:pt>
                <c:pt idx="12">
                  <c:v>20.539317838740715</c:v>
                </c:pt>
                <c:pt idx="13">
                  <c:v>26.005858985470649</c:v>
                </c:pt>
                <c:pt idx="14">
                  <c:v>32.932383998964205</c:v>
                </c:pt>
                <c:pt idx="15">
                  <c:v>41.71007778249173</c:v>
                </c:pt>
                <c:pt idx="16">
                  <c:v>52.835249802668443</c:v>
                </c:pt>
                <c:pt idx="17">
                  <c:v>66.93766141812263</c:v>
                </c:pt>
                <c:pt idx="18">
                  <c:v>84.816505312458176</c:v>
                </c:pt>
                <c:pt idx="19">
                  <c:v>107.4861087423029</c:v>
                </c:pt>
                <c:pt idx="20">
                  <c:v>136.23399433545893</c:v>
                </c:pt>
                <c:pt idx="21">
                  <c:v>86.984359160257554</c:v>
                </c:pt>
                <c:pt idx="22">
                  <c:v>99.349540078518643</c:v>
                </c:pt>
                <c:pt idx="23">
                  <c:v>111.67649853205727</c:v>
                </c:pt>
                <c:pt idx="24">
                  <c:v>123.97005543664547</c:v>
                </c:pt>
                <c:pt idx="25">
                  <c:v>136.23399433545893</c:v>
                </c:pt>
                <c:pt idx="26">
                  <c:v>148.47136015846644</c:v>
                </c:pt>
                <c:pt idx="27">
                  <c:v>160.68465382913149</c:v>
                </c:pt>
                <c:pt idx="28">
                  <c:v>172.87596436429328</c:v>
                </c:pt>
                <c:pt idx="29">
                  <c:v>185.04706163412209</c:v>
                </c:pt>
                <c:pt idx="30">
                  <c:v>197.19946337106239</c:v>
                </c:pt>
                <c:pt idx="31">
                  <c:v>140.31593562076515</c:v>
                </c:pt>
                <c:pt idx="32">
                  <c:v>154.58087703393579</c:v>
                </c:pt>
                <c:pt idx="33">
                  <c:v>168.81452176155747</c:v>
                </c:pt>
                <c:pt idx="34">
                  <c:v>183.01988197396963</c:v>
                </c:pt>
                <c:pt idx="35">
                  <c:v>197.19946337106239</c:v>
                </c:pt>
                <c:pt idx="36">
                  <c:v>211.35538144796092</c:v>
                </c:pt>
                <c:pt idx="37">
                  <c:v>225.48944490087413</c:v>
                </c:pt>
                <c:pt idx="38">
                  <c:v>239.60321698163875</c:v>
                </c:pt>
                <c:pt idx="39">
                  <c:v>253.69806161385125</c:v>
                </c:pt>
                <c:pt idx="40">
                  <c:v>267.77517870928631</c:v>
                </c:pt>
                <c:pt idx="41">
                  <c:v>201.24634176616689</c:v>
                </c:pt>
                <c:pt idx="42">
                  <c:v>215.39584283593408</c:v>
                </c:pt>
                <c:pt idx="43">
                  <c:v>229.52395871325157</c:v>
                </c:pt>
                <c:pt idx="44">
                  <c:v>243.63219153359822</c:v>
                </c:pt>
                <c:pt idx="45">
                  <c:v>257.72185514470988</c:v>
                </c:pt>
                <c:pt idx="46">
                  <c:v>271.79410793232609</c:v>
                </c:pt>
                <c:pt idx="47">
                  <c:v>285.8499784841336</c:v>
                </c:pt>
                <c:pt idx="48">
                  <c:v>299.89038593700792</c:v>
                </c:pt>
                <c:pt idx="49">
                  <c:v>313.91615631143901</c:v>
                </c:pt>
                <c:pt idx="50">
                  <c:v>327.92803577212442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422.96666682108594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462.16500679362099</c:v>
                </c:pt>
                <c:pt idx="70">
                  <c:v>475.21502577729035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470.61001955868886</c:v>
                </c:pt>
                <c:pt idx="74">
                  <c:v>482.50434799892832</c:v>
                </c:pt>
                <c:pt idx="75">
                  <c:v>494.3924487367961</c:v>
                </c:pt>
                <c:pt idx="76">
                  <c:v>465.62017905920658</c:v>
                </c:pt>
                <c:pt idx="77">
                  <c:v>477.13349754486745</c:v>
                </c:pt>
                <c:pt idx="78">
                  <c:v>488.64090858857691</c:v>
                </c:pt>
                <c:pt idx="79">
                  <c:v>500.14257091604264</c:v>
                </c:pt>
                <c:pt idx="80">
                  <c:v>511.63863535742689</c:v>
                </c:pt>
                <c:pt idx="81">
                  <c:v>482.50434799892832</c:v>
                </c:pt>
                <c:pt idx="82">
                  <c:v>493.62565905582659</c:v>
                </c:pt>
                <c:pt idx="83">
                  <c:v>504.74166024448397</c:v>
                </c:pt>
                <c:pt idx="84">
                  <c:v>515.85248498703129</c:v>
                </c:pt>
                <c:pt idx="85">
                  <c:v>526.95826048952051</c:v>
                </c:pt>
                <c:pt idx="86">
                  <c:v>497.07601440225949</c:v>
                </c:pt>
                <c:pt idx="87">
                  <c:v>507.42405248193222</c:v>
                </c:pt>
                <c:pt idx="88">
                  <c:v>517.76763064124964</c:v>
                </c:pt>
                <c:pt idx="89">
                  <c:v>528.10685054075043</c:v>
                </c:pt>
                <c:pt idx="90">
                  <c:v>538.44180953565808</c:v>
                </c:pt>
                <c:pt idx="91">
                  <c:v>507.80722686130588</c:v>
                </c:pt>
                <c:pt idx="92">
                  <c:v>517.38461348648946</c:v>
                </c:pt>
                <c:pt idx="93">
                  <c:v>526.95826048952051</c:v>
                </c:pt>
                <c:pt idx="94">
                  <c:v>536.52824539615096</c:v>
                </c:pt>
                <c:pt idx="95">
                  <c:v>546.09464274073537</c:v>
                </c:pt>
                <c:pt idx="96">
                  <c:v>515.08638473795281</c:v>
                </c:pt>
                <c:pt idx="97">
                  <c:v>524.27801174542856</c:v>
                </c:pt>
                <c:pt idx="98">
                  <c:v>533.46624406259423</c:v>
                </c:pt>
                <c:pt idx="99">
                  <c:v>542.65114840915578</c:v>
                </c:pt>
                <c:pt idx="100">
                  <c:v>551.83278906179692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156.10734926897979</c:v>
                </c:pt>
                <c:pt idx="27">
                  <c:v>171.52240247513097</c:v>
                </c:pt>
                <c:pt idx="28">
                  <c:v>186.90485368679899</c:v>
                </c:pt>
                <c:pt idx="29">
                  <c:v>202.25776507632233</c:v>
                </c:pt>
                <c:pt idx="30">
                  <c:v>217.58369540679928</c:v>
                </c:pt>
                <c:pt idx="31">
                  <c:v>189.09987078266829</c:v>
                </c:pt>
                <c:pt idx="32">
                  <c:v>206.63925413557971</c:v>
                </c:pt>
                <c:pt idx="33">
                  <c:v>224.14424082064872</c:v>
                </c:pt>
                <c:pt idx="34">
                  <c:v>241.61789541835174</c:v>
                </c:pt>
                <c:pt idx="35">
                  <c:v>259.06280274212457</c:v>
                </c:pt>
                <c:pt idx="36">
                  <c:v>231.57421272848475</c:v>
                </c:pt>
                <c:pt idx="37">
                  <c:v>249.9076676355476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304.73423115701877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322.52505476163668</c:v>
                </c:pt>
                <c:pt idx="47">
                  <c:v>340.29418424269664</c:v>
                </c:pt>
                <c:pt idx="48">
                  <c:v>358.0429114873923</c:v>
                </c:pt>
                <c:pt idx="49">
                  <c:v>375.77238986983883</c:v>
                </c:pt>
                <c:pt idx="50">
                  <c:v>393.4836550724026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405.56917103469476</c:v>
                </c:pt>
                <c:pt idx="57">
                  <c:v>421.95854377334393</c:v>
                </c:pt>
                <c:pt idx="58">
                  <c:v>438.33421494585309</c:v>
                </c:pt>
                <c:pt idx="59">
                  <c:v>454.69676831549214</c:v>
                </c:pt>
                <c:pt idx="60">
                  <c:v>471.04674221919896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472.76708100439259</c:v>
                </c:pt>
                <c:pt idx="67">
                  <c:v>487.38463458913128</c:v>
                </c:pt>
                <c:pt idx="68">
                  <c:v>501.99288641186791</c:v>
                </c:pt>
                <c:pt idx="69">
                  <c:v>516.59214520035414</c:v>
                </c:pt>
                <c:pt idx="70">
                  <c:v>531.18270081556818</c:v>
                </c:pt>
                <c:pt idx="71">
                  <c:v>499.41562163511867</c:v>
                </c:pt>
                <c:pt idx="72">
                  <c:v>512.72849407236004</c:v>
                </c:pt>
                <c:pt idx="73">
                  <c:v>526.034069299154</c:v>
                </c:pt>
                <c:pt idx="74">
                  <c:v>539.33255785121992</c:v>
                </c:pt>
                <c:pt idx="75">
                  <c:v>552.62415903802309</c:v>
                </c:pt>
                <c:pt idx="76">
                  <c:v>520.45518659727634</c:v>
                </c:pt>
                <c:pt idx="77">
                  <c:v>533.32765337796286</c:v>
                </c:pt>
                <c:pt idx="78">
                  <c:v>546.193586977059</c:v>
                </c:pt>
                <c:pt idx="79">
                  <c:v>559.05316293312762</c:v>
                </c:pt>
                <c:pt idx="80">
                  <c:v>571.90654805285897</c:v>
                </c:pt>
                <c:pt idx="81">
                  <c:v>539.3325578512198</c:v>
                </c:pt>
                <c:pt idx="82">
                  <c:v>551.7668404903385</c:v>
                </c:pt>
                <c:pt idx="83">
                  <c:v>564.19525081895074</c:v>
                </c:pt>
                <c:pt idx="84">
                  <c:v>576.61793639178723</c:v>
                </c:pt>
                <c:pt idx="85">
                  <c:v>589.03503788906914</c:v>
                </c:pt>
                <c:pt idx="86">
                  <c:v>555.62455474096134</c:v>
                </c:pt>
                <c:pt idx="87">
                  <c:v>567.19434879973289</c:v>
                </c:pt>
                <c:pt idx="88">
                  <c:v>578.75921052572812</c:v>
                </c:pt>
                <c:pt idx="89">
                  <c:v>590.3192523477727</c:v>
                </c:pt>
                <c:pt idx="90">
                  <c:v>601.87458193334112</c:v>
                </c:pt>
                <c:pt idx="91">
                  <c:v>567.62276426035044</c:v>
                </c:pt>
                <c:pt idx="92">
                  <c:v>578.33096894357766</c:v>
                </c:pt>
                <c:pt idx="93">
                  <c:v>589.03503788906892</c:v>
                </c:pt>
                <c:pt idx="94">
                  <c:v>599.73505683441078</c:v>
                </c:pt>
                <c:pt idx="95">
                  <c:v>610.43110820893151</c:v>
                </c:pt>
                <c:pt idx="96">
                  <c:v>575.76138030334926</c:v>
                </c:pt>
                <c:pt idx="97">
                  <c:v>586.03831044894537</c:v>
                </c:pt>
                <c:pt idx="98">
                  <c:v>596.31148632519455</c:v>
                </c:pt>
                <c:pt idx="99">
                  <c:v>606.58098171901759</c:v>
                </c:pt>
                <c:pt idx="100">
                  <c:v>616.84686771553959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2.8662734796075018</c:v>
                </c:pt>
                <c:pt idx="2">
                  <c:v>3.3873319816688454</c:v>
                </c:pt>
                <c:pt idx="3">
                  <c:v>4.0034606333336571</c:v>
                </c:pt>
                <c:pt idx="4">
                  <c:v>4.7320653223399596</c:v>
                </c:pt>
                <c:pt idx="5">
                  <c:v>5.5937489461774446</c:v>
                </c:pt>
                <c:pt idx="6">
                  <c:v>6.6129003739093966</c:v>
                </c:pt>
                <c:pt idx="7">
                  <c:v>7.8183922071220282</c:v>
                </c:pt>
                <c:pt idx="8">
                  <c:v>9.2444074893107366</c:v>
                </c:pt>
                <c:pt idx="9">
                  <c:v>10.931419253221842</c:v>
                </c:pt>
                <c:pt idx="10">
                  <c:v>12.927351231608034</c:v>
                </c:pt>
                <c:pt idx="11">
                  <c:v>15.288953318187046</c:v>
                </c:pt>
                <c:pt idx="12">
                  <c:v>18.083431606182749</c:v>
                </c:pt>
                <c:pt idx="13">
                  <c:v>21.390380234274556</c:v>
                </c:pt>
                <c:pt idx="14">
                  <c:v>25.304071050787371</c:v>
                </c:pt>
                <c:pt idx="15">
                  <c:v>29.936167523708747</c:v>
                </c:pt>
                <c:pt idx="16">
                  <c:v>35.418941681866485</c:v>
                </c:pt>
                <c:pt idx="17">
                  <c:v>41.909087533638413</c:v>
                </c:pt>
                <c:pt idx="18">
                  <c:v>49.592241803920693</c:v>
                </c:pt>
                <c:pt idx="19">
                  <c:v>58.688343468191341</c:v>
                </c:pt>
                <c:pt idx="20">
                  <c:v>69.457988050270131</c:v>
                </c:pt>
                <c:pt idx="21">
                  <c:v>87.975117439185894</c:v>
                </c:pt>
                <c:pt idx="22">
                  <c:v>106.39394697312775</c:v>
                </c:pt>
                <c:pt idx="23">
                  <c:v>124.73397441438976</c:v>
                </c:pt>
                <c:pt idx="24">
                  <c:v>143.00844977881681</c:v>
                </c:pt>
                <c:pt idx="25">
                  <c:v>161.22694253209133</c:v>
                </c:pt>
                <c:pt idx="26">
                  <c:v>164.53397408716859</c:v>
                </c:pt>
                <c:pt idx="27">
                  <c:v>184.34436510907381</c:v>
                </c:pt>
                <c:pt idx="28">
                  <c:v>204.10499633865859</c:v>
                </c:pt>
                <c:pt idx="29">
                  <c:v>223.82136433692651</c:v>
                </c:pt>
                <c:pt idx="30">
                  <c:v>243.49791694752571</c:v>
                </c:pt>
                <c:pt idx="31">
                  <c:v>218.48561623496553</c:v>
                </c:pt>
                <c:pt idx="32">
                  <c:v>236.53344703477231</c:v>
                </c:pt>
                <c:pt idx="33">
                  <c:v>254.54988436217982</c:v>
                </c:pt>
                <c:pt idx="34">
                  <c:v>272.53746265331591</c:v>
                </c:pt>
                <c:pt idx="35">
                  <c:v>290.49835436027604</c:v>
                </c:pt>
                <c:pt idx="36">
                  <c:v>265.9997201634373</c:v>
                </c:pt>
                <c:pt idx="37">
                  <c:v>284.37819888953487</c:v>
                </c:pt>
                <c:pt idx="38">
                  <c:v>302.73009086074387</c:v>
                </c:pt>
                <c:pt idx="39">
                  <c:v>321.05723416766961</c:v>
                </c:pt>
                <c:pt idx="40">
                  <c:v>339.36123992303641</c:v>
                </c:pt>
                <c:pt idx="41">
                  <c:v>316.17232116037297</c:v>
                </c:pt>
                <c:pt idx="42">
                  <c:v>335.7022190260451</c:v>
                </c:pt>
                <c:pt idx="43">
                  <c:v>355.20710008372998</c:v>
                </c:pt>
                <c:pt idx="44">
                  <c:v>374.68853067082654</c:v>
                </c:pt>
                <c:pt idx="45">
                  <c:v>394.1479010038841</c:v>
                </c:pt>
                <c:pt idx="46">
                  <c:v>371.03748254752071</c:v>
                </c:pt>
                <c:pt idx="47">
                  <c:v>390.5008904454055</c:v>
                </c:pt>
                <c:pt idx="48">
                  <c:v>409.94325726749707</c:v>
                </c:pt>
                <c:pt idx="49">
                  <c:v>429.36572078685384</c:v>
                </c:pt>
                <c:pt idx="50">
                  <c:v>448.76930749454397</c:v>
                </c:pt>
                <c:pt idx="51">
                  <c:v>425.72547631490733</c:v>
                </c:pt>
                <c:pt idx="52">
                  <c:v>445.13252883817273</c:v>
                </c:pt>
                <c:pt idx="53">
                  <c:v>464.5214673028197</c:v>
                </c:pt>
                <c:pt idx="54">
                  <c:v>483.89315369645107</c:v>
                </c:pt>
                <c:pt idx="55">
                  <c:v>503.24837540475619</c:v>
                </c:pt>
                <c:pt idx="56">
                  <c:v>479.85876858654387</c:v>
                </c:pt>
                <c:pt idx="57">
                  <c:v>498.81421938664903</c:v>
                </c:pt>
                <c:pt idx="58">
                  <c:v>517.75442325269694</c:v>
                </c:pt>
                <c:pt idx="59">
                  <c:v>536.68001605918778</c:v>
                </c:pt>
                <c:pt idx="60">
                  <c:v>555.59158520777839</c:v>
                </c:pt>
                <c:pt idx="61">
                  <c:v>531.44670479747981</c:v>
                </c:pt>
                <c:pt idx="62">
                  <c:v>549.55746771122074</c:v>
                </c:pt>
                <c:pt idx="63">
                  <c:v>567.65571901573003</c:v>
                </c:pt>
                <c:pt idx="64">
                  <c:v>585.74191348830436</c:v>
                </c:pt>
                <c:pt idx="65">
                  <c:v>603.81647555227892</c:v>
                </c:pt>
                <c:pt idx="66">
                  <c:v>578.91074057866115</c:v>
                </c:pt>
                <c:pt idx="67">
                  <c:v>596.18638659850399</c:v>
                </c:pt>
                <c:pt idx="68">
                  <c:v>613.45162372006337</c:v>
                </c:pt>
                <c:pt idx="69">
                  <c:v>630.70678593583273</c:v>
                </c:pt>
                <c:pt idx="70">
                  <c:v>647.95218748710624</c:v>
                </c:pt>
                <c:pt idx="71">
                  <c:v>621.8798021694812</c:v>
                </c:pt>
                <c:pt idx="72">
                  <c:v>637.92696155032343</c:v>
                </c:pt>
                <c:pt idx="73">
                  <c:v>653.96578398494569</c:v>
                </c:pt>
                <c:pt idx="74">
                  <c:v>669.99650259602038</c:v>
                </c:pt>
                <c:pt idx="75">
                  <c:v>686.01933844928772</c:v>
                </c:pt>
                <c:pt idx="76">
                  <c:v>658.77584018643915</c:v>
                </c:pt>
                <c:pt idx="77">
                  <c:v>673.60232029764313</c:v>
                </c:pt>
                <c:pt idx="78">
                  <c:v>688.42209705386801</c:v>
                </c:pt>
                <c:pt idx="79">
                  <c:v>703.23533499101768</c:v>
                </c:pt>
                <c:pt idx="80">
                  <c:v>718.04219115306739</c:v>
                </c:pt>
                <c:pt idx="81">
                  <c:v>690.02384056328356</c:v>
                </c:pt>
                <c:pt idx="82">
                  <c:v>704.03586737397018</c:v>
                </c:pt>
                <c:pt idx="83">
                  <c:v>718.04219115306739</c:v>
                </c:pt>
                <c:pt idx="84">
                  <c:v>732.04293874478537</c:v>
                </c:pt>
                <c:pt idx="85">
                  <c:v>746.03823174922024</c:v>
                </c:pt>
                <c:pt idx="86">
                  <c:v>717.24198118921913</c:v>
                </c:pt>
                <c:pt idx="87">
                  <c:v>730.44313161575189</c:v>
                </c:pt>
                <c:pt idx="88">
                  <c:v>743.63942093893399</c:v>
                </c:pt>
                <c:pt idx="89">
                  <c:v>756.83094752034515</c:v>
                </c:pt>
                <c:pt idx="90">
                  <c:v>770.01780601548546</c:v>
                </c:pt>
                <c:pt idx="91">
                  <c:v>741.2404526925053</c:v>
                </c:pt>
                <c:pt idx="92">
                  <c:v>754.43283808065917</c:v>
                </c:pt>
                <c:pt idx="93">
                  <c:v>767.62053843880483</c:v>
                </c:pt>
                <c:pt idx="94">
                  <c:v>780.80364554112759</c:v>
                </c:pt>
                <c:pt idx="95">
                  <c:v>793.98224781237093</c:v>
                </c:pt>
                <c:pt idx="96">
                  <c:v>764.82353432630759</c:v>
                </c:pt>
                <c:pt idx="97">
                  <c:v>777.60815776427069</c:v>
                </c:pt>
                <c:pt idx="98">
                  <c:v>790.38852539282516</c:v>
                </c:pt>
                <c:pt idx="99">
                  <c:v>803.16471567566589</c:v>
                </c:pt>
                <c:pt idx="100">
                  <c:v>815.93680437851447</c:v>
                </c:pt>
                <c:pt idx="101">
                  <c:v>247.59253912923518</c:v>
                </c:pt>
                <c:pt idx="102">
                  <c:v>247.59253912923518</c:v>
                </c:pt>
                <c:pt idx="103">
                  <c:v>247.59253912923518</c:v>
                </c:pt>
                <c:pt idx="104">
                  <c:v>247.59253912923518</c:v>
                </c:pt>
                <c:pt idx="105">
                  <c:v>247.59253912923518</c:v>
                </c:pt>
                <c:pt idx="106">
                  <c:v>247.59253912923518</c:v>
                </c:pt>
                <c:pt idx="107">
                  <c:v>247.59253912923518</c:v>
                </c:pt>
                <c:pt idx="108">
                  <c:v>247.59253912923518</c:v>
                </c:pt>
                <c:pt idx="109">
                  <c:v>247.59253912923518</c:v>
                </c:pt>
                <c:pt idx="110">
                  <c:v>247.59253912923518</c:v>
                </c:pt>
                <c:pt idx="111">
                  <c:v>247.59253912923518</c:v>
                </c:pt>
                <c:pt idx="112">
                  <c:v>247.59253912923518</c:v>
                </c:pt>
                <c:pt idx="113">
                  <c:v>247.59253912923518</c:v>
                </c:pt>
                <c:pt idx="114">
                  <c:v>247.59253912923518</c:v>
                </c:pt>
                <c:pt idx="115">
                  <c:v>247.59253912923518</c:v>
                </c:pt>
                <c:pt idx="116">
                  <c:v>247.59253912923518</c:v>
                </c:pt>
                <c:pt idx="117">
                  <c:v>247.59253912923518</c:v>
                </c:pt>
                <c:pt idx="118">
                  <c:v>247.59253912923518</c:v>
                </c:pt>
                <c:pt idx="119">
                  <c:v>247.59253912923518</c:v>
                </c:pt>
                <c:pt idx="120">
                  <c:v>247.59253912923518</c:v>
                </c:pt>
                <c:pt idx="121">
                  <c:v>247.59253912923518</c:v>
                </c:pt>
                <c:pt idx="122">
                  <c:v>247.59253912923518</c:v>
                </c:pt>
                <c:pt idx="123">
                  <c:v>247.59253912923518</c:v>
                </c:pt>
                <c:pt idx="124">
                  <c:v>247.59253912923518</c:v>
                </c:pt>
                <c:pt idx="125">
                  <c:v>247.59253912923518</c:v>
                </c:pt>
                <c:pt idx="126">
                  <c:v>247.59253912923518</c:v>
                </c:pt>
                <c:pt idx="127">
                  <c:v>247.59253912923518</c:v>
                </c:pt>
                <c:pt idx="128">
                  <c:v>247.59253912923518</c:v>
                </c:pt>
                <c:pt idx="129">
                  <c:v>247.59253912923518</c:v>
                </c:pt>
                <c:pt idx="130">
                  <c:v>247.59253912923518</c:v>
                </c:pt>
                <c:pt idx="131">
                  <c:v>247.59253912923518</c:v>
                </c:pt>
                <c:pt idx="132">
                  <c:v>247.59253912923518</c:v>
                </c:pt>
                <c:pt idx="133">
                  <c:v>247.59253912923518</c:v>
                </c:pt>
                <c:pt idx="134">
                  <c:v>247.59253912923518</c:v>
                </c:pt>
                <c:pt idx="135">
                  <c:v>247.59253912923518</c:v>
                </c:pt>
                <c:pt idx="136">
                  <c:v>247.59253912923518</c:v>
                </c:pt>
                <c:pt idx="137">
                  <c:v>247.59253912923518</c:v>
                </c:pt>
                <c:pt idx="138">
                  <c:v>247.59253912923518</c:v>
                </c:pt>
                <c:pt idx="139">
                  <c:v>247.59253912923518</c:v>
                </c:pt>
                <c:pt idx="140">
                  <c:v>247.59253912923518</c:v>
                </c:pt>
                <c:pt idx="141">
                  <c:v>247.59253912923518</c:v>
                </c:pt>
                <c:pt idx="142">
                  <c:v>247.59253912923518</c:v>
                </c:pt>
                <c:pt idx="143">
                  <c:v>247.59253912923518</c:v>
                </c:pt>
                <c:pt idx="144">
                  <c:v>247.59253912923518</c:v>
                </c:pt>
                <c:pt idx="145">
                  <c:v>247.59253912923518</c:v>
                </c:pt>
                <c:pt idx="146">
                  <c:v>247.59253912923518</c:v>
                </c:pt>
                <c:pt idx="147">
                  <c:v>247.59253912923518</c:v>
                </c:pt>
                <c:pt idx="148">
                  <c:v>247.59253912923518</c:v>
                </c:pt>
                <c:pt idx="149">
                  <c:v>247.59253912923518</c:v>
                </c:pt>
                <c:pt idx="150">
                  <c:v>247.59253912923518</c:v>
                </c:pt>
                <c:pt idx="151">
                  <c:v>247.59253912923518</c:v>
                </c:pt>
                <c:pt idx="152">
                  <c:v>247.59253912923518</c:v>
                </c:pt>
                <c:pt idx="153">
                  <c:v>247.59253912923518</c:v>
                </c:pt>
                <c:pt idx="154">
                  <c:v>247.59253912923518</c:v>
                </c:pt>
                <c:pt idx="155">
                  <c:v>247.59253912923518</c:v>
                </c:pt>
                <c:pt idx="156">
                  <c:v>247.59253912923518</c:v>
                </c:pt>
                <c:pt idx="157">
                  <c:v>247.59253912923518</c:v>
                </c:pt>
                <c:pt idx="158">
                  <c:v>247.59253912923518</c:v>
                </c:pt>
                <c:pt idx="159">
                  <c:v>247.59253912923518</c:v>
                </c:pt>
                <c:pt idx="160">
                  <c:v>247.59253912923518</c:v>
                </c:pt>
                <c:pt idx="161">
                  <c:v>247.59253912923518</c:v>
                </c:pt>
                <c:pt idx="162">
                  <c:v>247.59253912923518</c:v>
                </c:pt>
                <c:pt idx="163">
                  <c:v>247.59253912923518</c:v>
                </c:pt>
                <c:pt idx="164">
                  <c:v>247.59253912923518</c:v>
                </c:pt>
                <c:pt idx="165">
                  <c:v>247.59253912923518</c:v>
                </c:pt>
                <c:pt idx="166">
                  <c:v>247.59253912923518</c:v>
                </c:pt>
                <c:pt idx="167">
                  <c:v>247.59253912923518</c:v>
                </c:pt>
                <c:pt idx="168">
                  <c:v>247.59253912923518</c:v>
                </c:pt>
                <c:pt idx="169">
                  <c:v>247.59253912923518</c:v>
                </c:pt>
                <c:pt idx="170">
                  <c:v>247.59253912923518</c:v>
                </c:pt>
                <c:pt idx="171">
                  <c:v>247.59253912923518</c:v>
                </c:pt>
                <c:pt idx="172">
                  <c:v>247.59253912923518</c:v>
                </c:pt>
                <c:pt idx="173">
                  <c:v>247.59253912923518</c:v>
                </c:pt>
                <c:pt idx="174">
                  <c:v>247.59253912923518</c:v>
                </c:pt>
                <c:pt idx="175">
                  <c:v>247.59253912923518</c:v>
                </c:pt>
                <c:pt idx="176">
                  <c:v>247.59253912923518</c:v>
                </c:pt>
                <c:pt idx="177">
                  <c:v>247.59253912923518</c:v>
                </c:pt>
                <c:pt idx="178">
                  <c:v>247.59253912923518</c:v>
                </c:pt>
                <c:pt idx="179">
                  <c:v>247.59253912923518</c:v>
                </c:pt>
                <c:pt idx="180">
                  <c:v>247.59253912923518</c:v>
                </c:pt>
                <c:pt idx="181">
                  <c:v>247.59253912923518</c:v>
                </c:pt>
                <c:pt idx="182">
                  <c:v>247.59253912923518</c:v>
                </c:pt>
                <c:pt idx="183">
                  <c:v>247.59253912923518</c:v>
                </c:pt>
                <c:pt idx="184">
                  <c:v>247.59253912923518</c:v>
                </c:pt>
                <c:pt idx="185">
                  <c:v>247.59253912923518</c:v>
                </c:pt>
                <c:pt idx="186">
                  <c:v>247.59253912923518</c:v>
                </c:pt>
                <c:pt idx="187">
                  <c:v>247.59253912923518</c:v>
                </c:pt>
                <c:pt idx="188">
                  <c:v>247.59253912923518</c:v>
                </c:pt>
                <c:pt idx="189">
                  <c:v>247.59253912923518</c:v>
                </c:pt>
                <c:pt idx="190">
                  <c:v>247.59253912923518</c:v>
                </c:pt>
                <c:pt idx="191">
                  <c:v>247.59253912923518</c:v>
                </c:pt>
                <c:pt idx="192">
                  <c:v>247.59253912923518</c:v>
                </c:pt>
                <c:pt idx="193">
                  <c:v>247.59253912923518</c:v>
                </c:pt>
                <c:pt idx="194">
                  <c:v>247.59253912923518</c:v>
                </c:pt>
                <c:pt idx="195">
                  <c:v>247.59253912923518</c:v>
                </c:pt>
                <c:pt idx="196">
                  <c:v>247.59253912923518</c:v>
                </c:pt>
                <c:pt idx="197">
                  <c:v>247.59253912923518</c:v>
                </c:pt>
                <c:pt idx="198">
                  <c:v>247.59253912923518</c:v>
                </c:pt>
                <c:pt idx="199">
                  <c:v>247.59253912923518</c:v>
                </c:pt>
                <c:pt idx="200">
                  <c:v>247.59253912923518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2.808913523269716</c:v>
                </c:pt>
                <c:pt idx="2">
                  <c:v>3.2024549307028356</c:v>
                </c:pt>
                <c:pt idx="3">
                  <c:v>3.6513289373607773</c:v>
                </c:pt>
                <c:pt idx="4">
                  <c:v>4.1633414020375676</c:v>
                </c:pt>
                <c:pt idx="5">
                  <c:v>4.7474028110253315</c:v>
                </c:pt>
                <c:pt idx="6">
                  <c:v>5.4136850511054888</c:v>
                </c:pt>
                <c:pt idx="7">
                  <c:v>6.1738004921248475</c:v>
                </c:pt>
                <c:pt idx="8">
                  <c:v>7.04100656176103</c:v>
                </c:pt>
                <c:pt idx="9">
                  <c:v>8.0304394501257814</c:v>
                </c:pt>
                <c:pt idx="10">
                  <c:v>9.1593811020942599</c:v>
                </c:pt>
                <c:pt idx="11">
                  <c:v>10.44756425004144</c:v>
                </c:pt>
                <c:pt idx="12">
                  <c:v>11.917520919716907</c:v>
                </c:pt>
                <c:pt idx="13">
                  <c:v>13.594980619539625</c:v>
                </c:pt>
                <c:pt idx="14">
                  <c:v>15.509325312648487</c:v>
                </c:pt>
                <c:pt idx="15">
                  <c:v>17.694109287621362</c:v>
                </c:pt>
                <c:pt idx="16">
                  <c:v>20.187653206198199</c:v>
                </c:pt>
                <c:pt idx="17">
                  <c:v>23.033722935573341</c:v>
                </c:pt>
                <c:pt idx="18">
                  <c:v>26.282305292835535</c:v>
                </c:pt>
                <c:pt idx="19">
                  <c:v>29.990494567361733</c:v>
                </c:pt>
                <c:pt idx="20">
                  <c:v>34.223505674790481</c:v>
                </c:pt>
                <c:pt idx="21">
                  <c:v>39.055832069512576</c:v>
                </c:pt>
                <c:pt idx="22">
                  <c:v>44.572569142487318</c:v>
                </c:pt>
                <c:pt idx="23">
                  <c:v>50.870926804611692</c:v>
                </c:pt>
                <c:pt idx="24">
                  <c:v>58.061958356588072</c:v>
                </c:pt>
                <c:pt idx="25">
                  <c:v>66.272536635761469</c:v>
                </c:pt>
                <c:pt idx="26">
                  <c:v>76.563490652949312</c:v>
                </c:pt>
                <c:pt idx="27">
                  <c:v>86.819205269098731</c:v>
                </c:pt>
                <c:pt idx="28">
                  <c:v>97.044440512052844</c:v>
                </c:pt>
                <c:pt idx="29">
                  <c:v>107.2428670785069</c:v>
                </c:pt>
                <c:pt idx="30">
                  <c:v>117.41739809202973</c:v>
                </c:pt>
                <c:pt idx="31">
                  <c:v>127.99300373621668</c:v>
                </c:pt>
                <c:pt idx="32">
                  <c:v>138.54744992970467</c:v>
                </c:pt>
                <c:pt idx="33">
                  <c:v>149.0825777016685</c:v>
                </c:pt>
                <c:pt idx="34">
                  <c:v>159.59994614012587</c:v>
                </c:pt>
                <c:pt idx="35">
                  <c:v>170.1008917228489</c:v>
                </c:pt>
                <c:pt idx="36">
                  <c:v>154.13304399541357</c:v>
                </c:pt>
                <c:pt idx="37">
                  <c:v>165.48242110449394</c:v>
                </c:pt>
                <c:pt idx="38">
                  <c:v>176.81341922195415</c:v>
                </c:pt>
                <c:pt idx="39">
                  <c:v>188.1273831228342</c:v>
                </c:pt>
                <c:pt idx="40">
                  <c:v>199.42548241866663</c:v>
                </c:pt>
                <c:pt idx="41">
                  <c:v>181.84387743661719</c:v>
                </c:pt>
                <c:pt idx="42">
                  <c:v>193.56912276774736</c:v>
                </c:pt>
                <c:pt idx="43">
                  <c:v>205.2778545096966</c:v>
                </c:pt>
                <c:pt idx="44">
                  <c:v>216.97114792933803</c:v>
                </c:pt>
                <c:pt idx="45">
                  <c:v>228.64995281860425</c:v>
                </c:pt>
                <c:pt idx="46">
                  <c:v>211.12636896992379</c:v>
                </c:pt>
                <c:pt idx="47">
                  <c:v>222.81230638924691</c:v>
                </c:pt>
                <c:pt idx="48">
                  <c:v>234.48418968616227</c:v>
                </c:pt>
                <c:pt idx="49">
                  <c:v>246.14281741922969</c:v>
                </c:pt>
                <c:pt idx="50">
                  <c:v>257.78890626510457</c:v>
                </c:pt>
                <c:pt idx="51">
                  <c:v>240.31511393681535</c:v>
                </c:pt>
                <c:pt idx="52">
                  <c:v>251.96738727080017</c:v>
                </c:pt>
                <c:pt idx="53">
                  <c:v>263.60745312628939</c:v>
                </c:pt>
                <c:pt idx="54">
                  <c:v>275.23592678364861</c:v>
                </c:pt>
                <c:pt idx="55">
                  <c:v>286.85336725699193</c:v>
                </c:pt>
                <c:pt idx="56">
                  <c:v>269.0077938022381</c:v>
                </c:pt>
                <c:pt idx="57">
                  <c:v>280.21615005760447</c:v>
                </c:pt>
                <c:pt idx="58">
                  <c:v>291.41445586173216</c:v>
                </c:pt>
                <c:pt idx="59">
                  <c:v>302.60315205267631</c:v>
                </c:pt>
                <c:pt idx="60">
                  <c:v>313.78264418987732</c:v>
                </c:pt>
                <c:pt idx="61">
                  <c:v>295.97394986116763</c:v>
                </c:pt>
                <c:pt idx="62">
                  <c:v>307.15884915049543</c:v>
                </c:pt>
                <c:pt idx="63">
                  <c:v>318.33470044256177</c:v>
                </c:pt>
                <c:pt idx="64">
                  <c:v>329.50186629581282</c:v>
                </c:pt>
                <c:pt idx="65">
                  <c:v>340.66068267684119</c:v>
                </c:pt>
                <c:pt idx="66">
                  <c:v>322.05803699935797</c:v>
                </c:pt>
                <c:pt idx="67">
                  <c:v>332.39568151871464</c:v>
                </c:pt>
                <c:pt idx="68">
                  <c:v>342.7262392021392</c:v>
                </c:pt>
                <c:pt idx="69">
                  <c:v>353.04995387967392</c:v>
                </c:pt>
                <c:pt idx="70">
                  <c:v>363.3670539509107</c:v>
                </c:pt>
                <c:pt idx="71">
                  <c:v>344.79152205649939</c:v>
                </c:pt>
                <c:pt idx="72">
                  <c:v>355.11389600890431</c:v>
                </c:pt>
                <c:pt idx="73">
                  <c:v>365.42969930916388</c:v>
                </c:pt>
                <c:pt idx="74">
                  <c:v>375.7391436687796</c:v>
                </c:pt>
                <c:pt idx="75">
                  <c:v>386.04242822867764</c:v>
                </c:pt>
                <c:pt idx="76">
                  <c:v>366.66716434689437</c:v>
                </c:pt>
                <c:pt idx="77">
                  <c:v>376.15139203422933</c:v>
                </c:pt>
                <c:pt idx="78">
                  <c:v>385.630412725084</c:v>
                </c:pt>
                <c:pt idx="79">
                  <c:v>395.10437251790654</c:v>
                </c:pt>
                <c:pt idx="80">
                  <c:v>404.57340992986127</c:v>
                </c:pt>
                <c:pt idx="81">
                  <c:v>384.8063530090264</c:v>
                </c:pt>
                <c:pt idx="82">
                  <c:v>393.86892067156992</c:v>
                </c:pt>
                <c:pt idx="83">
                  <c:v>402.92696857125202</c:v>
                </c:pt>
                <c:pt idx="84">
                  <c:v>411.98061269157319</c:v>
                </c:pt>
                <c:pt idx="85">
                  <c:v>421.02996350009448</c:v>
                </c:pt>
                <c:pt idx="86">
                  <c:v>402.92696857125202</c:v>
                </c:pt>
                <c:pt idx="87">
                  <c:v>413.62626538682224</c:v>
                </c:pt>
                <c:pt idx="88">
                  <c:v>424.31959279145207</c:v>
                </c:pt>
                <c:pt idx="89">
                  <c:v>435.00712246122458</c:v>
                </c:pt>
                <c:pt idx="90">
                  <c:v>445.68901694659024</c:v>
                </c:pt>
                <c:pt idx="91">
                  <c:v>424.31959279145207</c:v>
                </c:pt>
                <c:pt idx="92">
                  <c:v>431.7192593658981</c:v>
                </c:pt>
                <c:pt idx="93">
                  <c:v>439.11620170572905</c:v>
                </c:pt>
                <c:pt idx="94">
                  <c:v>446.51047220041346</c:v>
                </c:pt>
                <c:pt idx="95">
                  <c:v>453.90212136173136</c:v>
                </c:pt>
                <c:pt idx="96">
                  <c:v>431.71925936589804</c:v>
                </c:pt>
                <c:pt idx="97">
                  <c:v>438.29445210810769</c:v>
                </c:pt>
                <c:pt idx="98">
                  <c:v>444.86752926426271</c:v>
                </c:pt>
                <c:pt idx="99">
                  <c:v>451.43852652349534</c:v>
                </c:pt>
                <c:pt idx="100">
                  <c:v>458.00747845053689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B12" sqref="B12:M16"/>
    </sheetView>
  </sheetViews>
  <sheetFormatPr baseColWidth="10" defaultRowHeight="15"/>
  <cols>
    <col min="1" max="1" width="6.6640625" customWidth="1"/>
    <col min="2" max="13" width="15.83203125" customWidth="1"/>
  </cols>
  <sheetData>
    <row r="12" spans="2:13" ht="15" customHeight="1">
      <c r="B12" s="270" t="s">
        <v>295</v>
      </c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270"/>
    </row>
    <row r="13" spans="2:13" ht="15" customHeight="1">
      <c r="B13" s="270"/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</row>
    <row r="14" spans="2:13" ht="15" customHeight="1">
      <c r="B14" s="270"/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270"/>
    </row>
    <row r="15" spans="2:13" ht="18.75" customHeight="1">
      <c r="B15" s="270"/>
      <c r="C15" s="270"/>
      <c r="D15" s="270"/>
      <c r="E15" s="270"/>
      <c r="F15" s="270"/>
      <c r="G15" s="270"/>
      <c r="H15" s="270"/>
      <c r="I15" s="270"/>
      <c r="J15" s="270"/>
      <c r="K15" s="270"/>
      <c r="L15" s="270"/>
      <c r="M15" s="270"/>
    </row>
    <row r="16" spans="2:13" ht="18.75" customHeight="1">
      <c r="B16" s="270"/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270"/>
    </row>
    <row r="18" spans="2:13" ht="12" customHeight="1">
      <c r="B18" s="270" t="s">
        <v>296</v>
      </c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</row>
    <row r="19" spans="2:13" ht="12" customHeight="1">
      <c r="B19" s="270"/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</row>
    <row r="20" spans="2:13" ht="12" customHeight="1">
      <c r="B20" s="270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</row>
    <row r="21" spans="2:13" ht="12" customHeight="1"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0"/>
    </row>
    <row r="22" spans="2:13" ht="12" customHeight="1">
      <c r="B22" s="270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</row>
    <row r="23" spans="2:13" ht="12" customHeight="1"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</row>
    <row r="24" spans="2:13" ht="12" customHeight="1"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</row>
    <row r="25" spans="2:13" ht="12" customHeight="1">
      <c r="B25" s="270"/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270"/>
    </row>
    <row r="26" spans="2:13" ht="12" customHeight="1"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270"/>
    </row>
    <row r="27" spans="2:13" ht="12" customHeight="1">
      <c r="B27" s="270"/>
      <c r="C27" s="270"/>
      <c r="D27" s="270"/>
      <c r="E27" s="270"/>
      <c r="F27" s="270"/>
      <c r="G27" s="270"/>
      <c r="H27" s="270"/>
      <c r="I27" s="270"/>
      <c r="J27" s="270"/>
      <c r="K27" s="270"/>
      <c r="L27" s="270"/>
      <c r="M27" s="270"/>
    </row>
    <row r="28" spans="2:13" ht="12" customHeight="1">
      <c r="B28" s="270"/>
      <c r="C28" s="270"/>
      <c r="D28" s="270"/>
      <c r="E28" s="270"/>
      <c r="F28" s="270"/>
      <c r="G28" s="270"/>
      <c r="H28" s="270"/>
      <c r="I28" s="270"/>
      <c r="J28" s="270"/>
      <c r="K28" s="270"/>
      <c r="L28" s="270"/>
      <c r="M28" s="270"/>
    </row>
    <row r="29" spans="2:13" ht="12" customHeight="1">
      <c r="B29" s="270"/>
      <c r="C29" s="270"/>
      <c r="D29" s="270"/>
      <c r="E29" s="270"/>
      <c r="F29" s="270"/>
      <c r="G29" s="270"/>
      <c r="H29" s="270"/>
      <c r="I29" s="270"/>
      <c r="J29" s="270"/>
      <c r="K29" s="270"/>
      <c r="L29" s="270"/>
      <c r="M29" s="270"/>
    </row>
    <row r="30" spans="2:13" ht="12" customHeight="1">
      <c r="B30" s="270"/>
      <c r="C30" s="270"/>
      <c r="D30" s="270"/>
      <c r="E30" s="270"/>
      <c r="F30" s="270"/>
      <c r="G30" s="270"/>
      <c r="H30" s="270"/>
      <c r="I30" s="270"/>
      <c r="J30" s="270"/>
      <c r="K30" s="270"/>
      <c r="L30" s="270"/>
      <c r="M30" s="270"/>
    </row>
    <row r="31" spans="2:13" ht="12" customHeight="1">
      <c r="B31" s="270"/>
      <c r="C31" s="270"/>
      <c r="D31" s="270"/>
      <c r="E31" s="270"/>
      <c r="F31" s="270"/>
      <c r="G31" s="270"/>
      <c r="H31" s="270"/>
      <c r="I31" s="270"/>
      <c r="J31" s="270"/>
      <c r="K31" s="270"/>
      <c r="L31" s="270"/>
      <c r="M31" s="27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70" zoomScaleNormal="70" workbookViewId="0">
      <selection activeCell="C13" sqref="C13"/>
    </sheetView>
  </sheetViews>
  <sheetFormatPr baseColWidth="10" defaultColWidth="11.5" defaultRowHeight="15"/>
  <cols>
    <col min="1" max="1" width="13.6640625" style="25" customWidth="1"/>
    <col min="2" max="2" width="36.1640625" style="25" customWidth="1"/>
    <col min="3" max="3" width="14.83203125" style="25" bestFit="1" customWidth="1"/>
    <col min="4" max="4" width="16.5" style="25" customWidth="1"/>
    <col min="5" max="5" width="23.33203125" style="25" customWidth="1"/>
    <col min="6" max="6" width="28.83203125" style="25" bestFit="1" customWidth="1"/>
    <col min="7" max="8" width="14.6640625" style="25" customWidth="1"/>
    <col min="9" max="9" width="17" style="25" customWidth="1"/>
    <col min="10" max="10" width="13.83203125" style="25" customWidth="1"/>
    <col min="11" max="16384" width="11.5" style="25"/>
  </cols>
  <sheetData>
    <row r="1" spans="1:38">
      <c r="A1" s="5"/>
      <c r="B1" s="5"/>
      <c r="C1" s="275" t="s">
        <v>190</v>
      </c>
      <c r="D1" s="275"/>
      <c r="E1" s="27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6" thickBot="1">
      <c r="A2" s="5"/>
      <c r="B2" s="5"/>
      <c r="C2" s="5"/>
      <c r="D2" s="5"/>
      <c r="E2" s="5"/>
      <c r="F2" s="5"/>
      <c r="G2" s="5"/>
      <c r="H2" s="5"/>
      <c r="I2" s="239" t="s">
        <v>313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>
      <c r="A3" s="5"/>
      <c r="B3" s="276" t="s">
        <v>192</v>
      </c>
      <c r="C3" s="277"/>
      <c r="D3" s="277"/>
      <c r="E3" s="277"/>
      <c r="F3" s="278"/>
      <c r="G3" s="96"/>
      <c r="I3" s="239" t="s">
        <v>311</v>
      </c>
      <c r="J3" s="97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>
      <c r="A4" s="98"/>
      <c r="B4" s="98"/>
      <c r="C4" s="98"/>
      <c r="D4" s="98"/>
      <c r="E4" s="98"/>
      <c r="F4" s="98"/>
      <c r="G4" s="252"/>
      <c r="I4" s="239" t="s">
        <v>312</v>
      </c>
      <c r="J4" s="97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>
      <c r="A5" s="282" t="s">
        <v>231</v>
      </c>
      <c r="B5" s="282"/>
      <c r="C5" s="26">
        <v>5.05</v>
      </c>
      <c r="D5" s="283" t="s">
        <v>229</v>
      </c>
      <c r="E5" s="284"/>
      <c r="F5" s="98"/>
      <c r="G5" s="252"/>
      <c r="H5" s="253"/>
      <c r="I5" s="253"/>
      <c r="J5" s="261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>
      <c r="A6" s="99"/>
      <c r="B6" s="99"/>
      <c r="C6" s="100"/>
      <c r="D6" s="92"/>
      <c r="E6" s="92"/>
      <c r="F6" s="29"/>
      <c r="G6" s="254"/>
      <c r="H6" s="255"/>
      <c r="I6" s="255"/>
      <c r="J6" s="262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</row>
    <row r="7" spans="1:38" ht="26">
      <c r="A7" s="280" t="s">
        <v>226</v>
      </c>
      <c r="B7" s="280"/>
      <c r="C7" s="98"/>
      <c r="D7" s="98"/>
      <c r="E7" s="5"/>
      <c r="F7" s="98"/>
      <c r="G7" s="252"/>
      <c r="H7" s="253"/>
      <c r="I7" s="253"/>
      <c r="J7" s="261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>
      <c r="A8" s="5"/>
      <c r="B8" s="28" t="s">
        <v>179</v>
      </c>
      <c r="C8" s="29" t="s">
        <v>270</v>
      </c>
      <c r="D8" s="30" t="s">
        <v>271</v>
      </c>
      <c r="E8" s="31" t="s">
        <v>269</v>
      </c>
      <c r="F8" s="32" t="s">
        <v>230</v>
      </c>
      <c r="I8" s="267"/>
      <c r="J8" s="261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>
      <c r="A9" s="33" t="s">
        <v>165</v>
      </c>
      <c r="B9" s="34" t="s">
        <v>35</v>
      </c>
      <c r="C9" s="35">
        <v>0.4869</v>
      </c>
      <c r="D9" s="36">
        <f t="shared" ref="D9:D18" si="0">C9*$C$5</f>
        <v>2.4588449999999997</v>
      </c>
      <c r="E9" s="37">
        <v>50</v>
      </c>
      <c r="F9" s="38" t="str">
        <f t="array" ref="F9">IF(E10="","",IF(INDEX(A:A,MAX(IF(ISNUMBER($A$36:$A$55),ROW($A$36:$A$55),"")))&lt;&gt;E9,"Corrigez : révolution incorrecte","OK"))</f>
        <v>OK</v>
      </c>
      <c r="I9" s="268"/>
      <c r="J9" s="261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>
      <c r="A10" s="33" t="s">
        <v>166</v>
      </c>
      <c r="B10" s="34" t="s">
        <v>164</v>
      </c>
      <c r="C10" s="35">
        <v>0.20810000000000001</v>
      </c>
      <c r="D10" s="36">
        <f t="shared" si="0"/>
        <v>1.050905</v>
      </c>
      <c r="E10" s="37">
        <v>50</v>
      </c>
      <c r="F10" s="38" t="str">
        <f t="array" ref="F10">IF(E10="","",IF(INDEX(A:A,MAX(IF(ISNUMBER($A$62:$A$81),ROW($A$62:$A$81),"")))&lt;&gt;E10,"Corrigez : révolution incorrecte","OK"))</f>
        <v>OK</v>
      </c>
      <c r="I10" s="268"/>
      <c r="J10" s="261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>
      <c r="A11" s="33" t="s">
        <v>167</v>
      </c>
      <c r="B11" s="34" t="s">
        <v>14</v>
      </c>
      <c r="C11" s="35">
        <v>0.21579999999999999</v>
      </c>
      <c r="D11" s="36">
        <f t="shared" si="0"/>
        <v>1.0897899999999998</v>
      </c>
      <c r="E11" s="37">
        <v>100</v>
      </c>
      <c r="F11" s="38" t="str">
        <f t="array" ref="F11">IF(E11="","",IF(INDEX(A:A,MAX(IF(ISNUMBER($A$88:$A$107),ROW($A$88:$A$107),"")))&lt;&gt;E11,"Corrigez : révolution incorrecte","OK"))</f>
        <v>OK</v>
      </c>
      <c r="H11" s="244"/>
      <c r="I11" s="268"/>
      <c r="J11" s="261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>
      <c r="A12" s="33" t="s">
        <v>168</v>
      </c>
      <c r="B12" s="34" t="s">
        <v>12</v>
      </c>
      <c r="C12" s="35">
        <v>3.1300000000000001E-2</v>
      </c>
      <c r="D12" s="36">
        <f t="shared" si="0"/>
        <v>0.15806500000000001</v>
      </c>
      <c r="E12" s="37">
        <v>100</v>
      </c>
      <c r="F12" s="38" t="str">
        <f t="array" ref="F12">IF(E12="","",IF(INDEX(A:A,MAX(IF(ISNUMBER($A$114:$A$133),ROW($A$114:$A$133),"")))&lt;&gt;E12,"Corrigez : révolution incorrecte","OK"))</f>
        <v>OK</v>
      </c>
      <c r="H12" s="244"/>
      <c r="I12" s="268"/>
      <c r="J12" s="261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>
      <c r="A13" s="33" t="s">
        <v>169</v>
      </c>
      <c r="B13" s="34" t="s">
        <v>6</v>
      </c>
      <c r="C13" s="35">
        <v>2.6499999999999999E-2</v>
      </c>
      <c r="D13" s="36">
        <f t="shared" si="0"/>
        <v>0.133825</v>
      </c>
      <c r="E13" s="37">
        <v>100</v>
      </c>
      <c r="F13" s="38" t="str">
        <f t="array" ref="F13">IF(E13="","",IF(INDEX(A:A,MAX(IF(ISNUMBER($A$140:$A$159),ROW($A$140:$A$159),"")))&lt;&gt;E13,"Corrigez : révolution incorrecte","OK"))</f>
        <v>OK</v>
      </c>
      <c r="H13" s="244"/>
      <c r="I13" s="268"/>
      <c r="J13" s="261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>
      <c r="A14" s="33" t="s">
        <v>170</v>
      </c>
      <c r="B14" s="34" t="s">
        <v>1</v>
      </c>
      <c r="C14" s="35">
        <v>3.1300000000000001E-2</v>
      </c>
      <c r="D14" s="36">
        <f t="shared" si="0"/>
        <v>0.15806500000000001</v>
      </c>
      <c r="E14" s="37">
        <v>100</v>
      </c>
      <c r="F14" s="38" t="str">
        <f t="array" ref="F14">IF(E14="","",IF(INDEX(A:A,MAX(IF(ISNUMBER($A$166:$A$185),ROW($A$166:$A$185),"")))&lt;&gt;E14,"Corrigez : révolution incorrecte","OK"))</f>
        <v>OK</v>
      </c>
      <c r="H14" s="244"/>
      <c r="I14" s="268"/>
      <c r="J14" s="261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44"/>
      <c r="I15" s="268"/>
      <c r="J15" s="261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44"/>
      <c r="I16" s="268"/>
      <c r="J16" s="261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44"/>
      <c r="I17" s="268"/>
      <c r="J17" s="261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44"/>
      <c r="I18" s="268"/>
      <c r="J18" s="261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>
      <c r="A19" s="101"/>
      <c r="B19" s="39" t="s">
        <v>175</v>
      </c>
      <c r="C19" s="40">
        <f>SUM(C9:C18)</f>
        <v>0.99990000000000001</v>
      </c>
      <c r="D19" s="41">
        <f>SUM(D9:D18)</f>
        <v>5.0494949999999985</v>
      </c>
      <c r="E19" s="5"/>
      <c r="F19" s="102"/>
      <c r="G19" s="256"/>
      <c r="H19" s="257"/>
      <c r="I19" s="256"/>
      <c r="J19" s="261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>
      <c r="A20" s="101"/>
      <c r="B20" s="42" t="s">
        <v>230</v>
      </c>
      <c r="C20" s="43" t="str">
        <f>IF(C19&gt;100%,"Erreur : corrigez","OK")</f>
        <v>OK</v>
      </c>
      <c r="D20" s="263"/>
      <c r="F20" s="255"/>
      <c r="G20" s="255"/>
      <c r="H20" s="257"/>
      <c r="I20" s="256"/>
      <c r="J20" s="261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>
      <c r="A21" s="5"/>
      <c r="B21" s="5"/>
      <c r="C21" s="5"/>
      <c r="H21" s="258"/>
      <c r="I21" s="269"/>
      <c r="J21" s="261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>
      <c r="A22" s="279" t="s">
        <v>232</v>
      </c>
      <c r="B22" s="279"/>
      <c r="C22" s="100"/>
      <c r="H22" s="242"/>
      <c r="I22" s="262"/>
      <c r="J22" s="262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</row>
    <row r="23" spans="1:45">
      <c r="A23" s="5"/>
      <c r="B23" s="5"/>
      <c r="C23" s="5"/>
      <c r="H23" s="230"/>
      <c r="I23" s="261"/>
      <c r="J23" s="261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>
      <c r="A24" s="44" t="s">
        <v>218</v>
      </c>
      <c r="B24" s="45" t="s">
        <v>224</v>
      </c>
      <c r="C24" s="46">
        <v>0</v>
      </c>
      <c r="D24" s="47" t="s">
        <v>233</v>
      </c>
      <c r="E24" s="103"/>
      <c r="F24" s="103"/>
      <c r="G24" s="259"/>
      <c r="H24" s="244"/>
      <c r="I24" s="259"/>
      <c r="J24" s="260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>
      <c r="A25" s="44" t="s">
        <v>220</v>
      </c>
      <c r="B25" s="45" t="s">
        <v>219</v>
      </c>
      <c r="C25" s="48">
        <v>0.1</v>
      </c>
      <c r="D25" s="104"/>
      <c r="E25" s="5"/>
      <c r="F25" s="104"/>
      <c r="G25" s="260"/>
      <c r="H25" s="244"/>
      <c r="I25" s="260"/>
      <c r="J25" s="260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>
      <c r="A26" s="44" t="s">
        <v>222</v>
      </c>
      <c r="B26" s="45" t="s">
        <v>221</v>
      </c>
      <c r="C26" s="46">
        <v>0</v>
      </c>
      <c r="D26" s="47" t="s">
        <v>234</v>
      </c>
      <c r="E26" s="103"/>
      <c r="F26" s="103"/>
      <c r="G26" s="259"/>
      <c r="I26" s="259"/>
      <c r="J26" s="259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>
      <c r="A27" s="44" t="s">
        <v>223</v>
      </c>
      <c r="B27" s="45" t="s">
        <v>225</v>
      </c>
      <c r="C27" s="46">
        <v>0</v>
      </c>
      <c r="D27" s="47" t="s">
        <v>235</v>
      </c>
      <c r="E27" s="103"/>
      <c r="F27" s="103"/>
      <c r="G27" s="259"/>
      <c r="I27" s="259"/>
      <c r="J27" s="259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>
      <c r="A28" s="5"/>
      <c r="B28" s="5"/>
      <c r="H28" s="261"/>
      <c r="I28" s="261"/>
      <c r="J28" s="261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>
      <c r="A29" s="5"/>
      <c r="B29" s="5"/>
      <c r="H29" s="261"/>
      <c r="I29" s="261"/>
      <c r="J29" s="261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>
      <c r="A30" s="281" t="s">
        <v>227</v>
      </c>
      <c r="B30" s="281"/>
      <c r="D30" s="264"/>
      <c r="H30" s="262"/>
      <c r="I30" s="262"/>
      <c r="J30" s="262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</row>
    <row r="31" spans="1:45">
      <c r="A31" s="5"/>
      <c r="B31" s="5"/>
      <c r="H31" s="261"/>
      <c r="I31" s="261"/>
      <c r="J31" s="261"/>
      <c r="K31" s="264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>
      <c r="A32" s="49" t="s">
        <v>165</v>
      </c>
      <c r="B32" s="50" t="str">
        <f>IF(B9="","",B9)</f>
        <v>Pin laricio</v>
      </c>
      <c r="K32" s="264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>
      <c r="A33" s="49"/>
      <c r="B33" s="5"/>
      <c r="K33" s="264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>
      <c r="A34" s="5"/>
      <c r="B34" s="91" t="s">
        <v>185</v>
      </c>
      <c r="C34" s="271" t="s">
        <v>186</v>
      </c>
      <c r="D34" s="271"/>
      <c r="E34" s="272" t="s">
        <v>187</v>
      </c>
      <c r="F34" s="273"/>
      <c r="G34" s="273"/>
      <c r="H34" s="274"/>
      <c r="I34" s="105"/>
      <c r="J34" s="26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32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66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>
      <c r="A36" s="53">
        <v>15</v>
      </c>
      <c r="B36" s="63">
        <v>92</v>
      </c>
      <c r="C36" s="63">
        <v>1</v>
      </c>
      <c r="D36" s="63">
        <v>4</v>
      </c>
      <c r="E36" s="54">
        <v>0</v>
      </c>
      <c r="F36" s="54">
        <v>0.56000000000000005</v>
      </c>
      <c r="G36" s="54">
        <v>0.44</v>
      </c>
      <c r="H36" s="54"/>
      <c r="I36" s="52">
        <f>IFERROR(B36/A36,"")</f>
        <v>6.1333333333333337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>
      <c r="A37" s="53">
        <v>20</v>
      </c>
      <c r="B37" s="63">
        <v>180</v>
      </c>
      <c r="C37" s="63">
        <v>2</v>
      </c>
      <c r="D37" s="63">
        <v>56</v>
      </c>
      <c r="E37" s="54">
        <v>0</v>
      </c>
      <c r="F37" s="54">
        <v>0.56000000000000005</v>
      </c>
      <c r="G37" s="54">
        <v>0.44</v>
      </c>
      <c r="H37" s="54"/>
      <c r="I37" s="56">
        <f t="shared" ref="I37:I55" si="1">IF(A37&lt;&gt;0,(B37-(B36-D36))/(A37-A36),"")</f>
        <v>18.399999999999999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>
      <c r="A38" s="53">
        <v>25</v>
      </c>
      <c r="B38" s="63">
        <v>225</v>
      </c>
      <c r="C38" s="63">
        <v>3</v>
      </c>
      <c r="D38" s="63">
        <v>56</v>
      </c>
      <c r="E38" s="54">
        <v>0</v>
      </c>
      <c r="F38" s="54">
        <v>0.56000000000000005</v>
      </c>
      <c r="G38" s="54">
        <v>0.44</v>
      </c>
      <c r="H38" s="54"/>
      <c r="I38" s="56">
        <f t="shared" si="1"/>
        <v>20.2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>
      <c r="A39" s="53">
        <v>30</v>
      </c>
      <c r="B39" s="63">
        <v>277</v>
      </c>
      <c r="C39" s="63">
        <v>4</v>
      </c>
      <c r="D39" s="63">
        <v>56</v>
      </c>
      <c r="E39" s="54">
        <v>0</v>
      </c>
      <c r="F39" s="54">
        <v>0.56000000000000005</v>
      </c>
      <c r="G39" s="54">
        <v>0.44</v>
      </c>
      <c r="H39" s="54"/>
      <c r="I39" s="52">
        <f t="shared" si="1"/>
        <v>21.6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>
      <c r="A40" s="53">
        <v>35</v>
      </c>
      <c r="B40" s="63">
        <v>330</v>
      </c>
      <c r="C40" s="63">
        <v>5</v>
      </c>
      <c r="D40" s="63">
        <v>56</v>
      </c>
      <c r="E40" s="54">
        <v>0.2</v>
      </c>
      <c r="F40" s="54">
        <v>0.44800000000000006</v>
      </c>
      <c r="G40" s="54">
        <v>0.35200000000000004</v>
      </c>
      <c r="H40" s="54"/>
      <c r="I40" s="52">
        <f t="shared" si="1"/>
        <v>21.8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>
      <c r="A41" s="53">
        <v>40</v>
      </c>
      <c r="B41" s="63">
        <v>379</v>
      </c>
      <c r="C41" s="63">
        <v>6</v>
      </c>
      <c r="D41" s="63">
        <v>56</v>
      </c>
      <c r="E41" s="54">
        <v>0.4</v>
      </c>
      <c r="F41" s="54">
        <v>0.33600000000000002</v>
      </c>
      <c r="G41" s="54">
        <v>0.26400000000000001</v>
      </c>
      <c r="H41" s="54"/>
      <c r="I41" s="56">
        <f t="shared" si="1"/>
        <v>21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>
      <c r="A42" s="53">
        <v>45</v>
      </c>
      <c r="B42" s="63">
        <v>421</v>
      </c>
      <c r="C42" s="63">
        <v>7</v>
      </c>
      <c r="D42" s="63">
        <v>54</v>
      </c>
      <c r="E42" s="54">
        <v>0.6</v>
      </c>
      <c r="F42" s="54">
        <v>0.22400000000000003</v>
      </c>
      <c r="G42" s="54">
        <v>0.17600000000000002</v>
      </c>
      <c r="H42" s="54"/>
      <c r="I42" s="56">
        <f t="shared" si="1"/>
        <v>19.600000000000001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>
      <c r="A43" s="53">
        <v>50</v>
      </c>
      <c r="B43" s="63">
        <v>458</v>
      </c>
      <c r="C43" s="63">
        <v>8</v>
      </c>
      <c r="D43" s="63">
        <v>458</v>
      </c>
      <c r="E43" s="54">
        <v>0.8</v>
      </c>
      <c r="F43" s="54">
        <v>0.11</v>
      </c>
      <c r="G43" s="54">
        <v>0.09</v>
      </c>
      <c r="H43" s="54"/>
      <c r="I43" s="52">
        <f t="shared" si="1"/>
        <v>18.2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>
      <c r="A44" s="5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>
      <c r="A45" s="5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>
      <c r="A46" s="5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>
      <c r="A47" s="5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>
      <c r="A48" s="5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>
      <c r="A49" s="5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>
      <c r="A50" s="5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>
      <c r="A51" s="5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>
      <c r="A52" s="5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>
      <c r="A53" s="5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>
      <c r="A54" s="5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>
      <c r="A55" s="5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>
      <c r="A58" s="49" t="s">
        <v>166</v>
      </c>
      <c r="B58" s="55" t="str">
        <f>IF(B10="","",B10)</f>
        <v>Cèdre de l'Atlas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>
      <c r="A59" s="49"/>
      <c r="B59" s="106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>
      <c r="A60" s="5"/>
      <c r="B60" s="91" t="s">
        <v>185</v>
      </c>
      <c r="C60" s="271" t="s">
        <v>186</v>
      </c>
      <c r="D60" s="271"/>
      <c r="E60" s="272" t="s">
        <v>187</v>
      </c>
      <c r="F60" s="273"/>
      <c r="G60" s="273"/>
      <c r="H60" s="274"/>
      <c r="I60" s="105"/>
      <c r="J60" s="26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32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66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>
      <c r="A62" s="53">
        <v>20</v>
      </c>
      <c r="B62" s="63">
        <v>130</v>
      </c>
      <c r="C62" s="63">
        <v>1</v>
      </c>
      <c r="D62" s="63">
        <v>60</v>
      </c>
      <c r="E62" s="54">
        <v>0</v>
      </c>
      <c r="F62" s="54">
        <v>0.56000000000000005</v>
      </c>
      <c r="G62" s="54">
        <v>0.44</v>
      </c>
      <c r="H62" s="54"/>
      <c r="I62" s="56">
        <f>IFERROR(B62/A62,"")</f>
        <v>6.5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>
      <c r="A63" s="53">
        <v>30</v>
      </c>
      <c r="B63" s="63">
        <v>190</v>
      </c>
      <c r="C63" s="63">
        <v>2</v>
      </c>
      <c r="D63" s="63">
        <v>70</v>
      </c>
      <c r="E63" s="54">
        <v>0.1</v>
      </c>
      <c r="F63" s="54">
        <f>F62*0.9</f>
        <v>0.50400000000000011</v>
      </c>
      <c r="G63" s="54">
        <f>G62*0.9</f>
        <v>0.39600000000000002</v>
      </c>
      <c r="H63" s="54"/>
      <c r="I63" s="52">
        <f>IF(A63&lt;&gt;0,(B63-(B62-D62))/(A63-A62),"")</f>
        <v>12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>
      <c r="A64" s="53">
        <v>40</v>
      </c>
      <c r="B64" s="63">
        <v>260</v>
      </c>
      <c r="C64" s="63">
        <v>3</v>
      </c>
      <c r="D64" s="63">
        <v>80</v>
      </c>
      <c r="E64" s="54">
        <v>0.3</v>
      </c>
      <c r="F64" s="54">
        <f>F62*0.7</f>
        <v>0.39200000000000002</v>
      </c>
      <c r="G64" s="54">
        <f>G62*0.7</f>
        <v>0.308</v>
      </c>
      <c r="H64" s="54"/>
      <c r="I64" s="52">
        <f>IF(A64&lt;&gt;0,(B64-(B63-D63))/(A64-A63),"")</f>
        <v>14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>
      <c r="A65" s="53">
        <v>50</v>
      </c>
      <c r="B65" s="63">
        <v>320</v>
      </c>
      <c r="C65" s="63">
        <v>4</v>
      </c>
      <c r="D65" s="63">
        <v>320</v>
      </c>
      <c r="E65" s="54">
        <v>0.5</v>
      </c>
      <c r="F65" s="54">
        <v>0.28000000000000003</v>
      </c>
      <c r="G65" s="54">
        <v>0.22</v>
      </c>
      <c r="H65" s="54"/>
      <c r="I65" s="52">
        <f>IF(A65&lt;&gt;0,(B65-(B64-D64))/(A65-A64),"")</f>
        <v>14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>
      <c r="A69" s="53"/>
      <c r="B69" s="63"/>
      <c r="C69" s="63"/>
      <c r="D69" s="6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>
      <c r="A84" s="49" t="s">
        <v>167</v>
      </c>
      <c r="B84" s="55" t="str">
        <f>IF(B11="","",B11)</f>
        <v>Chêne sessile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>
      <c r="A85" s="49"/>
      <c r="B85" s="106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>
      <c r="A86" s="5"/>
      <c r="B86" s="91" t="s">
        <v>185</v>
      </c>
      <c r="C86" s="271" t="s">
        <v>186</v>
      </c>
      <c r="D86" s="271"/>
      <c r="E86" s="272" t="s">
        <v>187</v>
      </c>
      <c r="F86" s="273"/>
      <c r="G86" s="273"/>
      <c r="H86" s="274"/>
      <c r="I86" s="10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32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>
      <c r="A88" s="63">
        <v>20</v>
      </c>
      <c r="B88" s="63">
        <v>42</v>
      </c>
      <c r="C88" s="63">
        <v>1</v>
      </c>
      <c r="D88" s="63">
        <v>0</v>
      </c>
      <c r="E88" s="54">
        <v>0</v>
      </c>
      <c r="F88" s="54"/>
      <c r="G88" s="54"/>
      <c r="H88" s="94">
        <v>1</v>
      </c>
      <c r="I88" s="56">
        <f>IFERROR(B88/A88,"")</f>
        <v>2.1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>
      <c r="A89" s="63">
        <v>25</v>
      </c>
      <c r="B89" s="63">
        <v>70</v>
      </c>
      <c r="C89" s="63">
        <v>2</v>
      </c>
      <c r="D89" s="63">
        <v>8</v>
      </c>
      <c r="E89" s="54">
        <v>0</v>
      </c>
      <c r="F89" s="54"/>
      <c r="G89" s="54"/>
      <c r="H89" s="94">
        <v>1</v>
      </c>
      <c r="I89" s="56">
        <f t="shared" ref="I89:I107" si="3">IF(A89&lt;&gt;0,(B89-(B88-D88))/(A89-A88),"")</f>
        <v>5.6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>
      <c r="A90" s="63">
        <v>30</v>
      </c>
      <c r="B90" s="63">
        <v>97</v>
      </c>
      <c r="C90" s="63">
        <v>3</v>
      </c>
      <c r="D90" s="63">
        <v>21</v>
      </c>
      <c r="E90" s="94">
        <v>0</v>
      </c>
      <c r="F90" s="94"/>
      <c r="G90" s="94"/>
      <c r="H90" s="94">
        <v>1</v>
      </c>
      <c r="I90" s="56">
        <f t="shared" si="3"/>
        <v>7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>
      <c r="A91" s="63">
        <v>35</v>
      </c>
      <c r="B91" s="63">
        <v>116</v>
      </c>
      <c r="C91" s="63">
        <v>4</v>
      </c>
      <c r="D91" s="63">
        <v>21</v>
      </c>
      <c r="E91" s="94">
        <v>0</v>
      </c>
      <c r="F91" s="94"/>
      <c r="G91" s="94"/>
      <c r="H91" s="94">
        <v>1</v>
      </c>
      <c r="I91" s="56">
        <f t="shared" si="3"/>
        <v>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>
      <c r="A92" s="63">
        <v>40</v>
      </c>
      <c r="B92" s="63">
        <v>137</v>
      </c>
      <c r="C92" s="63">
        <v>5</v>
      </c>
      <c r="D92" s="63">
        <v>21</v>
      </c>
      <c r="E92" s="94">
        <v>0.2</v>
      </c>
      <c r="F92" s="94"/>
      <c r="G92" s="94"/>
      <c r="H92" s="94">
        <v>0.8</v>
      </c>
      <c r="I92" s="56">
        <f t="shared" si="3"/>
        <v>8.4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>
      <c r="A93" s="63">
        <v>45</v>
      </c>
      <c r="B93" s="63">
        <v>158</v>
      </c>
      <c r="C93" s="63">
        <v>6</v>
      </c>
      <c r="D93" s="63">
        <v>21</v>
      </c>
      <c r="E93" s="94">
        <v>0.2</v>
      </c>
      <c r="F93" s="94"/>
      <c r="G93" s="94"/>
      <c r="H93" s="94">
        <v>0.8</v>
      </c>
      <c r="I93" s="56">
        <f t="shared" si="3"/>
        <v>8.4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>
      <c r="A94" s="63">
        <v>50</v>
      </c>
      <c r="B94" s="63">
        <v>178</v>
      </c>
      <c r="C94" s="63">
        <v>7</v>
      </c>
      <c r="D94" s="63">
        <v>21</v>
      </c>
      <c r="E94" s="94">
        <v>0.3</v>
      </c>
      <c r="F94" s="94"/>
      <c r="G94" s="94"/>
      <c r="H94" s="94">
        <v>0.7</v>
      </c>
      <c r="I94" s="56">
        <f t="shared" si="3"/>
        <v>8.1999999999999993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>
      <c r="A95" s="63">
        <v>55</v>
      </c>
      <c r="B95" s="63">
        <v>197</v>
      </c>
      <c r="C95" s="63">
        <v>8</v>
      </c>
      <c r="D95" s="63">
        <v>21</v>
      </c>
      <c r="E95" s="94">
        <v>0.3</v>
      </c>
      <c r="F95" s="94"/>
      <c r="G95" s="94"/>
      <c r="H95" s="94">
        <v>0.7</v>
      </c>
      <c r="I95" s="56">
        <f t="shared" si="3"/>
        <v>8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>
      <c r="A96" s="63">
        <v>60</v>
      </c>
      <c r="B96" s="63">
        <v>214</v>
      </c>
      <c r="C96" s="63">
        <v>9</v>
      </c>
      <c r="D96" s="63">
        <v>21</v>
      </c>
      <c r="E96" s="94">
        <v>0.4</v>
      </c>
      <c r="F96" s="94"/>
      <c r="G96" s="94"/>
      <c r="H96" s="94">
        <v>0.6</v>
      </c>
      <c r="I96" s="56">
        <f t="shared" si="3"/>
        <v>7.6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>
      <c r="A97" s="63">
        <v>65</v>
      </c>
      <c r="B97" s="63">
        <v>229</v>
      </c>
      <c r="C97" s="63">
        <v>10</v>
      </c>
      <c r="D97" s="63">
        <v>21</v>
      </c>
      <c r="E97" s="94">
        <v>0.4</v>
      </c>
      <c r="F97" s="94"/>
      <c r="G97" s="94"/>
      <c r="H97" s="94">
        <v>0.6</v>
      </c>
      <c r="I97" s="56">
        <f t="shared" si="3"/>
        <v>7.2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>
      <c r="A98" s="63">
        <v>70</v>
      </c>
      <c r="B98" s="63">
        <v>242</v>
      </c>
      <c r="C98" s="63">
        <v>11</v>
      </c>
      <c r="D98" s="63">
        <v>21</v>
      </c>
      <c r="E98" s="94">
        <v>0.5</v>
      </c>
      <c r="F98" s="94"/>
      <c r="G98" s="94"/>
      <c r="H98" s="94">
        <v>0.5</v>
      </c>
      <c r="I98" s="56">
        <f t="shared" si="3"/>
        <v>6.8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>
      <c r="A99" s="63">
        <v>75</v>
      </c>
      <c r="B99" s="63">
        <v>252</v>
      </c>
      <c r="C99" s="63">
        <v>12</v>
      </c>
      <c r="D99" s="63">
        <v>21</v>
      </c>
      <c r="E99" s="94">
        <v>0.5</v>
      </c>
      <c r="F99" s="94"/>
      <c r="G99" s="94"/>
      <c r="H99" s="94">
        <v>0.5</v>
      </c>
      <c r="I99" s="56">
        <f t="shared" si="3"/>
        <v>6.2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>
      <c r="A100" s="63">
        <v>80</v>
      </c>
      <c r="B100" s="63">
        <v>261</v>
      </c>
      <c r="C100" s="63">
        <v>13</v>
      </c>
      <c r="D100" s="63">
        <v>21</v>
      </c>
      <c r="E100" s="68">
        <v>0.6</v>
      </c>
      <c r="F100" s="68"/>
      <c r="G100" s="68"/>
      <c r="H100" s="68">
        <v>0.4</v>
      </c>
      <c r="I100" s="56">
        <f t="shared" si="3"/>
        <v>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>
      <c r="A101" s="63">
        <v>85</v>
      </c>
      <c r="B101" s="63">
        <v>269</v>
      </c>
      <c r="C101" s="63">
        <v>14</v>
      </c>
      <c r="D101" s="63">
        <v>21</v>
      </c>
      <c r="E101" s="68">
        <v>0.6</v>
      </c>
      <c r="F101" s="68"/>
      <c r="G101" s="68"/>
      <c r="H101" s="68">
        <v>0.4</v>
      </c>
      <c r="I101" s="56">
        <f t="shared" si="3"/>
        <v>5.8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>
      <c r="A102" s="63">
        <v>90</v>
      </c>
      <c r="B102" s="53">
        <v>275</v>
      </c>
      <c r="C102" s="63">
        <v>15</v>
      </c>
      <c r="D102" s="53">
        <v>21</v>
      </c>
      <c r="E102" s="57">
        <v>0.7</v>
      </c>
      <c r="F102" s="57"/>
      <c r="G102" s="57"/>
      <c r="H102" s="57">
        <v>0.3</v>
      </c>
      <c r="I102" s="56">
        <f t="shared" si="3"/>
        <v>5.4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>
      <c r="A103" s="63">
        <v>95</v>
      </c>
      <c r="B103" s="53">
        <v>279</v>
      </c>
      <c r="C103" s="63">
        <v>16</v>
      </c>
      <c r="D103" s="53">
        <v>21</v>
      </c>
      <c r="E103" s="57">
        <v>0.7</v>
      </c>
      <c r="F103" s="57"/>
      <c r="G103" s="57"/>
      <c r="H103" s="57">
        <v>0.3</v>
      </c>
      <c r="I103" s="56">
        <f t="shared" si="3"/>
        <v>5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>
      <c r="A104" s="63">
        <v>100</v>
      </c>
      <c r="B104" s="53">
        <v>282</v>
      </c>
      <c r="C104" s="63">
        <v>17</v>
      </c>
      <c r="D104" s="53">
        <v>282</v>
      </c>
      <c r="E104" s="57">
        <v>0.8</v>
      </c>
      <c r="F104" s="57"/>
      <c r="G104" s="57"/>
      <c r="H104" s="57">
        <v>0.2</v>
      </c>
      <c r="I104" s="56">
        <f t="shared" si="3"/>
        <v>4.8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>
      <c r="A110" s="49" t="s">
        <v>168</v>
      </c>
      <c r="B110" s="55" t="str">
        <f>IF(B12="","",B12)</f>
        <v>Chêne pubescent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>
      <c r="A111" s="49"/>
      <c r="B111" s="106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>
      <c r="A112" s="5"/>
      <c r="B112" s="91" t="s">
        <v>185</v>
      </c>
      <c r="C112" s="271" t="s">
        <v>186</v>
      </c>
      <c r="D112" s="271"/>
      <c r="E112" s="272" t="s">
        <v>187</v>
      </c>
      <c r="F112" s="273"/>
      <c r="G112" s="273"/>
      <c r="H112" s="274"/>
      <c r="I112" s="10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32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>
      <c r="A114" s="63">
        <v>20</v>
      </c>
      <c r="B114" s="63">
        <v>42</v>
      </c>
      <c r="C114" s="63">
        <v>1</v>
      </c>
      <c r="D114" s="63">
        <v>0</v>
      </c>
      <c r="E114" s="54">
        <v>0</v>
      </c>
      <c r="F114" s="54"/>
      <c r="G114" s="54"/>
      <c r="H114" s="94">
        <v>1</v>
      </c>
      <c r="I114" s="56">
        <f>IFERROR(B114/A114,"")</f>
        <v>2.1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>
      <c r="A115" s="63">
        <v>25</v>
      </c>
      <c r="B115" s="63">
        <v>70</v>
      </c>
      <c r="C115" s="63">
        <v>2</v>
      </c>
      <c r="D115" s="63">
        <v>8</v>
      </c>
      <c r="E115" s="54">
        <v>0</v>
      </c>
      <c r="F115" s="54"/>
      <c r="G115" s="54"/>
      <c r="H115" s="94">
        <v>1</v>
      </c>
      <c r="I115" s="56">
        <f t="shared" ref="I115:I133" si="4">IF(A115&lt;&gt;0,(B115-(B114-D114))/(A115-A114),"")</f>
        <v>5.6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>
      <c r="A116" s="63">
        <v>30</v>
      </c>
      <c r="B116" s="63">
        <v>97</v>
      </c>
      <c r="C116" s="63">
        <v>3</v>
      </c>
      <c r="D116" s="63">
        <v>21</v>
      </c>
      <c r="E116" s="94">
        <v>0</v>
      </c>
      <c r="F116" s="94"/>
      <c r="G116" s="94"/>
      <c r="H116" s="94">
        <v>1</v>
      </c>
      <c r="I116" s="56">
        <f t="shared" si="4"/>
        <v>7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>
      <c r="A117" s="63">
        <v>35</v>
      </c>
      <c r="B117" s="63">
        <v>116</v>
      </c>
      <c r="C117" s="63">
        <v>4</v>
      </c>
      <c r="D117" s="63">
        <v>21</v>
      </c>
      <c r="E117" s="94">
        <v>0</v>
      </c>
      <c r="F117" s="94"/>
      <c r="G117" s="94"/>
      <c r="H117" s="94">
        <v>1</v>
      </c>
      <c r="I117" s="56">
        <f t="shared" si="4"/>
        <v>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>
      <c r="A118" s="63">
        <v>40</v>
      </c>
      <c r="B118" s="63">
        <v>137</v>
      </c>
      <c r="C118" s="63">
        <v>5</v>
      </c>
      <c r="D118" s="63">
        <v>21</v>
      </c>
      <c r="E118" s="94">
        <v>0.2</v>
      </c>
      <c r="F118" s="94"/>
      <c r="G118" s="94"/>
      <c r="H118" s="94">
        <v>0.8</v>
      </c>
      <c r="I118" s="56">
        <f t="shared" si="4"/>
        <v>8.4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>
      <c r="A119" s="63">
        <v>45</v>
      </c>
      <c r="B119" s="63">
        <v>158</v>
      </c>
      <c r="C119" s="63">
        <v>6</v>
      </c>
      <c r="D119" s="63">
        <v>21</v>
      </c>
      <c r="E119" s="94">
        <v>0.2</v>
      </c>
      <c r="F119" s="94"/>
      <c r="G119" s="94"/>
      <c r="H119" s="94">
        <v>0.8</v>
      </c>
      <c r="I119" s="56">
        <f t="shared" si="4"/>
        <v>8.4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>
      <c r="A120" s="63">
        <v>50</v>
      </c>
      <c r="B120" s="63">
        <v>178</v>
      </c>
      <c r="C120" s="63">
        <v>7</v>
      </c>
      <c r="D120" s="63">
        <v>21</v>
      </c>
      <c r="E120" s="94">
        <v>0.3</v>
      </c>
      <c r="F120" s="94"/>
      <c r="G120" s="94"/>
      <c r="H120" s="94">
        <v>0.7</v>
      </c>
      <c r="I120" s="56">
        <f t="shared" si="4"/>
        <v>8.1999999999999993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>
      <c r="A121" s="63">
        <v>55</v>
      </c>
      <c r="B121" s="63">
        <v>197</v>
      </c>
      <c r="C121" s="63">
        <v>8</v>
      </c>
      <c r="D121" s="63">
        <v>21</v>
      </c>
      <c r="E121" s="94">
        <v>0.3</v>
      </c>
      <c r="F121" s="94"/>
      <c r="G121" s="94"/>
      <c r="H121" s="94">
        <v>0.7</v>
      </c>
      <c r="I121" s="56">
        <f t="shared" si="4"/>
        <v>8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>
      <c r="A122" s="63">
        <v>60</v>
      </c>
      <c r="B122" s="63">
        <v>214</v>
      </c>
      <c r="C122" s="63">
        <v>9</v>
      </c>
      <c r="D122" s="63">
        <v>21</v>
      </c>
      <c r="E122" s="94">
        <v>0.4</v>
      </c>
      <c r="F122" s="94"/>
      <c r="G122" s="94"/>
      <c r="H122" s="94">
        <v>0.6</v>
      </c>
      <c r="I122" s="56">
        <f t="shared" si="4"/>
        <v>7.6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>
      <c r="A123" s="63">
        <v>65</v>
      </c>
      <c r="B123" s="63">
        <v>229</v>
      </c>
      <c r="C123" s="63">
        <v>10</v>
      </c>
      <c r="D123" s="63">
        <v>21</v>
      </c>
      <c r="E123" s="94">
        <v>0.4</v>
      </c>
      <c r="F123" s="94"/>
      <c r="G123" s="94"/>
      <c r="H123" s="94">
        <v>0.6</v>
      </c>
      <c r="I123" s="56">
        <f t="shared" si="4"/>
        <v>7.2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>
      <c r="A124" s="63">
        <v>70</v>
      </c>
      <c r="B124" s="63">
        <v>242</v>
      </c>
      <c r="C124" s="63">
        <v>11</v>
      </c>
      <c r="D124" s="63">
        <v>21</v>
      </c>
      <c r="E124" s="94">
        <v>0.5</v>
      </c>
      <c r="F124" s="94"/>
      <c r="G124" s="94"/>
      <c r="H124" s="94">
        <v>0.5</v>
      </c>
      <c r="I124" s="56">
        <f t="shared" si="4"/>
        <v>6.8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>
      <c r="A125" s="63">
        <v>75</v>
      </c>
      <c r="B125" s="63">
        <v>252</v>
      </c>
      <c r="C125" s="63">
        <v>12</v>
      </c>
      <c r="D125" s="63">
        <v>21</v>
      </c>
      <c r="E125" s="94">
        <v>0.5</v>
      </c>
      <c r="F125" s="94"/>
      <c r="G125" s="94"/>
      <c r="H125" s="94">
        <v>0.5</v>
      </c>
      <c r="I125" s="56">
        <f t="shared" si="4"/>
        <v>6.2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>
      <c r="A126" s="63">
        <v>80</v>
      </c>
      <c r="B126" s="63">
        <v>261</v>
      </c>
      <c r="C126" s="63">
        <v>13</v>
      </c>
      <c r="D126" s="63">
        <v>21</v>
      </c>
      <c r="E126" s="68">
        <v>0.6</v>
      </c>
      <c r="F126" s="68"/>
      <c r="G126" s="68"/>
      <c r="H126" s="68">
        <v>0.4</v>
      </c>
      <c r="I126" s="56">
        <f t="shared" si="4"/>
        <v>6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>
      <c r="A127" s="63">
        <v>85</v>
      </c>
      <c r="B127" s="63">
        <v>269</v>
      </c>
      <c r="C127" s="63">
        <v>14</v>
      </c>
      <c r="D127" s="63">
        <v>21</v>
      </c>
      <c r="E127" s="68">
        <v>0.6</v>
      </c>
      <c r="F127" s="68"/>
      <c r="G127" s="68"/>
      <c r="H127" s="68">
        <v>0.4</v>
      </c>
      <c r="I127" s="56">
        <f t="shared" si="4"/>
        <v>5.8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>
      <c r="A128" s="63">
        <v>90</v>
      </c>
      <c r="B128" s="53">
        <v>275</v>
      </c>
      <c r="C128" s="63">
        <v>15</v>
      </c>
      <c r="D128" s="53">
        <v>21</v>
      </c>
      <c r="E128" s="57">
        <v>0.7</v>
      </c>
      <c r="F128" s="57"/>
      <c r="G128" s="57"/>
      <c r="H128" s="57">
        <v>0.3</v>
      </c>
      <c r="I128" s="56">
        <f t="shared" si="4"/>
        <v>5.4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>
      <c r="A129" s="63">
        <v>95</v>
      </c>
      <c r="B129" s="53">
        <v>279</v>
      </c>
      <c r="C129" s="63">
        <v>16</v>
      </c>
      <c r="D129" s="53">
        <v>21</v>
      </c>
      <c r="E129" s="57">
        <v>0.7</v>
      </c>
      <c r="F129" s="57"/>
      <c r="G129" s="57"/>
      <c r="H129" s="57">
        <v>0.3</v>
      </c>
      <c r="I129" s="56">
        <f t="shared" si="4"/>
        <v>5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>
      <c r="A130" s="63">
        <v>100</v>
      </c>
      <c r="B130" s="53">
        <v>282</v>
      </c>
      <c r="C130" s="63">
        <v>17</v>
      </c>
      <c r="D130" s="53">
        <v>282</v>
      </c>
      <c r="E130" s="57">
        <v>0.8</v>
      </c>
      <c r="F130" s="57"/>
      <c r="G130" s="57"/>
      <c r="H130" s="57">
        <v>0.2</v>
      </c>
      <c r="I130" s="56">
        <f t="shared" si="4"/>
        <v>4.8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>
      <c r="A136" s="49" t="s">
        <v>169</v>
      </c>
      <c r="B136" s="55" t="str">
        <f>IF(B13="","",B13)</f>
        <v>Charme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>
      <c r="A137" s="49"/>
      <c r="B137" s="106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>
      <c r="A138" s="5"/>
      <c r="B138" s="91" t="s">
        <v>185</v>
      </c>
      <c r="C138" s="271" t="s">
        <v>186</v>
      </c>
      <c r="D138" s="271"/>
      <c r="E138" s="272" t="s">
        <v>187</v>
      </c>
      <c r="F138" s="273"/>
      <c r="G138" s="273"/>
      <c r="H138" s="274"/>
      <c r="I138" s="10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32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>
      <c r="A140" s="63">
        <v>20</v>
      </c>
      <c r="B140" s="63">
        <v>32</v>
      </c>
      <c r="C140" s="63">
        <v>1</v>
      </c>
      <c r="D140" s="63">
        <v>0</v>
      </c>
      <c r="E140" s="54">
        <v>0</v>
      </c>
      <c r="F140" s="54"/>
      <c r="G140" s="54"/>
      <c r="H140" s="94">
        <v>1</v>
      </c>
      <c r="I140" s="60">
        <f>IFERROR(B140/A140,"")</f>
        <v>1.6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>
      <c r="A141" s="63">
        <v>25</v>
      </c>
      <c r="B141" s="63">
        <v>76</v>
      </c>
      <c r="C141" s="63">
        <v>2</v>
      </c>
      <c r="D141" s="63">
        <v>8</v>
      </c>
      <c r="E141" s="54">
        <v>0</v>
      </c>
      <c r="F141" s="54"/>
      <c r="G141" s="54"/>
      <c r="H141" s="94">
        <v>1</v>
      </c>
      <c r="I141" s="60">
        <f t="shared" ref="I141:I159" si="5">IF(A141&lt;&gt;0,(B141-(B140-D140))/(A141-A140),"")</f>
        <v>8.8000000000000007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>
      <c r="A142" s="63">
        <v>30</v>
      </c>
      <c r="B142" s="63">
        <v>116</v>
      </c>
      <c r="C142" s="63">
        <v>3</v>
      </c>
      <c r="D142" s="63">
        <v>21</v>
      </c>
      <c r="E142" s="94">
        <v>0</v>
      </c>
      <c r="F142" s="94"/>
      <c r="G142" s="94"/>
      <c r="H142" s="94">
        <v>1</v>
      </c>
      <c r="I142" s="60">
        <f t="shared" si="5"/>
        <v>9.6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>
      <c r="A143" s="63">
        <v>35</v>
      </c>
      <c r="B143" s="63">
        <v>139</v>
      </c>
      <c r="C143" s="63">
        <v>4</v>
      </c>
      <c r="D143" s="63">
        <v>21</v>
      </c>
      <c r="E143" s="94">
        <v>0</v>
      </c>
      <c r="F143" s="94"/>
      <c r="G143" s="94"/>
      <c r="H143" s="94">
        <v>1</v>
      </c>
      <c r="I143" s="60">
        <f t="shared" si="5"/>
        <v>8.8000000000000007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>
      <c r="A144" s="63">
        <v>40</v>
      </c>
      <c r="B144" s="63">
        <v>163</v>
      </c>
      <c r="C144" s="63">
        <v>5</v>
      </c>
      <c r="D144" s="63">
        <v>21</v>
      </c>
      <c r="E144" s="94">
        <v>0.2</v>
      </c>
      <c r="F144" s="94"/>
      <c r="G144" s="94"/>
      <c r="H144" s="94">
        <v>0.8</v>
      </c>
      <c r="I144" s="60">
        <f t="shared" si="5"/>
        <v>9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>
      <c r="A145" s="63">
        <v>45</v>
      </c>
      <c r="B145" s="63">
        <v>190</v>
      </c>
      <c r="C145" s="63">
        <v>6</v>
      </c>
      <c r="D145" s="63">
        <v>21</v>
      </c>
      <c r="E145" s="94">
        <v>0.2</v>
      </c>
      <c r="F145" s="94"/>
      <c r="G145" s="94"/>
      <c r="H145" s="94">
        <v>0.8</v>
      </c>
      <c r="I145" s="60">
        <f t="shared" si="5"/>
        <v>9.6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>
      <c r="A146" s="63">
        <v>50</v>
      </c>
      <c r="B146" s="63">
        <v>217</v>
      </c>
      <c r="C146" s="63">
        <v>7</v>
      </c>
      <c r="D146" s="63">
        <v>21</v>
      </c>
      <c r="E146" s="94">
        <v>0.3</v>
      </c>
      <c r="F146" s="94"/>
      <c r="G146" s="94"/>
      <c r="H146" s="94">
        <v>0.7</v>
      </c>
      <c r="I146" s="60">
        <f t="shared" si="5"/>
        <v>9.6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>
      <c r="A147" s="63">
        <v>55</v>
      </c>
      <c r="B147" s="63">
        <v>244</v>
      </c>
      <c r="C147" s="63">
        <v>8</v>
      </c>
      <c r="D147" s="63">
        <v>21</v>
      </c>
      <c r="E147" s="94">
        <v>0.3</v>
      </c>
      <c r="F147" s="94"/>
      <c r="G147" s="94"/>
      <c r="H147" s="94">
        <v>0.7</v>
      </c>
      <c r="I147" s="60">
        <f>IF(A147&lt;&gt;0,(B147-(B146-D146))/(A147-A146),"")</f>
        <v>9.6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>
      <c r="A148" s="63">
        <v>60</v>
      </c>
      <c r="B148" s="63">
        <v>270</v>
      </c>
      <c r="C148" s="63">
        <v>9</v>
      </c>
      <c r="D148" s="63">
        <v>21</v>
      </c>
      <c r="E148" s="94">
        <v>0.4</v>
      </c>
      <c r="F148" s="94"/>
      <c r="G148" s="94"/>
      <c r="H148" s="94">
        <v>0.6</v>
      </c>
      <c r="I148" s="60">
        <f t="shared" si="5"/>
        <v>9.4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>
      <c r="A149" s="63">
        <v>65</v>
      </c>
      <c r="B149" s="63">
        <v>294</v>
      </c>
      <c r="C149" s="63">
        <v>10</v>
      </c>
      <c r="D149" s="63">
        <v>21</v>
      </c>
      <c r="E149" s="94">
        <v>0.4</v>
      </c>
      <c r="F149" s="94"/>
      <c r="G149" s="94"/>
      <c r="H149" s="94">
        <v>0.6</v>
      </c>
      <c r="I149" s="60">
        <f t="shared" si="5"/>
        <v>9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>
      <c r="A150" s="63">
        <v>70</v>
      </c>
      <c r="B150" s="63">
        <v>316</v>
      </c>
      <c r="C150" s="63">
        <v>11</v>
      </c>
      <c r="D150" s="63">
        <v>21</v>
      </c>
      <c r="E150" s="94">
        <v>0.5</v>
      </c>
      <c r="F150" s="94"/>
      <c r="G150" s="94"/>
      <c r="H150" s="94">
        <v>0.5</v>
      </c>
      <c r="I150" s="60">
        <f t="shared" si="5"/>
        <v>8.6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>
      <c r="A151" s="63">
        <v>75</v>
      </c>
      <c r="B151" s="63">
        <v>335</v>
      </c>
      <c r="C151" s="63">
        <v>12</v>
      </c>
      <c r="D151" s="63">
        <v>21</v>
      </c>
      <c r="E151" s="94">
        <v>0.5</v>
      </c>
      <c r="F151" s="94"/>
      <c r="G151" s="94"/>
      <c r="H151" s="94">
        <v>0.5</v>
      </c>
      <c r="I151" s="60">
        <f t="shared" si="5"/>
        <v>8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>
      <c r="A152" s="63">
        <v>80</v>
      </c>
      <c r="B152" s="63">
        <v>351</v>
      </c>
      <c r="C152" s="63">
        <v>13</v>
      </c>
      <c r="D152" s="63">
        <v>21</v>
      </c>
      <c r="E152" s="68">
        <v>0.6</v>
      </c>
      <c r="F152" s="68"/>
      <c r="G152" s="68"/>
      <c r="H152" s="68">
        <v>0.4</v>
      </c>
      <c r="I152" s="60">
        <f t="shared" si="5"/>
        <v>7.4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>
      <c r="A153" s="63">
        <v>85</v>
      </c>
      <c r="B153" s="63">
        <v>365</v>
      </c>
      <c r="C153" s="63">
        <v>14</v>
      </c>
      <c r="D153" s="63">
        <v>21</v>
      </c>
      <c r="E153" s="68">
        <v>0.6</v>
      </c>
      <c r="F153" s="68"/>
      <c r="G153" s="68"/>
      <c r="H153" s="68">
        <v>0.4</v>
      </c>
      <c r="I153" s="60">
        <f t="shared" si="5"/>
        <v>7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>
      <c r="A154" s="63">
        <v>90</v>
      </c>
      <c r="B154" s="53">
        <v>377</v>
      </c>
      <c r="C154" s="63">
        <v>15</v>
      </c>
      <c r="D154" s="53">
        <v>21</v>
      </c>
      <c r="E154" s="57">
        <v>0.7</v>
      </c>
      <c r="F154" s="57"/>
      <c r="G154" s="57"/>
      <c r="H154" s="57">
        <v>0.3</v>
      </c>
      <c r="I154" s="60">
        <f t="shared" si="5"/>
        <v>6.6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>
      <c r="A155" s="63">
        <v>95</v>
      </c>
      <c r="B155" s="53">
        <v>389</v>
      </c>
      <c r="C155" s="63">
        <v>16</v>
      </c>
      <c r="D155" s="53">
        <v>21</v>
      </c>
      <c r="E155" s="57">
        <v>0.7</v>
      </c>
      <c r="F155" s="57"/>
      <c r="G155" s="57"/>
      <c r="H155" s="57">
        <v>0.3</v>
      </c>
      <c r="I155" s="60">
        <f t="shared" si="5"/>
        <v>6.6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>
      <c r="A156" s="63">
        <v>100</v>
      </c>
      <c r="B156" s="53">
        <v>400</v>
      </c>
      <c r="C156" s="63">
        <v>17</v>
      </c>
      <c r="D156" s="53">
        <v>282</v>
      </c>
      <c r="E156" s="57">
        <v>0.8</v>
      </c>
      <c r="F156" s="57"/>
      <c r="G156" s="57"/>
      <c r="H156" s="57">
        <v>0.2</v>
      </c>
      <c r="I156" s="60">
        <f t="shared" si="5"/>
        <v>6.4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>
      <c r="A162" s="49" t="s">
        <v>170</v>
      </c>
      <c r="B162" s="55" t="str">
        <f>IF(B14="","",B14)</f>
        <v>Alisier torminal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>
      <c r="A163" s="49"/>
      <c r="B163" s="106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>
      <c r="A164" s="5"/>
      <c r="B164" s="91" t="s">
        <v>185</v>
      </c>
      <c r="C164" s="271" t="s">
        <v>186</v>
      </c>
      <c r="D164" s="271"/>
      <c r="E164" s="272" t="s">
        <v>187</v>
      </c>
      <c r="F164" s="273"/>
      <c r="G164" s="273"/>
      <c r="H164" s="274"/>
      <c r="I164" s="10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32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>
      <c r="A166" s="63">
        <v>25</v>
      </c>
      <c r="B166" s="63">
        <v>30</v>
      </c>
      <c r="C166" s="63">
        <v>2</v>
      </c>
      <c r="D166" s="63">
        <v>0</v>
      </c>
      <c r="E166" s="54">
        <v>0</v>
      </c>
      <c r="F166" s="54"/>
      <c r="G166" s="54"/>
      <c r="H166" s="94">
        <v>1</v>
      </c>
      <c r="I166" s="52">
        <f>IFERROR(B166/A166,"")</f>
        <v>1.2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>
      <c r="A167" s="63">
        <v>30</v>
      </c>
      <c r="B167" s="63">
        <v>54</v>
      </c>
      <c r="C167" s="63">
        <v>3</v>
      </c>
      <c r="D167" s="63">
        <v>0</v>
      </c>
      <c r="E167" s="94">
        <v>0</v>
      </c>
      <c r="F167" s="94"/>
      <c r="G167" s="94"/>
      <c r="H167" s="94">
        <v>1</v>
      </c>
      <c r="I167" s="52">
        <f t="shared" ref="I167:I185" si="6">IF(A167&lt;&gt;0,(B167-(B166-D166))/(A167-A166),"")</f>
        <v>4.8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>
      <c r="A168" s="63">
        <v>35</v>
      </c>
      <c r="B168" s="63">
        <v>79</v>
      </c>
      <c r="C168" s="63">
        <v>4</v>
      </c>
      <c r="D168" s="63">
        <v>13</v>
      </c>
      <c r="E168" s="94">
        <v>0</v>
      </c>
      <c r="F168" s="94"/>
      <c r="G168" s="94"/>
      <c r="H168" s="94">
        <v>1</v>
      </c>
      <c r="I168" s="52">
        <f t="shared" si="6"/>
        <v>5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>
      <c r="A169" s="63">
        <v>40</v>
      </c>
      <c r="B169" s="63">
        <v>93</v>
      </c>
      <c r="C169" s="63">
        <v>5</v>
      </c>
      <c r="D169" s="63">
        <v>14</v>
      </c>
      <c r="E169" s="94">
        <v>0.2</v>
      </c>
      <c r="F169" s="94"/>
      <c r="G169" s="94"/>
      <c r="H169" s="94">
        <v>0.8</v>
      </c>
      <c r="I169" s="52">
        <f t="shared" si="6"/>
        <v>5.4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>
      <c r="A170" s="63">
        <v>45</v>
      </c>
      <c r="B170" s="63">
        <v>107</v>
      </c>
      <c r="C170" s="63">
        <v>6</v>
      </c>
      <c r="D170" s="63">
        <v>14</v>
      </c>
      <c r="E170" s="94">
        <v>0.2</v>
      </c>
      <c r="F170" s="94"/>
      <c r="G170" s="94"/>
      <c r="H170" s="94">
        <v>0.8</v>
      </c>
      <c r="I170" s="52">
        <f t="shared" si="6"/>
        <v>5.6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>
      <c r="A171" s="63">
        <v>50</v>
      </c>
      <c r="B171" s="63">
        <v>121</v>
      </c>
      <c r="C171" s="63">
        <v>7</v>
      </c>
      <c r="D171" s="63">
        <v>14</v>
      </c>
      <c r="E171" s="94">
        <v>0.3</v>
      </c>
      <c r="F171" s="94"/>
      <c r="G171" s="94"/>
      <c r="H171" s="94">
        <v>0.7</v>
      </c>
      <c r="I171" s="52">
        <f t="shared" si="6"/>
        <v>5.6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>
      <c r="A172" s="63">
        <v>55</v>
      </c>
      <c r="B172" s="63">
        <v>135</v>
      </c>
      <c r="C172" s="63">
        <v>8</v>
      </c>
      <c r="D172" s="63">
        <v>14</v>
      </c>
      <c r="E172" s="94">
        <v>0.3</v>
      </c>
      <c r="F172" s="94"/>
      <c r="G172" s="94"/>
      <c r="H172" s="94">
        <v>0.7</v>
      </c>
      <c r="I172" s="52">
        <f t="shared" si="6"/>
        <v>5.6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>
      <c r="A173" s="63">
        <v>60</v>
      </c>
      <c r="B173" s="63">
        <v>148</v>
      </c>
      <c r="C173" s="63">
        <v>9</v>
      </c>
      <c r="D173" s="63">
        <v>14</v>
      </c>
      <c r="E173" s="94">
        <v>0.4</v>
      </c>
      <c r="F173" s="94"/>
      <c r="G173" s="94"/>
      <c r="H173" s="94">
        <v>0.6</v>
      </c>
      <c r="I173" s="52">
        <f t="shared" si="6"/>
        <v>5.4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>
      <c r="A174" s="63">
        <v>65</v>
      </c>
      <c r="B174" s="63">
        <v>161</v>
      </c>
      <c r="C174" s="63">
        <v>10</v>
      </c>
      <c r="D174" s="63">
        <v>14</v>
      </c>
      <c r="E174" s="94">
        <v>0.4</v>
      </c>
      <c r="F174" s="94"/>
      <c r="G174" s="94"/>
      <c r="H174" s="94">
        <v>0.6</v>
      </c>
      <c r="I174" s="52">
        <f t="shared" si="6"/>
        <v>5.4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>
      <c r="A175" s="63">
        <v>70</v>
      </c>
      <c r="B175" s="63">
        <v>172</v>
      </c>
      <c r="C175" s="63">
        <v>11</v>
      </c>
      <c r="D175" s="63">
        <v>14</v>
      </c>
      <c r="E175" s="94">
        <v>0.5</v>
      </c>
      <c r="F175" s="94"/>
      <c r="G175" s="94"/>
      <c r="H175" s="94">
        <v>0.5</v>
      </c>
      <c r="I175" s="52">
        <f t="shared" si="6"/>
        <v>5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>
      <c r="A176" s="63">
        <v>75</v>
      </c>
      <c r="B176" s="63">
        <v>183</v>
      </c>
      <c r="C176" s="63">
        <v>12</v>
      </c>
      <c r="D176" s="63">
        <v>14</v>
      </c>
      <c r="E176" s="94">
        <v>0.5</v>
      </c>
      <c r="F176" s="94"/>
      <c r="G176" s="94"/>
      <c r="H176" s="94">
        <v>0.5</v>
      </c>
      <c r="I176" s="52">
        <f t="shared" si="6"/>
        <v>5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>
      <c r="A177" s="63">
        <v>80</v>
      </c>
      <c r="B177" s="63">
        <v>192</v>
      </c>
      <c r="C177" s="63">
        <v>13</v>
      </c>
      <c r="D177" s="63">
        <v>14</v>
      </c>
      <c r="E177" s="68">
        <v>0.6</v>
      </c>
      <c r="F177" s="68"/>
      <c r="G177" s="68"/>
      <c r="H177" s="68">
        <v>0.4</v>
      </c>
      <c r="I177" s="52">
        <f t="shared" si="6"/>
        <v>4.5999999999999996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>
      <c r="A178" s="63">
        <v>85</v>
      </c>
      <c r="B178" s="63">
        <v>200</v>
      </c>
      <c r="C178" s="63">
        <v>14</v>
      </c>
      <c r="D178" s="63">
        <v>14</v>
      </c>
      <c r="E178" s="68">
        <v>0.6</v>
      </c>
      <c r="F178" s="68"/>
      <c r="G178" s="68"/>
      <c r="H178" s="68">
        <v>0.4</v>
      </c>
      <c r="I178" s="52">
        <f t="shared" si="6"/>
        <v>4.4000000000000004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>
      <c r="A179" s="63">
        <v>90</v>
      </c>
      <c r="B179" s="53">
        <v>212</v>
      </c>
      <c r="C179" s="63">
        <v>15</v>
      </c>
      <c r="D179" s="63">
        <v>14</v>
      </c>
      <c r="E179" s="57">
        <v>0.7</v>
      </c>
      <c r="F179" s="57"/>
      <c r="G179" s="57"/>
      <c r="H179" s="57">
        <v>0.3</v>
      </c>
      <c r="I179" s="52">
        <f t="shared" si="6"/>
        <v>5.2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>
      <c r="A180" s="63">
        <v>95</v>
      </c>
      <c r="B180" s="53">
        <v>216</v>
      </c>
      <c r="C180" s="63">
        <v>16</v>
      </c>
      <c r="D180" s="63">
        <v>14</v>
      </c>
      <c r="E180" s="57">
        <v>0.7</v>
      </c>
      <c r="F180" s="57"/>
      <c r="G180" s="57"/>
      <c r="H180" s="57">
        <v>0.3</v>
      </c>
      <c r="I180" s="52">
        <f t="shared" si="6"/>
        <v>3.6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>
      <c r="A181" s="63">
        <v>100</v>
      </c>
      <c r="B181" s="53">
        <v>218</v>
      </c>
      <c r="C181" s="63">
        <v>17</v>
      </c>
      <c r="D181" s="53">
        <v>218</v>
      </c>
      <c r="E181" s="57">
        <v>0.8</v>
      </c>
      <c r="F181" s="57"/>
      <c r="G181" s="57"/>
      <c r="H181" s="57">
        <v>0.2</v>
      </c>
      <c r="I181" s="52">
        <f t="shared" si="6"/>
        <v>3.2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>
      <c r="A182" s="63"/>
      <c r="B182" s="53"/>
      <c r="C182" s="63"/>
      <c r="D182" s="53"/>
      <c r="E182" s="57"/>
      <c r="F182" s="57"/>
      <c r="G182" s="57"/>
      <c r="H182" s="57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>
      <c r="A188" s="49" t="s">
        <v>171</v>
      </c>
      <c r="B188" s="55" t="str">
        <f>IF(B15="","",B15)</f>
        <v/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>
      <c r="A189" s="49"/>
      <c r="B189" s="106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>
      <c r="A190" s="5"/>
      <c r="B190" s="91" t="s">
        <v>185</v>
      </c>
      <c r="C190" s="271" t="s">
        <v>186</v>
      </c>
      <c r="D190" s="271"/>
      <c r="E190" s="272" t="s">
        <v>187</v>
      </c>
      <c r="F190" s="273"/>
      <c r="G190" s="273"/>
      <c r="H190" s="274"/>
      <c r="I190" s="10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32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>
      <c r="A192" s="53"/>
      <c r="B192" s="53"/>
      <c r="C192" s="53"/>
      <c r="D192" s="5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>
      <c r="A193" s="53"/>
      <c r="B193" s="53"/>
      <c r="C193" s="53"/>
      <c r="D193" s="5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>
      <c r="A194" s="53"/>
      <c r="B194" s="53"/>
      <c r="C194" s="53"/>
      <c r="D194" s="5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>
      <c r="A195" s="53"/>
      <c r="B195" s="53"/>
      <c r="C195" s="53"/>
      <c r="D195" s="5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>
      <c r="A196" s="53"/>
      <c r="B196" s="53"/>
      <c r="C196" s="53"/>
      <c r="D196" s="5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>
      <c r="A197" s="53"/>
      <c r="B197" s="53"/>
      <c r="C197" s="53"/>
      <c r="D197" s="5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>
      <c r="A198" s="53"/>
      <c r="B198" s="53"/>
      <c r="C198" s="53"/>
      <c r="D198" s="5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>
      <c r="A214" s="49" t="s">
        <v>172</v>
      </c>
      <c r="B214" s="55" t="str">
        <f>IF(B16="","",B16)</f>
        <v/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>
      <c r="A215" s="49"/>
      <c r="B215" s="106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>
      <c r="A216" s="5"/>
      <c r="B216" s="91" t="s">
        <v>185</v>
      </c>
      <c r="C216" s="271" t="s">
        <v>186</v>
      </c>
      <c r="D216" s="271"/>
      <c r="E216" s="272" t="s">
        <v>187</v>
      </c>
      <c r="F216" s="273"/>
      <c r="G216" s="273"/>
      <c r="H216" s="274"/>
      <c r="I216" s="10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32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>
      <c r="A218" s="58"/>
      <c r="B218" s="58"/>
      <c r="C218" s="58"/>
      <c r="D218" s="58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>
      <c r="A219" s="58"/>
      <c r="B219" s="58"/>
      <c r="C219" s="58"/>
      <c r="D219" s="58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>
      <c r="A220" s="58"/>
      <c r="B220" s="58"/>
      <c r="C220" s="58"/>
      <c r="D220" s="58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>
      <c r="A231" s="95"/>
      <c r="B231" s="63"/>
      <c r="C231" s="95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>
      <c r="A240" s="49" t="s">
        <v>173</v>
      </c>
      <c r="B240" s="55" t="str">
        <f>IF(B17="","",B17)</f>
        <v/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>
      <c r="A241" s="49"/>
      <c r="B241" s="106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>
      <c r="A242" s="5"/>
      <c r="B242" s="91" t="s">
        <v>185</v>
      </c>
      <c r="C242" s="271" t="s">
        <v>186</v>
      </c>
      <c r="D242" s="271"/>
      <c r="E242" s="272" t="s">
        <v>187</v>
      </c>
      <c r="F242" s="273"/>
      <c r="G242" s="273"/>
      <c r="H242" s="274"/>
      <c r="I242" s="10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32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>
      <c r="A244" s="53"/>
      <c r="B244" s="63"/>
      <c r="C244" s="58"/>
      <c r="D244" s="58"/>
      <c r="E244" s="66"/>
      <c r="F244" s="66"/>
      <c r="G244" s="66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>
      <c r="A245" s="53"/>
      <c r="B245" s="63"/>
      <c r="C245" s="58"/>
      <c r="D245" s="58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>
      <c r="A246" s="58"/>
      <c r="B246" s="58"/>
      <c r="C246" s="58"/>
      <c r="D246" s="58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>
      <c r="A247" s="58"/>
      <c r="B247" s="58"/>
      <c r="C247" s="58"/>
      <c r="D247" s="58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>
      <c r="A248" s="58"/>
      <c r="B248" s="58"/>
      <c r="C248" s="58"/>
      <c r="D248" s="58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>
      <c r="A249" s="58"/>
      <c r="B249" s="58"/>
      <c r="C249" s="58"/>
      <c r="D249" s="58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>
      <c r="A250" s="58"/>
      <c r="B250" s="58"/>
      <c r="C250" s="58"/>
      <c r="D250" s="58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>
      <c r="A257" s="95"/>
      <c r="B257" s="63"/>
      <c r="C257" s="95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>
      <c r="A266" s="49" t="s">
        <v>174</v>
      </c>
      <c r="B266" s="55" t="str">
        <f>IF(B18="","",B18)</f>
        <v/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>
      <c r="A267" s="49"/>
      <c r="B267" s="106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>
      <c r="A268" s="5"/>
      <c r="B268" s="91" t="s">
        <v>185</v>
      </c>
      <c r="C268" s="271" t="s">
        <v>186</v>
      </c>
      <c r="D268" s="271"/>
      <c r="E268" s="272" t="s">
        <v>187</v>
      </c>
      <c r="F268" s="273"/>
      <c r="G268" s="273"/>
      <c r="H268" s="274"/>
      <c r="I268" s="10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32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>
      <c r="A270" s="53"/>
      <c r="B270" s="53"/>
      <c r="C270" s="53"/>
      <c r="D270" s="5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>
      <c r="A271" s="53"/>
      <c r="B271" s="53"/>
      <c r="C271" s="53"/>
      <c r="D271" s="5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>
      <c r="A272" s="53"/>
      <c r="B272" s="53"/>
      <c r="C272" s="53"/>
      <c r="D272" s="5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>
      <c r="A273" s="53"/>
      <c r="B273" s="53"/>
      <c r="C273" s="53"/>
      <c r="D273" s="5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>
      <c r="A274" s="53"/>
      <c r="B274" s="53"/>
      <c r="C274" s="53"/>
      <c r="D274" s="5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>
      <c r="A275" s="58"/>
      <c r="B275" s="58"/>
      <c r="C275" s="58"/>
      <c r="D275" s="58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>
      <c r="A276" s="58"/>
      <c r="B276" s="58"/>
      <c r="C276" s="58"/>
      <c r="D276" s="58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>
      <c r="A283" s="95"/>
      <c r="B283" s="63"/>
      <c r="C283" s="95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0vR/ItYTgB1fcMl7Lq5IzSneJmj6usEjmnNbQkd5TZPWE4tYJrrlx/mDwIRXIqFquXsTisTOzm+Xq5jhbhAQ/g==" saltValue="IcRi5emByQj2CJ3t//ZvmA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4">
    <dataValidation type="list" allowBlank="1" showInputMessage="1" showErrorMessage="1" sqref="B9:B18" xr:uid="{00000000-0002-0000-0100-000000000000}">
      <formula1>Essence</formula1>
    </dataValidation>
    <dataValidation type="list" allowBlank="1" showInputMessage="1" showErrorMessage="1" sqref="C24" xr:uid="{00000000-0002-0000-0100-000001000000}">
      <formula1>VAN</formula1>
    </dataValidation>
    <dataValidation type="list" allowBlank="1" showInputMessage="1" showErrorMessage="1" sqref="C26" xr:uid="{00000000-0002-0000-0100-000002000000}">
      <formula1>Incendie</formula1>
    </dataValidation>
    <dataValidation type="list" allowBlank="1" showInputMessage="1" showErrorMessage="1" sqref="C27" xr:uid="{00000000-0002-0000-0100-000003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7" sqref="G17"/>
    </sheetView>
  </sheetViews>
  <sheetFormatPr baseColWidth="10" defaultColWidth="11.5" defaultRowHeight="15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>
      <c r="A1" s="5"/>
      <c r="B1" s="5"/>
      <c r="C1" s="5"/>
      <c r="D1" s="5"/>
      <c r="E1" s="5"/>
      <c r="F1" s="5"/>
      <c r="G1" s="5"/>
      <c r="H1" s="5"/>
      <c r="I1" s="5"/>
      <c r="J1" s="107"/>
      <c r="K1" s="107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>
      <c r="A2" s="5"/>
      <c r="B2" s="286" t="s">
        <v>191</v>
      </c>
      <c r="C2" s="287"/>
      <c r="D2" s="287"/>
      <c r="E2" s="287"/>
      <c r="F2" s="287"/>
      <c r="G2" s="288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>
      <c r="A4" s="5"/>
      <c r="B4" s="285"/>
      <c r="C4" s="285"/>
      <c r="D4" s="285"/>
      <c r="E4" s="285"/>
      <c r="F4" s="285"/>
      <c r="G4" s="285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>
      <c r="A5" s="5"/>
      <c r="B5" s="108" t="s">
        <v>301</v>
      </c>
      <c r="C5" s="108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>
      <c r="A6" s="25"/>
      <c r="B6" s="251"/>
      <c r="C6" s="251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>
      <c r="A7" s="109"/>
      <c r="B7" s="29" t="s">
        <v>300</v>
      </c>
      <c r="C7" s="110" t="s">
        <v>214</v>
      </c>
      <c r="D7" s="249"/>
      <c r="E7" s="111"/>
      <c r="F7" s="29" t="s">
        <v>300</v>
      </c>
      <c r="G7" s="110" t="s">
        <v>215</v>
      </c>
      <c r="H7" s="250"/>
      <c r="I7" s="250"/>
      <c r="J7" s="250"/>
      <c r="K7" s="250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</row>
    <row r="8" spans="1:38" ht="17.25" customHeight="1">
      <c r="A8" s="115">
        <v>1</v>
      </c>
      <c r="B8" s="64">
        <v>1</v>
      </c>
      <c r="C8" s="52" t="s">
        <v>177</v>
      </c>
      <c r="D8" s="25"/>
      <c r="E8" s="115">
        <v>4</v>
      </c>
      <c r="F8" s="64">
        <v>0</v>
      </c>
      <c r="G8" s="112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>
      <c r="A9" s="115">
        <v>2</v>
      </c>
      <c r="B9" s="64">
        <v>0</v>
      </c>
      <c r="C9" s="118" t="s">
        <v>216</v>
      </c>
      <c r="D9" s="25"/>
      <c r="E9" s="115">
        <v>5</v>
      </c>
      <c r="F9" s="64">
        <v>0</v>
      </c>
      <c r="G9" s="113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>
      <c r="A10" s="115">
        <v>3</v>
      </c>
      <c r="B10" s="64">
        <v>0</v>
      </c>
      <c r="C10" s="119" t="s">
        <v>217</v>
      </c>
      <c r="D10" s="25"/>
      <c r="E10" s="5"/>
      <c r="F10" s="116">
        <f>SUM(F7:F9)</f>
        <v>0</v>
      </c>
      <c r="G10" s="114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>
      <c r="A11" s="25"/>
      <c r="B11" s="116">
        <v>0</v>
      </c>
      <c r="C11" s="114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>
      <c r="A13" s="250"/>
      <c r="B13" s="117"/>
      <c r="C13" s="108" t="s">
        <v>274</v>
      </c>
      <c r="D13" s="250"/>
      <c r="E13" s="109"/>
      <c r="F13" s="117"/>
      <c r="G13" s="108" t="s">
        <v>307</v>
      </c>
      <c r="H13" s="250"/>
      <c r="I13" s="250"/>
      <c r="J13" s="250"/>
      <c r="K13" s="250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</row>
    <row r="14" spans="1:38" s="4" customFormat="1" ht="21" customHeight="1">
      <c r="A14" s="250"/>
      <c r="B14" s="117"/>
      <c r="C14" s="108" t="s">
        <v>306</v>
      </c>
      <c r="D14" s="250"/>
      <c r="E14" s="109"/>
      <c r="F14" s="117"/>
      <c r="G14" s="108" t="s">
        <v>299</v>
      </c>
      <c r="H14" s="250"/>
      <c r="I14" s="250"/>
      <c r="J14" s="250"/>
      <c r="K14" s="250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</row>
    <row r="15" spans="1:38">
      <c r="A15" s="25"/>
      <c r="B15" s="29" t="s">
        <v>300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>
      <c r="A16" s="25"/>
      <c r="B16" s="64">
        <v>1</v>
      </c>
      <c r="C16" s="120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>
      <c r="A17" s="25"/>
      <c r="B17" s="64">
        <v>0</v>
      </c>
      <c r="C17" s="120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>
      <c r="A18" s="25"/>
      <c r="B18" s="64">
        <v>0</v>
      </c>
      <c r="C18" s="120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>
      <c r="A19" s="25"/>
      <c r="B19" s="116">
        <f>SUM(B16:B18)</f>
        <v>1</v>
      </c>
      <c r="C19" s="114" t="str">
        <f>IF(SUM(B16:B18)=B8,"OK","ERREUR : corrigez ; le total n'est pas égal à celui de la cellule A8")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>
      <c r="A25" s="5"/>
      <c r="B25" s="25"/>
      <c r="C25" s="25"/>
      <c r="D25" s="27"/>
      <c r="E25" s="100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>
      <c r="A29" s="5"/>
      <c r="B29" s="5"/>
      <c r="C29" s="5"/>
      <c r="D29" s="5"/>
      <c r="E29" s="5"/>
      <c r="F29" s="100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>
      <c r="C104" s="5"/>
      <c r="F104" s="5"/>
    </row>
    <row r="105" spans="3:35">
      <c r="C105" s="5"/>
      <c r="F105" s="5"/>
    </row>
    <row r="106" spans="3:35">
      <c r="C106" s="5"/>
      <c r="F106" s="5"/>
    </row>
    <row r="107" spans="3:35">
      <c r="C107" s="5"/>
      <c r="F107" s="5"/>
    </row>
    <row r="108" spans="3:35">
      <c r="C108" s="5"/>
      <c r="F108" s="5"/>
    </row>
    <row r="109" spans="3:35">
      <c r="C109" s="5"/>
      <c r="F109" s="5"/>
    </row>
    <row r="110" spans="3:35">
      <c r="C110" s="5"/>
      <c r="F110" s="5"/>
    </row>
    <row r="111" spans="3:35">
      <c r="C111" s="5"/>
      <c r="F111" s="5"/>
    </row>
    <row r="112" spans="3:35">
      <c r="C112" s="5"/>
      <c r="F112" s="5"/>
    </row>
    <row r="113" spans="3:6">
      <c r="C113" s="5"/>
      <c r="F113" s="5"/>
    </row>
    <row r="114" spans="3:6">
      <c r="C114" s="5"/>
      <c r="F114" s="5"/>
    </row>
    <row r="115" spans="3:6">
      <c r="C115" s="5"/>
      <c r="F115" s="5"/>
    </row>
    <row r="116" spans="3:6">
      <c r="C116" s="5"/>
      <c r="F116" s="5"/>
    </row>
    <row r="117" spans="3:6">
      <c r="C117" s="5"/>
      <c r="F117" s="5"/>
    </row>
    <row r="118" spans="3:6">
      <c r="C118" s="5"/>
      <c r="F118" s="5"/>
    </row>
    <row r="119" spans="3:6">
      <c r="C119" s="5"/>
      <c r="F119" s="5"/>
    </row>
    <row r="120" spans="3:6">
      <c r="C120" s="5"/>
      <c r="F120" s="5"/>
    </row>
    <row r="121" spans="3:6">
      <c r="C121" s="5"/>
      <c r="F121" s="5"/>
    </row>
    <row r="122" spans="3:6">
      <c r="C122" s="5"/>
      <c r="F122" s="5"/>
    </row>
    <row r="123" spans="3:6">
      <c r="C123" s="5"/>
      <c r="F123" s="5"/>
    </row>
    <row r="124" spans="3:6">
      <c r="C124" s="5"/>
      <c r="F124" s="5"/>
    </row>
    <row r="125" spans="3:6">
      <c r="C125" s="5"/>
      <c r="F125" s="5"/>
    </row>
    <row r="126" spans="3:6">
      <c r="C126" s="5"/>
      <c r="F126" s="5"/>
    </row>
    <row r="127" spans="3:6">
      <c r="C127" s="5"/>
      <c r="F127" s="5"/>
    </row>
    <row r="128" spans="3:6">
      <c r="C128" s="5"/>
      <c r="F128" s="5"/>
    </row>
    <row r="129" spans="3:6">
      <c r="C129" s="5"/>
      <c r="F129" s="5"/>
    </row>
    <row r="130" spans="3:6">
      <c r="C130" s="5"/>
      <c r="F130" s="5"/>
    </row>
    <row r="131" spans="3:6">
      <c r="C131" s="5"/>
      <c r="F131" s="5"/>
    </row>
    <row r="132" spans="3:6">
      <c r="F132" s="5"/>
    </row>
    <row r="133" spans="3:6">
      <c r="F133" s="5"/>
    </row>
    <row r="134" spans="3:6">
      <c r="F134" s="5"/>
    </row>
    <row r="135" spans="3:6">
      <c r="F135" s="5"/>
    </row>
    <row r="136" spans="3:6">
      <c r="F136" s="5"/>
    </row>
    <row r="137" spans="3:6">
      <c r="F137" s="5"/>
    </row>
    <row r="138" spans="3:6">
      <c r="F138" s="5"/>
    </row>
    <row r="139" spans="3:6">
      <c r="F139" s="5"/>
    </row>
    <row r="140" spans="3:6">
      <c r="F140" s="5"/>
    </row>
    <row r="141" spans="3:6">
      <c r="F141" s="5"/>
    </row>
    <row r="142" spans="3:6">
      <c r="F142" s="5"/>
    </row>
    <row r="143" spans="3:6">
      <c r="F143" s="5"/>
    </row>
    <row r="144" spans="3:6">
      <c r="F144" s="5"/>
    </row>
    <row r="145" spans="6:6">
      <c r="F145" s="5"/>
    </row>
    <row r="146" spans="6:6">
      <c r="F146" s="5"/>
    </row>
    <row r="147" spans="6:6">
      <c r="F147" s="5"/>
    </row>
    <row r="148" spans="6:6">
      <c r="F148" s="5"/>
    </row>
    <row r="149" spans="6:6">
      <c r="F149" s="5"/>
    </row>
    <row r="150" spans="6:6">
      <c r="F150" s="5"/>
    </row>
    <row r="151" spans="6:6">
      <c r="F151" s="5"/>
    </row>
    <row r="152" spans="6:6">
      <c r="F152" s="5"/>
    </row>
    <row r="153" spans="6:6">
      <c r="F153" s="5"/>
    </row>
    <row r="154" spans="6:6">
      <c r="F154" s="5"/>
    </row>
    <row r="155" spans="6:6">
      <c r="F155" s="5"/>
    </row>
    <row r="156" spans="6:6">
      <c r="F156" s="5"/>
    </row>
    <row r="157" spans="6:6">
      <c r="F157" s="5"/>
    </row>
    <row r="158" spans="6:6">
      <c r="F158" s="5"/>
    </row>
    <row r="159" spans="6:6">
      <c r="F159" s="5"/>
    </row>
    <row r="160" spans="6:6">
      <c r="F160" s="5"/>
    </row>
    <row r="161" spans="6:6">
      <c r="F161" s="5"/>
    </row>
    <row r="162" spans="6:6">
      <c r="F162" s="5"/>
    </row>
    <row r="163" spans="6:6">
      <c r="F163" s="5"/>
    </row>
  </sheetData>
  <sheetProtection algorithmName="SHA-512" hashValue="O+4SOX10rzZgfp5GaCnEsrI5deuBv952lnLFIqn6tLHYaerLyRUW9fgoLqxvGPs6Yj91WOqd6Nc9aEOdh6kHkA==" saltValue="ae6eRUeZYd5WtUV5EWPfQ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BV1" zoomScaleNormal="100" workbookViewId="0">
      <selection activeCell="CC4" sqref="CC4"/>
    </sheetView>
  </sheetViews>
  <sheetFormatPr baseColWidth="10" defaultColWidth="11.5" defaultRowHeight="15"/>
  <cols>
    <col min="1" max="1" width="6.83203125" style="71" bestFit="1" customWidth="1"/>
    <col min="2" max="4" width="11.5" style="71"/>
    <col min="5" max="5" width="9.5" style="71" customWidth="1"/>
    <col min="6" max="7" width="11.5" style="71"/>
    <col min="8" max="8" width="10.6640625" style="71" customWidth="1"/>
    <col min="9" max="9" width="9.5" style="71" customWidth="1"/>
    <col min="10" max="11" width="10.5" style="71" bestFit="1" customWidth="1"/>
    <col min="12" max="12" width="14" style="71" bestFit="1" customWidth="1"/>
    <col min="13" max="13" width="14" style="71" customWidth="1"/>
    <col min="14" max="23" width="11.5" style="71"/>
    <col min="24" max="24" width="11.6640625" style="71" bestFit="1" customWidth="1"/>
    <col min="25" max="25" width="14.5" style="71" bestFit="1" customWidth="1"/>
    <col min="26" max="26" width="12.5" style="71" bestFit="1" customWidth="1"/>
    <col min="27" max="27" width="9.6640625" style="71" bestFit="1" customWidth="1"/>
    <col min="28" max="28" width="11" style="71" bestFit="1" customWidth="1"/>
    <col min="29" max="29" width="9.5" style="71" bestFit="1" customWidth="1"/>
    <col min="30" max="31" width="9.5" style="71" customWidth="1"/>
    <col min="32" max="32" width="11.5" style="71"/>
    <col min="33" max="34" width="14" style="71" bestFit="1" customWidth="1"/>
    <col min="35" max="35" width="10.5" style="71" bestFit="1" customWidth="1"/>
    <col min="36" max="36" width="9.5" style="71" bestFit="1" customWidth="1"/>
    <col min="37" max="38" width="10.5" style="71" bestFit="1" customWidth="1"/>
    <col min="39" max="41" width="10.5" style="71" customWidth="1"/>
    <col min="42" max="42" width="9" style="71" bestFit="1" customWidth="1"/>
    <col min="43" max="43" width="10.5" style="71" bestFit="1" customWidth="1"/>
    <col min="44" max="44" width="9.33203125" style="71" bestFit="1" customWidth="1"/>
    <col min="45" max="45" width="11.6640625" style="71" bestFit="1" customWidth="1"/>
    <col min="46" max="46" width="8.5" style="71" bestFit="1" customWidth="1"/>
    <col min="47" max="47" width="9.5" style="71" bestFit="1" customWidth="1"/>
    <col min="48" max="48" width="9.6640625" style="71" bestFit="1" customWidth="1"/>
    <col min="49" max="49" width="11" style="71" bestFit="1" customWidth="1"/>
    <col min="50" max="50" width="9.5" style="71" bestFit="1" customWidth="1"/>
    <col min="51" max="52" width="9.5" style="71" customWidth="1"/>
    <col min="53" max="53" width="10.5" style="71" bestFit="1" customWidth="1"/>
    <col min="54" max="54" width="14.33203125" style="71" customWidth="1"/>
    <col min="55" max="55" width="14" style="71" customWidth="1"/>
    <col min="56" max="56" width="10.5" style="71" bestFit="1" customWidth="1"/>
    <col min="57" max="57" width="9.5" style="71" bestFit="1" customWidth="1"/>
    <col min="58" max="59" width="10.5" style="71" bestFit="1" customWidth="1"/>
    <col min="60" max="62" width="10.5" style="71" customWidth="1"/>
    <col min="63" max="63" width="9" style="71" bestFit="1" customWidth="1"/>
    <col min="64" max="64" width="10.5" style="71" bestFit="1" customWidth="1"/>
    <col min="65" max="65" width="9.33203125" style="71" bestFit="1" customWidth="1"/>
    <col min="66" max="66" width="11.6640625" style="71" bestFit="1" customWidth="1"/>
    <col min="67" max="67" width="8.5" style="71" bestFit="1" customWidth="1"/>
    <col min="68" max="68" width="9.5" style="71" bestFit="1" customWidth="1"/>
    <col min="69" max="69" width="9.6640625" style="71" bestFit="1" customWidth="1"/>
    <col min="70" max="70" width="11" style="71" bestFit="1" customWidth="1"/>
    <col min="71" max="71" width="9.5" style="71" bestFit="1" customWidth="1"/>
    <col min="72" max="73" width="9.5" style="71" customWidth="1"/>
    <col min="74" max="74" width="10.5" style="71" bestFit="1" customWidth="1"/>
    <col min="75" max="75" width="14" style="71" bestFit="1" customWidth="1"/>
    <col min="76" max="76" width="13.83203125" style="71" customWidth="1"/>
    <col min="77" max="77" width="10.5" style="71" bestFit="1" customWidth="1"/>
    <col min="78" max="78" width="9.5" style="71" bestFit="1" customWidth="1"/>
    <col min="79" max="80" width="10.5" style="71" bestFit="1" customWidth="1"/>
    <col min="81" max="83" width="10.5" style="71" customWidth="1"/>
    <col min="84" max="84" width="11.5" style="71"/>
    <col min="85" max="85" width="10.5" style="71" bestFit="1" customWidth="1"/>
    <col min="86" max="86" width="9.33203125" style="71" bestFit="1" customWidth="1"/>
    <col min="87" max="87" width="11.6640625" style="71" bestFit="1" customWidth="1"/>
    <col min="88" max="88" width="8.5" style="71" bestFit="1" customWidth="1"/>
    <col min="89" max="89" width="9.5" style="71" bestFit="1" customWidth="1"/>
    <col min="90" max="90" width="9.6640625" style="71" bestFit="1" customWidth="1"/>
    <col min="91" max="91" width="11" style="71" bestFit="1" customWidth="1"/>
    <col min="92" max="92" width="9.5" style="71" bestFit="1" customWidth="1"/>
    <col min="93" max="94" width="9.5" style="71" customWidth="1"/>
    <col min="95" max="95" width="11.5" style="71"/>
    <col min="96" max="97" width="14" style="71" customWidth="1"/>
    <col min="98" max="98" width="10.5" style="71" bestFit="1" customWidth="1"/>
    <col min="99" max="99" width="9.5" style="71" bestFit="1" customWidth="1"/>
    <col min="100" max="101" width="10.5" style="71" bestFit="1" customWidth="1"/>
    <col min="102" max="104" width="10.5" style="71" customWidth="1"/>
    <col min="105" max="105" width="9" style="71" bestFit="1" customWidth="1"/>
    <col min="106" max="106" width="10.5" style="71" bestFit="1" customWidth="1"/>
    <col min="107" max="107" width="9.33203125" style="71" bestFit="1" customWidth="1"/>
    <col min="108" max="108" width="11.6640625" style="71" bestFit="1" customWidth="1"/>
    <col min="109" max="109" width="8.5" style="71" bestFit="1" customWidth="1"/>
    <col min="110" max="110" width="9.5" style="71" bestFit="1" customWidth="1"/>
    <col min="111" max="111" width="9.6640625" style="71" bestFit="1" customWidth="1"/>
    <col min="112" max="112" width="11" style="71" bestFit="1" customWidth="1"/>
    <col min="113" max="113" width="9.5" style="71" bestFit="1" customWidth="1"/>
    <col min="114" max="115" width="9.5" style="71" customWidth="1"/>
    <col min="116" max="116" width="10.5" style="71" bestFit="1" customWidth="1"/>
    <col min="117" max="117" width="14.33203125" style="71" customWidth="1"/>
    <col min="118" max="118" width="14" style="71" bestFit="1" customWidth="1"/>
    <col min="119" max="119" width="10.5" style="71" bestFit="1" customWidth="1"/>
    <col min="120" max="120" width="9.5" style="71" bestFit="1" customWidth="1"/>
    <col min="121" max="122" width="10.5" style="71" bestFit="1" customWidth="1"/>
    <col min="123" max="125" width="10.5" style="71" customWidth="1"/>
    <col min="126" max="126" width="9" style="71" bestFit="1" customWidth="1"/>
    <col min="127" max="127" width="10.5" style="71" bestFit="1" customWidth="1"/>
    <col min="128" max="128" width="9.33203125" style="71" bestFit="1" customWidth="1"/>
    <col min="129" max="129" width="11.6640625" style="71" bestFit="1" customWidth="1"/>
    <col min="130" max="130" width="8.5" style="71" bestFit="1" customWidth="1"/>
    <col min="131" max="131" width="9.5" style="71" bestFit="1" customWidth="1"/>
    <col min="132" max="132" width="9.6640625" style="71" bestFit="1" customWidth="1"/>
    <col min="133" max="133" width="11" style="71" bestFit="1" customWidth="1"/>
    <col min="134" max="134" width="9.5" style="71" bestFit="1" customWidth="1"/>
    <col min="135" max="136" width="9.5" style="71" customWidth="1"/>
    <col min="137" max="137" width="10.5" style="71" bestFit="1" customWidth="1"/>
    <col min="138" max="139" width="14" style="71" customWidth="1"/>
    <col min="140" max="140" width="10.5" style="71" bestFit="1" customWidth="1"/>
    <col min="141" max="141" width="9.5" style="71" bestFit="1" customWidth="1"/>
    <col min="142" max="143" width="10.5" style="71" bestFit="1" customWidth="1"/>
    <col min="144" max="146" width="10.5" style="71" customWidth="1"/>
    <col min="147" max="147" width="9" style="71" bestFit="1" customWidth="1"/>
    <col min="148" max="148" width="10.5" style="71" bestFit="1" customWidth="1"/>
    <col min="149" max="149" width="9.33203125" style="71" bestFit="1" customWidth="1"/>
    <col min="150" max="150" width="11.6640625" style="71" bestFit="1" customWidth="1"/>
    <col min="151" max="151" width="8.5" style="71" bestFit="1" customWidth="1"/>
    <col min="152" max="152" width="9.5" style="71" bestFit="1" customWidth="1"/>
    <col min="153" max="153" width="9.6640625" style="71" bestFit="1" customWidth="1"/>
    <col min="154" max="154" width="11" style="71" bestFit="1" customWidth="1"/>
    <col min="155" max="155" width="9.5" style="71" bestFit="1" customWidth="1"/>
    <col min="156" max="157" width="9.5" style="71" customWidth="1"/>
    <col min="158" max="158" width="11.5" style="71"/>
    <col min="159" max="160" width="14" style="71" bestFit="1" customWidth="1"/>
    <col min="161" max="161" width="10.5" style="71" bestFit="1" customWidth="1"/>
    <col min="162" max="162" width="9.5" style="71" bestFit="1" customWidth="1"/>
    <col min="163" max="164" width="10.5" style="71" bestFit="1" customWidth="1"/>
    <col min="165" max="167" width="10.5" style="71" customWidth="1"/>
    <col min="168" max="168" width="9" style="71" bestFit="1" customWidth="1"/>
    <col min="169" max="169" width="10.5" style="71" bestFit="1" customWidth="1"/>
    <col min="170" max="170" width="9.33203125" style="71" bestFit="1" customWidth="1"/>
    <col min="171" max="171" width="11.6640625" style="71" bestFit="1" customWidth="1"/>
    <col min="172" max="172" width="8.1640625" style="71" bestFit="1" customWidth="1"/>
    <col min="173" max="173" width="9.5" style="71" bestFit="1" customWidth="1"/>
    <col min="174" max="174" width="9.6640625" style="71" bestFit="1" customWidth="1"/>
    <col min="175" max="175" width="11" style="71" bestFit="1" customWidth="1"/>
    <col min="176" max="176" width="9.5" style="71" bestFit="1" customWidth="1"/>
    <col min="177" max="178" width="9.5" style="71" customWidth="1"/>
    <col min="179" max="179" width="10.5" style="71" bestFit="1" customWidth="1"/>
    <col min="180" max="181" width="14" style="71" bestFit="1" customWidth="1"/>
    <col min="182" max="182" width="10.5" style="71" bestFit="1" customWidth="1"/>
    <col min="183" max="183" width="9.5" style="71" bestFit="1" customWidth="1"/>
    <col min="184" max="185" width="10.5" style="71" bestFit="1" customWidth="1"/>
    <col min="186" max="188" width="10.5" style="71" customWidth="1"/>
    <col min="189" max="189" width="9" style="71" bestFit="1" customWidth="1"/>
    <col min="190" max="190" width="10.5" style="71" bestFit="1" customWidth="1"/>
    <col min="191" max="191" width="9.33203125" style="71" bestFit="1" customWidth="1"/>
    <col min="192" max="192" width="11.5" style="71"/>
    <col min="193" max="193" width="8.5" style="71" bestFit="1" customWidth="1"/>
    <col min="194" max="194" width="9.5" style="71" bestFit="1" customWidth="1"/>
    <col min="195" max="195" width="9.6640625" style="71" bestFit="1" customWidth="1"/>
    <col min="196" max="196" width="11" style="71" bestFit="1" customWidth="1"/>
    <col min="197" max="197" width="9.5" style="71" bestFit="1" customWidth="1"/>
    <col min="198" max="199" width="9.5" style="71" customWidth="1"/>
    <col min="200" max="200" width="10.5" style="71" bestFit="1" customWidth="1"/>
    <col min="201" max="201" width="14" style="71" customWidth="1"/>
    <col min="202" max="202" width="14.33203125" style="71" customWidth="1"/>
    <col min="203" max="203" width="10.5" style="71" bestFit="1" customWidth="1"/>
    <col min="204" max="204" width="9.5" style="71" bestFit="1" customWidth="1"/>
    <col min="205" max="206" width="10.5" style="71" bestFit="1" customWidth="1"/>
    <col min="207" max="209" width="10.5" style="71" customWidth="1"/>
    <col min="210" max="210" width="9" style="71" bestFit="1" customWidth="1"/>
    <col min="211" max="211" width="10.5" style="71" bestFit="1" customWidth="1"/>
    <col min="212" max="212" width="9.33203125" style="71" bestFit="1" customWidth="1"/>
    <col min="213" max="213" width="11.6640625" style="71" bestFit="1" customWidth="1"/>
    <col min="214" max="214" width="8.5" style="71" bestFit="1" customWidth="1"/>
    <col min="215" max="215" width="9.5" style="71" bestFit="1" customWidth="1"/>
    <col min="216" max="216" width="9.6640625" style="71" bestFit="1" customWidth="1"/>
    <col min="217" max="217" width="11" style="71" bestFit="1" customWidth="1"/>
    <col min="218" max="218" width="9.5" style="71" bestFit="1" customWidth="1"/>
    <col min="219" max="16384" width="11.5" style="71"/>
  </cols>
  <sheetData>
    <row r="1" spans="1:218" s="5" customFormat="1" ht="27" thickBot="1">
      <c r="B1" s="292" t="s">
        <v>176</v>
      </c>
      <c r="C1" s="293"/>
      <c r="D1" s="293"/>
      <c r="E1" s="293"/>
      <c r="F1" s="293"/>
      <c r="G1" s="293"/>
      <c r="H1" s="294"/>
      <c r="I1" s="289" t="str">
        <f>IF('Données projet'!$B$9="","",'Données projet'!$B$9)</f>
        <v>Pin laricio</v>
      </c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1"/>
      <c r="AD1" s="290" t="str">
        <f>IF('Données projet'!$B$10="","",'Données projet'!$B$10)</f>
        <v>Cèdre de l'Atlas</v>
      </c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  <c r="AV1" s="290"/>
      <c r="AW1" s="290"/>
      <c r="AX1" s="291"/>
      <c r="AY1" s="289" t="str">
        <f>IF('Données projet'!$B$11="","",'Données projet'!$B$11)</f>
        <v>Chêne sessile</v>
      </c>
      <c r="AZ1" s="290"/>
      <c r="BA1" s="290"/>
      <c r="BB1" s="290"/>
      <c r="BC1" s="290"/>
      <c r="BD1" s="290"/>
      <c r="BE1" s="290"/>
      <c r="BF1" s="290"/>
      <c r="BG1" s="290"/>
      <c r="BH1" s="290"/>
      <c r="BI1" s="290"/>
      <c r="BJ1" s="290"/>
      <c r="BK1" s="290"/>
      <c r="BL1" s="290"/>
      <c r="BM1" s="290"/>
      <c r="BN1" s="290"/>
      <c r="BO1" s="290"/>
      <c r="BP1" s="290"/>
      <c r="BQ1" s="290"/>
      <c r="BR1" s="290"/>
      <c r="BS1" s="291"/>
      <c r="BT1" s="289" t="str">
        <f>IF('Données projet'!$B$12="","",'Données projet'!$B$12)</f>
        <v>Chêne pubescent</v>
      </c>
      <c r="BU1" s="290"/>
      <c r="BV1" s="290"/>
      <c r="BW1" s="290"/>
      <c r="BX1" s="290"/>
      <c r="BY1" s="290"/>
      <c r="BZ1" s="290"/>
      <c r="CA1" s="290"/>
      <c r="CB1" s="290"/>
      <c r="CC1" s="290"/>
      <c r="CD1" s="290"/>
      <c r="CE1" s="290"/>
      <c r="CF1" s="290"/>
      <c r="CG1" s="290"/>
      <c r="CH1" s="290"/>
      <c r="CI1" s="290"/>
      <c r="CJ1" s="290"/>
      <c r="CK1" s="290"/>
      <c r="CL1" s="290"/>
      <c r="CM1" s="290"/>
      <c r="CN1" s="291"/>
      <c r="CO1" s="289" t="str">
        <f>IF('Données projet'!$B$13="","",'Données projet'!$B$13)</f>
        <v>Charme</v>
      </c>
      <c r="CP1" s="290"/>
      <c r="CQ1" s="290"/>
      <c r="CR1" s="290"/>
      <c r="CS1" s="290"/>
      <c r="CT1" s="290"/>
      <c r="CU1" s="290"/>
      <c r="CV1" s="290"/>
      <c r="CW1" s="290"/>
      <c r="CX1" s="290"/>
      <c r="CY1" s="290"/>
      <c r="CZ1" s="290"/>
      <c r="DA1" s="290"/>
      <c r="DB1" s="290"/>
      <c r="DC1" s="290"/>
      <c r="DD1" s="290"/>
      <c r="DE1" s="290"/>
      <c r="DF1" s="290"/>
      <c r="DG1" s="290"/>
      <c r="DH1" s="290"/>
      <c r="DI1" s="291"/>
      <c r="DJ1" s="289" t="str">
        <f>IF('Données projet'!$B$14="","",'Données projet'!$B$14)</f>
        <v>Alisier torminal</v>
      </c>
      <c r="DK1" s="290"/>
      <c r="DL1" s="290"/>
      <c r="DM1" s="290"/>
      <c r="DN1" s="290"/>
      <c r="DO1" s="290"/>
      <c r="DP1" s="290"/>
      <c r="DQ1" s="290"/>
      <c r="DR1" s="290"/>
      <c r="DS1" s="290"/>
      <c r="DT1" s="290"/>
      <c r="DU1" s="290"/>
      <c r="DV1" s="290"/>
      <c r="DW1" s="290"/>
      <c r="DX1" s="290"/>
      <c r="DY1" s="290"/>
      <c r="DZ1" s="290"/>
      <c r="EA1" s="290"/>
      <c r="EB1" s="290"/>
      <c r="EC1" s="290"/>
      <c r="ED1" s="291"/>
      <c r="EE1" s="289" t="str">
        <f>IF('Données projet'!$B$15="","",'Données projet'!$B$15)</f>
        <v/>
      </c>
      <c r="EF1" s="290"/>
      <c r="EG1" s="290"/>
      <c r="EH1" s="290"/>
      <c r="EI1" s="290"/>
      <c r="EJ1" s="290"/>
      <c r="EK1" s="290"/>
      <c r="EL1" s="290"/>
      <c r="EM1" s="290"/>
      <c r="EN1" s="290"/>
      <c r="EO1" s="290"/>
      <c r="EP1" s="290"/>
      <c r="EQ1" s="290"/>
      <c r="ER1" s="290"/>
      <c r="ES1" s="290"/>
      <c r="ET1" s="290"/>
      <c r="EU1" s="290"/>
      <c r="EV1" s="290"/>
      <c r="EW1" s="290"/>
      <c r="EX1" s="290"/>
      <c r="EY1" s="291"/>
      <c r="EZ1" s="289" t="str">
        <f>IF('Données projet'!$B$16="","",'Données projet'!$B$16)</f>
        <v/>
      </c>
      <c r="FA1" s="290"/>
      <c r="FB1" s="290"/>
      <c r="FC1" s="290"/>
      <c r="FD1" s="290"/>
      <c r="FE1" s="290"/>
      <c r="FF1" s="290"/>
      <c r="FG1" s="290"/>
      <c r="FH1" s="290"/>
      <c r="FI1" s="290"/>
      <c r="FJ1" s="290"/>
      <c r="FK1" s="290"/>
      <c r="FL1" s="290"/>
      <c r="FM1" s="290"/>
      <c r="FN1" s="290"/>
      <c r="FO1" s="290"/>
      <c r="FP1" s="290"/>
      <c r="FQ1" s="290"/>
      <c r="FR1" s="290"/>
      <c r="FS1" s="290"/>
      <c r="FT1" s="291"/>
      <c r="FU1" s="289" t="str">
        <f>IF('Données projet'!$B$17="","",'Données projet'!$B$17)</f>
        <v/>
      </c>
      <c r="FV1" s="290"/>
      <c r="FW1" s="290"/>
      <c r="FX1" s="290"/>
      <c r="FY1" s="290"/>
      <c r="FZ1" s="290"/>
      <c r="GA1" s="290"/>
      <c r="GB1" s="290"/>
      <c r="GC1" s="290"/>
      <c r="GD1" s="290"/>
      <c r="GE1" s="290"/>
      <c r="GF1" s="290"/>
      <c r="GG1" s="290"/>
      <c r="GH1" s="290"/>
      <c r="GI1" s="290"/>
      <c r="GJ1" s="290"/>
      <c r="GK1" s="290"/>
      <c r="GL1" s="290"/>
      <c r="GM1" s="290"/>
      <c r="GN1" s="290"/>
      <c r="GO1" s="291"/>
      <c r="GP1" s="289" t="str">
        <f>IF('Données projet'!$B$18="","",'Données projet'!$B$18)</f>
        <v/>
      </c>
      <c r="GQ1" s="290"/>
      <c r="GR1" s="290"/>
      <c r="GS1" s="290"/>
      <c r="GT1" s="290"/>
      <c r="GU1" s="290"/>
      <c r="GV1" s="290"/>
      <c r="GW1" s="290"/>
      <c r="GX1" s="290"/>
      <c r="GY1" s="290"/>
      <c r="GZ1" s="290"/>
      <c r="HA1" s="290"/>
      <c r="HB1" s="290"/>
      <c r="HC1" s="290"/>
      <c r="HD1" s="290"/>
      <c r="HE1" s="290"/>
      <c r="HF1" s="290"/>
      <c r="HG1" s="290"/>
      <c r="HH1" s="290"/>
      <c r="HI1" s="290"/>
      <c r="HJ1" s="291"/>
    </row>
    <row r="2" spans="1:218" s="5" customFormat="1" ht="65" thickBot="1">
      <c r="A2" s="75" t="s">
        <v>178</v>
      </c>
      <c r="B2" s="76" t="s">
        <v>194</v>
      </c>
      <c r="C2" s="6" t="s">
        <v>195</v>
      </c>
      <c r="D2" s="6" t="s">
        <v>287</v>
      </c>
      <c r="E2" s="6" t="s">
        <v>303</v>
      </c>
      <c r="F2" s="6" t="s">
        <v>302</v>
      </c>
      <c r="G2" s="6" t="s">
        <v>308</v>
      </c>
      <c r="H2" s="69" t="s">
        <v>304</v>
      </c>
      <c r="I2" s="72" t="s">
        <v>303</v>
      </c>
      <c r="J2" s="73" t="s">
        <v>302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308</v>
      </c>
      <c r="R2" s="7" t="s">
        <v>305</v>
      </c>
      <c r="S2" s="7" t="s">
        <v>309</v>
      </c>
      <c r="T2" s="7" t="s">
        <v>310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303</v>
      </c>
      <c r="AE2" s="73" t="s">
        <v>302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308</v>
      </c>
      <c r="AM2" s="7" t="s">
        <v>305</v>
      </c>
      <c r="AN2" s="7" t="s">
        <v>309</v>
      </c>
      <c r="AO2" s="7" t="s">
        <v>310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303</v>
      </c>
      <c r="AZ2" s="73" t="s">
        <v>302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308</v>
      </c>
      <c r="BH2" s="7" t="s">
        <v>305</v>
      </c>
      <c r="BI2" s="7" t="s">
        <v>309</v>
      </c>
      <c r="BJ2" s="7" t="s">
        <v>310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303</v>
      </c>
      <c r="BU2" s="73" t="s">
        <v>302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308</v>
      </c>
      <c r="CC2" s="7" t="s">
        <v>305</v>
      </c>
      <c r="CD2" s="7" t="s">
        <v>309</v>
      </c>
      <c r="CE2" s="7" t="s">
        <v>310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303</v>
      </c>
      <c r="CP2" s="73" t="s">
        <v>302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308</v>
      </c>
      <c r="CX2" s="7" t="s">
        <v>305</v>
      </c>
      <c r="CY2" s="7" t="s">
        <v>309</v>
      </c>
      <c r="CZ2" s="7" t="s">
        <v>310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303</v>
      </c>
      <c r="DK2" s="73" t="s">
        <v>302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308</v>
      </c>
      <c r="DS2" s="7" t="s">
        <v>305</v>
      </c>
      <c r="DT2" s="7" t="s">
        <v>309</v>
      </c>
      <c r="DU2" s="7" t="s">
        <v>310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303</v>
      </c>
      <c r="EF2" s="73" t="s">
        <v>302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308</v>
      </c>
      <c r="EN2" s="7" t="s">
        <v>305</v>
      </c>
      <c r="EO2" s="7" t="s">
        <v>309</v>
      </c>
      <c r="EP2" s="7" t="s">
        <v>310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303</v>
      </c>
      <c r="FA2" s="73" t="s">
        <v>302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308</v>
      </c>
      <c r="FI2" s="7" t="s">
        <v>305</v>
      </c>
      <c r="FJ2" s="7" t="s">
        <v>309</v>
      </c>
      <c r="FK2" s="7" t="s">
        <v>310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303</v>
      </c>
      <c r="FV2" s="73" t="s">
        <v>302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308</v>
      </c>
      <c r="GD2" s="7" t="s">
        <v>305</v>
      </c>
      <c r="GE2" s="7" t="s">
        <v>309</v>
      </c>
      <c r="GF2" s="7" t="s">
        <v>310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303</v>
      </c>
      <c r="GQ2" s="73" t="s">
        <v>302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308</v>
      </c>
      <c r="GY2" s="7" t="s">
        <v>305</v>
      </c>
      <c r="GZ2" s="7" t="s">
        <v>309</v>
      </c>
      <c r="HA2" s="7" t="s">
        <v>310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301.2688576786212</v>
      </c>
      <c r="T3" s="62">
        <f>IF('Données projet'!E9&gt;30,$R$33-$H$33,LOOKUP('Données projet'!$E$9,$A$3:$A$203,R3:R203)-LOOKUP('Données projet'!$E$9,$A$3:$A$203,$H$3:$H$203))</f>
        <v>417.62172165132927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projet'!$B$10,Paramètres!$A$1:$I$88,3,0)*VLOOKUP('Données projet'!$B$10,Paramètres!$A$1:$I$88,5,0)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170.08673939431091</v>
      </c>
      <c r="AO3" s="62">
        <f>IF('Données projet'!E10&gt;30,$AM$33-$H$33,LOOKUP('Données projet'!$E$10,$A$3:$A$203,AM3:AM203)-LOOKUP('Données projet'!$E$10,$A$3:$A$203,$H$3:$H$203))</f>
        <v>252.97355497077106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projet'!$B$11,Paramètres!$A$1:$I$88,3,0)*VLOOKUP('Données projet'!$B$11,Paramètres!$A$1:$I$88,5,0)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362.63718589694594</v>
      </c>
      <c r="BJ3" s="62">
        <f>IF('Données projet'!E11&gt;30,$BH$33-$H$33,LOOKUP('Données projet'!$E$11,$A$3:$A$203,BH3:BH203)-LOOKUP('Données projet'!$E$11,$A$3:$A$203,$H$3:$H$203))</f>
        <v>250.47702091764884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projet'!$B$12,Paramètres!$A$1:$I$88,3,0)*VLOOKUP('Données projet'!$B$12,Paramètres!$A$1:$I$88,5,0)</f>
        <v>0</v>
      </c>
      <c r="CA3" s="13">
        <v>0</v>
      </c>
      <c r="CB3" s="15">
        <f>(BZ3+CA3)*0.475*44/12</f>
        <v>0</v>
      </c>
      <c r="CC3" s="62">
        <f>CB3+(BT3+BU3)*44/12</f>
        <v>165</v>
      </c>
      <c r="CD3" s="62">
        <f ca="1">AVERAGE(OFFSET($CC$3,0,0,'Données projet'!$E$12+1,1))-AVERAGE(OFFSET($H$3,0,0,'Données projet'!$E$12+1,1))</f>
        <v>398.14524781940196</v>
      </c>
      <c r="CE3" s="62">
        <f>IF('Données projet'!E12&gt;30,$CC$33-$H$33,LOOKUP('Données projet'!$E$12,$A$3:$A$203,CC3:CC203)-LOOKUP('Données projet'!$E$12,$A$3:$A$203,$H$3:$H$203))</f>
        <v>273.35778700650792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projet'!$B$13,Paramètres!$A$1:$I$88,3,0)*VLOOKUP('Données projet'!$B$13,Paramètres!$A$1:$I$88,5,0)</f>
        <v>0</v>
      </c>
      <c r="CV3" s="13">
        <v>0</v>
      </c>
      <c r="CW3" s="15">
        <f>(CU3+CV3)*0.475*44/12</f>
        <v>0</v>
      </c>
      <c r="CX3" s="62">
        <f>CW3+(CO3+CP3)*44/12</f>
        <v>165</v>
      </c>
      <c r="CY3" s="62">
        <f ca="1">AVERAGE(OFFSET($CX$3,0,0,'Données projet'!$E$13+1,1))-AVERAGE(OFFSET($H$3,0,0,'Données projet'!$E$13+1,1))</f>
        <v>470.0521927195926</v>
      </c>
      <c r="CZ3" s="62">
        <f>IF('Données projet'!E13&gt;30,$CX$33-$H$33,LOOKUP('Données projet'!$E$13,$A$3:$A$203,CX3:CX203)-LOOKUP('Données projet'!$E$13,$A$3:$A$203,$H$3:$H$203))</f>
        <v>299.27200854723435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projet'!$B$14,Paramètres!$A$1:$I$88,3,0)*VLOOKUP('Données projet'!$B$14,Paramètres!$A$1:$I$88,5,0)</f>
        <v>0</v>
      </c>
      <c r="DQ3" s="13">
        <v>0</v>
      </c>
      <c r="DR3" s="15">
        <f>(DP3+DQ3)*0.475*44/12</f>
        <v>0</v>
      </c>
      <c r="DS3" s="62">
        <f>DR3+(DJ3+DK3)*44/12</f>
        <v>165</v>
      </c>
      <c r="DT3" s="62">
        <f ca="1">AVERAGE(OFFSET($DS$3,0,0,'Données projet'!$E$14+1,1))-AVERAGE(OFFSET($H$3,0,0,'Données projet'!$E$14+1,1))</f>
        <v>290.89727102147953</v>
      </c>
      <c r="DU3" s="62">
        <f>IF('Données projet'!E14&gt;30,$DS$33-$H$33,LOOKUP('Données projet'!$E$14,$A$3:$A$203,DS3:DS203)-LOOKUP('Données projet'!$E$14,$A$3:$A$203,$H$3:$H$203))</f>
        <v>173.19148969173838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projet'!$B$15,Paramètres!$A$1:$I$88,3,0)*VLOOKUP('Données projet'!$B$15,Paramètres!$A$1:$I$88,5,0)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projet'!$B$16,Paramètres!$A$1:$I$88,3,0)*VLOOKUP('Données projet'!$B$16,Paramètres!$A$1:$I$88,5,0)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projet'!$B$17,Paramètres!$A$1:$I$88,3,0)*VLOOKUP('Données projet'!$B$17,Paramètres!$A$1:$I$88,5,0)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projet'!$B$18,Paramètres!$A$1:$I$88,3,0)*VLOOKUP('Données projet'!$B$18,Paramètres!$A$1:$I$88,5,0)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6.1333333333333337</v>
      </c>
      <c r="N4" s="14">
        <f>IF('Données projet'!$A$36&gt;35,N3+M4-V3,IF(A4&lt;'Données projet'!$A$36,$K$205^A4,IF(A4='Données projet'!$A$36,'Données projet'!$B$36,N3+M4-V3)))</f>
        <v>1.351820999185372</v>
      </c>
      <c r="O4" s="14">
        <f>N4*VLOOKUP('Données projet'!$B$9,Paramètres!$A$1:$I$88,3,0)*VLOOKUP('Données projet'!$B$9,Paramètres!$A$1:$I$88,5,0)</f>
        <v>0.80838895751285256</v>
      </c>
      <c r="P4" s="14">
        <f>EXP(-1.0587+0.8836*LN(O4)+0.284)</f>
        <v>0.38187869167366073</v>
      </c>
      <c r="Q4" s="22">
        <f t="shared" ref="Q4:Q34" si="2">(O4+P4)*0.475*44/12</f>
        <v>2.0730494889998439</v>
      </c>
      <c r="R4" s="62">
        <f t="shared" si="0"/>
        <v>169.8854834419237</v>
      </c>
      <c r="S4" s="62">
        <f ca="1">AVERAGE(OFFSET($R$3,0,0,'Données projet'!$E$9+1,1))-AVERAGE(OFFSET($H$3,0,0,'Données projet'!$E$9+1,1))</f>
        <v>301.2688576786212</v>
      </c>
      <c r="T4" s="62">
        <f>$T$3</f>
        <v>417.62172165132927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6.5</v>
      </c>
      <c r="AI4" s="14">
        <f>IF('Données projet'!$A$62&gt;35,AI3+AH4-AQ3,IF(A4&lt;'Données projet'!$A$62,$AF$205^A4,IF(A4='Données projet'!$A$62,'Données projet'!$B$62,AI3+AH4-AQ3)))</f>
        <v>1.2755490616773966</v>
      </c>
      <c r="AJ4" s="14">
        <f>AI4*VLOOKUP('Données projet'!$B$10,Paramètres!$A$1:$I$88,3,0)*VLOOKUP('Données projet'!$B$10,Paramètres!$A$1:$I$88,5,0)</f>
        <v>0.59695696086502159</v>
      </c>
      <c r="AK4" s="14">
        <f>EXP(-1.0587+0.8836*LN(AJ4)+0.284)</f>
        <v>0.29212943446441586</v>
      </c>
      <c r="AL4" s="22">
        <f t="shared" ref="AL4:AL67" si="4">(AJ4+AK4)*0.475*44/12</f>
        <v>1.5484921385321033</v>
      </c>
      <c r="AM4" s="62">
        <f t="shared" ref="AM4:AM67" si="5">AL4+(AD4+AE4)*44/12</f>
        <v>169.36092609145595</v>
      </c>
      <c r="AN4" s="62">
        <f ca="1">AVERAGE(OFFSET($AM$3,0,0,'Données projet'!$E$10+1,1))-AVERAGE(OFFSET($H$3,0,0,'Données projet'!$E$10+1,1))</f>
        <v>170.08673939431091</v>
      </c>
      <c r="AO4" s="62">
        <f>$AO$3</f>
        <v>252.97355497077106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projet'!$B$10,Paramètres!$A$1:$I$88,3,0)*0.475*44/12</f>
        <v>0</v>
      </c>
      <c r="AV4" s="23">
        <f>EXP(-LN(2)/25)*AV3+(1-EXP(-LN(2)/25))/(LN(2)/25)*Calculateur!AQ4*Calculateur!AS4*VLOOKUP('Données projet'!$B$10,Paramètres!$A$1:$I$88,3,0)*0.475*44/12</f>
        <v>0</v>
      </c>
      <c r="AW4" s="23">
        <f>EXP(-LN(2)/2)*AW3+(1-EXP(-LN(2)/2))/(LN(2)/2)*AQ4*AT4*VLOOKUP('Données projet'!$B$10,Paramètres!$A$1:$I$88,3,0)*0.475*44/12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2.1</v>
      </c>
      <c r="BD4" s="13">
        <f>IF('Données projet'!$A$88&gt;35,BD3+BC4-BL3,IF(A4&lt;'Données projet'!$A$88,$BA$205^A4,IF(A4='Données projet'!$A$88,'Données projet'!$B$88,BD3+BC4-BL3)))</f>
        <v>1.2054868146447177</v>
      </c>
      <c r="BE4" s="14">
        <f>BD4*VLOOKUP('Données projet'!$B$11,Paramètres!$A$1:$I$88,3,0)*VLOOKUP('Données projet'!$B$11,Paramètres!$A$1:$I$88,5,0)</f>
        <v>1.0907244698905405</v>
      </c>
      <c r="BF4" s="14">
        <f>EXP(-1.0587+0.8836*LN(BE4)+0.284)</f>
        <v>0.49759623852608204</v>
      </c>
      <c r="BG4" s="22">
        <f t="shared" ref="BG4:BG67" si="7">(BE4+BF4)*0.475*44/12</f>
        <v>2.7663252338256172</v>
      </c>
      <c r="BH4" s="62">
        <f t="shared" ref="BH4:BH67" si="8">BG4+(AY4+AZ4)*44/12</f>
        <v>170.57875918674947</v>
      </c>
      <c r="BI4" s="62">
        <f ca="1">AVERAGE(OFFSET($BH$3,0,0,'Données projet'!$E$11+1,1))-AVERAGE(OFFSET($H$3,0,0,'Données projet'!$E$11+1,1))</f>
        <v>362.63718589694594</v>
      </c>
      <c r="BJ4" s="62">
        <f>$BJ$3</f>
        <v>250.47702091764884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projet'!$B$11,Paramètres!$A$1:$I$88,3,0)*0.475*44/12</f>
        <v>0</v>
      </c>
      <c r="BQ4" s="23">
        <f>EXP(-LN(2)/25)*BQ3+(1-EXP(-LN(2)/25))/(LN(2)/25)*Calculateur!BL4*Calculateur!BN4*VLOOKUP('Données projet'!$B$11,Paramètres!$A$1:$I$88,3,0)*0.475*44/12</f>
        <v>0</v>
      </c>
      <c r="BR4" s="23">
        <f>EXP(-LN(2)/2)*BR3+(1-EXP(-LN(2)/2))/(LN(2)/2)*BL4*BO4*VLOOKUP('Données projet'!$B$11,Paramètres!$A$1:$I$88,3,0)*0.475*44/12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2.1</v>
      </c>
      <c r="BY4" s="13">
        <f>IF('Données projet'!$A$114&gt;35,BY3+BX4-CG3,IF(A4&lt;'Données projet'!$A$114,$BV$205^A4,IF(A4='Données projet'!$A$114,'Données projet'!$B$114,BY3+BX4-CG3)))</f>
        <v>1.2054868146447177</v>
      </c>
      <c r="BZ4" s="14">
        <f>BY4*VLOOKUP('Données projet'!$B$12,Paramètres!$A$1:$I$88,3,0)*VLOOKUP('Données projet'!$B$12,Paramètres!$A$1:$I$88,5,0)</f>
        <v>1.2223636300497438</v>
      </c>
      <c r="CA4" s="14">
        <f>EXP(-1.0587+0.8836*LN(BZ4)+0.284)</f>
        <v>0.55030360208821416</v>
      </c>
      <c r="CB4" s="22">
        <f t="shared" ref="CB4:CB67" si="10">(BZ4+CA4)*0.475*44/12</f>
        <v>3.0873954293069432</v>
      </c>
      <c r="CC4" s="62">
        <f t="shared" ref="CC4:CC67" si="11">CB4+(BT4+BU4)*44/12</f>
        <v>170.89982938223079</v>
      </c>
      <c r="CD4" s="62">
        <f ca="1">AVERAGE(OFFSET($CC$3,0,0,'Données projet'!$E$12+1,1))-AVERAGE(OFFSET($H$3,0,0,'Données projet'!$E$12+1,1))</f>
        <v>398.14524781940196</v>
      </c>
      <c r="CE4" s="62">
        <f>$CE$3</f>
        <v>273.35778700650792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projet'!$B$12,Paramètres!$A$1:$I$88,3,0)*0.475*44/12</f>
        <v>0</v>
      </c>
      <c r="CL4" s="23">
        <f>EXP(-LN(2)/25)*CL3+(1-EXP(-LN(2)/25))/(LN(2)/25)*Calculateur!CG4*Calculateur!CI4*VLOOKUP('Données projet'!$B$12,Paramètres!$A$1:$I$88,3,0)*0.475*44/12</f>
        <v>0</v>
      </c>
      <c r="CM4" s="23">
        <f>EXP(-LN(2)/2)*CM3+(1-EXP(-LN(2)/2))/(LN(2)/2)*CG4*CJ4*VLOOKUP('Données projet'!$B$12,Paramètres!$A$1:$I$88,3,0)*0.475*44/12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1.6</v>
      </c>
      <c r="CT4" s="13">
        <f>IF('Données projet'!$A$140&gt;35,CT3+CS4-DB3,IF(A4&lt;'Données projet'!$A$140,$CQ$205^A4,IF(A4='Données projet'!$A$140,'Données projet'!$B$140,CT3+CS4-DB3)))</f>
        <v>1.189207115002721</v>
      </c>
      <c r="CU4" s="18">
        <f>CT4*VLOOKUP('Données projet'!$B$13,Paramètres!$A$1:$I$88,3,0)*VLOOKUP('Données projet'!$B$13,Paramètres!$A$1:$I$88,5,0)</f>
        <v>1.1316494906365893</v>
      </c>
      <c r="CV4" s="14">
        <f>EXP(-1.0587+0.8836*LN(CU4)+0.284)</f>
        <v>0.51405777038207245</v>
      </c>
      <c r="CW4" s="22">
        <f t="shared" ref="CW4:CW67" si="13">(CU4+CV4)*0.475*44/12</f>
        <v>2.8662734796075018</v>
      </c>
      <c r="CX4" s="62">
        <f t="shared" ref="CX4:CX67" si="14">CW4+(CO4+CP4)*44/12</f>
        <v>170.67870743253135</v>
      </c>
      <c r="CY4" s="62">
        <f ca="1">AVERAGE(OFFSET($CX$3,0,0,'Données projet'!$E$13+1,1))-AVERAGE(OFFSET($H$3,0,0,'Données projet'!$E$13+1,1))</f>
        <v>470.0521927195926</v>
      </c>
      <c r="CZ4" s="62">
        <f>$CZ$3</f>
        <v>299.27200854723435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projet'!$B$13,Paramètres!$A$1:$I$88,3,0)*0.475*44/12</f>
        <v>0</v>
      </c>
      <c r="DG4" s="23">
        <f>EXP(-LN(2)/25)*DG3+(1-EXP(-LN(2)/25))/(LN(2)/25)*Calculateur!DB4*Calculateur!DD4*VLOOKUP('Données projet'!$B$13,Paramètres!$A$1:$I$88,3,0)*0.475*44/12</f>
        <v>0</v>
      </c>
      <c r="DH4" s="23">
        <f>EXP(-LN(2)/2)*DH3+(1-EXP(-LN(2)/2))/(LN(2)/2)*DB4*DE4*VLOOKUP('Données projet'!$B$13,Paramètres!$A$1:$I$88,3,0)*0.475*44/12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1.2</v>
      </c>
      <c r="DO4" s="13">
        <f>IF('Données projet'!$A$166&gt;35,DO3+DN4-DW3,IF(A4&lt;'Données projet'!$A$166,$DL$205^A4,IF(A4='Données projet'!$A$166,'Données projet'!$B$166,DO3+DN4-DW3)))</f>
        <v>1.1457367676485573</v>
      </c>
      <c r="DP4" s="18">
        <f>DO4*VLOOKUP('Données projet'!$B$14,Paramètres!$A$1:$I$88,3,0)*VLOOKUP('Données projet'!$B$14,Paramètres!$A$1:$I$88,5,0)</f>
        <v>1.1081566016696847</v>
      </c>
      <c r="DQ4" s="14">
        <f>EXP(-1.0587+0.8836*LN(DP4)+0.284)</f>
        <v>0.50461671312632472</v>
      </c>
      <c r="DR4" s="22">
        <f t="shared" ref="DR4:DR67" si="16">(DP4+DQ4)*0.475*44/12</f>
        <v>2.808913523269716</v>
      </c>
      <c r="DS4" s="62">
        <f t="shared" ref="DS4:DS67" si="17">DR4+(DJ4+DK4)*44/12</f>
        <v>170.62134747619356</v>
      </c>
      <c r="DT4" s="62">
        <f ca="1">AVERAGE(OFFSET($DS$3,0,0,'Données projet'!$E$14+1,1))-AVERAGE(OFFSET($H$3,0,0,'Données projet'!$E$14+1,1))</f>
        <v>290.89727102147953</v>
      </c>
      <c r="DU4" s="62">
        <f>$DU$3</f>
        <v>173.19148969173838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projet'!$B$14,Paramètres!$A$1:$I$88,3,0)*0.475*44/12</f>
        <v>0</v>
      </c>
      <c r="EB4" s="23">
        <f>EXP(-LN(2)/25)*EB3+(1-EXP(-LN(2)/25))/(LN(2)/25)*Calculateur!DW4*Calculateur!DY4*VLOOKUP('Données projet'!$B$14,Paramètres!$A$1:$I$88,3,0)*0.475*44/12</f>
        <v>0</v>
      </c>
      <c r="EC4" s="23">
        <f>EXP(-LN(2)/2)*EC3+(1-EXP(-LN(2)/2))/(LN(2)/2)*DW4*DZ4*VLOOKUP('Données projet'!$B$14,Paramètres!$A$1:$I$88,3,0)*0.475*44/12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projet'!$B$15,Paramètres!$A$1:$I$88,3,0)*VLOOKUP('Données projet'!$B$15,Paramètres!$A$1:$I$88,5,0)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projet'!$B$15,Paramètres!$A$1:$I$88,3,0)*0.475*44/12</f>
        <v>#N/A</v>
      </c>
      <c r="EW4" s="23" t="e">
        <f>EXP(-LN(2)/25)*EW3+(1-EXP(-LN(2)/25))/(LN(2)/25)*Calculateur!ER4*Calculateur!ET4*VLOOKUP('Données projet'!$B$15,Paramètres!$A$1:$I$88,3,0)*0.475*44/12</f>
        <v>#N/A</v>
      </c>
      <c r="EX4" s="23" t="e">
        <f>EXP(-LN(2)/2)*EX3+(1-EXP(-LN(2)/2))/(LN(2)/2)*ER4*EU4*VLOOKUP('Données projet'!$B$15,Paramètres!$A$1:$I$88,3,0)*0.475*44/12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projet'!$B$16,Paramètres!$A$1:$I$88,3,0)*VLOOKUP('Données projet'!$B$16,Paramètres!$A$1:$I$88,5,0)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projet'!$B$16,Paramètres!$A$1:$I$88,3,0)*0.475*44/12</f>
        <v>#N/A</v>
      </c>
      <c r="FR4" s="23" t="e">
        <f>EXP(-LN(2)/25)*FR3+(1-EXP(-LN(2)/25))/(LN(2)/25)*Calculateur!FM4*Calculateur!FO4*VLOOKUP('Données projet'!$B$16,Paramètres!$A$1:$I$88,3,0)*0.475*44/12</f>
        <v>#N/A</v>
      </c>
      <c r="FS4" s="23" t="e">
        <f>EXP(-LN(2)/2)*FS3+(1-EXP(-LN(2)/2))/(LN(2)/2)*FM4*FP4*VLOOKUP('Données projet'!$B$16,Paramètres!$A$1:$I$88,3,0)*0.475*44/12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projet'!$B$17,Paramètres!$A$1:$I$88,3,0)*VLOOKUP('Données projet'!$B$17,Paramètres!$A$1:$I$88,5,0)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projet'!$B$17,Paramètres!$A$1:$I$88,3,0)*0.475*44/12</f>
        <v>#N/A</v>
      </c>
      <c r="GM4" s="23" t="e">
        <f>EXP(-LN(2)/25)*GM3+(1-EXP(-LN(2)/25))/(LN(2)/25)*Calculateur!GH4*Calculateur!GJ4*VLOOKUP('Données projet'!$B$17,Paramètres!$A$1:$I$88,3,0)*0.475*44/12</f>
        <v>#N/A</v>
      </c>
      <c r="GN4" s="23" t="e">
        <f>EXP(-LN(2)/2)*GN3+(1-EXP(-LN(2)/2))/(LN(2)/2)*GH4*GK4*VLOOKUP('Données projet'!$B$17,Paramètres!$A$1:$I$88,3,0)*0.475*44/12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projet'!$B$18,Paramètres!$A$1:$I$88,3,0)*VLOOKUP('Données projet'!$B$18,Paramètres!$A$1:$I$88,5,0)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projet'!$B$18,Paramètres!$A$1:$I$88,3,0)*0.475*44/12</f>
        <v>#N/A</v>
      </c>
      <c r="HH4" s="23" t="e">
        <f>EXP(-LN(2)/25)*HH3+(1-EXP(-LN(2)/25))/(LN(2)/25)*Calculateur!HC4*Calculateur!HE4*VLOOKUP('Données projet'!$B$18,Paramètres!$A$1:$I$88,3,0)*0.475*44/12</f>
        <v>#N/A</v>
      </c>
      <c r="HI4" s="23" t="e">
        <f>EXP(-LN(2)/2)*HI3+(1-EXP(-LN(2)/2))/(LN(2)/2)*HC4*HF4*VLOOKUP('Données projet'!$B$18,Paramètres!$A$1:$I$88,3,0)*0.475*44/12</f>
        <v>#N/A</v>
      </c>
      <c r="HJ4" s="24" t="e">
        <f t="shared" ref="HJ4:HJ67" si="30">SUM(HG4:HI4)</f>
        <v>#N/A</v>
      </c>
    </row>
    <row r="5" spans="1:218" s="5" customFormat="1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6.1333333333333337</v>
      </c>
      <c r="N5" s="14">
        <f>IF('Données projet'!$A$36&gt;35,N4+M5-V4,IF(A5&lt;'Données projet'!$A$36,$K$205^A5,IF(A5='Données projet'!$A$36,'Données projet'!$B$36,N4+M5-V4)))</f>
        <v>1.8274200138385375</v>
      </c>
      <c r="O5" s="14">
        <f>N5*VLOOKUP('Données projet'!$B$9,Paramètres!$A$1:$I$88,3,0)*VLOOKUP('Données projet'!$B$9,Paramètres!$A$1:$I$88,5,0)</f>
        <v>1.0927971682754454</v>
      </c>
      <c r="P5" s="14">
        <f t="shared" ref="P5:P68" si="33">EXP(-1.0587+0.8836*LN(O5)+0.284)</f>
        <v>0.49843166041112263</v>
      </c>
      <c r="Q5" s="22">
        <f t="shared" si="2"/>
        <v>2.7713902099624388</v>
      </c>
      <c r="R5" s="62">
        <f t="shared" si="0"/>
        <v>173.36867149746328</v>
      </c>
      <c r="S5" s="62">
        <f ca="1">AVERAGE(OFFSET($R$3,0,0,'Données projet'!$E$9+1,1))-AVERAGE(OFFSET($H$3,0,0,'Données projet'!$E$9+1,1))</f>
        <v>301.2688576786212</v>
      </c>
      <c r="T5" s="62">
        <f t="shared" ref="T5:T68" si="34">$T$3</f>
        <v>417.62172165132927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6.5</v>
      </c>
      <c r="AI5" s="14">
        <f>IF('Données projet'!$A$62&gt;35,AI4+AH5-AQ4,IF(A5&lt;'Données projet'!$A$62,$AF$205^A5,IF(A5='Données projet'!$A$62,'Données projet'!$B$62,AI4+AH5-AQ4)))</f>
        <v>1.6270254087460869</v>
      </c>
      <c r="AJ5" s="14">
        <f>AI5*VLOOKUP('Données projet'!$B$10,Paramètres!$A$1:$I$88,3,0)*VLOOKUP('Données projet'!$B$10,Paramètres!$A$1:$I$88,5,0)</f>
        <v>0.7614478912931687</v>
      </c>
      <c r="AK5" s="14">
        <f t="shared" ref="AK5:AK68" si="35">EXP(-1.0587+0.8836*LN(AJ5)+0.284)</f>
        <v>0.36221742199968293</v>
      </c>
      <c r="AL5" s="22">
        <f t="shared" si="4"/>
        <v>1.9570504206517165</v>
      </c>
      <c r="AM5" s="62">
        <f t="shared" si="5"/>
        <v>172.55433170815255</v>
      </c>
      <c r="AN5" s="62">
        <f ca="1">AVERAGE(OFFSET($AM$3,0,0,'Données projet'!$E$10+1,1))-AVERAGE(OFFSET($H$3,0,0,'Données projet'!$E$10+1,1))</f>
        <v>170.08673939431091</v>
      </c>
      <c r="AO5" s="62">
        <f t="shared" ref="AO5:AO68" si="36">$AO$3</f>
        <v>252.97355497077106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projet'!$B$10,Paramètres!$A$1:$I$88,3,0)*0.475*44/12</f>
        <v>0</v>
      </c>
      <c r="AV5" s="23">
        <f>EXP(-LN(2)/25)*AV4+(1-EXP(-LN(2)/25))/(LN(2)/25)*Calculateur!AQ5*Calculateur!AS5*VLOOKUP('Données projet'!$B$10,Paramètres!$A$1:$I$88,3,0)*0.475*44/12</f>
        <v>0</v>
      </c>
      <c r="AW5" s="23">
        <f>EXP(-LN(2)/2)*AW4+(1-EXP(-LN(2)/2))/(LN(2)/2)*AQ5*AT5*VLOOKUP('Données projet'!$B$10,Paramètres!$A$1:$I$88,3,0)*0.475*44/12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2.1</v>
      </c>
      <c r="BD5" s="13">
        <f>IF('Données projet'!$A$88&gt;35,BD4+BC5-BL4,IF(A5&lt;'Données projet'!$A$88,$BA$205^A5,IF(A5='Données projet'!$A$88,'Données projet'!$B$88,BD4+BC5-BL4)))</f>
        <v>1.4531984602822681</v>
      </c>
      <c r="BE5" s="14">
        <f>BD5*VLOOKUP('Données projet'!$B$11,Paramètres!$A$1:$I$88,3,0)*VLOOKUP('Données projet'!$B$11,Paramètres!$A$1:$I$88,5,0)</f>
        <v>1.3148539668633961</v>
      </c>
      <c r="BF5" s="14">
        <f t="shared" ref="BF5:BF68" si="37">EXP(-1.0587+0.8836*LN(BE5)+0.284)</f>
        <v>0.58693801963664449</v>
      </c>
      <c r="BG5" s="22">
        <f t="shared" si="7"/>
        <v>3.3122877098209038</v>
      </c>
      <c r="BH5" s="62">
        <f t="shared" si="8"/>
        <v>173.90956899732174</v>
      </c>
      <c r="BI5" s="62">
        <f ca="1">AVERAGE(OFFSET($BH$3,0,0,'Données projet'!$E$11+1,1))-AVERAGE(OFFSET($H$3,0,0,'Données projet'!$E$11+1,1))</f>
        <v>362.63718589694594</v>
      </c>
      <c r="BJ5" s="62">
        <f t="shared" ref="BJ5:BJ68" si="38">$BJ$3</f>
        <v>250.47702091764884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projet'!$B$11,Paramètres!$A$1:$I$88,3,0)*0.475*44/12</f>
        <v>0</v>
      </c>
      <c r="BQ5" s="23">
        <f>EXP(-LN(2)/25)*BQ4+(1-EXP(-LN(2)/25))/(LN(2)/25)*Calculateur!BL5*Calculateur!BN5*VLOOKUP('Données projet'!$B$11,Paramètres!$A$1:$I$88,3,0)*0.475*44/12</f>
        <v>0</v>
      </c>
      <c r="BR5" s="23">
        <f>EXP(-LN(2)/2)*BR4+(1-EXP(-LN(2)/2))/(LN(2)/2)*BL5*BO5*VLOOKUP('Données projet'!$B$11,Paramètres!$A$1:$I$88,3,0)*0.475*44/12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2.1</v>
      </c>
      <c r="BY5" s="13">
        <f>IF('Données projet'!$A$114&gt;35,BY4+BX5-CG4,IF(A5&lt;'Données projet'!$A$114,$BV$205^A5,IF(A5='Données projet'!$A$114,'Données projet'!$B$114,BY4+BX5-CG4)))</f>
        <v>1.4531984602822681</v>
      </c>
      <c r="BZ5" s="14">
        <f>BY5*VLOOKUP('Données projet'!$B$12,Paramètres!$A$1:$I$88,3,0)*VLOOKUP('Données projet'!$B$12,Paramètres!$A$1:$I$88,5,0)</f>
        <v>1.47354323872622</v>
      </c>
      <c r="CA5" s="14">
        <f t="shared" ref="CA5:CA68" si="39">EXP(-1.0587+0.8836*LN(BZ5)+0.284)</f>
        <v>0.64910881835703094</v>
      </c>
      <c r="CB5" s="22">
        <f t="shared" si="10"/>
        <v>3.6969523327533285</v>
      </c>
      <c r="CC5" s="62">
        <f t="shared" si="11"/>
        <v>174.29423362025418</v>
      </c>
      <c r="CD5" s="62">
        <f ca="1">AVERAGE(OFFSET($CC$3,0,0,'Données projet'!$E$12+1,1))-AVERAGE(OFFSET($H$3,0,0,'Données projet'!$E$12+1,1))</f>
        <v>398.14524781940196</v>
      </c>
      <c r="CE5" s="62">
        <f t="shared" ref="CE5:CE68" si="40">$CE$3</f>
        <v>273.35778700650792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projet'!$B$12,Paramètres!$A$1:$I$88,3,0)*0.475*44/12</f>
        <v>0</v>
      </c>
      <c r="CL5" s="23">
        <f>EXP(-LN(2)/25)*CL4+(1-EXP(-LN(2)/25))/(LN(2)/25)*Calculateur!CG5*Calculateur!CI5*VLOOKUP('Données projet'!$B$12,Paramètres!$A$1:$I$88,3,0)*0.475*44/12</f>
        <v>0</v>
      </c>
      <c r="CM5" s="23">
        <f>EXP(-LN(2)/2)*CM4+(1-EXP(-LN(2)/2))/(LN(2)/2)*CG5*CJ5*VLOOKUP('Données projet'!$B$12,Paramètres!$A$1:$I$88,3,0)*0.475*44/12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1.6</v>
      </c>
      <c r="CT5" s="13">
        <f>IF('Données projet'!$A$140&gt;35,CT4+CS5-DB4,IF(A5&lt;'Données projet'!$A$140,$CQ$205^A5,IF(A5='Données projet'!$A$140,'Données projet'!$B$140,CT4+CS5-DB4)))</f>
        <v>1.4142135623730949</v>
      </c>
      <c r="CU5" s="18">
        <f>CT5*VLOOKUP('Données projet'!$B$13,Paramètres!$A$1:$I$88,3,0)*VLOOKUP('Données projet'!$B$13,Paramètres!$A$1:$I$88,5,0)</f>
        <v>1.3457656259542372</v>
      </c>
      <c r="CV5" s="14">
        <f t="shared" ref="CV5:CV68" si="41">EXP(-1.0587+0.8836*LN(CU5)+0.284)</f>
        <v>0.59911398074557853</v>
      </c>
      <c r="CW5" s="22">
        <f t="shared" si="13"/>
        <v>3.3873319816688454</v>
      </c>
      <c r="CX5" s="62">
        <f t="shared" si="14"/>
        <v>173.98461326916967</v>
      </c>
      <c r="CY5" s="62">
        <f ca="1">AVERAGE(OFFSET($CX$3,0,0,'Données projet'!$E$13+1,1))-AVERAGE(OFFSET($H$3,0,0,'Données projet'!$E$13+1,1))</f>
        <v>470.0521927195926</v>
      </c>
      <c r="CZ5" s="62">
        <f t="shared" ref="CZ5:CZ68" si="42">$CZ$3</f>
        <v>299.27200854723435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projet'!$B$13,Paramètres!$A$1:$I$88,3,0)*0.475*44/12</f>
        <v>0</v>
      </c>
      <c r="DG5" s="23">
        <f>EXP(-LN(2)/25)*DG4+(1-EXP(-LN(2)/25))/(LN(2)/25)*Calculateur!DB5*Calculateur!DD5*VLOOKUP('Données projet'!$B$13,Paramètres!$A$1:$I$88,3,0)*0.475*44/12</f>
        <v>0</v>
      </c>
      <c r="DH5" s="23">
        <f>EXP(-LN(2)/2)*DH4+(1-EXP(-LN(2)/2))/(LN(2)/2)*DB5*DE5*VLOOKUP('Données projet'!$B$13,Paramètres!$A$1:$I$88,3,0)*0.475*44/12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1.2</v>
      </c>
      <c r="DO5" s="13">
        <f>IF('Données projet'!$A$166&gt;35,DO4+DN5-DW4,IF(A5&lt;'Données projet'!$A$166,$DL$205^A5,IF(A5='Données projet'!$A$166,'Données projet'!$B$166,DO4+DN5-DW4)))</f>
        <v>1.312712740741764</v>
      </c>
      <c r="DP5" s="18">
        <f>DO5*VLOOKUP('Données projet'!$B$14,Paramètres!$A$1:$I$88,3,0)*VLOOKUP('Données projet'!$B$14,Paramètres!$A$1:$I$88,5,0)</f>
        <v>1.2696557628454344</v>
      </c>
      <c r="DQ5" s="14">
        <f t="shared" ref="DQ5:DQ68" si="43">EXP(-1.0587+0.8836*LN(DP5)+0.284)</f>
        <v>0.56907434090738995</v>
      </c>
      <c r="DR5" s="22">
        <f t="shared" si="16"/>
        <v>3.2024549307028356</v>
      </c>
      <c r="DS5" s="62">
        <f t="shared" si="17"/>
        <v>173.79973621820366</v>
      </c>
      <c r="DT5" s="62">
        <f ca="1">AVERAGE(OFFSET($DS$3,0,0,'Données projet'!$E$14+1,1))-AVERAGE(OFFSET($H$3,0,0,'Données projet'!$E$14+1,1))</f>
        <v>290.89727102147953</v>
      </c>
      <c r="DU5" s="62">
        <f t="shared" ref="DU5:DU68" si="44">$DU$3</f>
        <v>173.19148969173838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projet'!$B$14,Paramètres!$A$1:$I$88,3,0)*0.475*44/12</f>
        <v>0</v>
      </c>
      <c r="EB5" s="23">
        <f>EXP(-LN(2)/25)*EB4+(1-EXP(-LN(2)/25))/(LN(2)/25)*Calculateur!DW5*Calculateur!DY5*VLOOKUP('Données projet'!$B$14,Paramètres!$A$1:$I$88,3,0)*0.475*44/12</f>
        <v>0</v>
      </c>
      <c r="EC5" s="23">
        <f>EXP(-LN(2)/2)*EC4+(1-EXP(-LN(2)/2))/(LN(2)/2)*DW5*DZ5*VLOOKUP('Données projet'!$B$14,Paramètres!$A$1:$I$88,3,0)*0.475*44/12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projet'!$B$15,Paramètres!$A$1:$I$88,3,0)*VLOOKUP('Données projet'!$B$15,Paramètres!$A$1:$I$88,5,0)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projet'!$B$15,Paramètres!$A$1:$I$88,3,0)*0.475*44/12</f>
        <v>#N/A</v>
      </c>
      <c r="EW5" s="23" t="e">
        <f>EXP(-LN(2)/25)*EW4+(1-EXP(-LN(2)/25))/(LN(2)/25)*Calculateur!ER5*Calculateur!ET5*VLOOKUP('Données projet'!$B$15,Paramètres!$A$1:$I$88,3,0)*0.475*44/12</f>
        <v>#N/A</v>
      </c>
      <c r="EX5" s="23" t="e">
        <f>EXP(-LN(2)/2)*EX4+(1-EXP(-LN(2)/2))/(LN(2)/2)*ER5*EU5*VLOOKUP('Données projet'!$B$15,Paramètres!$A$1:$I$88,3,0)*0.475*44/12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projet'!$B$16,Paramètres!$A$1:$I$88,3,0)*VLOOKUP('Données projet'!$B$16,Paramètres!$A$1:$I$88,5,0)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projet'!$B$16,Paramètres!$A$1:$I$88,3,0)*0.475*44/12</f>
        <v>#N/A</v>
      </c>
      <c r="FR5" s="23" t="e">
        <f>EXP(-LN(2)/25)*FR4+(1-EXP(-LN(2)/25))/(LN(2)/25)*Calculateur!FM5*Calculateur!FO5*VLOOKUP('Données projet'!$B$16,Paramètres!$A$1:$I$88,3,0)*0.475*44/12</f>
        <v>#N/A</v>
      </c>
      <c r="FS5" s="23" t="e">
        <f>EXP(-LN(2)/2)*FS4+(1-EXP(-LN(2)/2))/(LN(2)/2)*FM5*FP5*VLOOKUP('Données projet'!$B$16,Paramètres!$A$1:$I$88,3,0)*0.475*44/12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projet'!$B$17,Paramètres!$A$1:$I$88,3,0)*VLOOKUP('Données projet'!$B$17,Paramètres!$A$1:$I$88,5,0)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projet'!$B$17,Paramètres!$A$1:$I$88,3,0)*0.475*44/12</f>
        <v>#N/A</v>
      </c>
      <c r="GM5" s="23" t="e">
        <f>EXP(-LN(2)/25)*GM4+(1-EXP(-LN(2)/25))/(LN(2)/25)*Calculateur!GH5*Calculateur!GJ5*VLOOKUP('Données projet'!$B$17,Paramètres!$A$1:$I$88,3,0)*0.475*44/12</f>
        <v>#N/A</v>
      </c>
      <c r="GN5" s="23" t="e">
        <f>EXP(-LN(2)/2)*GN4+(1-EXP(-LN(2)/2))/(LN(2)/2)*GH5*GK5*VLOOKUP('Données projet'!$B$17,Paramètres!$A$1:$I$88,3,0)*0.475*44/12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projet'!$B$18,Paramètres!$A$1:$I$88,3,0)*VLOOKUP('Données projet'!$B$18,Paramètres!$A$1:$I$88,5,0)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projet'!$B$18,Paramètres!$A$1:$I$88,3,0)*0.475*44/12</f>
        <v>#N/A</v>
      </c>
      <c r="HH5" s="23" t="e">
        <f>EXP(-LN(2)/25)*HH4+(1-EXP(-LN(2)/25))/(LN(2)/25)*Calculateur!HC5*Calculateur!HE5*VLOOKUP('Données projet'!$B$18,Paramètres!$A$1:$I$88,3,0)*0.475*44/12</f>
        <v>#N/A</v>
      </c>
      <c r="HI5" s="23" t="e">
        <f>EXP(-LN(2)/2)*HI4+(1-EXP(-LN(2)/2))/(LN(2)/2)*HC5*HF5*VLOOKUP('Données projet'!$B$18,Paramètres!$A$1:$I$88,3,0)*0.475*44/12</f>
        <v>#N/A</v>
      </c>
      <c r="HJ5" s="24" t="e">
        <f t="shared" si="30"/>
        <v>#N/A</v>
      </c>
    </row>
    <row r="6" spans="1:218" s="5" customFormat="1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6.1333333333333337</v>
      </c>
      <c r="N6" s="14">
        <f>IF('Données projet'!$A$36&gt;35,N5+M6-V5,IF(A6&lt;'Données projet'!$A$36,$K$205^A6,IF(A6='Données projet'!$A$36,'Données projet'!$B$36,N5+M6-V5)))</f>
        <v>2.4703447490385582</v>
      </c>
      <c r="O6" s="14">
        <f>N6*VLOOKUP('Données projet'!$B$9,Paramètres!$A$1:$I$88,3,0)*VLOOKUP('Données projet'!$B$9,Paramètres!$A$1:$I$88,5,0)</f>
        <v>1.4772661599250581</v>
      </c>
      <c r="P6" s="14">
        <f t="shared" si="33"/>
        <v>0.65055769153124499</v>
      </c>
      <c r="Q6" s="22">
        <f t="shared" si="2"/>
        <v>3.7059598746197273</v>
      </c>
      <c r="R6" s="62">
        <f t="shared" si="0"/>
        <v>177.06098044450462</v>
      </c>
      <c r="S6" s="62">
        <f ca="1">AVERAGE(OFFSET($R$3,0,0,'Données projet'!$E$9+1,1))-AVERAGE(OFFSET($H$3,0,0,'Données projet'!$E$9+1,1))</f>
        <v>301.2688576786212</v>
      </c>
      <c r="T6" s="62">
        <f t="shared" si="34"/>
        <v>417.62172165132927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6.5</v>
      </c>
      <c r="AI6" s="14">
        <f>IF('Données projet'!$A$62&gt;35,AI5+AH6-AQ5,IF(A6&lt;'Données projet'!$A$62,$AF$205^A6,IF(A6='Données projet'!$A$62,'Données projet'!$B$62,AI5+AH6-AQ5)))</f>
        <v>2.0753507334513537</v>
      </c>
      <c r="AJ6" s="14">
        <f>AI6*VLOOKUP('Données projet'!$B$10,Paramètres!$A$1:$I$88,3,0)*VLOOKUP('Données projet'!$B$10,Paramètres!$A$1:$I$88,5,0)</f>
        <v>0.97126414325523347</v>
      </c>
      <c r="AK6" s="14">
        <f t="shared" si="35"/>
        <v>0.44912098994967209</v>
      </c>
      <c r="AL6" s="22">
        <f t="shared" si="4"/>
        <v>2.4738374403318768</v>
      </c>
      <c r="AM6" s="62">
        <f t="shared" si="5"/>
        <v>175.82885801021675</v>
      </c>
      <c r="AN6" s="62">
        <f ca="1">AVERAGE(OFFSET($AM$3,0,0,'Données projet'!$E$10+1,1))-AVERAGE(OFFSET($H$3,0,0,'Données projet'!$E$10+1,1))</f>
        <v>170.08673939431091</v>
      </c>
      <c r="AO6" s="62">
        <f t="shared" si="36"/>
        <v>252.97355497077106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projet'!$B$10,Paramètres!$A$1:$I$88,3,0)*0.475*44/12</f>
        <v>0</v>
      </c>
      <c r="AV6" s="23">
        <f>EXP(-LN(2)/25)*AV5+(1-EXP(-LN(2)/25))/(LN(2)/25)*Calculateur!AQ6*Calculateur!AS6*VLOOKUP('Données projet'!$B$10,Paramètres!$A$1:$I$88,3,0)*0.475*44/12</f>
        <v>0</v>
      </c>
      <c r="AW6" s="23">
        <f>EXP(-LN(2)/2)*AW5+(1-EXP(-LN(2)/2))/(LN(2)/2)*AQ6*AT6*VLOOKUP('Données projet'!$B$10,Paramètres!$A$1:$I$88,3,0)*0.475*44/12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2.1</v>
      </c>
      <c r="BD6" s="13">
        <f>IF('Données projet'!$A$88&gt;35,BD5+BC6-BL5,IF(A6&lt;'Données projet'!$A$88,$BA$205^A6,IF(A6='Données projet'!$A$88,'Données projet'!$B$88,BD5+BC6-BL5)))</f>
        <v>1.7518115829322798</v>
      </c>
      <c r="BE6" s="14">
        <f>BD6*VLOOKUP('Données projet'!$B$11,Paramètres!$A$1:$I$88,3,0)*VLOOKUP('Données projet'!$B$11,Paramètres!$A$1:$I$88,5,0)</f>
        <v>1.5850391202371266</v>
      </c>
      <c r="BF6" s="14">
        <f t="shared" si="37"/>
        <v>0.69232082604846479</v>
      </c>
      <c r="BG6" s="22">
        <f t="shared" si="7"/>
        <v>3.966401906447405</v>
      </c>
      <c r="BH6" s="62">
        <f t="shared" si="8"/>
        <v>177.32142247633229</v>
      </c>
      <c r="BI6" s="62">
        <f ca="1">AVERAGE(OFFSET($BH$3,0,0,'Données projet'!$E$11+1,1))-AVERAGE(OFFSET($H$3,0,0,'Données projet'!$E$11+1,1))</f>
        <v>362.63718589694594</v>
      </c>
      <c r="BJ6" s="62">
        <f t="shared" si="38"/>
        <v>250.47702091764884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projet'!$B$11,Paramètres!$A$1:$I$88,3,0)*0.475*44/12</f>
        <v>0</v>
      </c>
      <c r="BQ6" s="23">
        <f>EXP(-LN(2)/25)*BQ5+(1-EXP(-LN(2)/25))/(LN(2)/25)*Calculateur!BL6*Calculateur!BN6*VLOOKUP('Données projet'!$B$11,Paramètres!$A$1:$I$88,3,0)*0.475*44/12</f>
        <v>0</v>
      </c>
      <c r="BR6" s="23">
        <f>EXP(-LN(2)/2)*BR5+(1-EXP(-LN(2)/2))/(LN(2)/2)*BL6*BO6*VLOOKUP('Données projet'!$B$11,Paramètres!$A$1:$I$88,3,0)*0.475*44/12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2.1</v>
      </c>
      <c r="BY6" s="13">
        <f>IF('Données projet'!$A$114&gt;35,BY5+BX6-CG5,IF(A6&lt;'Données projet'!$A$114,$BV$205^A6,IF(A6='Données projet'!$A$114,'Données projet'!$B$114,BY5+BX6-CG5)))</f>
        <v>1.7518115829322798</v>
      </c>
      <c r="BZ6" s="14">
        <f>BY6*VLOOKUP('Données projet'!$B$12,Paramètres!$A$1:$I$88,3,0)*VLOOKUP('Données projet'!$B$12,Paramètres!$A$1:$I$88,5,0)</f>
        <v>1.7763369450933317</v>
      </c>
      <c r="CA6" s="14">
        <f t="shared" si="39"/>
        <v>0.76565418883323866</v>
      </c>
      <c r="CB6" s="22">
        <f t="shared" si="10"/>
        <v>4.4273012249221102</v>
      </c>
      <c r="CC6" s="62">
        <f t="shared" si="11"/>
        <v>177.78232179480699</v>
      </c>
      <c r="CD6" s="62">
        <f ca="1">AVERAGE(OFFSET($CC$3,0,0,'Données projet'!$E$12+1,1))-AVERAGE(OFFSET($H$3,0,0,'Données projet'!$E$12+1,1))</f>
        <v>398.14524781940196</v>
      </c>
      <c r="CE6" s="62">
        <f t="shared" si="40"/>
        <v>273.35778700650792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projet'!$B$12,Paramètres!$A$1:$I$88,3,0)*0.475*44/12</f>
        <v>0</v>
      </c>
      <c r="CL6" s="23">
        <f>EXP(-LN(2)/25)*CL5+(1-EXP(-LN(2)/25))/(LN(2)/25)*Calculateur!CG6*Calculateur!CI6*VLOOKUP('Données projet'!$B$12,Paramètres!$A$1:$I$88,3,0)*0.475*44/12</f>
        <v>0</v>
      </c>
      <c r="CM6" s="23">
        <f>EXP(-LN(2)/2)*CM5+(1-EXP(-LN(2)/2))/(LN(2)/2)*CG6*CJ6*VLOOKUP('Données projet'!$B$12,Paramètres!$A$1:$I$88,3,0)*0.475*44/12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1.6</v>
      </c>
      <c r="CT6" s="13">
        <f>IF('Données projet'!$A$140&gt;35,CT5+CS6-DB5,IF(A6&lt;'Données projet'!$A$140,$CQ$205^A6,IF(A6='Données projet'!$A$140,'Données projet'!$B$140,CT5+CS6-DB5)))</f>
        <v>1.6817928305074288</v>
      </c>
      <c r="CU6" s="18">
        <f>CT6*VLOOKUP('Données projet'!$B$13,Paramètres!$A$1:$I$88,3,0)*VLOOKUP('Données projet'!$B$13,Paramètres!$A$1:$I$88,5,0)</f>
        <v>1.6003940575108693</v>
      </c>
      <c r="CV6" s="14">
        <f t="shared" si="41"/>
        <v>0.69824362669984286</v>
      </c>
      <c r="CW6" s="22">
        <f t="shared" si="13"/>
        <v>4.0034606333336571</v>
      </c>
      <c r="CX6" s="62">
        <f t="shared" si="14"/>
        <v>177.35848120321853</v>
      </c>
      <c r="CY6" s="62">
        <f ca="1">AVERAGE(OFFSET($CX$3,0,0,'Données projet'!$E$13+1,1))-AVERAGE(OFFSET($H$3,0,0,'Données projet'!$E$13+1,1))</f>
        <v>470.0521927195926</v>
      </c>
      <c r="CZ6" s="62">
        <f t="shared" si="42"/>
        <v>299.27200854723435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projet'!$B$13,Paramètres!$A$1:$I$88,3,0)*0.475*44/12</f>
        <v>0</v>
      </c>
      <c r="DG6" s="23">
        <f>EXP(-LN(2)/25)*DG5+(1-EXP(-LN(2)/25))/(LN(2)/25)*Calculateur!DB6*Calculateur!DD6*VLOOKUP('Données projet'!$B$13,Paramètres!$A$1:$I$88,3,0)*0.475*44/12</f>
        <v>0</v>
      </c>
      <c r="DH6" s="23">
        <f>EXP(-LN(2)/2)*DH5+(1-EXP(-LN(2)/2))/(LN(2)/2)*DB6*DE6*VLOOKUP('Données projet'!$B$13,Paramètres!$A$1:$I$88,3,0)*0.475*44/12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1.2</v>
      </c>
      <c r="DO6" s="13">
        <f>IF('Données projet'!$A$166&gt;35,DO5+DN6-DW5,IF(A6&lt;'Données projet'!$A$166,$DL$205^A6,IF(A6='Données projet'!$A$166,'Données projet'!$B$166,DO5+DN6-DW5)))</f>
        <v>1.5040232524285473</v>
      </c>
      <c r="DP6" s="18">
        <f>DO6*VLOOKUP('Données projet'!$B$14,Paramètres!$A$1:$I$88,3,0)*VLOOKUP('Données projet'!$B$14,Paramètres!$A$1:$I$88,5,0)</f>
        <v>1.4546912897488911</v>
      </c>
      <c r="DQ6" s="14">
        <f t="shared" si="43"/>
        <v>0.64176551639126822</v>
      </c>
      <c r="DR6" s="22">
        <f t="shared" si="16"/>
        <v>3.6513289373607773</v>
      </c>
      <c r="DS6" s="62">
        <f t="shared" si="17"/>
        <v>177.00634950724566</v>
      </c>
      <c r="DT6" s="62">
        <f ca="1">AVERAGE(OFFSET($DS$3,0,0,'Données projet'!$E$14+1,1))-AVERAGE(OFFSET($H$3,0,0,'Données projet'!$E$14+1,1))</f>
        <v>290.89727102147953</v>
      </c>
      <c r="DU6" s="62">
        <f t="shared" si="44"/>
        <v>173.19148969173838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projet'!$B$14,Paramètres!$A$1:$I$88,3,0)*0.475*44/12</f>
        <v>0</v>
      </c>
      <c r="EB6" s="23">
        <f>EXP(-LN(2)/25)*EB5+(1-EXP(-LN(2)/25))/(LN(2)/25)*Calculateur!DW6*Calculateur!DY6*VLOOKUP('Données projet'!$B$14,Paramètres!$A$1:$I$88,3,0)*0.475*44/12</f>
        <v>0</v>
      </c>
      <c r="EC6" s="23">
        <f>EXP(-LN(2)/2)*EC5+(1-EXP(-LN(2)/2))/(LN(2)/2)*DW6*DZ6*VLOOKUP('Données projet'!$B$14,Paramètres!$A$1:$I$88,3,0)*0.475*44/12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projet'!$B$15,Paramètres!$A$1:$I$88,3,0)*VLOOKUP('Données projet'!$B$15,Paramètres!$A$1:$I$88,5,0)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projet'!$B$15,Paramètres!$A$1:$I$88,3,0)*0.475*44/12</f>
        <v>#N/A</v>
      </c>
      <c r="EW6" s="23" t="e">
        <f>EXP(-LN(2)/25)*EW5+(1-EXP(-LN(2)/25))/(LN(2)/25)*Calculateur!ER6*Calculateur!ET6*VLOOKUP('Données projet'!$B$15,Paramètres!$A$1:$I$88,3,0)*0.475*44/12</f>
        <v>#N/A</v>
      </c>
      <c r="EX6" s="23" t="e">
        <f>EXP(-LN(2)/2)*EX5+(1-EXP(-LN(2)/2))/(LN(2)/2)*ER6*EU6*VLOOKUP('Données projet'!$B$15,Paramètres!$A$1:$I$88,3,0)*0.475*44/12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projet'!$B$16,Paramètres!$A$1:$I$88,3,0)*VLOOKUP('Données projet'!$B$16,Paramètres!$A$1:$I$88,5,0)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projet'!$B$16,Paramètres!$A$1:$I$88,3,0)*0.475*44/12</f>
        <v>#N/A</v>
      </c>
      <c r="FR6" s="23" t="e">
        <f>EXP(-LN(2)/25)*FR5+(1-EXP(-LN(2)/25))/(LN(2)/25)*Calculateur!FM6*Calculateur!FO6*VLOOKUP('Données projet'!$B$16,Paramètres!$A$1:$I$88,3,0)*0.475*44/12</f>
        <v>#N/A</v>
      </c>
      <c r="FS6" s="23" t="e">
        <f>EXP(-LN(2)/2)*FS5+(1-EXP(-LN(2)/2))/(LN(2)/2)*FM6*FP6*VLOOKUP('Données projet'!$B$16,Paramètres!$A$1:$I$88,3,0)*0.475*44/12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projet'!$B$17,Paramètres!$A$1:$I$88,3,0)*VLOOKUP('Données projet'!$B$17,Paramètres!$A$1:$I$88,5,0)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projet'!$B$17,Paramètres!$A$1:$I$88,3,0)*0.475*44/12</f>
        <v>#N/A</v>
      </c>
      <c r="GM6" s="23" t="e">
        <f>EXP(-LN(2)/25)*GM5+(1-EXP(-LN(2)/25))/(LN(2)/25)*Calculateur!GH6*Calculateur!GJ6*VLOOKUP('Données projet'!$B$17,Paramètres!$A$1:$I$88,3,0)*0.475*44/12</f>
        <v>#N/A</v>
      </c>
      <c r="GN6" s="23" t="e">
        <f>EXP(-LN(2)/2)*GN5+(1-EXP(-LN(2)/2))/(LN(2)/2)*GH6*GK6*VLOOKUP('Données projet'!$B$17,Paramètres!$A$1:$I$88,3,0)*0.475*44/12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projet'!$B$18,Paramètres!$A$1:$I$88,3,0)*VLOOKUP('Données projet'!$B$18,Paramètres!$A$1:$I$88,5,0)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projet'!$B$18,Paramètres!$A$1:$I$88,3,0)*0.475*44/12</f>
        <v>#N/A</v>
      </c>
      <c r="HH6" s="23" t="e">
        <f>EXP(-LN(2)/25)*HH5+(1-EXP(-LN(2)/25))/(LN(2)/25)*Calculateur!HC6*Calculateur!HE6*VLOOKUP('Données projet'!$B$18,Paramètres!$A$1:$I$88,3,0)*0.475*44/12</f>
        <v>#N/A</v>
      </c>
      <c r="HI6" s="23" t="e">
        <f>EXP(-LN(2)/2)*HI5+(1-EXP(-LN(2)/2))/(LN(2)/2)*HC6*HF6*VLOOKUP('Données projet'!$B$18,Paramètres!$A$1:$I$88,3,0)*0.475*44/12</f>
        <v>#N/A</v>
      </c>
      <c r="HJ6" s="24" t="e">
        <f t="shared" si="30"/>
        <v>#N/A</v>
      </c>
    </row>
    <row r="7" spans="1:218" s="5" customFormat="1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6.1333333333333337</v>
      </c>
      <c r="N7" s="14">
        <f>IF('Données projet'!$A$36&gt;35,N6+M7-V6,IF(A7&lt;'Données projet'!$A$36,$K$205^A7,IF(A7='Données projet'!$A$36,'Données projet'!$B$36,N6+M7-V6)))</f>
        <v>3.3394639069776404</v>
      </c>
      <c r="O7" s="14">
        <f>N7*VLOOKUP('Données projet'!$B$9,Paramètres!$A$1:$I$88,3,0)*VLOOKUP('Données projet'!$B$9,Paramètres!$A$1:$I$88,5,0)</f>
        <v>1.996999416372629</v>
      </c>
      <c r="P7" s="14">
        <f t="shared" si="33"/>
        <v>0.84911401828160815</v>
      </c>
      <c r="Q7" s="22">
        <f t="shared" si="2"/>
        <v>4.9569808986894621</v>
      </c>
      <c r="R7" s="62">
        <f t="shared" si="0"/>
        <v>181.04310296286641</v>
      </c>
      <c r="S7" s="62">
        <f ca="1">AVERAGE(OFFSET($R$3,0,0,'Données projet'!$E$9+1,1))-AVERAGE(OFFSET($H$3,0,0,'Données projet'!$E$9+1,1))</f>
        <v>301.2688576786212</v>
      </c>
      <c r="T7" s="62">
        <f t="shared" si="34"/>
        <v>417.62172165132927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6.5</v>
      </c>
      <c r="AI7" s="14">
        <f>IF('Données projet'!$A$62&gt;35,AI6+AH7-AQ6,IF(A7&lt;'Données projet'!$A$62,$AF$205^A7,IF(A7='Données projet'!$A$62,'Données projet'!$B$62,AI6+AH7-AQ6)))</f>
        <v>2.6472116807053712</v>
      </c>
      <c r="AJ7" s="14">
        <f>AI7*VLOOKUP('Données projet'!$B$10,Paramètres!$A$1:$I$88,3,0)*VLOOKUP('Données projet'!$B$10,Paramètres!$A$1:$I$88,5,0)</f>
        <v>1.2388950665701137</v>
      </c>
      <c r="AK7" s="14">
        <f t="shared" si="35"/>
        <v>0.55687454926878177</v>
      </c>
      <c r="AL7" s="22">
        <f t="shared" si="4"/>
        <v>3.1276320809194096</v>
      </c>
      <c r="AM7" s="62">
        <f t="shared" si="5"/>
        <v>179.21375414509635</v>
      </c>
      <c r="AN7" s="62">
        <f ca="1">AVERAGE(OFFSET($AM$3,0,0,'Données projet'!$E$10+1,1))-AVERAGE(OFFSET($H$3,0,0,'Données projet'!$E$10+1,1))</f>
        <v>170.08673939431091</v>
      </c>
      <c r="AO7" s="62">
        <f t="shared" si="36"/>
        <v>252.97355497077106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projet'!$B$10,Paramètres!$A$1:$I$88,3,0)*0.475*44/12</f>
        <v>0</v>
      </c>
      <c r="AV7" s="23">
        <f>EXP(-LN(2)/25)*AV6+(1-EXP(-LN(2)/25))/(LN(2)/25)*Calculateur!AQ7*Calculateur!AS7*VLOOKUP('Données projet'!$B$10,Paramètres!$A$1:$I$88,3,0)*0.475*44/12</f>
        <v>0</v>
      </c>
      <c r="AW7" s="23">
        <f>EXP(-LN(2)/2)*AW6+(1-EXP(-LN(2)/2))/(LN(2)/2)*AQ7*AT7*VLOOKUP('Données projet'!$B$10,Paramètres!$A$1:$I$88,3,0)*0.475*44/12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2.1</v>
      </c>
      <c r="BD7" s="13">
        <f>IF('Données projet'!$A$88&gt;35,BD6+BC7-BL6,IF(A7&lt;'Données projet'!$A$88,$BA$205^A7,IF(A7='Données projet'!$A$88,'Données projet'!$B$88,BD6+BC7-BL6)))</f>
        <v>2.1117857649667546</v>
      </c>
      <c r="BE7" s="14">
        <f>BD7*VLOOKUP('Données projet'!$B$11,Paramètres!$A$1:$I$88,3,0)*VLOOKUP('Données projet'!$B$11,Paramètres!$A$1:$I$88,5,0)</f>
        <v>1.9107437601419195</v>
      </c>
      <c r="BF7" s="14">
        <f t="shared" si="37"/>
        <v>0.81662477151702284</v>
      </c>
      <c r="BG7" s="22">
        <f t="shared" si="7"/>
        <v>4.7501668593059909</v>
      </c>
      <c r="BH7" s="62">
        <f t="shared" si="8"/>
        <v>180.83628892348293</v>
      </c>
      <c r="BI7" s="62">
        <f ca="1">AVERAGE(OFFSET($BH$3,0,0,'Données projet'!$E$11+1,1))-AVERAGE(OFFSET($H$3,0,0,'Données projet'!$E$11+1,1))</f>
        <v>362.63718589694594</v>
      </c>
      <c r="BJ7" s="62">
        <f t="shared" si="38"/>
        <v>250.47702091764884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projet'!$B$11,Paramètres!$A$1:$I$88,3,0)*0.475*44/12</f>
        <v>0</v>
      </c>
      <c r="BQ7" s="23">
        <f>EXP(-LN(2)/25)*BQ6+(1-EXP(-LN(2)/25))/(LN(2)/25)*Calculateur!BL7*Calculateur!BN7*VLOOKUP('Données projet'!$B$11,Paramètres!$A$1:$I$88,3,0)*0.475*44/12</f>
        <v>0</v>
      </c>
      <c r="BR7" s="23">
        <f>EXP(-LN(2)/2)*BR6+(1-EXP(-LN(2)/2))/(LN(2)/2)*BL7*BO7*VLOOKUP('Données projet'!$B$11,Paramètres!$A$1:$I$88,3,0)*0.475*44/12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2.1</v>
      </c>
      <c r="BY7" s="13">
        <f>IF('Données projet'!$A$114&gt;35,BY6+BX7-CG6,IF(A7&lt;'Données projet'!$A$114,$BV$205^A7,IF(A7='Données projet'!$A$114,'Données projet'!$B$114,BY6+BX7-CG6)))</f>
        <v>2.1117857649667546</v>
      </c>
      <c r="BZ7" s="14">
        <f>BY7*VLOOKUP('Données projet'!$B$12,Paramètres!$A$1:$I$88,3,0)*VLOOKUP('Données projet'!$B$12,Paramètres!$A$1:$I$88,5,0)</f>
        <v>2.1413507656762891</v>
      </c>
      <c r="CA7" s="14">
        <f t="shared" si="39"/>
        <v>0.9031249003236328</v>
      </c>
      <c r="CB7" s="22">
        <f t="shared" si="10"/>
        <v>5.3024617849498643</v>
      </c>
      <c r="CC7" s="62">
        <f t="shared" si="11"/>
        <v>181.3885838491268</v>
      </c>
      <c r="CD7" s="62">
        <f ca="1">AVERAGE(OFFSET($CC$3,0,0,'Données projet'!$E$12+1,1))-AVERAGE(OFFSET($H$3,0,0,'Données projet'!$E$12+1,1))</f>
        <v>398.14524781940196</v>
      </c>
      <c r="CE7" s="62">
        <f t="shared" si="40"/>
        <v>273.35778700650792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projet'!$B$12,Paramètres!$A$1:$I$88,3,0)*0.475*44/12</f>
        <v>0</v>
      </c>
      <c r="CL7" s="23">
        <f>EXP(-LN(2)/25)*CL6+(1-EXP(-LN(2)/25))/(LN(2)/25)*Calculateur!CG7*Calculateur!CI7*VLOOKUP('Données projet'!$B$12,Paramètres!$A$1:$I$88,3,0)*0.475*44/12</f>
        <v>0</v>
      </c>
      <c r="CM7" s="23">
        <f>EXP(-LN(2)/2)*CM6+(1-EXP(-LN(2)/2))/(LN(2)/2)*CG7*CJ7*VLOOKUP('Données projet'!$B$12,Paramètres!$A$1:$I$88,3,0)*0.475*44/12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1.6</v>
      </c>
      <c r="CT7" s="13">
        <f>IF('Données projet'!$A$140&gt;35,CT6+CS7-DB6,IF(A7&lt;'Données projet'!$A$140,$CQ$205^A7,IF(A7='Données projet'!$A$140,'Données projet'!$B$140,CT6+CS7-DB6)))</f>
        <v>1.9999999999999996</v>
      </c>
      <c r="CU7" s="18">
        <f>CT7*VLOOKUP('Données projet'!$B$13,Paramètres!$A$1:$I$88,3,0)*VLOOKUP('Données projet'!$B$13,Paramètres!$A$1:$I$88,5,0)</f>
        <v>1.9031999999999998</v>
      </c>
      <c r="CV7" s="14">
        <f t="shared" si="41"/>
        <v>0.81377530469280024</v>
      </c>
      <c r="CW7" s="22">
        <f t="shared" si="13"/>
        <v>4.7320653223399596</v>
      </c>
      <c r="CX7" s="62">
        <f t="shared" si="14"/>
        <v>180.81818738651691</v>
      </c>
      <c r="CY7" s="62">
        <f ca="1">AVERAGE(OFFSET($CX$3,0,0,'Données projet'!$E$13+1,1))-AVERAGE(OFFSET($H$3,0,0,'Données projet'!$E$13+1,1))</f>
        <v>470.0521927195926</v>
      </c>
      <c r="CZ7" s="62">
        <f t="shared" si="42"/>
        <v>299.27200854723435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projet'!$B$13,Paramètres!$A$1:$I$88,3,0)*0.475*44/12</f>
        <v>0</v>
      </c>
      <c r="DG7" s="23">
        <f>EXP(-LN(2)/25)*DG6+(1-EXP(-LN(2)/25))/(LN(2)/25)*Calculateur!DB7*Calculateur!DD7*VLOOKUP('Données projet'!$B$13,Paramètres!$A$1:$I$88,3,0)*0.475*44/12</f>
        <v>0</v>
      </c>
      <c r="DH7" s="23">
        <f>EXP(-LN(2)/2)*DH6+(1-EXP(-LN(2)/2))/(LN(2)/2)*DB7*DE7*VLOOKUP('Données projet'!$B$13,Paramètres!$A$1:$I$88,3,0)*0.475*44/12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1.2</v>
      </c>
      <c r="DO7" s="13">
        <f>IF('Données projet'!$A$166&gt;35,DO6+DN7-DW6,IF(A7&lt;'Données projet'!$A$166,$DL$205^A7,IF(A7='Données projet'!$A$166,'Données projet'!$B$166,DO6+DN7-DW6)))</f>
        <v>1.7232147397057538</v>
      </c>
      <c r="DP7" s="18">
        <f>DO7*VLOOKUP('Données projet'!$B$14,Paramètres!$A$1:$I$88,3,0)*VLOOKUP('Données projet'!$B$14,Paramètres!$A$1:$I$88,5,0)</f>
        <v>1.6666932962434051</v>
      </c>
      <c r="DQ7" s="14">
        <f t="shared" si="43"/>
        <v>0.72374195851500689</v>
      </c>
      <c r="DR7" s="22">
        <f t="shared" si="16"/>
        <v>4.1633414020375676</v>
      </c>
      <c r="DS7" s="62">
        <f t="shared" si="17"/>
        <v>180.24946346621451</v>
      </c>
      <c r="DT7" s="62">
        <f ca="1">AVERAGE(OFFSET($DS$3,0,0,'Données projet'!$E$14+1,1))-AVERAGE(OFFSET($H$3,0,0,'Données projet'!$E$14+1,1))</f>
        <v>290.89727102147953</v>
      </c>
      <c r="DU7" s="62">
        <f t="shared" si="44"/>
        <v>173.19148969173838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projet'!$B$14,Paramètres!$A$1:$I$88,3,0)*0.475*44/12</f>
        <v>0</v>
      </c>
      <c r="EB7" s="23">
        <f>EXP(-LN(2)/25)*EB6+(1-EXP(-LN(2)/25))/(LN(2)/25)*Calculateur!DW7*Calculateur!DY7*VLOOKUP('Données projet'!$B$14,Paramètres!$A$1:$I$88,3,0)*0.475*44/12</f>
        <v>0</v>
      </c>
      <c r="EC7" s="23">
        <f>EXP(-LN(2)/2)*EC6+(1-EXP(-LN(2)/2))/(LN(2)/2)*DW7*DZ7*VLOOKUP('Données projet'!$B$14,Paramètres!$A$1:$I$88,3,0)*0.475*44/12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projet'!$B$15,Paramètres!$A$1:$I$88,3,0)*VLOOKUP('Données projet'!$B$15,Paramètres!$A$1:$I$88,5,0)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projet'!$B$15,Paramètres!$A$1:$I$88,3,0)*0.475*44/12</f>
        <v>#N/A</v>
      </c>
      <c r="EW7" s="23" t="e">
        <f>EXP(-LN(2)/25)*EW6+(1-EXP(-LN(2)/25))/(LN(2)/25)*Calculateur!ER7*Calculateur!ET7*VLOOKUP('Données projet'!$B$15,Paramètres!$A$1:$I$88,3,0)*0.475*44/12</f>
        <v>#N/A</v>
      </c>
      <c r="EX7" s="23" t="e">
        <f>EXP(-LN(2)/2)*EX6+(1-EXP(-LN(2)/2))/(LN(2)/2)*ER7*EU7*VLOOKUP('Données projet'!$B$15,Paramètres!$A$1:$I$88,3,0)*0.475*44/12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projet'!$B$16,Paramètres!$A$1:$I$88,3,0)*VLOOKUP('Données projet'!$B$16,Paramètres!$A$1:$I$88,5,0)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projet'!$B$16,Paramètres!$A$1:$I$88,3,0)*0.475*44/12</f>
        <v>#N/A</v>
      </c>
      <c r="FR7" s="23" t="e">
        <f>EXP(-LN(2)/25)*FR6+(1-EXP(-LN(2)/25))/(LN(2)/25)*Calculateur!FM7*Calculateur!FO7*VLOOKUP('Données projet'!$B$16,Paramètres!$A$1:$I$88,3,0)*0.475*44/12</f>
        <v>#N/A</v>
      </c>
      <c r="FS7" s="23" t="e">
        <f>EXP(-LN(2)/2)*FS6+(1-EXP(-LN(2)/2))/(LN(2)/2)*FM7*FP7*VLOOKUP('Données projet'!$B$16,Paramètres!$A$1:$I$88,3,0)*0.475*44/12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projet'!$B$17,Paramètres!$A$1:$I$88,3,0)*VLOOKUP('Données projet'!$B$17,Paramètres!$A$1:$I$88,5,0)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projet'!$B$17,Paramètres!$A$1:$I$88,3,0)*0.475*44/12</f>
        <v>#N/A</v>
      </c>
      <c r="GM7" s="23" t="e">
        <f>EXP(-LN(2)/25)*GM6+(1-EXP(-LN(2)/25))/(LN(2)/25)*Calculateur!GH7*Calculateur!GJ7*VLOOKUP('Données projet'!$B$17,Paramètres!$A$1:$I$88,3,0)*0.475*44/12</f>
        <v>#N/A</v>
      </c>
      <c r="GN7" s="23" t="e">
        <f>EXP(-LN(2)/2)*GN6+(1-EXP(-LN(2)/2))/(LN(2)/2)*GH7*GK7*VLOOKUP('Données projet'!$B$17,Paramètres!$A$1:$I$88,3,0)*0.475*44/12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projet'!$B$18,Paramètres!$A$1:$I$88,3,0)*VLOOKUP('Données projet'!$B$18,Paramètres!$A$1:$I$88,5,0)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projet'!$B$18,Paramètres!$A$1:$I$88,3,0)*0.475*44/12</f>
        <v>#N/A</v>
      </c>
      <c r="HH7" s="23" t="e">
        <f>EXP(-LN(2)/25)*HH6+(1-EXP(-LN(2)/25))/(LN(2)/25)*Calculateur!HC7*Calculateur!HE7*VLOOKUP('Données projet'!$B$18,Paramètres!$A$1:$I$88,3,0)*0.475*44/12</f>
        <v>#N/A</v>
      </c>
      <c r="HI7" s="23" t="e">
        <f>EXP(-LN(2)/2)*HI6+(1-EXP(-LN(2)/2))/(LN(2)/2)*HC7*HF7*VLOOKUP('Données projet'!$B$18,Paramètres!$A$1:$I$88,3,0)*0.475*44/12</f>
        <v>#N/A</v>
      </c>
      <c r="HJ7" s="24" t="e">
        <f t="shared" si="30"/>
        <v>#N/A</v>
      </c>
    </row>
    <row r="8" spans="1:218" s="5" customFormat="1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6.1333333333333337</v>
      </c>
      <c r="N8" s="14">
        <f>IF('Données projet'!$A$36&gt;35,N7+M8-V7,IF(A8&lt;'Données projet'!$A$36,$K$205^A8,IF(A8='Données projet'!$A$36,'Données projet'!$B$36,N7+M8-V7)))</f>
        <v>4.5143574354740004</v>
      </c>
      <c r="O8" s="14">
        <f>N8*VLOOKUP('Données projet'!$B$9,Paramètres!$A$1:$I$88,3,0)*VLOOKUP('Données projet'!$B$9,Paramètres!$A$1:$I$88,5,0)</f>
        <v>2.6995857464134523</v>
      </c>
      <c r="P8" s="14">
        <f t="shared" si="33"/>
        <v>1.1082716036225841</v>
      </c>
      <c r="Q8" s="22">
        <f t="shared" si="2"/>
        <v>6.6320182179794296</v>
      </c>
      <c r="R8" s="62">
        <f t="shared" si="0"/>
        <v>185.42306609442679</v>
      </c>
      <c r="S8" s="62">
        <f ca="1">AVERAGE(OFFSET($R$3,0,0,'Données projet'!$E$9+1,1))-AVERAGE(OFFSET($H$3,0,0,'Données projet'!$E$9+1,1))</f>
        <v>301.2688576786212</v>
      </c>
      <c r="T8" s="62">
        <f t="shared" si="34"/>
        <v>417.62172165132927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6.5</v>
      </c>
      <c r="AI8" s="14">
        <f>IF('Données projet'!$A$62&gt;35,AI7+AH8-AQ7,IF(A8&lt;'Données projet'!$A$62,$AF$205^A8,IF(A8='Données projet'!$A$62,'Données projet'!$B$62,AI7+AH8-AQ7)))</f>
        <v>3.3766483753851801</v>
      </c>
      <c r="AJ8" s="14">
        <f>AI8*VLOOKUP('Données projet'!$B$10,Paramètres!$A$1:$I$88,3,0)*VLOOKUP('Données projet'!$B$10,Paramètres!$A$1:$I$88,5,0)</f>
        <v>1.5802714396802642</v>
      </c>
      <c r="AK8" s="14">
        <f t="shared" si="35"/>
        <v>0.69048045084256526</v>
      </c>
      <c r="AL8" s="22">
        <f t="shared" si="4"/>
        <v>3.9548928759939277</v>
      </c>
      <c r="AM8" s="62">
        <f t="shared" si="5"/>
        <v>182.74594075244127</v>
      </c>
      <c r="AN8" s="62">
        <f ca="1">AVERAGE(OFFSET($AM$3,0,0,'Données projet'!$E$10+1,1))-AVERAGE(OFFSET($H$3,0,0,'Données projet'!$E$10+1,1))</f>
        <v>170.08673939431091</v>
      </c>
      <c r="AO8" s="62">
        <f t="shared" si="36"/>
        <v>252.97355497077106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projet'!$B$10,Paramètres!$A$1:$I$88,3,0)*0.475*44/12</f>
        <v>0</v>
      </c>
      <c r="AV8" s="23">
        <f>EXP(-LN(2)/25)*AV7+(1-EXP(-LN(2)/25))/(LN(2)/25)*Calculateur!AQ8*Calculateur!AS8*VLOOKUP('Données projet'!$B$10,Paramètres!$A$1:$I$88,3,0)*0.475*44/12</f>
        <v>0</v>
      </c>
      <c r="AW8" s="23">
        <f>EXP(-LN(2)/2)*AW7+(1-EXP(-LN(2)/2))/(LN(2)/2)*AQ8*AT8*VLOOKUP('Données projet'!$B$10,Paramètres!$A$1:$I$88,3,0)*0.475*44/12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2.1</v>
      </c>
      <c r="BD8" s="13">
        <f>IF('Données projet'!$A$88&gt;35,BD7+BC8-BL7,IF(A8&lt;'Données projet'!$A$88,$BA$205^A8,IF(A8='Données projet'!$A$88,'Données projet'!$B$88,BD7+BC8-BL7)))</f>
        <v>2.5457298950218314</v>
      </c>
      <c r="BE8" s="14">
        <f>BD8*VLOOKUP('Données projet'!$B$11,Paramètres!$A$1:$I$88,3,0)*VLOOKUP('Données projet'!$B$11,Paramètres!$A$1:$I$88,5,0)</f>
        <v>2.3033764090157529</v>
      </c>
      <c r="BF8" s="14">
        <f t="shared" si="37"/>
        <v>0.96324708482559218</v>
      </c>
      <c r="BG8" s="22">
        <f t="shared" si="7"/>
        <v>5.6893692517736758</v>
      </c>
      <c r="BH8" s="62">
        <f t="shared" si="8"/>
        <v>184.48041712822103</v>
      </c>
      <c r="BI8" s="62">
        <f ca="1">AVERAGE(OFFSET($BH$3,0,0,'Données projet'!$E$11+1,1))-AVERAGE(OFFSET($H$3,0,0,'Données projet'!$E$11+1,1))</f>
        <v>362.63718589694594</v>
      </c>
      <c r="BJ8" s="62">
        <f t="shared" si="38"/>
        <v>250.47702091764884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projet'!$B$11,Paramètres!$A$1:$I$88,3,0)*0.475*44/12</f>
        <v>0</v>
      </c>
      <c r="BQ8" s="23">
        <f>EXP(-LN(2)/25)*BQ7+(1-EXP(-LN(2)/25))/(LN(2)/25)*Calculateur!BL8*Calculateur!BN8*VLOOKUP('Données projet'!$B$11,Paramètres!$A$1:$I$88,3,0)*0.475*44/12</f>
        <v>0</v>
      </c>
      <c r="BR8" s="23">
        <f>EXP(-LN(2)/2)*BR7+(1-EXP(-LN(2)/2))/(LN(2)/2)*BL8*BO8*VLOOKUP('Données projet'!$B$11,Paramètres!$A$1:$I$88,3,0)*0.475*44/12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2.1</v>
      </c>
      <c r="BY8" s="13">
        <f>IF('Données projet'!$A$114&gt;35,BY7+BX8-CG7,IF(A8&lt;'Données projet'!$A$114,$BV$205^A8,IF(A8='Données projet'!$A$114,'Données projet'!$B$114,BY7+BX8-CG7)))</f>
        <v>2.5457298950218314</v>
      </c>
      <c r="BZ8" s="14">
        <f>BY8*VLOOKUP('Données projet'!$B$12,Paramètres!$A$1:$I$88,3,0)*VLOOKUP('Données projet'!$B$12,Paramètres!$A$1:$I$88,5,0)</f>
        <v>2.5813701135521372</v>
      </c>
      <c r="CA8" s="14">
        <f t="shared" si="39"/>
        <v>1.0652780295337991</v>
      </c>
      <c r="CB8" s="22">
        <f t="shared" si="10"/>
        <v>6.3512455158746723</v>
      </c>
      <c r="CC8" s="62">
        <f t="shared" si="11"/>
        <v>185.14229339232202</v>
      </c>
      <c r="CD8" s="62">
        <f ca="1">AVERAGE(OFFSET($CC$3,0,0,'Données projet'!$E$12+1,1))-AVERAGE(OFFSET($H$3,0,0,'Données projet'!$E$12+1,1))</f>
        <v>398.14524781940196</v>
      </c>
      <c r="CE8" s="62">
        <f t="shared" si="40"/>
        <v>273.35778700650792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projet'!$B$12,Paramètres!$A$1:$I$88,3,0)*0.475*44/12</f>
        <v>0</v>
      </c>
      <c r="CL8" s="23">
        <f>EXP(-LN(2)/25)*CL7+(1-EXP(-LN(2)/25))/(LN(2)/25)*Calculateur!CG8*Calculateur!CI8*VLOOKUP('Données projet'!$B$12,Paramètres!$A$1:$I$88,3,0)*0.475*44/12</f>
        <v>0</v>
      </c>
      <c r="CM8" s="23">
        <f>EXP(-LN(2)/2)*CM7+(1-EXP(-LN(2)/2))/(LN(2)/2)*CG8*CJ8*VLOOKUP('Données projet'!$B$12,Paramètres!$A$1:$I$88,3,0)*0.475*44/12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1.6</v>
      </c>
      <c r="CT8" s="13">
        <f>IF('Données projet'!$A$140&gt;35,CT7+CS8-DB7,IF(A8&lt;'Données projet'!$A$140,$CQ$205^A8,IF(A8='Données projet'!$A$140,'Données projet'!$B$140,CT7+CS8-DB7)))</f>
        <v>2.3784142300054416</v>
      </c>
      <c r="CU8" s="18">
        <f>CT8*VLOOKUP('Données projet'!$B$13,Paramètres!$A$1:$I$88,3,0)*VLOOKUP('Données projet'!$B$13,Paramètres!$A$1:$I$88,5,0)</f>
        <v>2.2632989812731781</v>
      </c>
      <c r="CV8" s="14">
        <f t="shared" si="41"/>
        <v>0.9484229016995176</v>
      </c>
      <c r="CW8" s="22">
        <f t="shared" si="13"/>
        <v>5.5937489461774446</v>
      </c>
      <c r="CX8" s="62">
        <f t="shared" si="14"/>
        <v>184.38479682262479</v>
      </c>
      <c r="CY8" s="62">
        <f ca="1">AVERAGE(OFFSET($CX$3,0,0,'Données projet'!$E$13+1,1))-AVERAGE(OFFSET($H$3,0,0,'Données projet'!$E$13+1,1))</f>
        <v>470.0521927195926</v>
      </c>
      <c r="CZ8" s="62">
        <f t="shared" si="42"/>
        <v>299.27200854723435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projet'!$B$13,Paramètres!$A$1:$I$88,3,0)*0.475*44/12</f>
        <v>0</v>
      </c>
      <c r="DG8" s="23">
        <f>EXP(-LN(2)/25)*DG7+(1-EXP(-LN(2)/25))/(LN(2)/25)*Calculateur!DB8*Calculateur!DD8*VLOOKUP('Données projet'!$B$13,Paramètres!$A$1:$I$88,3,0)*0.475*44/12</f>
        <v>0</v>
      </c>
      <c r="DH8" s="23">
        <f>EXP(-LN(2)/2)*DH7+(1-EXP(-LN(2)/2))/(LN(2)/2)*DB8*DE8*VLOOKUP('Données projet'!$B$13,Paramètres!$A$1:$I$88,3,0)*0.475*44/12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1.2</v>
      </c>
      <c r="DO8" s="13">
        <f>IF('Données projet'!$A$166&gt;35,DO7+DN8-DW7,IF(A8&lt;'Données projet'!$A$166,$DL$205^A8,IF(A8='Données projet'!$A$166,'Données projet'!$B$166,DO7+DN8-DW7)))</f>
        <v>1.9743504858348202</v>
      </c>
      <c r="DP8" s="18">
        <f>DO8*VLOOKUP('Données projet'!$B$14,Paramètres!$A$1:$I$88,3,0)*VLOOKUP('Données projet'!$B$14,Paramètres!$A$1:$I$88,5,0)</f>
        <v>1.9095917898994379</v>
      </c>
      <c r="DQ8" s="14">
        <f t="shared" si="43"/>
        <v>0.81618972839261894</v>
      </c>
      <c r="DR8" s="22">
        <f t="shared" si="16"/>
        <v>4.7474028110253315</v>
      </c>
      <c r="DS8" s="62">
        <f t="shared" si="17"/>
        <v>183.53845068747268</v>
      </c>
      <c r="DT8" s="62">
        <f ca="1">AVERAGE(OFFSET($DS$3,0,0,'Données projet'!$E$14+1,1))-AVERAGE(OFFSET($H$3,0,0,'Données projet'!$E$14+1,1))</f>
        <v>290.89727102147953</v>
      </c>
      <c r="DU8" s="62">
        <f t="shared" si="44"/>
        <v>173.19148969173838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projet'!$B$14,Paramètres!$A$1:$I$88,3,0)*0.475*44/12</f>
        <v>0</v>
      </c>
      <c r="EB8" s="23">
        <f>EXP(-LN(2)/25)*EB7+(1-EXP(-LN(2)/25))/(LN(2)/25)*Calculateur!DW8*Calculateur!DY8*VLOOKUP('Données projet'!$B$14,Paramètres!$A$1:$I$88,3,0)*0.475*44/12</f>
        <v>0</v>
      </c>
      <c r="EC8" s="23">
        <f>EXP(-LN(2)/2)*EC7+(1-EXP(-LN(2)/2))/(LN(2)/2)*DW8*DZ8*VLOOKUP('Données projet'!$B$14,Paramètres!$A$1:$I$88,3,0)*0.475*44/12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projet'!$B$15,Paramètres!$A$1:$I$88,3,0)*VLOOKUP('Données projet'!$B$15,Paramètres!$A$1:$I$88,5,0)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projet'!$B$15,Paramètres!$A$1:$I$88,3,0)*0.475*44/12</f>
        <v>#N/A</v>
      </c>
      <c r="EW8" s="23" t="e">
        <f>EXP(-LN(2)/25)*EW7+(1-EXP(-LN(2)/25))/(LN(2)/25)*Calculateur!ER8*Calculateur!ET8*VLOOKUP('Données projet'!$B$15,Paramètres!$A$1:$I$88,3,0)*0.475*44/12</f>
        <v>#N/A</v>
      </c>
      <c r="EX8" s="23" t="e">
        <f>EXP(-LN(2)/2)*EX7+(1-EXP(-LN(2)/2))/(LN(2)/2)*ER8*EU8*VLOOKUP('Données projet'!$B$15,Paramètres!$A$1:$I$88,3,0)*0.475*44/12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projet'!$B$16,Paramètres!$A$1:$I$88,3,0)*VLOOKUP('Données projet'!$B$16,Paramètres!$A$1:$I$88,5,0)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projet'!$B$16,Paramètres!$A$1:$I$88,3,0)*0.475*44/12</f>
        <v>#N/A</v>
      </c>
      <c r="FR8" s="23" t="e">
        <f>EXP(-LN(2)/25)*FR7+(1-EXP(-LN(2)/25))/(LN(2)/25)*Calculateur!FM8*Calculateur!FO8*VLOOKUP('Données projet'!$B$16,Paramètres!$A$1:$I$88,3,0)*0.475*44/12</f>
        <v>#N/A</v>
      </c>
      <c r="FS8" s="23" t="e">
        <f>EXP(-LN(2)/2)*FS7+(1-EXP(-LN(2)/2))/(LN(2)/2)*FM8*FP8*VLOOKUP('Données projet'!$B$16,Paramètres!$A$1:$I$88,3,0)*0.475*44/12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projet'!$B$17,Paramètres!$A$1:$I$88,3,0)*VLOOKUP('Données projet'!$B$17,Paramètres!$A$1:$I$88,5,0)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projet'!$B$17,Paramètres!$A$1:$I$88,3,0)*0.475*44/12</f>
        <v>#N/A</v>
      </c>
      <c r="GM8" s="23" t="e">
        <f>EXP(-LN(2)/25)*GM7+(1-EXP(-LN(2)/25))/(LN(2)/25)*Calculateur!GH8*Calculateur!GJ8*VLOOKUP('Données projet'!$B$17,Paramètres!$A$1:$I$88,3,0)*0.475*44/12</f>
        <v>#N/A</v>
      </c>
      <c r="GN8" s="23" t="e">
        <f>EXP(-LN(2)/2)*GN7+(1-EXP(-LN(2)/2))/(LN(2)/2)*GH8*GK8*VLOOKUP('Données projet'!$B$17,Paramètres!$A$1:$I$88,3,0)*0.475*44/12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projet'!$B$18,Paramètres!$A$1:$I$88,3,0)*VLOOKUP('Données projet'!$B$18,Paramètres!$A$1:$I$88,5,0)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projet'!$B$18,Paramètres!$A$1:$I$88,3,0)*0.475*44/12</f>
        <v>#N/A</v>
      </c>
      <c r="HH8" s="23" t="e">
        <f>EXP(-LN(2)/25)*HH7+(1-EXP(-LN(2)/25))/(LN(2)/25)*Calculateur!HC8*Calculateur!HE8*VLOOKUP('Données projet'!$B$18,Paramètres!$A$1:$I$88,3,0)*0.475*44/12</f>
        <v>#N/A</v>
      </c>
      <c r="HI8" s="23" t="e">
        <f>EXP(-LN(2)/2)*HI7+(1-EXP(-LN(2)/2))/(LN(2)/2)*HC8*HF8*VLOOKUP('Données projet'!$B$18,Paramètres!$A$1:$I$88,3,0)*0.475*44/12</f>
        <v>#N/A</v>
      </c>
      <c r="HJ8" s="24" t="e">
        <f t="shared" si="30"/>
        <v>#N/A</v>
      </c>
    </row>
    <row r="9" spans="1:218" s="5" customFormat="1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6.1333333333333337</v>
      </c>
      <c r="N9" s="14">
        <f>IF('Données projet'!$A$36&gt;35,N8+M9-V8,IF(A9&lt;'Données projet'!$A$36,$K$205^A9,IF(A9='Données projet'!$A$36,'Données projet'!$B$36,N8+M9-V8)))</f>
        <v>6.1026031791023758</v>
      </c>
      <c r="O9" s="14">
        <f>N9*VLOOKUP('Données projet'!$B$9,Paramètres!$A$1:$I$88,3,0)*VLOOKUP('Données projet'!$B$9,Paramètres!$A$1:$I$88,5,0)</f>
        <v>3.6493567011032209</v>
      </c>
      <c r="P9" s="14">
        <f t="shared" si="33"/>
        <v>1.4465265217053813</v>
      </c>
      <c r="Q9" s="22">
        <f t="shared" si="2"/>
        <v>8.8753299463916484</v>
      </c>
      <c r="R9" s="62">
        <f t="shared" si="0"/>
        <v>190.34558204265062</v>
      </c>
      <c r="S9" s="62">
        <f ca="1">AVERAGE(OFFSET($R$3,0,0,'Données projet'!$E$9+1,1))-AVERAGE(OFFSET($H$3,0,0,'Données projet'!$E$9+1,1))</f>
        <v>301.2688576786212</v>
      </c>
      <c r="T9" s="62">
        <f t="shared" si="34"/>
        <v>417.62172165132927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6.5</v>
      </c>
      <c r="AI9" s="14">
        <f>IF('Données projet'!$A$62&gt;35,AI8+AH9-AQ8,IF(A9&lt;'Données projet'!$A$62,$AF$205^A9,IF(A9='Données projet'!$A$62,'Données projet'!$B$62,AI8+AH9-AQ8)))</f>
        <v>4.3070806668370727</v>
      </c>
      <c r="AJ9" s="14">
        <f>AI9*VLOOKUP('Données projet'!$B$10,Paramètres!$A$1:$I$88,3,0)*VLOOKUP('Données projet'!$B$10,Paramètres!$A$1:$I$88,5,0)</f>
        <v>2.0157137520797503</v>
      </c>
      <c r="AK9" s="14">
        <f t="shared" si="35"/>
        <v>0.85614121460888881</v>
      </c>
      <c r="AL9" s="22">
        <f t="shared" si="4"/>
        <v>5.0018140669827131</v>
      </c>
      <c r="AM9" s="62">
        <f t="shared" si="5"/>
        <v>186.47206616324169</v>
      </c>
      <c r="AN9" s="62">
        <f ca="1">AVERAGE(OFFSET($AM$3,0,0,'Données projet'!$E$10+1,1))-AVERAGE(OFFSET($H$3,0,0,'Données projet'!$E$10+1,1))</f>
        <v>170.08673939431091</v>
      </c>
      <c r="AO9" s="62">
        <f t="shared" si="36"/>
        <v>252.97355497077106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projet'!$B$10,Paramètres!$A$1:$I$88,3,0)*0.475*44/12</f>
        <v>0</v>
      </c>
      <c r="AV9" s="23">
        <f>EXP(-LN(2)/25)*AV8+(1-EXP(-LN(2)/25))/(LN(2)/25)*Calculateur!AQ9*Calculateur!AS9*VLOOKUP('Données projet'!$B$10,Paramètres!$A$1:$I$88,3,0)*0.475*44/12</f>
        <v>0</v>
      </c>
      <c r="AW9" s="23">
        <f>EXP(-LN(2)/2)*AW8+(1-EXP(-LN(2)/2))/(LN(2)/2)*AQ9*AT9*VLOOKUP('Données projet'!$B$10,Paramètres!$A$1:$I$88,3,0)*0.475*44/12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2.1</v>
      </c>
      <c r="BD9" s="13">
        <f>IF('Données projet'!$A$88&gt;35,BD8+BC9-BL8,IF(A9&lt;'Données projet'!$A$88,$BA$205^A9,IF(A9='Données projet'!$A$88,'Données projet'!$B$88,BD8+BC9-BL8)))</f>
        <v>3.0688438220956993</v>
      </c>
      <c r="BE9" s="14">
        <f>BD9*VLOOKUP('Données projet'!$B$11,Paramètres!$A$1:$I$88,3,0)*VLOOKUP('Données projet'!$B$11,Paramètres!$A$1:$I$88,5,0)</f>
        <v>2.7766898902321886</v>
      </c>
      <c r="BF9" s="14">
        <f t="shared" si="37"/>
        <v>1.1361949561012803</v>
      </c>
      <c r="BG9" s="22">
        <f t="shared" si="7"/>
        <v>6.8149411073641248</v>
      </c>
      <c r="BH9" s="62">
        <f t="shared" si="8"/>
        <v>188.28519320362309</v>
      </c>
      <c r="BI9" s="62">
        <f ca="1">AVERAGE(OFFSET($BH$3,0,0,'Données projet'!$E$11+1,1))-AVERAGE(OFFSET($H$3,0,0,'Données projet'!$E$11+1,1))</f>
        <v>362.63718589694594</v>
      </c>
      <c r="BJ9" s="62">
        <f t="shared" si="38"/>
        <v>250.47702091764884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projet'!$B$11,Paramètres!$A$1:$I$88,3,0)*0.475*44/12</f>
        <v>0</v>
      </c>
      <c r="BQ9" s="23">
        <f>EXP(-LN(2)/25)*BQ8+(1-EXP(-LN(2)/25))/(LN(2)/25)*Calculateur!BL9*Calculateur!BN9*VLOOKUP('Données projet'!$B$11,Paramètres!$A$1:$I$88,3,0)*0.475*44/12</f>
        <v>0</v>
      </c>
      <c r="BR9" s="23">
        <f>EXP(-LN(2)/2)*BR8+(1-EXP(-LN(2)/2))/(LN(2)/2)*BL9*BO9*VLOOKUP('Données projet'!$B$11,Paramètres!$A$1:$I$88,3,0)*0.475*44/12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2.1</v>
      </c>
      <c r="BY9" s="13">
        <f>IF('Données projet'!$A$114&gt;35,BY8+BX9-CG8,IF(A9&lt;'Données projet'!$A$114,$BV$205^A9,IF(A9='Données projet'!$A$114,'Données projet'!$B$114,BY8+BX9-CG8)))</f>
        <v>3.0688438220956993</v>
      </c>
      <c r="BZ9" s="14">
        <f>BY9*VLOOKUP('Données projet'!$B$12,Paramètres!$A$1:$I$88,3,0)*VLOOKUP('Données projet'!$B$12,Paramètres!$A$1:$I$88,5,0)</f>
        <v>3.111807635605039</v>
      </c>
      <c r="CA9" s="14">
        <f t="shared" si="39"/>
        <v>1.2565452240335246</v>
      </c>
      <c r="CB9" s="22">
        <f t="shared" si="10"/>
        <v>7.6082145638704972</v>
      </c>
      <c r="CC9" s="62">
        <f t="shared" si="11"/>
        <v>189.07846666012946</v>
      </c>
      <c r="CD9" s="62">
        <f ca="1">AVERAGE(OFFSET($CC$3,0,0,'Données projet'!$E$12+1,1))-AVERAGE(OFFSET($H$3,0,0,'Données projet'!$E$12+1,1))</f>
        <v>398.14524781940196</v>
      </c>
      <c r="CE9" s="62">
        <f t="shared" si="40"/>
        <v>273.35778700650792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projet'!$B$12,Paramètres!$A$1:$I$88,3,0)*0.475*44/12</f>
        <v>0</v>
      </c>
      <c r="CL9" s="23">
        <f>EXP(-LN(2)/25)*CL8+(1-EXP(-LN(2)/25))/(LN(2)/25)*Calculateur!CG9*Calculateur!CI9*VLOOKUP('Données projet'!$B$12,Paramètres!$A$1:$I$88,3,0)*0.475*44/12</f>
        <v>0</v>
      </c>
      <c r="CM9" s="23">
        <f>EXP(-LN(2)/2)*CM8+(1-EXP(-LN(2)/2))/(LN(2)/2)*CG9*CJ9*VLOOKUP('Données projet'!$B$12,Paramètres!$A$1:$I$88,3,0)*0.475*44/12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1.6</v>
      </c>
      <c r="CT9" s="13">
        <f>IF('Données projet'!$A$140&gt;35,CT8+CS9-DB8,IF(A9&lt;'Données projet'!$A$140,$CQ$205^A9,IF(A9='Données projet'!$A$140,'Données projet'!$B$140,CT8+CS9-DB8)))</f>
        <v>2.8284271247461894</v>
      </c>
      <c r="CU9" s="18">
        <f>CT9*VLOOKUP('Données projet'!$B$13,Paramètres!$A$1:$I$88,3,0)*VLOOKUP('Données projet'!$B$13,Paramètres!$A$1:$I$88,5,0)</f>
        <v>2.6915312519084735</v>
      </c>
      <c r="CV9" s="14">
        <f t="shared" si="41"/>
        <v>1.1053493455514676</v>
      </c>
      <c r="CW9" s="22">
        <f t="shared" si="13"/>
        <v>6.6129003739093966</v>
      </c>
      <c r="CX9" s="62">
        <f t="shared" si="14"/>
        <v>188.08315247016836</v>
      </c>
      <c r="CY9" s="62">
        <f ca="1">AVERAGE(OFFSET($CX$3,0,0,'Données projet'!$E$13+1,1))-AVERAGE(OFFSET($H$3,0,0,'Données projet'!$E$13+1,1))</f>
        <v>470.0521927195926</v>
      </c>
      <c r="CZ9" s="62">
        <f t="shared" si="42"/>
        <v>299.27200854723435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projet'!$B$13,Paramètres!$A$1:$I$88,3,0)*0.475*44/12</f>
        <v>0</v>
      </c>
      <c r="DG9" s="23">
        <f>EXP(-LN(2)/25)*DG8+(1-EXP(-LN(2)/25))/(LN(2)/25)*Calculateur!DB9*Calculateur!DD9*VLOOKUP('Données projet'!$B$13,Paramètres!$A$1:$I$88,3,0)*0.475*44/12</f>
        <v>0</v>
      </c>
      <c r="DH9" s="23">
        <f>EXP(-LN(2)/2)*DH8+(1-EXP(-LN(2)/2))/(LN(2)/2)*DB9*DE9*VLOOKUP('Données projet'!$B$13,Paramètres!$A$1:$I$88,3,0)*0.475*44/12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1.2</v>
      </c>
      <c r="DO9" s="13">
        <f>IF('Données projet'!$A$166&gt;35,DO8+DN9-DW8,IF(A9&lt;'Données projet'!$A$166,$DL$205^A9,IF(A9='Données projet'!$A$166,'Données projet'!$B$166,DO8+DN9-DW8)))</f>
        <v>2.2620859438457455</v>
      </c>
      <c r="DP9" s="18">
        <f>DO9*VLOOKUP('Données projet'!$B$14,Paramètres!$A$1:$I$88,3,0)*VLOOKUP('Données projet'!$B$14,Paramètres!$A$1:$I$88,5,0)</f>
        <v>2.1878895248876051</v>
      </c>
      <c r="DQ9" s="14">
        <f t="shared" si="43"/>
        <v>0.92044638962272363</v>
      </c>
      <c r="DR9" s="22">
        <f t="shared" si="16"/>
        <v>5.4136850511054888</v>
      </c>
      <c r="DS9" s="62">
        <f t="shared" si="17"/>
        <v>186.88393714736446</v>
      </c>
      <c r="DT9" s="62">
        <f ca="1">AVERAGE(OFFSET($DS$3,0,0,'Données projet'!$E$14+1,1))-AVERAGE(OFFSET($H$3,0,0,'Données projet'!$E$14+1,1))</f>
        <v>290.89727102147953</v>
      </c>
      <c r="DU9" s="62">
        <f t="shared" si="44"/>
        <v>173.19148969173838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projet'!$B$14,Paramètres!$A$1:$I$88,3,0)*0.475*44/12</f>
        <v>0</v>
      </c>
      <c r="EB9" s="23">
        <f>EXP(-LN(2)/25)*EB8+(1-EXP(-LN(2)/25))/(LN(2)/25)*Calculateur!DW9*Calculateur!DY9*VLOOKUP('Données projet'!$B$14,Paramètres!$A$1:$I$88,3,0)*0.475*44/12</f>
        <v>0</v>
      </c>
      <c r="EC9" s="23">
        <f>EXP(-LN(2)/2)*EC8+(1-EXP(-LN(2)/2))/(LN(2)/2)*DW9*DZ9*VLOOKUP('Données projet'!$B$14,Paramètres!$A$1:$I$88,3,0)*0.475*44/12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projet'!$B$15,Paramètres!$A$1:$I$88,3,0)*VLOOKUP('Données projet'!$B$15,Paramètres!$A$1:$I$88,5,0)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projet'!$B$15,Paramètres!$A$1:$I$88,3,0)*0.475*44/12</f>
        <v>#N/A</v>
      </c>
      <c r="EW9" s="23" t="e">
        <f>EXP(-LN(2)/25)*EW8+(1-EXP(-LN(2)/25))/(LN(2)/25)*Calculateur!ER9*Calculateur!ET9*VLOOKUP('Données projet'!$B$15,Paramètres!$A$1:$I$88,3,0)*0.475*44/12</f>
        <v>#N/A</v>
      </c>
      <c r="EX9" s="23" t="e">
        <f>EXP(-LN(2)/2)*EX8+(1-EXP(-LN(2)/2))/(LN(2)/2)*ER9*EU9*VLOOKUP('Données projet'!$B$15,Paramètres!$A$1:$I$88,3,0)*0.475*44/12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projet'!$B$16,Paramètres!$A$1:$I$88,3,0)*VLOOKUP('Données projet'!$B$16,Paramètres!$A$1:$I$88,5,0)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projet'!$B$16,Paramètres!$A$1:$I$88,3,0)*0.475*44/12</f>
        <v>#N/A</v>
      </c>
      <c r="FR9" s="23" t="e">
        <f>EXP(-LN(2)/25)*FR8+(1-EXP(-LN(2)/25))/(LN(2)/25)*Calculateur!FM9*Calculateur!FO9*VLOOKUP('Données projet'!$B$16,Paramètres!$A$1:$I$88,3,0)*0.475*44/12</f>
        <v>#N/A</v>
      </c>
      <c r="FS9" s="23" t="e">
        <f>EXP(-LN(2)/2)*FS8+(1-EXP(-LN(2)/2))/(LN(2)/2)*FM9*FP9*VLOOKUP('Données projet'!$B$16,Paramètres!$A$1:$I$88,3,0)*0.475*44/12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projet'!$B$17,Paramètres!$A$1:$I$88,3,0)*VLOOKUP('Données projet'!$B$17,Paramètres!$A$1:$I$88,5,0)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projet'!$B$17,Paramètres!$A$1:$I$88,3,0)*0.475*44/12</f>
        <v>#N/A</v>
      </c>
      <c r="GM9" s="23" t="e">
        <f>EXP(-LN(2)/25)*GM8+(1-EXP(-LN(2)/25))/(LN(2)/25)*Calculateur!GH9*Calculateur!GJ9*VLOOKUP('Données projet'!$B$17,Paramètres!$A$1:$I$88,3,0)*0.475*44/12</f>
        <v>#N/A</v>
      </c>
      <c r="GN9" s="23" t="e">
        <f>EXP(-LN(2)/2)*GN8+(1-EXP(-LN(2)/2))/(LN(2)/2)*GH9*GK9*VLOOKUP('Données projet'!$B$17,Paramètres!$A$1:$I$88,3,0)*0.475*44/12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projet'!$B$18,Paramètres!$A$1:$I$88,3,0)*VLOOKUP('Données projet'!$B$18,Paramètres!$A$1:$I$88,5,0)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projet'!$B$18,Paramètres!$A$1:$I$88,3,0)*0.475*44/12</f>
        <v>#N/A</v>
      </c>
      <c r="HH9" s="23" t="e">
        <f>EXP(-LN(2)/25)*HH8+(1-EXP(-LN(2)/25))/(LN(2)/25)*Calculateur!HC9*Calculateur!HE9*VLOOKUP('Données projet'!$B$18,Paramètres!$A$1:$I$88,3,0)*0.475*44/12</f>
        <v>#N/A</v>
      </c>
      <c r="HI9" s="23" t="e">
        <f>EXP(-LN(2)/2)*HI8+(1-EXP(-LN(2)/2))/(LN(2)/2)*HC9*HF9*VLOOKUP('Données projet'!$B$18,Paramètres!$A$1:$I$88,3,0)*0.475*44/12</f>
        <v>#N/A</v>
      </c>
      <c r="HJ9" s="24" t="e">
        <f t="shared" si="30"/>
        <v>#N/A</v>
      </c>
    </row>
    <row r="10" spans="1:218" s="5" customFormat="1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6.1333333333333337</v>
      </c>
      <c r="N10" s="14">
        <f>IF('Données projet'!$A$36&gt;35,N9+M10-V9,IF(A10&lt;'Données projet'!$A$36,$K$205^A10,IF(A10='Données projet'!$A$36,'Données projet'!$B$36,N9+M10-V9)))</f>
        <v>8.2496271272060024</v>
      </c>
      <c r="O10" s="14">
        <f>N10*VLOOKUP('Données projet'!$B$9,Paramètres!$A$1:$I$88,3,0)*VLOOKUP('Données projet'!$B$9,Paramètres!$A$1:$I$88,5,0)</f>
        <v>4.9332770220691904</v>
      </c>
      <c r="P10" s="14">
        <f t="shared" si="33"/>
        <v>1.8880200224904784</v>
      </c>
      <c r="Q10" s="22">
        <f t="shared" si="2"/>
        <v>11.880425685941423</v>
      </c>
      <c r="R10" s="62">
        <f t="shared" si="0"/>
        <v>196.00460662167765</v>
      </c>
      <c r="S10" s="62">
        <f ca="1">AVERAGE(OFFSET($R$3,0,0,'Données projet'!$E$9+1,1))-AVERAGE(OFFSET($H$3,0,0,'Données projet'!$E$9+1,1))</f>
        <v>301.2688576786212</v>
      </c>
      <c r="T10" s="62">
        <f t="shared" si="34"/>
        <v>417.62172165132927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6.5</v>
      </c>
      <c r="AI10" s="14">
        <f>IF('Données projet'!$A$62&gt;35,AI9+AH10-AQ9,IF(A10&lt;'Données projet'!$A$62,$AF$205^A10,IF(A10='Données projet'!$A$62,'Données projet'!$B$62,AI9+AH10-AQ9)))</f>
        <v>5.4938927031528824</v>
      </c>
      <c r="AJ10" s="14">
        <f>AI10*VLOOKUP('Données projet'!$B$10,Paramètres!$A$1:$I$88,3,0)*VLOOKUP('Données projet'!$B$10,Paramètres!$A$1:$I$88,5,0)</f>
        <v>2.5711417850755489</v>
      </c>
      <c r="AK10" s="14">
        <f t="shared" si="35"/>
        <v>1.0615474753232477</v>
      </c>
      <c r="AL10" s="22">
        <f t="shared" si="4"/>
        <v>6.326933795194571</v>
      </c>
      <c r="AM10" s="62">
        <f t="shared" si="5"/>
        <v>190.45111473093081</v>
      </c>
      <c r="AN10" s="62">
        <f ca="1">AVERAGE(OFFSET($AM$3,0,0,'Données projet'!$E$10+1,1))-AVERAGE(OFFSET($H$3,0,0,'Données projet'!$E$10+1,1))</f>
        <v>170.08673939431091</v>
      </c>
      <c r="AO10" s="62">
        <f t="shared" si="36"/>
        <v>252.97355497077106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projet'!$B$10,Paramètres!$A$1:$I$88,3,0)*0.475*44/12</f>
        <v>0</v>
      </c>
      <c r="AV10" s="23">
        <f>EXP(-LN(2)/25)*AV9+(1-EXP(-LN(2)/25))/(LN(2)/25)*Calculateur!AQ10*Calculateur!AS10*VLOOKUP('Données projet'!$B$10,Paramètres!$A$1:$I$88,3,0)*0.475*44/12</f>
        <v>0</v>
      </c>
      <c r="AW10" s="23">
        <f>EXP(-LN(2)/2)*AW9+(1-EXP(-LN(2)/2))/(LN(2)/2)*AQ10*AT10*VLOOKUP('Données projet'!$B$10,Paramètres!$A$1:$I$88,3,0)*0.475*44/12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2.1</v>
      </c>
      <c r="BD10" s="13">
        <f>IF('Données projet'!$A$88&gt;35,BD9+BC10-BL9,IF(A10&lt;'Données projet'!$A$88,$BA$205^A10,IF(A10='Données projet'!$A$88,'Données projet'!$B$88,BD9+BC10-BL9)))</f>
        <v>3.6994507637402658</v>
      </c>
      <c r="BE10" s="14">
        <f>BD10*VLOOKUP('Données projet'!$B$11,Paramètres!$A$1:$I$88,3,0)*VLOOKUP('Données projet'!$B$11,Paramètres!$A$1:$I$88,5,0)</f>
        <v>3.3472630510321921</v>
      </c>
      <c r="BF10" s="14">
        <f t="shared" si="37"/>
        <v>1.34019505338418</v>
      </c>
      <c r="BG10" s="22">
        <f t="shared" si="7"/>
        <v>8.1639895318585136</v>
      </c>
      <c r="BH10" s="62">
        <f t="shared" si="8"/>
        <v>192.28817046759474</v>
      </c>
      <c r="BI10" s="62">
        <f ca="1">AVERAGE(OFFSET($BH$3,0,0,'Données projet'!$E$11+1,1))-AVERAGE(OFFSET($H$3,0,0,'Données projet'!$E$11+1,1))</f>
        <v>362.63718589694594</v>
      </c>
      <c r="BJ10" s="62">
        <f t="shared" si="38"/>
        <v>250.47702091764884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projet'!$B$11,Paramètres!$A$1:$I$88,3,0)*0.475*44/12</f>
        <v>0</v>
      </c>
      <c r="BQ10" s="23">
        <f>EXP(-LN(2)/25)*BQ9+(1-EXP(-LN(2)/25))/(LN(2)/25)*Calculateur!BL10*Calculateur!BN10*VLOOKUP('Données projet'!$B$11,Paramètres!$A$1:$I$88,3,0)*0.475*44/12</f>
        <v>0</v>
      </c>
      <c r="BR10" s="23">
        <f>EXP(-LN(2)/2)*BR9+(1-EXP(-LN(2)/2))/(LN(2)/2)*BL10*BO10*VLOOKUP('Données projet'!$B$11,Paramètres!$A$1:$I$88,3,0)*0.475*44/12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2.1</v>
      </c>
      <c r="BY10" s="13">
        <f>IF('Données projet'!$A$114&gt;35,BY9+BX10-CG9,IF(A10&lt;'Données projet'!$A$114,$BV$205^A10,IF(A10='Données projet'!$A$114,'Données projet'!$B$114,BY9+BX10-CG9)))</f>
        <v>3.6994507637402658</v>
      </c>
      <c r="BZ10" s="14">
        <f>BY10*VLOOKUP('Données projet'!$B$12,Paramètres!$A$1:$I$88,3,0)*VLOOKUP('Données projet'!$B$12,Paramètres!$A$1:$I$88,5,0)</f>
        <v>3.7512430744326299</v>
      </c>
      <c r="CA10" s="14">
        <f t="shared" si="39"/>
        <v>1.4821538192545303</v>
      </c>
      <c r="CB10" s="22">
        <f t="shared" si="10"/>
        <v>9.1148329231718037</v>
      </c>
      <c r="CC10" s="62">
        <f t="shared" si="11"/>
        <v>193.23901385890804</v>
      </c>
      <c r="CD10" s="62">
        <f ca="1">AVERAGE(OFFSET($CC$3,0,0,'Données projet'!$E$12+1,1))-AVERAGE(OFFSET($H$3,0,0,'Données projet'!$E$12+1,1))</f>
        <v>398.14524781940196</v>
      </c>
      <c r="CE10" s="62">
        <f t="shared" si="40"/>
        <v>273.35778700650792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projet'!$B$12,Paramètres!$A$1:$I$88,3,0)*0.475*44/12</f>
        <v>0</v>
      </c>
      <c r="CL10" s="23">
        <f>EXP(-LN(2)/25)*CL9+(1-EXP(-LN(2)/25))/(LN(2)/25)*Calculateur!CG10*Calculateur!CI10*VLOOKUP('Données projet'!$B$12,Paramètres!$A$1:$I$88,3,0)*0.475*44/12</f>
        <v>0</v>
      </c>
      <c r="CM10" s="23">
        <f>EXP(-LN(2)/2)*CM9+(1-EXP(-LN(2)/2))/(LN(2)/2)*CG10*CJ10*VLOOKUP('Données projet'!$B$12,Paramètres!$A$1:$I$88,3,0)*0.475*44/12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1.6</v>
      </c>
      <c r="CT10" s="13">
        <f>IF('Données projet'!$A$140&gt;35,CT9+CS10-DB9,IF(A10&lt;'Données projet'!$A$140,$CQ$205^A10,IF(A10='Données projet'!$A$140,'Données projet'!$B$140,CT9+CS10-DB9)))</f>
        <v>3.3635856610148567</v>
      </c>
      <c r="CU10" s="18">
        <f>CT10*VLOOKUP('Données projet'!$B$13,Paramètres!$A$1:$I$88,3,0)*VLOOKUP('Données projet'!$B$13,Paramètres!$A$1:$I$88,5,0)</f>
        <v>3.2007881150217377</v>
      </c>
      <c r="CV10" s="14">
        <f t="shared" si="41"/>
        <v>1.2882409034215325</v>
      </c>
      <c r="CW10" s="22">
        <f t="shared" si="13"/>
        <v>7.8183922071220282</v>
      </c>
      <c r="CX10" s="62">
        <f t="shared" si="14"/>
        <v>191.94257314285827</v>
      </c>
      <c r="CY10" s="62">
        <f ca="1">AVERAGE(OFFSET($CX$3,0,0,'Données projet'!$E$13+1,1))-AVERAGE(OFFSET($H$3,0,0,'Données projet'!$E$13+1,1))</f>
        <v>470.0521927195926</v>
      </c>
      <c r="CZ10" s="62">
        <f t="shared" si="42"/>
        <v>299.27200854723435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projet'!$B$13,Paramètres!$A$1:$I$88,3,0)*0.475*44/12</f>
        <v>0</v>
      </c>
      <c r="DG10" s="23">
        <f>EXP(-LN(2)/25)*DG9+(1-EXP(-LN(2)/25))/(LN(2)/25)*Calculateur!DB10*Calculateur!DD10*VLOOKUP('Données projet'!$B$13,Paramètres!$A$1:$I$88,3,0)*0.475*44/12</f>
        <v>0</v>
      </c>
      <c r="DH10" s="23">
        <f>EXP(-LN(2)/2)*DH9+(1-EXP(-LN(2)/2))/(LN(2)/2)*DB10*DE10*VLOOKUP('Données projet'!$B$13,Paramètres!$A$1:$I$88,3,0)*0.475*44/12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1.2</v>
      </c>
      <c r="DO10" s="13">
        <f>IF('Données projet'!$A$166&gt;35,DO9+DN10-DW9,IF(A10&lt;'Données projet'!$A$166,$DL$205^A10,IF(A10='Données projet'!$A$166,'Données projet'!$B$166,DO9+DN10-DW9)))</f>
        <v>2.5917550374450604</v>
      </c>
      <c r="DP10" s="18">
        <f>DO10*VLOOKUP('Données projet'!$B$14,Paramètres!$A$1:$I$88,3,0)*VLOOKUP('Données projet'!$B$14,Paramètres!$A$1:$I$88,5,0)</f>
        <v>2.5067454722168625</v>
      </c>
      <c r="DQ10" s="14">
        <f t="shared" si="43"/>
        <v>1.038020360582093</v>
      </c>
      <c r="DR10" s="22">
        <f t="shared" si="16"/>
        <v>6.1738004921248475</v>
      </c>
      <c r="DS10" s="62">
        <f t="shared" si="17"/>
        <v>190.29798142786109</v>
      </c>
      <c r="DT10" s="62">
        <f ca="1">AVERAGE(OFFSET($DS$3,0,0,'Données projet'!$E$14+1,1))-AVERAGE(OFFSET($H$3,0,0,'Données projet'!$E$14+1,1))</f>
        <v>290.89727102147953</v>
      </c>
      <c r="DU10" s="62">
        <f t="shared" si="44"/>
        <v>173.19148969173838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projet'!$B$14,Paramètres!$A$1:$I$88,3,0)*0.475*44/12</f>
        <v>0</v>
      </c>
      <c r="EB10" s="23">
        <f>EXP(-LN(2)/25)*EB9+(1-EXP(-LN(2)/25))/(LN(2)/25)*Calculateur!DW10*Calculateur!DY10*VLOOKUP('Données projet'!$B$14,Paramètres!$A$1:$I$88,3,0)*0.475*44/12</f>
        <v>0</v>
      </c>
      <c r="EC10" s="23">
        <f>EXP(-LN(2)/2)*EC9+(1-EXP(-LN(2)/2))/(LN(2)/2)*DW10*DZ10*VLOOKUP('Données projet'!$B$14,Paramètres!$A$1:$I$88,3,0)*0.475*44/12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projet'!$B$15,Paramètres!$A$1:$I$88,3,0)*VLOOKUP('Données projet'!$B$15,Paramètres!$A$1:$I$88,5,0)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projet'!$B$15,Paramètres!$A$1:$I$88,3,0)*0.475*44/12</f>
        <v>#N/A</v>
      </c>
      <c r="EW10" s="23" t="e">
        <f>EXP(-LN(2)/25)*EW9+(1-EXP(-LN(2)/25))/(LN(2)/25)*Calculateur!ER10*Calculateur!ET10*VLOOKUP('Données projet'!$B$15,Paramètres!$A$1:$I$88,3,0)*0.475*44/12</f>
        <v>#N/A</v>
      </c>
      <c r="EX10" s="23" t="e">
        <f>EXP(-LN(2)/2)*EX9+(1-EXP(-LN(2)/2))/(LN(2)/2)*ER10*EU10*VLOOKUP('Données projet'!$B$15,Paramètres!$A$1:$I$88,3,0)*0.475*44/12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projet'!$B$16,Paramètres!$A$1:$I$88,3,0)*VLOOKUP('Données projet'!$B$16,Paramètres!$A$1:$I$88,5,0)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projet'!$B$16,Paramètres!$A$1:$I$88,3,0)*0.475*44/12</f>
        <v>#N/A</v>
      </c>
      <c r="FR10" s="23" t="e">
        <f>EXP(-LN(2)/25)*FR9+(1-EXP(-LN(2)/25))/(LN(2)/25)*Calculateur!FM10*Calculateur!FO10*VLOOKUP('Données projet'!$B$16,Paramètres!$A$1:$I$88,3,0)*0.475*44/12</f>
        <v>#N/A</v>
      </c>
      <c r="FS10" s="23" t="e">
        <f>EXP(-LN(2)/2)*FS9+(1-EXP(-LN(2)/2))/(LN(2)/2)*FM10*FP10*VLOOKUP('Données projet'!$B$16,Paramètres!$A$1:$I$88,3,0)*0.475*44/12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projet'!$B$17,Paramètres!$A$1:$I$88,3,0)*VLOOKUP('Données projet'!$B$17,Paramètres!$A$1:$I$88,5,0)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projet'!$B$17,Paramètres!$A$1:$I$88,3,0)*0.475*44/12</f>
        <v>#N/A</v>
      </c>
      <c r="GM10" s="23" t="e">
        <f>EXP(-LN(2)/25)*GM9+(1-EXP(-LN(2)/25))/(LN(2)/25)*Calculateur!GH10*Calculateur!GJ10*VLOOKUP('Données projet'!$B$17,Paramètres!$A$1:$I$88,3,0)*0.475*44/12</f>
        <v>#N/A</v>
      </c>
      <c r="GN10" s="23" t="e">
        <f>EXP(-LN(2)/2)*GN9+(1-EXP(-LN(2)/2))/(LN(2)/2)*GH10*GK10*VLOOKUP('Données projet'!$B$17,Paramètres!$A$1:$I$88,3,0)*0.475*44/12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projet'!$B$18,Paramètres!$A$1:$I$88,3,0)*VLOOKUP('Données projet'!$B$18,Paramètres!$A$1:$I$88,5,0)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projet'!$B$18,Paramètres!$A$1:$I$88,3,0)*0.475*44/12</f>
        <v>#N/A</v>
      </c>
      <c r="HH10" s="23" t="e">
        <f>EXP(-LN(2)/25)*HH9+(1-EXP(-LN(2)/25))/(LN(2)/25)*Calculateur!HC10*Calculateur!HE10*VLOOKUP('Données projet'!$B$18,Paramètres!$A$1:$I$88,3,0)*0.475*44/12</f>
        <v>#N/A</v>
      </c>
      <c r="HI10" s="23" t="e">
        <f>EXP(-LN(2)/2)*HI9+(1-EXP(-LN(2)/2))/(LN(2)/2)*HC10*HF10*VLOOKUP('Données projet'!$B$18,Paramètres!$A$1:$I$88,3,0)*0.475*44/12</f>
        <v>#N/A</v>
      </c>
      <c r="HJ10" s="24" t="e">
        <f t="shared" si="30"/>
        <v>#N/A</v>
      </c>
    </row>
    <row r="11" spans="1:218" s="5" customFormat="1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6.1333333333333337</v>
      </c>
      <c r="N11" s="14">
        <f>IF('Données projet'!$A$36&gt;35,N10+M11-V10,IF(A11&lt;'Données projet'!$A$36,$K$205^A11,IF(A11='Données projet'!$A$36,'Données projet'!$B$36,N10+M11-V10)))</f>
        <v>11.152019186006367</v>
      </c>
      <c r="O11" s="14">
        <f>N11*VLOOKUP('Données projet'!$B$9,Paramètres!$A$1:$I$88,3,0)*VLOOKUP('Données projet'!$B$9,Paramètres!$A$1:$I$88,5,0)</f>
        <v>6.6689074732318074</v>
      </c>
      <c r="P11" s="14">
        <f t="shared" si="33"/>
        <v>2.4642614925044302</v>
      </c>
      <c r="Q11" s="22">
        <f t="shared" si="2"/>
        <v>15.906935948657278</v>
      </c>
      <c r="R11" s="62">
        <f t="shared" si="0"/>
        <v>202.66020881487782</v>
      </c>
      <c r="S11" s="62">
        <f ca="1">AVERAGE(OFFSET($R$3,0,0,'Données projet'!$E$9+1,1))-AVERAGE(OFFSET($H$3,0,0,'Données projet'!$E$9+1,1))</f>
        <v>301.2688576786212</v>
      </c>
      <c r="T11" s="62">
        <f t="shared" si="34"/>
        <v>417.62172165132927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6.5</v>
      </c>
      <c r="AI11" s="14">
        <f>IF('Données projet'!$A$62&gt;35,AI10+AH11-AQ10,IF(A11&lt;'Données projet'!$A$62,$AF$205^A11,IF(A11='Données projet'!$A$62,'Données projet'!$B$62,AI10+AH11-AQ10)))</f>
        <v>7.0077296824629558</v>
      </c>
      <c r="AJ11" s="14">
        <f>AI11*VLOOKUP('Données projet'!$B$10,Paramètres!$A$1:$I$88,3,0)*VLOOKUP('Données projet'!$B$10,Paramètres!$A$1:$I$88,5,0)</f>
        <v>3.2796174913926635</v>
      </c>
      <c r="AK11" s="14">
        <f t="shared" si="35"/>
        <v>1.3162350125615154</v>
      </c>
      <c r="AL11" s="22">
        <f t="shared" si="4"/>
        <v>8.0044431110535275</v>
      </c>
      <c r="AM11" s="62">
        <f t="shared" si="5"/>
        <v>194.75771597727407</v>
      </c>
      <c r="AN11" s="62">
        <f ca="1">AVERAGE(OFFSET($AM$3,0,0,'Données projet'!$E$10+1,1))-AVERAGE(OFFSET($H$3,0,0,'Données projet'!$E$10+1,1))</f>
        <v>170.08673939431091</v>
      </c>
      <c r="AO11" s="62">
        <f t="shared" si="36"/>
        <v>252.97355497077106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projet'!$B$10,Paramètres!$A$1:$I$88,3,0)*0.475*44/12</f>
        <v>0</v>
      </c>
      <c r="AV11" s="23">
        <f>EXP(-LN(2)/25)*AV10+(1-EXP(-LN(2)/25))/(LN(2)/25)*Calculateur!AQ11*Calculateur!AS11*VLOOKUP('Données projet'!$B$10,Paramètres!$A$1:$I$88,3,0)*0.475*44/12</f>
        <v>0</v>
      </c>
      <c r="AW11" s="23">
        <f>EXP(-LN(2)/2)*AW10+(1-EXP(-LN(2)/2))/(LN(2)/2)*AQ11*AT11*VLOOKUP('Données projet'!$B$10,Paramètres!$A$1:$I$88,3,0)*0.475*44/12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2.1</v>
      </c>
      <c r="BD11" s="13">
        <f>IF('Données projet'!$A$88&gt;35,BD10+BC11-BL10,IF(A11&lt;'Données projet'!$A$88,$BA$205^A11,IF(A11='Données projet'!$A$88,'Données projet'!$B$88,BD10+BC11-BL10)))</f>
        <v>4.4596391171162209</v>
      </c>
      <c r="BE11" s="14">
        <f>BD11*VLOOKUP('Données projet'!$B$11,Paramètres!$A$1:$I$88,3,0)*VLOOKUP('Données projet'!$B$11,Paramètres!$A$1:$I$88,5,0)</f>
        <v>4.0350814731667564</v>
      </c>
      <c r="BF11" s="14">
        <f t="shared" si="37"/>
        <v>1.5808227025391921</v>
      </c>
      <c r="BG11" s="22">
        <f t="shared" si="7"/>
        <v>9.7810331060211926</v>
      </c>
      <c r="BH11" s="62">
        <f t="shared" si="8"/>
        <v>196.53430597224175</v>
      </c>
      <c r="BI11" s="62">
        <f ca="1">AVERAGE(OFFSET($BH$3,0,0,'Données projet'!$E$11+1,1))-AVERAGE(OFFSET($H$3,0,0,'Données projet'!$E$11+1,1))</f>
        <v>362.63718589694594</v>
      </c>
      <c r="BJ11" s="62">
        <f t="shared" si="38"/>
        <v>250.47702091764884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projet'!$B$11,Paramètres!$A$1:$I$88,3,0)*0.475*44/12</f>
        <v>0</v>
      </c>
      <c r="BQ11" s="23">
        <f>EXP(-LN(2)/25)*BQ10+(1-EXP(-LN(2)/25))/(LN(2)/25)*Calculateur!BL11*Calculateur!BN11*VLOOKUP('Données projet'!$B$11,Paramètres!$A$1:$I$88,3,0)*0.475*44/12</f>
        <v>0</v>
      </c>
      <c r="BR11" s="23">
        <f>EXP(-LN(2)/2)*BR10+(1-EXP(-LN(2)/2))/(LN(2)/2)*BL11*BO11*VLOOKUP('Données projet'!$B$11,Paramètres!$A$1:$I$88,3,0)*0.475*44/12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2.1</v>
      </c>
      <c r="BY11" s="13">
        <f>IF('Données projet'!$A$114&gt;35,BY10+BX11-CG10,IF(A11&lt;'Données projet'!$A$114,$BV$205^A11,IF(A11='Données projet'!$A$114,'Données projet'!$B$114,BY10+BX11-CG10)))</f>
        <v>4.4596391171162209</v>
      </c>
      <c r="BZ11" s="14">
        <f>BY11*VLOOKUP('Données projet'!$B$12,Paramètres!$A$1:$I$88,3,0)*VLOOKUP('Données projet'!$B$12,Paramètres!$A$1:$I$88,5,0)</f>
        <v>4.5220740647558486</v>
      </c>
      <c r="CA11" s="14">
        <f t="shared" si="39"/>
        <v>1.7482697016499746</v>
      </c>
      <c r="CB11" s="22">
        <f t="shared" si="10"/>
        <v>10.92084872649014</v>
      </c>
      <c r="CC11" s="62">
        <f t="shared" si="11"/>
        <v>197.67412159271069</v>
      </c>
      <c r="CD11" s="62">
        <f ca="1">AVERAGE(OFFSET($CC$3,0,0,'Données projet'!$E$12+1,1))-AVERAGE(OFFSET($H$3,0,0,'Données projet'!$E$12+1,1))</f>
        <v>398.14524781940196</v>
      </c>
      <c r="CE11" s="62">
        <f t="shared" si="40"/>
        <v>273.35778700650792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projet'!$B$12,Paramètres!$A$1:$I$88,3,0)*0.475*44/12</f>
        <v>0</v>
      </c>
      <c r="CL11" s="23">
        <f>EXP(-LN(2)/25)*CL10+(1-EXP(-LN(2)/25))/(LN(2)/25)*Calculateur!CG11*Calculateur!CI11*VLOOKUP('Données projet'!$B$12,Paramètres!$A$1:$I$88,3,0)*0.475*44/12</f>
        <v>0</v>
      </c>
      <c r="CM11" s="23">
        <f>EXP(-LN(2)/2)*CM10+(1-EXP(-LN(2)/2))/(LN(2)/2)*CG11*CJ11*VLOOKUP('Données projet'!$B$12,Paramètres!$A$1:$I$88,3,0)*0.475*44/12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1.6</v>
      </c>
      <c r="CT11" s="13">
        <f>IF('Données projet'!$A$140&gt;35,CT10+CS11-DB10,IF(A11&lt;'Données projet'!$A$140,$CQ$205^A11,IF(A11='Données projet'!$A$140,'Données projet'!$B$140,CT10+CS11-DB10)))</f>
        <v>3.9999999999999982</v>
      </c>
      <c r="CU11" s="18">
        <f>CT11*VLOOKUP('Données projet'!$B$13,Paramètres!$A$1:$I$88,3,0)*VLOOKUP('Données projet'!$B$13,Paramètres!$A$1:$I$88,5,0)</f>
        <v>3.8063999999999987</v>
      </c>
      <c r="CV11" s="14">
        <f t="shared" si="41"/>
        <v>1.5013937737669318</v>
      </c>
      <c r="CW11" s="22">
        <f t="shared" si="13"/>
        <v>9.2444074893107366</v>
      </c>
      <c r="CX11" s="62">
        <f t="shared" si="14"/>
        <v>195.99768035553129</v>
      </c>
      <c r="CY11" s="62">
        <f ca="1">AVERAGE(OFFSET($CX$3,0,0,'Données projet'!$E$13+1,1))-AVERAGE(OFFSET($H$3,0,0,'Données projet'!$E$13+1,1))</f>
        <v>470.0521927195926</v>
      </c>
      <c r="CZ11" s="62">
        <f t="shared" si="42"/>
        <v>299.27200854723435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projet'!$B$13,Paramètres!$A$1:$I$88,3,0)*0.475*44/12</f>
        <v>0</v>
      </c>
      <c r="DG11" s="23">
        <f>EXP(-LN(2)/25)*DG10+(1-EXP(-LN(2)/25))/(LN(2)/25)*Calculateur!DB11*Calculateur!DD11*VLOOKUP('Données projet'!$B$13,Paramètres!$A$1:$I$88,3,0)*0.475*44/12</f>
        <v>0</v>
      </c>
      <c r="DH11" s="23">
        <f>EXP(-LN(2)/2)*DH10+(1-EXP(-LN(2)/2))/(LN(2)/2)*DB11*DE11*VLOOKUP('Données projet'!$B$13,Paramètres!$A$1:$I$88,3,0)*0.475*44/12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1.2</v>
      </c>
      <c r="DO11" s="13">
        <f>IF('Données projet'!$A$166&gt;35,DO10+DN11-DW10,IF(A11&lt;'Données projet'!$A$166,$DL$205^A11,IF(A11='Données projet'!$A$166,'Données projet'!$B$166,DO10+DN11-DW10)))</f>
        <v>2.9694690391391689</v>
      </c>
      <c r="DP11" s="18">
        <f>DO11*VLOOKUP('Données projet'!$B$14,Paramètres!$A$1:$I$88,3,0)*VLOOKUP('Données projet'!$B$14,Paramètres!$A$1:$I$88,5,0)</f>
        <v>2.8720704546554043</v>
      </c>
      <c r="DQ11" s="14">
        <f t="shared" si="43"/>
        <v>1.1706127387002112</v>
      </c>
      <c r="DR11" s="22">
        <f t="shared" si="16"/>
        <v>7.04100656176103</v>
      </c>
      <c r="DS11" s="62">
        <f t="shared" si="17"/>
        <v>193.79427942798159</v>
      </c>
      <c r="DT11" s="62">
        <f ca="1">AVERAGE(OFFSET($DS$3,0,0,'Données projet'!$E$14+1,1))-AVERAGE(OFFSET($H$3,0,0,'Données projet'!$E$14+1,1))</f>
        <v>290.89727102147953</v>
      </c>
      <c r="DU11" s="62">
        <f t="shared" si="44"/>
        <v>173.19148969173838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projet'!$B$14,Paramètres!$A$1:$I$88,3,0)*0.475*44/12</f>
        <v>0</v>
      </c>
      <c r="EB11" s="23">
        <f>EXP(-LN(2)/25)*EB10+(1-EXP(-LN(2)/25))/(LN(2)/25)*Calculateur!DW11*Calculateur!DY11*VLOOKUP('Données projet'!$B$14,Paramètres!$A$1:$I$88,3,0)*0.475*44/12</f>
        <v>0</v>
      </c>
      <c r="EC11" s="23">
        <f>EXP(-LN(2)/2)*EC10+(1-EXP(-LN(2)/2))/(LN(2)/2)*DW11*DZ11*VLOOKUP('Données projet'!$B$14,Paramètres!$A$1:$I$88,3,0)*0.475*44/12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projet'!$B$15,Paramètres!$A$1:$I$88,3,0)*VLOOKUP('Données projet'!$B$15,Paramètres!$A$1:$I$88,5,0)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projet'!$B$15,Paramètres!$A$1:$I$88,3,0)*0.475*44/12</f>
        <v>#N/A</v>
      </c>
      <c r="EW11" s="23" t="e">
        <f>EXP(-LN(2)/25)*EW10+(1-EXP(-LN(2)/25))/(LN(2)/25)*Calculateur!ER11*Calculateur!ET11*VLOOKUP('Données projet'!$B$15,Paramètres!$A$1:$I$88,3,0)*0.475*44/12</f>
        <v>#N/A</v>
      </c>
      <c r="EX11" s="23" t="e">
        <f>EXP(-LN(2)/2)*EX10+(1-EXP(-LN(2)/2))/(LN(2)/2)*ER11*EU11*VLOOKUP('Données projet'!$B$15,Paramètres!$A$1:$I$88,3,0)*0.475*44/12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projet'!$B$16,Paramètres!$A$1:$I$88,3,0)*VLOOKUP('Données projet'!$B$16,Paramètres!$A$1:$I$88,5,0)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projet'!$B$16,Paramètres!$A$1:$I$88,3,0)*0.475*44/12</f>
        <v>#N/A</v>
      </c>
      <c r="FR11" s="23" t="e">
        <f>EXP(-LN(2)/25)*FR10+(1-EXP(-LN(2)/25))/(LN(2)/25)*Calculateur!FM11*Calculateur!FO11*VLOOKUP('Données projet'!$B$16,Paramètres!$A$1:$I$88,3,0)*0.475*44/12</f>
        <v>#N/A</v>
      </c>
      <c r="FS11" s="23" t="e">
        <f>EXP(-LN(2)/2)*FS10+(1-EXP(-LN(2)/2))/(LN(2)/2)*FM11*FP11*VLOOKUP('Données projet'!$B$16,Paramètres!$A$1:$I$88,3,0)*0.475*44/12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projet'!$B$17,Paramètres!$A$1:$I$88,3,0)*VLOOKUP('Données projet'!$B$17,Paramètres!$A$1:$I$88,5,0)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projet'!$B$17,Paramètres!$A$1:$I$88,3,0)*0.475*44/12</f>
        <v>#N/A</v>
      </c>
      <c r="GM11" s="23" t="e">
        <f>EXP(-LN(2)/25)*GM10+(1-EXP(-LN(2)/25))/(LN(2)/25)*Calculateur!GH11*Calculateur!GJ11*VLOOKUP('Données projet'!$B$17,Paramètres!$A$1:$I$88,3,0)*0.475*44/12</f>
        <v>#N/A</v>
      </c>
      <c r="GN11" s="23" t="e">
        <f>EXP(-LN(2)/2)*GN10+(1-EXP(-LN(2)/2))/(LN(2)/2)*GH11*GK11*VLOOKUP('Données projet'!$B$17,Paramètres!$A$1:$I$88,3,0)*0.475*44/12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projet'!$B$18,Paramètres!$A$1:$I$88,3,0)*VLOOKUP('Données projet'!$B$18,Paramètres!$A$1:$I$88,5,0)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projet'!$B$18,Paramètres!$A$1:$I$88,3,0)*0.475*44/12</f>
        <v>#N/A</v>
      </c>
      <c r="HH11" s="23" t="e">
        <f>EXP(-LN(2)/25)*HH10+(1-EXP(-LN(2)/25))/(LN(2)/25)*Calculateur!HC11*Calculateur!HE11*VLOOKUP('Données projet'!$B$18,Paramètres!$A$1:$I$88,3,0)*0.475*44/12</f>
        <v>#N/A</v>
      </c>
      <c r="HI11" s="23" t="e">
        <f>EXP(-LN(2)/2)*HI10+(1-EXP(-LN(2)/2))/(LN(2)/2)*HC11*HF11*VLOOKUP('Données projet'!$B$18,Paramètres!$A$1:$I$88,3,0)*0.475*44/12</f>
        <v>#N/A</v>
      </c>
      <c r="HJ11" s="24" t="e">
        <f t="shared" si="30"/>
        <v>#N/A</v>
      </c>
    </row>
    <row r="12" spans="1:218" s="5" customFormat="1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6.1333333333333337</v>
      </c>
      <c r="N12" s="14">
        <f>IF('Données projet'!$A$36&gt;35,N11+M12-V11,IF(A12&lt;'Données projet'!$A$36,$K$205^A12,IF(A12='Données projet'!$A$36,'Données projet'!$B$36,N11+M12-V11)))</f>
        <v>15.075533718961566</v>
      </c>
      <c r="O12" s="14">
        <f>N12*VLOOKUP('Données projet'!$B$9,Paramètres!$A$1:$I$88,3,0)*VLOOKUP('Données projet'!$B$9,Paramètres!$A$1:$I$88,5,0)</f>
        <v>9.0151691639390172</v>
      </c>
      <c r="P12" s="14">
        <f t="shared" si="33"/>
        <v>3.2163772794262231</v>
      </c>
      <c r="Q12" s="22">
        <f t="shared" si="2"/>
        <v>21.303276722194457</v>
      </c>
      <c r="R12" s="62">
        <f t="shared" si="0"/>
        <v>210.66123547475053</v>
      </c>
      <c r="S12" s="62">
        <f ca="1">AVERAGE(OFFSET($R$3,0,0,'Données projet'!$E$9+1,1))-AVERAGE(OFFSET($H$3,0,0,'Données projet'!$E$9+1,1))</f>
        <v>301.2688576786212</v>
      </c>
      <c r="T12" s="62">
        <f t="shared" si="34"/>
        <v>417.62172165132927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6.5</v>
      </c>
      <c r="AI12" s="14">
        <f>IF('Données projet'!$A$62&gt;35,AI11+AH12-AQ11,IF(A12&lt;'Données projet'!$A$62,$AF$205^A12,IF(A12='Données projet'!$A$62,'Données projet'!$B$62,AI11+AH12-AQ11)))</f>
        <v>8.9387030209544633</v>
      </c>
      <c r="AJ12" s="14">
        <f>AI12*VLOOKUP('Données projet'!$B$10,Paramètres!$A$1:$I$88,3,0)*VLOOKUP('Données projet'!$B$10,Paramètres!$A$1:$I$88,5,0)</f>
        <v>4.1833130138066883</v>
      </c>
      <c r="AK12" s="14">
        <f t="shared" si="35"/>
        <v>1.6320274397197942</v>
      </c>
      <c r="AL12" s="22">
        <f t="shared" si="4"/>
        <v>10.128384623225291</v>
      </c>
      <c r="AM12" s="62">
        <f t="shared" si="5"/>
        <v>199.48634337578136</v>
      </c>
      <c r="AN12" s="62">
        <f ca="1">AVERAGE(OFFSET($AM$3,0,0,'Données projet'!$E$10+1,1))-AVERAGE(OFFSET($H$3,0,0,'Données projet'!$E$10+1,1))</f>
        <v>170.08673939431091</v>
      </c>
      <c r="AO12" s="62">
        <f t="shared" si="36"/>
        <v>252.97355497077106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projet'!$B$10,Paramètres!$A$1:$I$88,3,0)*0.475*44/12</f>
        <v>0</v>
      </c>
      <c r="AV12" s="23">
        <f>EXP(-LN(2)/25)*AV11+(1-EXP(-LN(2)/25))/(LN(2)/25)*Calculateur!AQ12*Calculateur!AS12*VLOOKUP('Données projet'!$B$10,Paramètres!$A$1:$I$88,3,0)*0.475*44/12</f>
        <v>0</v>
      </c>
      <c r="AW12" s="23">
        <f>EXP(-LN(2)/2)*AW11+(1-EXP(-LN(2)/2))/(LN(2)/2)*AQ12*AT12*VLOOKUP('Données projet'!$B$10,Paramètres!$A$1:$I$88,3,0)*0.475*44/12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2.1</v>
      </c>
      <c r="BD12" s="13">
        <f>IF('Données projet'!$A$88&gt;35,BD11+BC12-BL11,IF(A12&lt;'Données projet'!$A$88,$BA$205^A12,IF(A12='Données projet'!$A$88,'Données projet'!$B$88,BD11+BC12-BL11)))</f>
        <v>5.3760361537574148</v>
      </c>
      <c r="BE12" s="14">
        <f>BD12*VLOOKUP('Données projet'!$B$11,Paramètres!$A$1:$I$88,3,0)*VLOOKUP('Données projet'!$B$11,Paramètres!$A$1:$I$88,5,0)</f>
        <v>4.8642375119197085</v>
      </c>
      <c r="BF12" s="14">
        <f t="shared" si="37"/>
        <v>1.8646542609995393</v>
      </c>
      <c r="BG12" s="22">
        <f t="shared" si="7"/>
        <v>11.719486504501022</v>
      </c>
      <c r="BH12" s="62">
        <f t="shared" si="8"/>
        <v>201.07744525705709</v>
      </c>
      <c r="BI12" s="62">
        <f ca="1">AVERAGE(OFFSET($BH$3,0,0,'Données projet'!$E$11+1,1))-AVERAGE(OFFSET($H$3,0,0,'Données projet'!$E$11+1,1))</f>
        <v>362.63718589694594</v>
      </c>
      <c r="BJ12" s="62">
        <f t="shared" si="38"/>
        <v>250.47702091764884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projet'!$B$11,Paramètres!$A$1:$I$88,3,0)*0.475*44/12</f>
        <v>0</v>
      </c>
      <c r="BQ12" s="23">
        <f>EXP(-LN(2)/25)*BQ11+(1-EXP(-LN(2)/25))/(LN(2)/25)*Calculateur!BL12*Calculateur!BN12*VLOOKUP('Données projet'!$B$11,Paramètres!$A$1:$I$88,3,0)*0.475*44/12</f>
        <v>0</v>
      </c>
      <c r="BR12" s="23">
        <f>EXP(-LN(2)/2)*BR11+(1-EXP(-LN(2)/2))/(LN(2)/2)*BL12*BO12*VLOOKUP('Données projet'!$B$11,Paramètres!$A$1:$I$88,3,0)*0.475*44/12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2.1</v>
      </c>
      <c r="BY12" s="13">
        <f>IF('Données projet'!$A$114&gt;35,BY11+BX12-CG11,IF(A12&lt;'Données projet'!$A$114,$BV$205^A12,IF(A12='Données projet'!$A$114,'Données projet'!$B$114,BY11+BX12-CG11)))</f>
        <v>5.3760361537574148</v>
      </c>
      <c r="BZ12" s="14">
        <f>BY12*VLOOKUP('Données projet'!$B$12,Paramètres!$A$1:$I$88,3,0)*VLOOKUP('Données projet'!$B$12,Paramètres!$A$1:$I$88,5,0)</f>
        <v>5.4513006599100189</v>
      </c>
      <c r="CA12" s="14">
        <f t="shared" si="39"/>
        <v>2.062165822468125</v>
      </c>
      <c r="CB12" s="22">
        <f t="shared" si="10"/>
        <v>13.085954123475267</v>
      </c>
      <c r="CC12" s="62">
        <f t="shared" si="11"/>
        <v>202.44391287603133</v>
      </c>
      <c r="CD12" s="62">
        <f ca="1">AVERAGE(OFFSET($CC$3,0,0,'Données projet'!$E$12+1,1))-AVERAGE(OFFSET($H$3,0,0,'Données projet'!$E$12+1,1))</f>
        <v>398.14524781940196</v>
      </c>
      <c r="CE12" s="62">
        <f t="shared" si="40"/>
        <v>273.35778700650792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projet'!$B$12,Paramètres!$A$1:$I$88,3,0)*0.475*44/12</f>
        <v>0</v>
      </c>
      <c r="CL12" s="23">
        <f>EXP(-LN(2)/25)*CL11+(1-EXP(-LN(2)/25))/(LN(2)/25)*Calculateur!CG12*Calculateur!CI12*VLOOKUP('Données projet'!$B$12,Paramètres!$A$1:$I$88,3,0)*0.475*44/12</f>
        <v>0</v>
      </c>
      <c r="CM12" s="23">
        <f>EXP(-LN(2)/2)*CM11+(1-EXP(-LN(2)/2))/(LN(2)/2)*CG12*CJ12*VLOOKUP('Données projet'!$B$12,Paramètres!$A$1:$I$88,3,0)*0.475*44/12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1.6</v>
      </c>
      <c r="CT12" s="13">
        <f>IF('Données projet'!$A$140&gt;35,CT11+CS12-DB11,IF(A12&lt;'Données projet'!$A$140,$CQ$205^A12,IF(A12='Données projet'!$A$140,'Données projet'!$B$140,CT11+CS12-DB11)))</f>
        <v>4.7568284600108823</v>
      </c>
      <c r="CU12" s="18">
        <f>CT12*VLOOKUP('Données projet'!$B$13,Paramètres!$A$1:$I$88,3,0)*VLOOKUP('Données projet'!$B$13,Paramètres!$A$1:$I$88,5,0)</f>
        <v>4.5265979625463562</v>
      </c>
      <c r="CV12" s="14">
        <f t="shared" si="41"/>
        <v>1.7498150058106832</v>
      </c>
      <c r="CW12" s="22">
        <f t="shared" si="13"/>
        <v>10.931419253221842</v>
      </c>
      <c r="CX12" s="62">
        <f t="shared" si="14"/>
        <v>200.28937800577791</v>
      </c>
      <c r="CY12" s="62">
        <f ca="1">AVERAGE(OFFSET($CX$3,0,0,'Données projet'!$E$13+1,1))-AVERAGE(OFFSET($H$3,0,0,'Données projet'!$E$13+1,1))</f>
        <v>470.0521927195926</v>
      </c>
      <c r="CZ12" s="62">
        <f t="shared" si="42"/>
        <v>299.27200854723435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projet'!$B$13,Paramètres!$A$1:$I$88,3,0)*0.475*44/12</f>
        <v>0</v>
      </c>
      <c r="DG12" s="23">
        <f>EXP(-LN(2)/25)*DG11+(1-EXP(-LN(2)/25))/(LN(2)/25)*Calculateur!DB12*Calculateur!DD12*VLOOKUP('Données projet'!$B$13,Paramètres!$A$1:$I$88,3,0)*0.475*44/12</f>
        <v>0</v>
      </c>
      <c r="DH12" s="23">
        <f>EXP(-LN(2)/2)*DH11+(1-EXP(-LN(2)/2))/(LN(2)/2)*DB12*DE12*VLOOKUP('Données projet'!$B$13,Paramètres!$A$1:$I$88,3,0)*0.475*44/12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1.2</v>
      </c>
      <c r="DO12" s="13">
        <f>IF('Données projet'!$A$166&gt;35,DO11+DN12-DW11,IF(A12&lt;'Données projet'!$A$166,$DL$205^A12,IF(A12='Données projet'!$A$166,'Données projet'!$B$166,DO11+DN12-DW11)))</f>
        <v>3.4022298585357786</v>
      </c>
      <c r="DP12" s="18">
        <f>DO12*VLOOKUP('Données projet'!$B$14,Paramètres!$A$1:$I$88,3,0)*VLOOKUP('Données projet'!$B$14,Paramètres!$A$1:$I$88,5,0)</f>
        <v>3.2906367191758048</v>
      </c>
      <c r="DQ12" s="14">
        <f t="shared" si="43"/>
        <v>1.3201419124753617</v>
      </c>
      <c r="DR12" s="22">
        <f t="shared" si="16"/>
        <v>8.0304394501257814</v>
      </c>
      <c r="DS12" s="62">
        <f t="shared" si="17"/>
        <v>197.38839820268186</v>
      </c>
      <c r="DT12" s="62">
        <f ca="1">AVERAGE(OFFSET($DS$3,0,0,'Données projet'!$E$14+1,1))-AVERAGE(OFFSET($H$3,0,0,'Données projet'!$E$14+1,1))</f>
        <v>290.89727102147953</v>
      </c>
      <c r="DU12" s="62">
        <f t="shared" si="44"/>
        <v>173.19148969173838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projet'!$B$14,Paramètres!$A$1:$I$88,3,0)*0.475*44/12</f>
        <v>0</v>
      </c>
      <c r="EB12" s="23">
        <f>EXP(-LN(2)/25)*EB11+(1-EXP(-LN(2)/25))/(LN(2)/25)*Calculateur!DW12*Calculateur!DY12*VLOOKUP('Données projet'!$B$14,Paramètres!$A$1:$I$88,3,0)*0.475*44/12</f>
        <v>0</v>
      </c>
      <c r="EC12" s="23">
        <f>EXP(-LN(2)/2)*EC11+(1-EXP(-LN(2)/2))/(LN(2)/2)*DW12*DZ12*VLOOKUP('Données projet'!$B$14,Paramètres!$A$1:$I$88,3,0)*0.475*44/12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projet'!$B$15,Paramètres!$A$1:$I$88,3,0)*VLOOKUP('Données projet'!$B$15,Paramètres!$A$1:$I$88,5,0)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projet'!$B$15,Paramètres!$A$1:$I$88,3,0)*0.475*44/12</f>
        <v>#N/A</v>
      </c>
      <c r="EW12" s="23" t="e">
        <f>EXP(-LN(2)/25)*EW11+(1-EXP(-LN(2)/25))/(LN(2)/25)*Calculateur!ER12*Calculateur!ET12*VLOOKUP('Données projet'!$B$15,Paramètres!$A$1:$I$88,3,0)*0.475*44/12</f>
        <v>#N/A</v>
      </c>
      <c r="EX12" s="23" t="e">
        <f>EXP(-LN(2)/2)*EX11+(1-EXP(-LN(2)/2))/(LN(2)/2)*ER12*EU12*VLOOKUP('Données projet'!$B$15,Paramètres!$A$1:$I$88,3,0)*0.475*44/12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projet'!$B$16,Paramètres!$A$1:$I$88,3,0)*VLOOKUP('Données projet'!$B$16,Paramètres!$A$1:$I$88,5,0)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projet'!$B$16,Paramètres!$A$1:$I$88,3,0)*0.475*44/12</f>
        <v>#N/A</v>
      </c>
      <c r="FR12" s="23" t="e">
        <f>EXP(-LN(2)/25)*FR11+(1-EXP(-LN(2)/25))/(LN(2)/25)*Calculateur!FM12*Calculateur!FO12*VLOOKUP('Données projet'!$B$16,Paramètres!$A$1:$I$88,3,0)*0.475*44/12</f>
        <v>#N/A</v>
      </c>
      <c r="FS12" s="23" t="e">
        <f>EXP(-LN(2)/2)*FS11+(1-EXP(-LN(2)/2))/(LN(2)/2)*FM12*FP12*VLOOKUP('Données projet'!$B$16,Paramètres!$A$1:$I$88,3,0)*0.475*44/12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projet'!$B$17,Paramètres!$A$1:$I$88,3,0)*VLOOKUP('Données projet'!$B$17,Paramètres!$A$1:$I$88,5,0)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projet'!$B$17,Paramètres!$A$1:$I$88,3,0)*0.475*44/12</f>
        <v>#N/A</v>
      </c>
      <c r="GM12" s="23" t="e">
        <f>EXP(-LN(2)/25)*GM11+(1-EXP(-LN(2)/25))/(LN(2)/25)*Calculateur!GH12*Calculateur!GJ12*VLOOKUP('Données projet'!$B$17,Paramètres!$A$1:$I$88,3,0)*0.475*44/12</f>
        <v>#N/A</v>
      </c>
      <c r="GN12" s="23" t="e">
        <f>EXP(-LN(2)/2)*GN11+(1-EXP(-LN(2)/2))/(LN(2)/2)*GH12*GK12*VLOOKUP('Données projet'!$B$17,Paramètres!$A$1:$I$88,3,0)*0.475*44/12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projet'!$B$18,Paramètres!$A$1:$I$88,3,0)*VLOOKUP('Données projet'!$B$18,Paramètres!$A$1:$I$88,5,0)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projet'!$B$18,Paramètres!$A$1:$I$88,3,0)*0.475*44/12</f>
        <v>#N/A</v>
      </c>
      <c r="HH12" s="23" t="e">
        <f>EXP(-LN(2)/25)*HH11+(1-EXP(-LN(2)/25))/(LN(2)/25)*Calculateur!HC12*Calculateur!HE12*VLOOKUP('Données projet'!$B$18,Paramètres!$A$1:$I$88,3,0)*0.475*44/12</f>
        <v>#N/A</v>
      </c>
      <c r="HI12" s="23" t="e">
        <f>EXP(-LN(2)/2)*HI11+(1-EXP(-LN(2)/2))/(LN(2)/2)*HC12*HF12*VLOOKUP('Données projet'!$B$18,Paramètres!$A$1:$I$88,3,0)*0.475*44/12</f>
        <v>#N/A</v>
      </c>
      <c r="HJ12" s="24" t="e">
        <f t="shared" si="30"/>
        <v>#N/A</v>
      </c>
    </row>
    <row r="13" spans="1:218" s="5" customFormat="1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6.1333333333333337</v>
      </c>
      <c r="N13" s="14">
        <f>IF('Données projet'!$A$36&gt;35,N12+M13-V12,IF(A13&lt;'Données projet'!$A$36,$K$205^A13,IF(A13='Données projet'!$A$36,'Données projet'!$B$36,N12+M13-V12)))</f>
        <v>20.379423055219391</v>
      </c>
      <c r="O13" s="14">
        <f>N13*VLOOKUP('Données projet'!$B$9,Paramètres!$A$1:$I$88,3,0)*VLOOKUP('Données projet'!$B$9,Paramètres!$A$1:$I$88,5,0)</f>
        <v>12.186894987021198</v>
      </c>
      <c r="P13" s="14">
        <f t="shared" si="33"/>
        <v>4.1980458790903414</v>
      </c>
      <c r="Q13" s="22">
        <f t="shared" si="2"/>
        <v>28.537105341810928</v>
      </c>
      <c r="R13" s="62">
        <f t="shared" si="0"/>
        <v>220.47576732685582</v>
      </c>
      <c r="S13" s="62">
        <f ca="1">AVERAGE(OFFSET($R$3,0,0,'Données projet'!$E$9+1,1))-AVERAGE(OFFSET($H$3,0,0,'Données projet'!$E$9+1,1))</f>
        <v>301.2688576786212</v>
      </c>
      <c r="T13" s="62">
        <f t="shared" si="34"/>
        <v>417.62172165132927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6.5</v>
      </c>
      <c r="AI13" s="14">
        <f>IF('Données projet'!$A$62&gt;35,AI12+AH13-AQ12,IF(A13&lt;'Données projet'!$A$62,$AF$205^A13,IF(A13='Données projet'!$A$62,'Données projet'!$B$62,AI12+AH13-AQ12)))</f>
        <v>11.401754250991377</v>
      </c>
      <c r="AJ13" s="14">
        <f>AI13*VLOOKUP('Données projet'!$B$10,Paramètres!$A$1:$I$88,3,0)*VLOOKUP('Données projet'!$B$10,Paramètres!$A$1:$I$88,5,0)</f>
        <v>5.3360209894639645</v>
      </c>
      <c r="AK13" s="14">
        <f t="shared" si="35"/>
        <v>2.0235851034040682</v>
      </c>
      <c r="AL13" s="22">
        <f t="shared" si="4"/>
        <v>12.817980611745156</v>
      </c>
      <c r="AM13" s="62">
        <f t="shared" si="5"/>
        <v>204.75664259679004</v>
      </c>
      <c r="AN13" s="62">
        <f ca="1">AVERAGE(OFFSET($AM$3,0,0,'Données projet'!$E$10+1,1))-AVERAGE(OFFSET($H$3,0,0,'Données projet'!$E$10+1,1))</f>
        <v>170.08673939431091</v>
      </c>
      <c r="AO13" s="62">
        <f t="shared" si="36"/>
        <v>252.97355497077106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projet'!$B$10,Paramètres!$A$1:$I$88,3,0)*0.475*44/12</f>
        <v>0</v>
      </c>
      <c r="AV13" s="23">
        <f>EXP(-LN(2)/25)*AV12+(1-EXP(-LN(2)/25))/(LN(2)/25)*Calculateur!AQ13*Calculateur!AS13*VLOOKUP('Données projet'!$B$10,Paramètres!$A$1:$I$88,3,0)*0.475*44/12</f>
        <v>0</v>
      </c>
      <c r="AW13" s="23">
        <f>EXP(-LN(2)/2)*AW12+(1-EXP(-LN(2)/2))/(LN(2)/2)*AQ13*AT13*VLOOKUP('Données projet'!$B$10,Paramètres!$A$1:$I$88,3,0)*0.475*44/12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2.1</v>
      </c>
      <c r="BD13" s="13">
        <f>IF('Données projet'!$A$88&gt;35,BD12+BC13-BL12,IF(A13&lt;'Données projet'!$A$88,$BA$205^A13,IF(A13='Données projet'!$A$88,'Données projet'!$B$88,BD12+BC13-BL12)))</f>
        <v>6.4807406984078657</v>
      </c>
      <c r="BE13" s="14">
        <f>BD13*VLOOKUP('Données projet'!$B$11,Paramètres!$A$1:$I$88,3,0)*VLOOKUP('Données projet'!$B$11,Paramètres!$A$1:$I$88,5,0)</f>
        <v>5.8637741839194364</v>
      </c>
      <c r="BF13" s="14">
        <f t="shared" si="37"/>
        <v>2.1994468497187687</v>
      </c>
      <c r="BG13" s="22">
        <f t="shared" si="7"/>
        <v>14.043443300253207</v>
      </c>
      <c r="BH13" s="62">
        <f t="shared" si="8"/>
        <v>205.9821052852981</v>
      </c>
      <c r="BI13" s="62">
        <f ca="1">AVERAGE(OFFSET($BH$3,0,0,'Données projet'!$E$11+1,1))-AVERAGE(OFFSET($H$3,0,0,'Données projet'!$E$11+1,1))</f>
        <v>362.63718589694594</v>
      </c>
      <c r="BJ13" s="62">
        <f t="shared" si="38"/>
        <v>250.47702091764884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projet'!$B$11,Paramètres!$A$1:$I$88,3,0)*0.475*44/12</f>
        <v>0</v>
      </c>
      <c r="BQ13" s="23">
        <f>EXP(-LN(2)/25)*BQ12+(1-EXP(-LN(2)/25))/(LN(2)/25)*Calculateur!BL13*Calculateur!BN13*VLOOKUP('Données projet'!$B$11,Paramètres!$A$1:$I$88,3,0)*0.475*44/12</f>
        <v>0</v>
      </c>
      <c r="BR13" s="23">
        <f>EXP(-LN(2)/2)*BR12+(1-EXP(-LN(2)/2))/(LN(2)/2)*BL13*BO13*VLOOKUP('Données projet'!$B$11,Paramètres!$A$1:$I$88,3,0)*0.475*44/12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2.1</v>
      </c>
      <c r="BY13" s="13">
        <f>IF('Données projet'!$A$114&gt;35,BY12+BX13-CG12,IF(A13&lt;'Données projet'!$A$114,$BV$205^A13,IF(A13='Données projet'!$A$114,'Données projet'!$B$114,BY12+BX13-CG12)))</f>
        <v>6.4807406984078657</v>
      </c>
      <c r="BZ13" s="14">
        <f>BY13*VLOOKUP('Données projet'!$B$12,Paramètres!$A$1:$I$88,3,0)*VLOOKUP('Données projet'!$B$12,Paramètres!$A$1:$I$88,5,0)</f>
        <v>6.5714710681855761</v>
      </c>
      <c r="CA13" s="14">
        <f t="shared" si="39"/>
        <v>2.4324209676242781</v>
      </c>
      <c r="CB13" s="22">
        <f t="shared" si="10"/>
        <v>15.681778629035497</v>
      </c>
      <c r="CC13" s="62">
        <f t="shared" si="11"/>
        <v>207.62044061408039</v>
      </c>
      <c r="CD13" s="62">
        <f ca="1">AVERAGE(OFFSET($CC$3,0,0,'Données projet'!$E$12+1,1))-AVERAGE(OFFSET($H$3,0,0,'Données projet'!$E$12+1,1))</f>
        <v>398.14524781940196</v>
      </c>
      <c r="CE13" s="62">
        <f t="shared" si="40"/>
        <v>273.35778700650792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projet'!$B$12,Paramètres!$A$1:$I$88,3,0)*0.475*44/12</f>
        <v>0</v>
      </c>
      <c r="CL13" s="23">
        <f>EXP(-LN(2)/25)*CL12+(1-EXP(-LN(2)/25))/(LN(2)/25)*Calculateur!CG13*Calculateur!CI13*VLOOKUP('Données projet'!$B$12,Paramètres!$A$1:$I$88,3,0)*0.475*44/12</f>
        <v>0</v>
      </c>
      <c r="CM13" s="23">
        <f>EXP(-LN(2)/2)*CM12+(1-EXP(-LN(2)/2))/(LN(2)/2)*CG13*CJ13*VLOOKUP('Données projet'!$B$12,Paramètres!$A$1:$I$88,3,0)*0.475*44/12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1.6</v>
      </c>
      <c r="CT13" s="13">
        <f>IF('Données projet'!$A$140&gt;35,CT12+CS13-DB12,IF(A13&lt;'Données projet'!$A$140,$CQ$205^A13,IF(A13='Données projet'!$A$140,'Données projet'!$B$140,CT12+CS13-DB12)))</f>
        <v>5.656854249492377</v>
      </c>
      <c r="CU13" s="18">
        <f>CT13*VLOOKUP('Données projet'!$B$13,Paramètres!$A$1:$I$88,3,0)*VLOOKUP('Données projet'!$B$13,Paramètres!$A$1:$I$88,5,0)</f>
        <v>5.3830625038169462</v>
      </c>
      <c r="CV13" s="14">
        <f t="shared" si="41"/>
        <v>2.039340117202022</v>
      </c>
      <c r="CW13" s="22">
        <f t="shared" si="13"/>
        <v>12.927351231608034</v>
      </c>
      <c r="CX13" s="62">
        <f t="shared" si="14"/>
        <v>204.86601321665293</v>
      </c>
      <c r="CY13" s="62">
        <f ca="1">AVERAGE(OFFSET($CX$3,0,0,'Données projet'!$E$13+1,1))-AVERAGE(OFFSET($H$3,0,0,'Données projet'!$E$13+1,1))</f>
        <v>470.0521927195926</v>
      </c>
      <c r="CZ13" s="62">
        <f t="shared" si="42"/>
        <v>299.27200854723435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projet'!$B$13,Paramètres!$A$1:$I$88,3,0)*0.475*44/12</f>
        <v>0</v>
      </c>
      <c r="DG13" s="23">
        <f>EXP(-LN(2)/25)*DG12+(1-EXP(-LN(2)/25))/(LN(2)/25)*Calculateur!DB13*Calculateur!DD13*VLOOKUP('Données projet'!$B$13,Paramètres!$A$1:$I$88,3,0)*0.475*44/12</f>
        <v>0</v>
      </c>
      <c r="DH13" s="23">
        <f>EXP(-LN(2)/2)*DH12+(1-EXP(-LN(2)/2))/(LN(2)/2)*DB13*DE13*VLOOKUP('Données projet'!$B$13,Paramètres!$A$1:$I$88,3,0)*0.475*44/12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1.2</v>
      </c>
      <c r="DO13" s="13">
        <f>IF('Données projet'!$A$166&gt;35,DO12+DN13-DW12,IF(A13&lt;'Données projet'!$A$166,$DL$205^A13,IF(A13='Données projet'!$A$166,'Données projet'!$B$166,DO12+DN13-DW12)))</f>
        <v>3.8980598409161908</v>
      </c>
      <c r="DP13" s="18">
        <f>DO13*VLOOKUP('Données projet'!$B$14,Paramètres!$A$1:$I$88,3,0)*VLOOKUP('Données projet'!$B$14,Paramètres!$A$1:$I$88,5,0)</f>
        <v>3.7702034781341398</v>
      </c>
      <c r="DQ13" s="14">
        <f t="shared" si="43"/>
        <v>1.4887713173266797</v>
      </c>
      <c r="DR13" s="22">
        <f t="shared" si="16"/>
        <v>9.1593811020942599</v>
      </c>
      <c r="DS13" s="62">
        <f t="shared" si="17"/>
        <v>201.09804308713916</v>
      </c>
      <c r="DT13" s="62">
        <f ca="1">AVERAGE(OFFSET($DS$3,0,0,'Données projet'!$E$14+1,1))-AVERAGE(OFFSET($H$3,0,0,'Données projet'!$E$14+1,1))</f>
        <v>290.89727102147953</v>
      </c>
      <c r="DU13" s="62">
        <f t="shared" si="44"/>
        <v>173.19148969173838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projet'!$B$14,Paramètres!$A$1:$I$88,3,0)*0.475*44/12</f>
        <v>0</v>
      </c>
      <c r="EB13" s="23">
        <f>EXP(-LN(2)/25)*EB12+(1-EXP(-LN(2)/25))/(LN(2)/25)*Calculateur!DW13*Calculateur!DY13*VLOOKUP('Données projet'!$B$14,Paramètres!$A$1:$I$88,3,0)*0.475*44/12</f>
        <v>0</v>
      </c>
      <c r="EC13" s="23">
        <f>EXP(-LN(2)/2)*EC12+(1-EXP(-LN(2)/2))/(LN(2)/2)*DW13*DZ13*VLOOKUP('Données projet'!$B$14,Paramètres!$A$1:$I$88,3,0)*0.475*44/12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projet'!$B$15,Paramètres!$A$1:$I$88,3,0)*VLOOKUP('Données projet'!$B$15,Paramètres!$A$1:$I$88,5,0)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projet'!$B$15,Paramètres!$A$1:$I$88,3,0)*0.475*44/12</f>
        <v>#N/A</v>
      </c>
      <c r="EW13" s="23" t="e">
        <f>EXP(-LN(2)/25)*EW12+(1-EXP(-LN(2)/25))/(LN(2)/25)*Calculateur!ER13*Calculateur!ET13*VLOOKUP('Données projet'!$B$15,Paramètres!$A$1:$I$88,3,0)*0.475*44/12</f>
        <v>#N/A</v>
      </c>
      <c r="EX13" s="23" t="e">
        <f>EXP(-LN(2)/2)*EX12+(1-EXP(-LN(2)/2))/(LN(2)/2)*ER13*EU13*VLOOKUP('Données projet'!$B$15,Paramètres!$A$1:$I$88,3,0)*0.475*44/12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projet'!$B$16,Paramètres!$A$1:$I$88,3,0)*VLOOKUP('Données projet'!$B$16,Paramètres!$A$1:$I$88,5,0)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projet'!$B$16,Paramètres!$A$1:$I$88,3,0)*0.475*44/12</f>
        <v>#N/A</v>
      </c>
      <c r="FR13" s="23" t="e">
        <f>EXP(-LN(2)/25)*FR12+(1-EXP(-LN(2)/25))/(LN(2)/25)*Calculateur!FM13*Calculateur!FO13*VLOOKUP('Données projet'!$B$16,Paramètres!$A$1:$I$88,3,0)*0.475*44/12</f>
        <v>#N/A</v>
      </c>
      <c r="FS13" s="23" t="e">
        <f>EXP(-LN(2)/2)*FS12+(1-EXP(-LN(2)/2))/(LN(2)/2)*FM13*FP13*VLOOKUP('Données projet'!$B$16,Paramètres!$A$1:$I$88,3,0)*0.475*44/12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projet'!$B$17,Paramètres!$A$1:$I$88,3,0)*VLOOKUP('Données projet'!$B$17,Paramètres!$A$1:$I$88,5,0)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projet'!$B$17,Paramètres!$A$1:$I$88,3,0)*0.475*44/12</f>
        <v>#N/A</v>
      </c>
      <c r="GM13" s="23" t="e">
        <f>EXP(-LN(2)/25)*GM12+(1-EXP(-LN(2)/25))/(LN(2)/25)*Calculateur!GH13*Calculateur!GJ13*VLOOKUP('Données projet'!$B$17,Paramètres!$A$1:$I$88,3,0)*0.475*44/12</f>
        <v>#N/A</v>
      </c>
      <c r="GN13" s="23" t="e">
        <f>EXP(-LN(2)/2)*GN12+(1-EXP(-LN(2)/2))/(LN(2)/2)*GH13*GK13*VLOOKUP('Données projet'!$B$17,Paramètres!$A$1:$I$88,3,0)*0.475*44/12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projet'!$B$18,Paramètres!$A$1:$I$88,3,0)*VLOOKUP('Données projet'!$B$18,Paramètres!$A$1:$I$88,5,0)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projet'!$B$18,Paramètres!$A$1:$I$88,3,0)*0.475*44/12</f>
        <v>#N/A</v>
      </c>
      <c r="HH13" s="23" t="e">
        <f>EXP(-LN(2)/25)*HH12+(1-EXP(-LN(2)/25))/(LN(2)/25)*Calculateur!HC13*Calculateur!HE13*VLOOKUP('Données projet'!$B$18,Paramètres!$A$1:$I$88,3,0)*0.475*44/12</f>
        <v>#N/A</v>
      </c>
      <c r="HI13" s="23" t="e">
        <f>EXP(-LN(2)/2)*HI12+(1-EXP(-LN(2)/2))/(LN(2)/2)*HC13*HF13*VLOOKUP('Données projet'!$B$18,Paramètres!$A$1:$I$88,3,0)*0.475*44/12</f>
        <v>#N/A</v>
      </c>
      <c r="HJ13" s="24" t="e">
        <f t="shared" si="30"/>
        <v>#N/A</v>
      </c>
    </row>
    <row r="14" spans="1:218" s="5" customFormat="1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6.1333333333333337</v>
      </c>
      <c r="N14" s="14">
        <f>IF('Données projet'!$A$36&gt;35,N13+M14-V13,IF(A14&lt;'Données projet'!$A$36,$K$205^A14,IF(A14='Données projet'!$A$36,'Données projet'!$B$36,N13+M14-V13)))</f>
        <v>27.549332037328085</v>
      </c>
      <c r="O14" s="14">
        <f>N14*VLOOKUP('Données projet'!$B$9,Paramètres!$A$1:$I$88,3,0)*VLOOKUP('Données projet'!$B$9,Paramètres!$A$1:$I$88,5,0)</f>
        <v>16.474500558322195</v>
      </c>
      <c r="P14" s="14">
        <f t="shared" si="33"/>
        <v>5.4793289691722045</v>
      </c>
      <c r="Q14" s="22">
        <f t="shared" si="2"/>
        <v>38.236253093719412</v>
      </c>
      <c r="R14" s="62">
        <f t="shared" si="0"/>
        <v>232.73205170283353</v>
      </c>
      <c r="S14" s="62">
        <f ca="1">AVERAGE(OFFSET($R$3,0,0,'Données projet'!$E$9+1,1))-AVERAGE(OFFSET($H$3,0,0,'Données projet'!$E$9+1,1))</f>
        <v>301.2688576786212</v>
      </c>
      <c r="T14" s="62">
        <f t="shared" si="34"/>
        <v>417.62172165132927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6.5</v>
      </c>
      <c r="AI14" s="14">
        <f>IF('Données projet'!$A$62&gt;35,AI13+AH14-AQ13,IF(A14&lt;'Données projet'!$A$62,$AF$205^A14,IF(A14='Données projet'!$A$62,'Données projet'!$B$62,AI13+AH14-AQ13)))</f>
        <v>14.543496936328317</v>
      </c>
      <c r="AJ14" s="14">
        <f>AI14*VLOOKUP('Données projet'!$B$10,Paramètres!$A$1:$I$88,3,0)*VLOOKUP('Données projet'!$B$10,Paramètres!$A$1:$I$88,5,0)</f>
        <v>6.8063565662016519</v>
      </c>
      <c r="AK14" s="14">
        <f t="shared" si="35"/>
        <v>2.5090856753131003</v>
      </c>
      <c r="AL14" s="22">
        <f t="shared" si="4"/>
        <v>16.224395237304858</v>
      </c>
      <c r="AM14" s="62">
        <f t="shared" si="5"/>
        <v>210.72019384641899</v>
      </c>
      <c r="AN14" s="62">
        <f ca="1">AVERAGE(OFFSET($AM$3,0,0,'Données projet'!$E$10+1,1))-AVERAGE(OFFSET($H$3,0,0,'Données projet'!$E$10+1,1))</f>
        <v>170.08673939431091</v>
      </c>
      <c r="AO14" s="62">
        <f t="shared" si="36"/>
        <v>252.97355497077106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projet'!$B$10,Paramètres!$A$1:$I$88,3,0)*0.475*44/12</f>
        <v>0</v>
      </c>
      <c r="AV14" s="23">
        <f>EXP(-LN(2)/25)*AV13+(1-EXP(-LN(2)/25))/(LN(2)/25)*Calculateur!AQ14*Calculateur!AS14*VLOOKUP('Données projet'!$B$10,Paramètres!$A$1:$I$88,3,0)*0.475*44/12</f>
        <v>0</v>
      </c>
      <c r="AW14" s="23">
        <f>EXP(-LN(2)/2)*AW13+(1-EXP(-LN(2)/2))/(LN(2)/2)*AQ14*AT14*VLOOKUP('Données projet'!$B$10,Paramètres!$A$1:$I$88,3,0)*0.475*44/12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2.1</v>
      </c>
      <c r="BD14" s="13">
        <f>IF('Données projet'!$A$88&gt;35,BD13+BC14-BL13,IF(A14&lt;'Données projet'!$A$88,$BA$205^A14,IF(A14='Données projet'!$A$88,'Données projet'!$B$88,BD13+BC14-BL13)))</f>
        <v>7.8124474610620815</v>
      </c>
      <c r="BE14" s="14">
        <f>BD14*VLOOKUP('Données projet'!$B$11,Paramètres!$A$1:$I$88,3,0)*VLOOKUP('Données projet'!$B$11,Paramètres!$A$1:$I$88,5,0)</f>
        <v>7.0687024627689707</v>
      </c>
      <c r="BF14" s="14">
        <f t="shared" si="37"/>
        <v>2.5943503554083325</v>
      </c>
      <c r="BG14" s="22">
        <f t="shared" si="7"/>
        <v>16.829816991658799</v>
      </c>
      <c r="BH14" s="62">
        <f t="shared" si="8"/>
        <v>211.32561560077292</v>
      </c>
      <c r="BI14" s="62">
        <f ca="1">AVERAGE(OFFSET($BH$3,0,0,'Données projet'!$E$11+1,1))-AVERAGE(OFFSET($H$3,0,0,'Données projet'!$E$11+1,1))</f>
        <v>362.63718589694594</v>
      </c>
      <c r="BJ14" s="62">
        <f t="shared" si="38"/>
        <v>250.47702091764884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projet'!$B$11,Paramètres!$A$1:$I$88,3,0)*0.475*44/12</f>
        <v>0</v>
      </c>
      <c r="BQ14" s="23">
        <f>EXP(-LN(2)/25)*BQ13+(1-EXP(-LN(2)/25))/(LN(2)/25)*Calculateur!BL14*Calculateur!BN14*VLOOKUP('Données projet'!$B$11,Paramètres!$A$1:$I$88,3,0)*0.475*44/12</f>
        <v>0</v>
      </c>
      <c r="BR14" s="23">
        <f>EXP(-LN(2)/2)*BR13+(1-EXP(-LN(2)/2))/(LN(2)/2)*BL14*BO14*VLOOKUP('Données projet'!$B$11,Paramètres!$A$1:$I$88,3,0)*0.475*44/12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2.1</v>
      </c>
      <c r="BY14" s="13">
        <f>IF('Données projet'!$A$114&gt;35,BY13+BX14-CG13,IF(A14&lt;'Données projet'!$A$114,$BV$205^A14,IF(A14='Données projet'!$A$114,'Données projet'!$B$114,BY13+BX14-CG13)))</f>
        <v>7.8124474610620815</v>
      </c>
      <c r="BZ14" s="14">
        <f>BY14*VLOOKUP('Données projet'!$B$12,Paramètres!$A$1:$I$88,3,0)*VLOOKUP('Données projet'!$B$12,Paramètres!$A$1:$I$88,5,0)</f>
        <v>7.921821725516951</v>
      </c>
      <c r="CA14" s="14">
        <f t="shared" si="39"/>
        <v>2.869154216054651</v>
      </c>
      <c r="CB14" s="22">
        <f t="shared" si="10"/>
        <v>18.794283098237205</v>
      </c>
      <c r="CC14" s="62">
        <f t="shared" si="11"/>
        <v>213.29008170735133</v>
      </c>
      <c r="CD14" s="62">
        <f ca="1">AVERAGE(OFFSET($CC$3,0,0,'Données projet'!$E$12+1,1))-AVERAGE(OFFSET($H$3,0,0,'Données projet'!$E$12+1,1))</f>
        <v>398.14524781940196</v>
      </c>
      <c r="CE14" s="62">
        <f t="shared" si="40"/>
        <v>273.35778700650792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projet'!$B$12,Paramètres!$A$1:$I$88,3,0)*0.475*44/12</f>
        <v>0</v>
      </c>
      <c r="CL14" s="23">
        <f>EXP(-LN(2)/25)*CL13+(1-EXP(-LN(2)/25))/(LN(2)/25)*Calculateur!CG14*Calculateur!CI14*VLOOKUP('Données projet'!$B$12,Paramètres!$A$1:$I$88,3,0)*0.475*44/12</f>
        <v>0</v>
      </c>
      <c r="CM14" s="23">
        <f>EXP(-LN(2)/2)*CM13+(1-EXP(-LN(2)/2))/(LN(2)/2)*CG14*CJ14*VLOOKUP('Données projet'!$B$12,Paramètres!$A$1:$I$88,3,0)*0.475*44/12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1.6</v>
      </c>
      <c r="CT14" s="13">
        <f>IF('Données projet'!$A$140&gt;35,CT13+CS14-DB13,IF(A14&lt;'Données projet'!$A$140,$CQ$205^A14,IF(A14='Données projet'!$A$140,'Données projet'!$B$140,CT13+CS14-DB13)))</f>
        <v>6.7271713220297125</v>
      </c>
      <c r="CU14" s="18">
        <f>CT14*VLOOKUP('Données projet'!$B$13,Paramètres!$A$1:$I$88,3,0)*VLOOKUP('Données projet'!$B$13,Paramètres!$A$1:$I$88,5,0)</f>
        <v>6.4015762300434744</v>
      </c>
      <c r="CV14" s="14">
        <f t="shared" si="41"/>
        <v>2.3767701727433463</v>
      </c>
      <c r="CW14" s="22">
        <f t="shared" si="13"/>
        <v>15.288953318187046</v>
      </c>
      <c r="CX14" s="62">
        <f t="shared" si="14"/>
        <v>209.78475192730119</v>
      </c>
      <c r="CY14" s="62">
        <f ca="1">AVERAGE(OFFSET($CX$3,0,0,'Données projet'!$E$13+1,1))-AVERAGE(OFFSET($H$3,0,0,'Données projet'!$E$13+1,1))</f>
        <v>470.0521927195926</v>
      </c>
      <c r="CZ14" s="62">
        <f t="shared" si="42"/>
        <v>299.27200854723435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projet'!$B$13,Paramètres!$A$1:$I$88,3,0)*0.475*44/12</f>
        <v>0</v>
      </c>
      <c r="DG14" s="23">
        <f>EXP(-LN(2)/25)*DG13+(1-EXP(-LN(2)/25))/(LN(2)/25)*Calculateur!DB14*Calculateur!DD14*VLOOKUP('Données projet'!$B$13,Paramètres!$A$1:$I$88,3,0)*0.475*44/12</f>
        <v>0</v>
      </c>
      <c r="DH14" s="23">
        <f>EXP(-LN(2)/2)*DH13+(1-EXP(-LN(2)/2))/(LN(2)/2)*DB14*DE14*VLOOKUP('Données projet'!$B$13,Paramètres!$A$1:$I$88,3,0)*0.475*44/12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1.2</v>
      </c>
      <c r="DO14" s="13">
        <f>IF('Données projet'!$A$166&gt;35,DO13+DN14-DW13,IF(A14&lt;'Données projet'!$A$166,$DL$205^A14,IF(A14='Données projet'!$A$166,'Données projet'!$B$166,DO13+DN14-DW13)))</f>
        <v>4.4661504822319662</v>
      </c>
      <c r="DP14" s="18">
        <f>DO14*VLOOKUP('Données projet'!$B$14,Paramètres!$A$1:$I$88,3,0)*VLOOKUP('Données projet'!$B$14,Paramètres!$A$1:$I$88,5,0)</f>
        <v>4.3196607464147583</v>
      </c>
      <c r="DQ14" s="14">
        <f t="shared" si="43"/>
        <v>1.6789407368626241</v>
      </c>
      <c r="DR14" s="22">
        <f t="shared" si="16"/>
        <v>10.44756425004144</v>
      </c>
      <c r="DS14" s="62">
        <f t="shared" si="17"/>
        <v>204.94336285915557</v>
      </c>
      <c r="DT14" s="62">
        <f ca="1">AVERAGE(OFFSET($DS$3,0,0,'Données projet'!$E$14+1,1))-AVERAGE(OFFSET($H$3,0,0,'Données projet'!$E$14+1,1))</f>
        <v>290.89727102147953</v>
      </c>
      <c r="DU14" s="62">
        <f t="shared" si="44"/>
        <v>173.19148969173838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projet'!$B$14,Paramètres!$A$1:$I$88,3,0)*0.475*44/12</f>
        <v>0</v>
      </c>
      <c r="EB14" s="23">
        <f>EXP(-LN(2)/25)*EB13+(1-EXP(-LN(2)/25))/(LN(2)/25)*Calculateur!DW14*Calculateur!DY14*VLOOKUP('Données projet'!$B$14,Paramètres!$A$1:$I$88,3,0)*0.475*44/12</f>
        <v>0</v>
      </c>
      <c r="EC14" s="23">
        <f>EXP(-LN(2)/2)*EC13+(1-EXP(-LN(2)/2))/(LN(2)/2)*DW14*DZ14*VLOOKUP('Données projet'!$B$14,Paramètres!$A$1:$I$88,3,0)*0.475*44/12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projet'!$B$15,Paramètres!$A$1:$I$88,3,0)*VLOOKUP('Données projet'!$B$15,Paramètres!$A$1:$I$88,5,0)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projet'!$B$15,Paramètres!$A$1:$I$88,3,0)*0.475*44/12</f>
        <v>#N/A</v>
      </c>
      <c r="EW14" s="23" t="e">
        <f>EXP(-LN(2)/25)*EW13+(1-EXP(-LN(2)/25))/(LN(2)/25)*Calculateur!ER14*Calculateur!ET14*VLOOKUP('Données projet'!$B$15,Paramètres!$A$1:$I$88,3,0)*0.475*44/12</f>
        <v>#N/A</v>
      </c>
      <c r="EX14" s="23" t="e">
        <f>EXP(-LN(2)/2)*EX13+(1-EXP(-LN(2)/2))/(LN(2)/2)*ER14*EU14*VLOOKUP('Données projet'!$B$15,Paramètres!$A$1:$I$88,3,0)*0.475*44/12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projet'!$B$16,Paramètres!$A$1:$I$88,3,0)*VLOOKUP('Données projet'!$B$16,Paramètres!$A$1:$I$88,5,0)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projet'!$B$16,Paramètres!$A$1:$I$88,3,0)*0.475*44/12</f>
        <v>#N/A</v>
      </c>
      <c r="FR14" s="23" t="e">
        <f>EXP(-LN(2)/25)*FR13+(1-EXP(-LN(2)/25))/(LN(2)/25)*Calculateur!FM14*Calculateur!FO14*VLOOKUP('Données projet'!$B$16,Paramètres!$A$1:$I$88,3,0)*0.475*44/12</f>
        <v>#N/A</v>
      </c>
      <c r="FS14" s="23" t="e">
        <f>EXP(-LN(2)/2)*FS13+(1-EXP(-LN(2)/2))/(LN(2)/2)*FM14*FP14*VLOOKUP('Données projet'!$B$16,Paramètres!$A$1:$I$88,3,0)*0.475*44/12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projet'!$B$17,Paramètres!$A$1:$I$88,3,0)*VLOOKUP('Données projet'!$B$17,Paramètres!$A$1:$I$88,5,0)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projet'!$B$17,Paramètres!$A$1:$I$88,3,0)*0.475*44/12</f>
        <v>#N/A</v>
      </c>
      <c r="GM14" s="23" t="e">
        <f>EXP(-LN(2)/25)*GM13+(1-EXP(-LN(2)/25))/(LN(2)/25)*Calculateur!GH14*Calculateur!GJ14*VLOOKUP('Données projet'!$B$17,Paramètres!$A$1:$I$88,3,0)*0.475*44/12</f>
        <v>#N/A</v>
      </c>
      <c r="GN14" s="23" t="e">
        <f>EXP(-LN(2)/2)*GN13+(1-EXP(-LN(2)/2))/(LN(2)/2)*GH14*GK14*VLOOKUP('Données projet'!$B$17,Paramètres!$A$1:$I$88,3,0)*0.475*44/12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projet'!$B$18,Paramètres!$A$1:$I$88,3,0)*VLOOKUP('Données projet'!$B$18,Paramètres!$A$1:$I$88,5,0)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projet'!$B$18,Paramètres!$A$1:$I$88,3,0)*0.475*44/12</f>
        <v>#N/A</v>
      </c>
      <c r="HH14" s="23" t="e">
        <f>EXP(-LN(2)/25)*HH13+(1-EXP(-LN(2)/25))/(LN(2)/25)*Calculateur!HC14*Calculateur!HE14*VLOOKUP('Données projet'!$B$18,Paramètres!$A$1:$I$88,3,0)*0.475*44/12</f>
        <v>#N/A</v>
      </c>
      <c r="HI14" s="23" t="e">
        <f>EXP(-LN(2)/2)*HI13+(1-EXP(-LN(2)/2))/(LN(2)/2)*HC14*HF14*VLOOKUP('Données projet'!$B$18,Paramètres!$A$1:$I$88,3,0)*0.475*44/12</f>
        <v>#N/A</v>
      </c>
      <c r="HJ14" s="24" t="e">
        <f t="shared" si="30"/>
        <v>#N/A</v>
      </c>
    </row>
    <row r="15" spans="1:218" s="5" customFormat="1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6.1333333333333337</v>
      </c>
      <c r="N15" s="14">
        <f>IF('Données projet'!$A$36&gt;35,N14+M15-V14,IF(A15&lt;'Données projet'!$A$36,$K$205^A15,IF(A15='Données projet'!$A$36,'Données projet'!$B$36,N14+M15-V14)))</f>
        <v>37.241765561590427</v>
      </c>
      <c r="O15" s="14">
        <f>N15*VLOOKUP('Données projet'!$B$9,Paramètres!$A$1:$I$88,3,0)*VLOOKUP('Données projet'!$B$9,Paramètres!$A$1:$I$88,5,0)</f>
        <v>22.270575805831076</v>
      </c>
      <c r="P15" s="14">
        <f t="shared" si="33"/>
        <v>7.1516717103900067</v>
      </c>
      <c r="Q15" s="22">
        <f t="shared" si="2"/>
        <v>51.243747757418383</v>
      </c>
      <c r="R15" s="62">
        <f t="shared" si="0"/>
        <v>248.27352521015126</v>
      </c>
      <c r="S15" s="62">
        <f ca="1">AVERAGE(OFFSET($R$3,0,0,'Données projet'!$E$9+1,1))-AVERAGE(OFFSET($H$3,0,0,'Données projet'!$E$9+1,1))</f>
        <v>301.2688576786212</v>
      </c>
      <c r="T15" s="62">
        <f t="shared" si="34"/>
        <v>417.62172165132927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6.5</v>
      </c>
      <c r="AI15" s="14">
        <f>IF('Données projet'!$A$62&gt;35,AI14+AH15-AQ14,IF(A15&lt;'Données projet'!$A$62,$AF$205^A15,IF(A15='Données projet'!$A$62,'Données projet'!$B$62,AI14+AH15-AQ14)))</f>
        <v>18.550943870641678</v>
      </c>
      <c r="AJ15" s="14">
        <f>AI15*VLOOKUP('Données projet'!$B$10,Paramètres!$A$1:$I$88,3,0)*VLOOKUP('Données projet'!$B$10,Paramètres!$A$1:$I$88,5,0)</f>
        <v>8.681841731460306</v>
      </c>
      <c r="AK15" s="14">
        <f t="shared" si="35"/>
        <v>3.1110680324099604</v>
      </c>
      <c r="AL15" s="22">
        <f t="shared" si="4"/>
        <v>20.539317838740715</v>
      </c>
      <c r="AM15" s="62">
        <f t="shared" si="5"/>
        <v>217.56909529147359</v>
      </c>
      <c r="AN15" s="62">
        <f ca="1">AVERAGE(OFFSET($AM$3,0,0,'Données projet'!$E$10+1,1))-AVERAGE(OFFSET($H$3,0,0,'Données projet'!$E$10+1,1))</f>
        <v>170.08673939431091</v>
      </c>
      <c r="AO15" s="62">
        <f t="shared" si="36"/>
        <v>252.97355497077106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projet'!$B$10,Paramètres!$A$1:$I$88,3,0)*0.475*44/12</f>
        <v>0</v>
      </c>
      <c r="AV15" s="23">
        <f>EXP(-LN(2)/25)*AV14+(1-EXP(-LN(2)/25))/(LN(2)/25)*Calculateur!AQ15*Calculateur!AS15*VLOOKUP('Données projet'!$B$10,Paramètres!$A$1:$I$88,3,0)*0.475*44/12</f>
        <v>0</v>
      </c>
      <c r="AW15" s="23">
        <f>EXP(-LN(2)/2)*AW14+(1-EXP(-LN(2)/2))/(LN(2)/2)*AQ15*AT15*VLOOKUP('Données projet'!$B$10,Paramètres!$A$1:$I$88,3,0)*0.475*44/12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2.1</v>
      </c>
      <c r="BD15" s="13">
        <f>IF('Données projet'!$A$88&gt;35,BD14+BC15-BL14,IF(A15&lt;'Données projet'!$A$88,$BA$205^A15,IF(A15='Données projet'!$A$88,'Données projet'!$B$88,BD14+BC15-BL14)))</f>
        <v>9.4178024044149407</v>
      </c>
      <c r="BE15" s="14">
        <f>BD15*VLOOKUP('Données projet'!$B$11,Paramètres!$A$1:$I$88,3,0)*VLOOKUP('Données projet'!$B$11,Paramètres!$A$1:$I$88,5,0)</f>
        <v>8.521227615514638</v>
      </c>
      <c r="BF15" s="14">
        <f t="shared" si="37"/>
        <v>3.0601574970852128</v>
      </c>
      <c r="BG15" s="22">
        <f t="shared" si="7"/>
        <v>20.170912404444739</v>
      </c>
      <c r="BH15" s="62">
        <f t="shared" si="8"/>
        <v>217.20068985717762</v>
      </c>
      <c r="BI15" s="62">
        <f ca="1">AVERAGE(OFFSET($BH$3,0,0,'Données projet'!$E$11+1,1))-AVERAGE(OFFSET($H$3,0,0,'Données projet'!$E$11+1,1))</f>
        <v>362.63718589694594</v>
      </c>
      <c r="BJ15" s="62">
        <f t="shared" si="38"/>
        <v>250.47702091764884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0</v>
      </c>
      <c r="BN15" s="17">
        <f>IF(ISNA(VLOOKUP(A15,'Données projet'!$A$87:$I$107,6,0)),0%,VLOOKUP(A15,'Données projet'!$A$87:$I$107,6,0)*VLOOKUP('Données projet'!$B$11,Paramètres!$A$1:$I$88,7,0))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projet'!$B$11,Paramètres!$A$1:$I$88,3,0)*0.475*44/12</f>
        <v>0</v>
      </c>
      <c r="BQ15" s="23">
        <f>EXP(-LN(2)/25)*BQ14+(1-EXP(-LN(2)/25))/(LN(2)/25)*Calculateur!BL15*Calculateur!BN15*VLOOKUP('Données projet'!$B$11,Paramètres!$A$1:$I$88,3,0)*0.475*44/12</f>
        <v>0</v>
      </c>
      <c r="BR15" s="23">
        <f>EXP(-LN(2)/2)*BR14+(1-EXP(-LN(2)/2))/(LN(2)/2)*BL15*BO15*VLOOKUP('Données projet'!$B$11,Paramètres!$A$1:$I$88,3,0)*0.475*44/12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2.1</v>
      </c>
      <c r="BY15" s="13">
        <f>IF('Données projet'!$A$114&gt;35,BY14+BX15-CG14,IF(A15&lt;'Données projet'!$A$114,$BV$205^A15,IF(A15='Données projet'!$A$114,'Données projet'!$B$114,BY14+BX15-CG14)))</f>
        <v>9.4178024044149407</v>
      </c>
      <c r="BZ15" s="14">
        <f>BY15*VLOOKUP('Données projet'!$B$12,Paramètres!$A$1:$I$88,3,0)*VLOOKUP('Données projet'!$B$12,Paramètres!$A$1:$I$88,5,0)</f>
        <v>9.5496516380767513</v>
      </c>
      <c r="CA15" s="14">
        <f t="shared" si="39"/>
        <v>3.3843014943027487</v>
      </c>
      <c r="CB15" s="22">
        <f t="shared" si="10"/>
        <v>22.526635038894295</v>
      </c>
      <c r="CC15" s="62">
        <f t="shared" si="11"/>
        <v>219.55641249162716</v>
      </c>
      <c r="CD15" s="62">
        <f ca="1">AVERAGE(OFFSET($CC$3,0,0,'Données projet'!$E$12+1,1))-AVERAGE(OFFSET($H$3,0,0,'Données projet'!$E$12+1,1))</f>
        <v>398.14524781940196</v>
      </c>
      <c r="CE15" s="62">
        <f t="shared" si="40"/>
        <v>273.35778700650792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projet'!$B$12,Paramètres!$A$1:$I$88,3,0)*0.475*44/12</f>
        <v>0</v>
      </c>
      <c r="CL15" s="23">
        <f>EXP(-LN(2)/25)*CL14+(1-EXP(-LN(2)/25))/(LN(2)/25)*Calculateur!CG15*Calculateur!CI15*VLOOKUP('Données projet'!$B$12,Paramètres!$A$1:$I$88,3,0)*0.475*44/12</f>
        <v>0</v>
      </c>
      <c r="CM15" s="23">
        <f>EXP(-LN(2)/2)*CM14+(1-EXP(-LN(2)/2))/(LN(2)/2)*CG15*CJ15*VLOOKUP('Données projet'!$B$12,Paramètres!$A$1:$I$88,3,0)*0.475*44/12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1.6</v>
      </c>
      <c r="CT15" s="13">
        <f>IF('Données projet'!$A$140&gt;35,CT14+CS15-DB14,IF(A15&lt;'Données projet'!$A$140,$CQ$205^A15,IF(A15='Données projet'!$A$140,'Données projet'!$B$140,CT14+CS15-DB14)))</f>
        <v>7.9999999999999947</v>
      </c>
      <c r="CU15" s="18">
        <f>CT15*VLOOKUP('Données projet'!$B$13,Paramètres!$A$1:$I$88,3,0)*VLOOKUP('Données projet'!$B$13,Paramètres!$A$1:$I$88,5,0)</f>
        <v>7.6127999999999947</v>
      </c>
      <c r="CV15" s="14">
        <f t="shared" si="41"/>
        <v>2.7700315442197656</v>
      </c>
      <c r="CW15" s="22">
        <f t="shared" si="13"/>
        <v>18.083431606182749</v>
      </c>
      <c r="CX15" s="62">
        <f t="shared" si="14"/>
        <v>215.11320905891563</v>
      </c>
      <c r="CY15" s="62">
        <f ca="1">AVERAGE(OFFSET($CX$3,0,0,'Données projet'!$E$13+1,1))-AVERAGE(OFFSET($H$3,0,0,'Données projet'!$E$13+1,1))</f>
        <v>470.0521927195926</v>
      </c>
      <c r="CZ15" s="62">
        <f t="shared" si="42"/>
        <v>299.27200854723435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projet'!$B$13,Paramètres!$A$1:$I$88,3,0)*0.475*44/12</f>
        <v>0</v>
      </c>
      <c r="DG15" s="23">
        <f>EXP(-LN(2)/25)*DG14+(1-EXP(-LN(2)/25))/(LN(2)/25)*Calculateur!DB15*Calculateur!DD15*VLOOKUP('Données projet'!$B$13,Paramètres!$A$1:$I$88,3,0)*0.475*44/12</f>
        <v>0</v>
      </c>
      <c r="DH15" s="23">
        <f>EXP(-LN(2)/2)*DH14+(1-EXP(-LN(2)/2))/(LN(2)/2)*DB15*DE15*VLOOKUP('Données projet'!$B$13,Paramètres!$A$1:$I$88,3,0)*0.475*44/12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1.2</v>
      </c>
      <c r="DO15" s="13">
        <f>IF('Données projet'!$A$166&gt;35,DO14+DN15-DW14,IF(A15&lt;'Données projet'!$A$166,$DL$205^A15,IF(A15='Données projet'!$A$166,'Données projet'!$B$166,DO14+DN15-DW14)))</f>
        <v>5.1170328173444979</v>
      </c>
      <c r="DP15" s="18">
        <f>DO15*VLOOKUP('Données projet'!$B$14,Paramètres!$A$1:$I$88,3,0)*VLOOKUP('Données projet'!$B$14,Paramètres!$A$1:$I$88,5,0)</f>
        <v>4.9491941409355986</v>
      </c>
      <c r="DQ15" s="14">
        <f t="shared" si="43"/>
        <v>1.8934016024425293</v>
      </c>
      <c r="DR15" s="22">
        <f t="shared" si="16"/>
        <v>11.917520919716907</v>
      </c>
      <c r="DS15" s="62">
        <f t="shared" si="17"/>
        <v>208.94729837244978</v>
      </c>
      <c r="DT15" s="62">
        <f ca="1">AVERAGE(OFFSET($DS$3,0,0,'Données projet'!$E$14+1,1))-AVERAGE(OFFSET($H$3,0,0,'Données projet'!$E$14+1,1))</f>
        <v>290.89727102147953</v>
      </c>
      <c r="DU15" s="62">
        <f t="shared" si="44"/>
        <v>173.19148969173838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projet'!$B$14,Paramètres!$A$1:$I$88,3,0)*0.475*44/12</f>
        <v>0</v>
      </c>
      <c r="EB15" s="23">
        <f>EXP(-LN(2)/25)*EB14+(1-EXP(-LN(2)/25))/(LN(2)/25)*Calculateur!DW15*Calculateur!DY15*VLOOKUP('Données projet'!$B$14,Paramètres!$A$1:$I$88,3,0)*0.475*44/12</f>
        <v>0</v>
      </c>
      <c r="EC15" s="23">
        <f>EXP(-LN(2)/2)*EC14+(1-EXP(-LN(2)/2))/(LN(2)/2)*DW15*DZ15*VLOOKUP('Données projet'!$B$14,Paramètres!$A$1:$I$88,3,0)*0.475*44/12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projet'!$B$15,Paramètres!$A$1:$I$88,3,0)*VLOOKUP('Données projet'!$B$15,Paramètres!$A$1:$I$88,5,0)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projet'!$B$15,Paramètres!$A$1:$I$88,3,0)*0.475*44/12</f>
        <v>#N/A</v>
      </c>
      <c r="EW15" s="23" t="e">
        <f>EXP(-LN(2)/25)*EW14+(1-EXP(-LN(2)/25))/(LN(2)/25)*Calculateur!ER15*Calculateur!ET15*VLOOKUP('Données projet'!$B$15,Paramètres!$A$1:$I$88,3,0)*0.475*44/12</f>
        <v>#N/A</v>
      </c>
      <c r="EX15" s="23" t="e">
        <f>EXP(-LN(2)/2)*EX14+(1-EXP(-LN(2)/2))/(LN(2)/2)*ER15*EU15*VLOOKUP('Données projet'!$B$15,Paramètres!$A$1:$I$88,3,0)*0.475*44/12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projet'!$B$16,Paramètres!$A$1:$I$88,3,0)*VLOOKUP('Données projet'!$B$16,Paramètres!$A$1:$I$88,5,0)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projet'!$B$16,Paramètres!$A$1:$I$88,3,0)*0.475*44/12</f>
        <v>#N/A</v>
      </c>
      <c r="FR15" s="23" t="e">
        <f>EXP(-LN(2)/25)*FR14+(1-EXP(-LN(2)/25))/(LN(2)/25)*Calculateur!FM15*Calculateur!FO15*VLOOKUP('Données projet'!$B$16,Paramètres!$A$1:$I$88,3,0)*0.475*44/12</f>
        <v>#N/A</v>
      </c>
      <c r="FS15" s="23" t="e">
        <f>EXP(-LN(2)/2)*FS14+(1-EXP(-LN(2)/2))/(LN(2)/2)*FM15*FP15*VLOOKUP('Données projet'!$B$16,Paramètres!$A$1:$I$88,3,0)*0.475*44/12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projet'!$B$17,Paramètres!$A$1:$I$88,3,0)*VLOOKUP('Données projet'!$B$17,Paramètres!$A$1:$I$88,5,0)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projet'!$B$17,Paramètres!$A$1:$I$88,3,0)*0.475*44/12</f>
        <v>#N/A</v>
      </c>
      <c r="GM15" s="23" t="e">
        <f>EXP(-LN(2)/25)*GM14+(1-EXP(-LN(2)/25))/(LN(2)/25)*Calculateur!GH15*Calculateur!GJ15*VLOOKUP('Données projet'!$B$17,Paramètres!$A$1:$I$88,3,0)*0.475*44/12</f>
        <v>#N/A</v>
      </c>
      <c r="GN15" s="23" t="e">
        <f>EXP(-LN(2)/2)*GN14+(1-EXP(-LN(2)/2))/(LN(2)/2)*GH15*GK15*VLOOKUP('Données projet'!$B$17,Paramètres!$A$1:$I$88,3,0)*0.475*44/12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projet'!$B$18,Paramètres!$A$1:$I$88,3,0)*VLOOKUP('Données projet'!$B$18,Paramètres!$A$1:$I$88,5,0)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projet'!$B$18,Paramètres!$A$1:$I$88,3,0)*0.475*44/12</f>
        <v>#N/A</v>
      </c>
      <c r="HH15" s="23" t="e">
        <f>EXP(-LN(2)/25)*HH14+(1-EXP(-LN(2)/25))/(LN(2)/25)*Calculateur!HC15*Calculateur!HE15*VLOOKUP('Données projet'!$B$18,Paramètres!$A$1:$I$88,3,0)*0.475*44/12</f>
        <v>#N/A</v>
      </c>
      <c r="HI15" s="23" t="e">
        <f>EXP(-LN(2)/2)*HI14+(1-EXP(-LN(2)/2))/(LN(2)/2)*HC15*HF15*VLOOKUP('Données projet'!$B$18,Paramètres!$A$1:$I$88,3,0)*0.475*44/12</f>
        <v>#N/A</v>
      </c>
      <c r="HJ15" s="24" t="e">
        <f t="shared" si="30"/>
        <v>#N/A</v>
      </c>
    </row>
    <row r="16" spans="1:218" s="5" customFormat="1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6.1333333333333337</v>
      </c>
      <c r="N16" s="14">
        <f>IF('Données projet'!$A$36&gt;35,N15+M16-V15,IF(A16&lt;'Données projet'!$A$36,$K$205^A16,IF(A16='Données projet'!$A$36,'Données projet'!$B$36,N15+M16-V15)))</f>
        <v>50.344200732896553</v>
      </c>
      <c r="O16" s="14">
        <f>N16*VLOOKUP('Données projet'!$B$9,Paramètres!$A$1:$I$88,3,0)*VLOOKUP('Données projet'!$B$9,Paramètres!$A$1:$I$88,5,0)</f>
        <v>30.10583203827214</v>
      </c>
      <c r="P16" s="14">
        <f t="shared" si="33"/>
        <v>9.3344291866673093</v>
      </c>
      <c r="Q16" s="22">
        <f t="shared" si="2"/>
        <v>68.691788300102857</v>
      </c>
      <c r="R16" s="62">
        <f t="shared" si="0"/>
        <v>268.23278855172168</v>
      </c>
      <c r="S16" s="62">
        <f ca="1">AVERAGE(OFFSET($R$3,0,0,'Données projet'!$E$9+1,1))-AVERAGE(OFFSET($H$3,0,0,'Données projet'!$E$9+1,1))</f>
        <v>301.2688576786212</v>
      </c>
      <c r="T16" s="62">
        <f t="shared" si="34"/>
        <v>417.62172165132927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6.5</v>
      </c>
      <c r="AI16" s="14">
        <f>IF('Données projet'!$A$62&gt;35,AI15+AH16-AQ15,IF(A16&lt;'Données projet'!$A$62,$AF$205^A16,IF(A16='Données projet'!$A$62,'Données projet'!$B$62,AI15+AH16-AQ15)))</f>
        <v>23.662639047427042</v>
      </c>
      <c r="AJ16" s="14">
        <f>AI16*VLOOKUP('Données projet'!$B$10,Paramètres!$A$1:$I$88,3,0)*VLOOKUP('Données projet'!$B$10,Paramètres!$A$1:$I$88,5,0)</f>
        <v>11.074115074195856</v>
      </c>
      <c r="AK16" s="14">
        <f t="shared" si="35"/>
        <v>3.8574786016724607</v>
      </c>
      <c r="AL16" s="22">
        <f t="shared" si="4"/>
        <v>26.005858985470649</v>
      </c>
      <c r="AM16" s="62">
        <f t="shared" si="5"/>
        <v>225.54685923708945</v>
      </c>
      <c r="AN16" s="62">
        <f ca="1">AVERAGE(OFFSET($AM$3,0,0,'Données projet'!$E$10+1,1))-AVERAGE(OFFSET($H$3,0,0,'Données projet'!$E$10+1,1))</f>
        <v>170.08673939431091</v>
      </c>
      <c r="AO16" s="62">
        <f t="shared" si="36"/>
        <v>252.97355497077106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projet'!$B$10,Paramètres!$A$1:$I$88,3,0)*0.475*44/12</f>
        <v>0</v>
      </c>
      <c r="AV16" s="23">
        <f>EXP(-LN(2)/25)*AV15+(1-EXP(-LN(2)/25))/(LN(2)/25)*Calculateur!AQ16*Calculateur!AS16*VLOOKUP('Données projet'!$B$10,Paramètres!$A$1:$I$88,3,0)*0.475*44/12</f>
        <v>0</v>
      </c>
      <c r="AW16" s="23">
        <f>EXP(-LN(2)/2)*AW15+(1-EXP(-LN(2)/2))/(LN(2)/2)*AQ16*AT16*VLOOKUP('Données projet'!$B$10,Paramètres!$A$1:$I$88,3,0)*0.475*44/12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2.1</v>
      </c>
      <c r="BD16" s="13">
        <f>IF('Données projet'!$A$88&gt;35,BD15+BC16-BL15,IF(A16&lt;'Données projet'!$A$88,$BA$205^A16,IF(A16='Données projet'!$A$88,'Données projet'!$B$88,BD15+BC16-BL15)))</f>
        <v>11.35303662145153</v>
      </c>
      <c r="BE16" s="14">
        <f>BD16*VLOOKUP('Données projet'!$B$11,Paramètres!$A$1:$I$88,3,0)*VLOOKUP('Données projet'!$B$11,Paramètres!$A$1:$I$88,5,0)</f>
        <v>10.272227535089344</v>
      </c>
      <c r="BF16" s="14">
        <f t="shared" si="37"/>
        <v>3.6095987912522753</v>
      </c>
      <c r="BG16" s="22">
        <f t="shared" si="7"/>
        <v>24.177514185044988</v>
      </c>
      <c r="BH16" s="62">
        <f t="shared" si="8"/>
        <v>223.71851443666381</v>
      </c>
      <c r="BI16" s="62">
        <f ca="1">AVERAGE(OFFSET($BH$3,0,0,'Données projet'!$E$11+1,1))-AVERAGE(OFFSET($H$3,0,0,'Données projet'!$E$11+1,1))</f>
        <v>362.63718589694594</v>
      </c>
      <c r="BJ16" s="62">
        <f t="shared" si="38"/>
        <v>250.47702091764884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projet'!$B$11,Paramètres!$A$1:$I$88,3,0)*0.475*44/12</f>
        <v>0</v>
      </c>
      <c r="BQ16" s="23">
        <f>EXP(-LN(2)/25)*BQ15+(1-EXP(-LN(2)/25))/(LN(2)/25)*Calculateur!BL16*Calculateur!BN16*VLOOKUP('Données projet'!$B$11,Paramètres!$A$1:$I$88,3,0)*0.475*44/12</f>
        <v>0</v>
      </c>
      <c r="BR16" s="23">
        <f>EXP(-LN(2)/2)*BR15+(1-EXP(-LN(2)/2))/(LN(2)/2)*BL16*BO16*VLOOKUP('Données projet'!$B$11,Paramètres!$A$1:$I$88,3,0)*0.475*44/12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2.1</v>
      </c>
      <c r="BY16" s="13">
        <f>IF('Données projet'!$A$114&gt;35,BY15+BX16-CG15,IF(A16&lt;'Données projet'!$A$114,$BV$205^A16,IF(A16='Données projet'!$A$114,'Données projet'!$B$114,BY15+BX16-CG15)))</f>
        <v>11.35303662145153</v>
      </c>
      <c r="BZ16" s="14">
        <f>BY16*VLOOKUP('Données projet'!$B$12,Paramètres!$A$1:$I$88,3,0)*VLOOKUP('Données projet'!$B$12,Paramètres!$A$1:$I$88,5,0)</f>
        <v>11.511979134151852</v>
      </c>
      <c r="CA16" s="14">
        <f t="shared" si="39"/>
        <v>3.9919417855793822</v>
      </c>
      <c r="CB16" s="22">
        <f t="shared" si="10"/>
        <v>27.002662268531896</v>
      </c>
      <c r="CC16" s="62">
        <f t="shared" si="11"/>
        <v>226.54366252015072</v>
      </c>
      <c r="CD16" s="62">
        <f ca="1">AVERAGE(OFFSET($CC$3,0,0,'Données projet'!$E$12+1,1))-AVERAGE(OFFSET($H$3,0,0,'Données projet'!$E$12+1,1))</f>
        <v>398.14524781940196</v>
      </c>
      <c r="CE16" s="62">
        <f t="shared" si="40"/>
        <v>273.35778700650792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projet'!$B$12,Paramètres!$A$1:$I$88,3,0)*0.475*44/12</f>
        <v>0</v>
      </c>
      <c r="CL16" s="23">
        <f>EXP(-LN(2)/25)*CL15+(1-EXP(-LN(2)/25))/(LN(2)/25)*Calculateur!CG16*Calculateur!CI16*VLOOKUP('Données projet'!$B$12,Paramètres!$A$1:$I$88,3,0)*0.475*44/12</f>
        <v>0</v>
      </c>
      <c r="CM16" s="23">
        <f>EXP(-LN(2)/2)*CM15+(1-EXP(-LN(2)/2))/(LN(2)/2)*CG16*CJ16*VLOOKUP('Données projet'!$B$12,Paramètres!$A$1:$I$88,3,0)*0.475*44/12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1.6</v>
      </c>
      <c r="CT16" s="13">
        <f>IF('Données projet'!$A$140&gt;35,CT15+CS16-DB15,IF(A16&lt;'Données projet'!$A$140,$CQ$205^A16,IF(A16='Données projet'!$A$140,'Données projet'!$B$140,CT15+CS16-DB15)))</f>
        <v>9.5136569200217629</v>
      </c>
      <c r="CU16" s="18">
        <f>CT16*VLOOKUP('Données projet'!$B$13,Paramètres!$A$1:$I$88,3,0)*VLOOKUP('Données projet'!$B$13,Paramètres!$A$1:$I$88,5,0)</f>
        <v>9.0531959250927105</v>
      </c>
      <c r="CV16" s="14">
        <f t="shared" si="41"/>
        <v>3.2283621041558384</v>
      </c>
      <c r="CW16" s="22">
        <f t="shared" si="13"/>
        <v>21.390380234274556</v>
      </c>
      <c r="CX16" s="62">
        <f t="shared" si="14"/>
        <v>220.93138048589336</v>
      </c>
      <c r="CY16" s="62">
        <f ca="1">AVERAGE(OFFSET($CX$3,0,0,'Données projet'!$E$13+1,1))-AVERAGE(OFFSET($H$3,0,0,'Données projet'!$E$13+1,1))</f>
        <v>470.0521927195926</v>
      </c>
      <c r="CZ16" s="62">
        <f t="shared" si="42"/>
        <v>299.27200854723435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projet'!$B$13,Paramètres!$A$1:$I$88,3,0)*0.475*44/12</f>
        <v>0</v>
      </c>
      <c r="DG16" s="23">
        <f>EXP(-LN(2)/25)*DG15+(1-EXP(-LN(2)/25))/(LN(2)/25)*Calculateur!DB16*Calculateur!DD16*VLOOKUP('Données projet'!$B$13,Paramètres!$A$1:$I$88,3,0)*0.475*44/12</f>
        <v>0</v>
      </c>
      <c r="DH16" s="23">
        <f>EXP(-LN(2)/2)*DH15+(1-EXP(-LN(2)/2))/(LN(2)/2)*DB16*DE16*VLOOKUP('Données projet'!$B$13,Paramètres!$A$1:$I$88,3,0)*0.475*44/12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1.2</v>
      </c>
      <c r="DO16" s="13">
        <f>IF('Données projet'!$A$166&gt;35,DO15+DN16-DW15,IF(A16&lt;'Données projet'!$A$166,$DL$205^A16,IF(A16='Données projet'!$A$166,'Données projet'!$B$166,DO15+DN16-DW15)))</f>
        <v>5.8627726400958746</v>
      </c>
      <c r="DP16" s="18">
        <f>DO16*VLOOKUP('Données projet'!$B$14,Paramètres!$A$1:$I$88,3,0)*VLOOKUP('Données projet'!$B$14,Paramètres!$A$1:$I$88,5,0)</f>
        <v>5.6704736975007304</v>
      </c>
      <c r="DQ16" s="14">
        <f t="shared" si="43"/>
        <v>2.1352568017564701</v>
      </c>
      <c r="DR16" s="22">
        <f t="shared" si="16"/>
        <v>13.594980619539625</v>
      </c>
      <c r="DS16" s="62">
        <f t="shared" si="17"/>
        <v>213.13598087115844</v>
      </c>
      <c r="DT16" s="62">
        <f ca="1">AVERAGE(OFFSET($DS$3,0,0,'Données projet'!$E$14+1,1))-AVERAGE(OFFSET($H$3,0,0,'Données projet'!$E$14+1,1))</f>
        <v>290.89727102147953</v>
      </c>
      <c r="DU16" s="62">
        <f t="shared" si="44"/>
        <v>173.19148969173838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projet'!$B$14,Paramètres!$A$1:$I$88,3,0)*0.475*44/12</f>
        <v>0</v>
      </c>
      <c r="EB16" s="23">
        <f>EXP(-LN(2)/25)*EB15+(1-EXP(-LN(2)/25))/(LN(2)/25)*Calculateur!DW16*Calculateur!DY16*VLOOKUP('Données projet'!$B$14,Paramètres!$A$1:$I$88,3,0)*0.475*44/12</f>
        <v>0</v>
      </c>
      <c r="EC16" s="23">
        <f>EXP(-LN(2)/2)*EC15+(1-EXP(-LN(2)/2))/(LN(2)/2)*DW16*DZ16*VLOOKUP('Données projet'!$B$14,Paramètres!$A$1:$I$88,3,0)*0.475*44/12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projet'!$B$15,Paramètres!$A$1:$I$88,3,0)*VLOOKUP('Données projet'!$B$15,Paramètres!$A$1:$I$88,5,0)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projet'!$B$15,Paramètres!$A$1:$I$88,3,0)*0.475*44/12</f>
        <v>#N/A</v>
      </c>
      <c r="EW16" s="23" t="e">
        <f>EXP(-LN(2)/25)*EW15+(1-EXP(-LN(2)/25))/(LN(2)/25)*Calculateur!ER16*Calculateur!ET16*VLOOKUP('Données projet'!$B$15,Paramètres!$A$1:$I$88,3,0)*0.475*44/12</f>
        <v>#N/A</v>
      </c>
      <c r="EX16" s="23" t="e">
        <f>EXP(-LN(2)/2)*EX15+(1-EXP(-LN(2)/2))/(LN(2)/2)*ER16*EU16*VLOOKUP('Données projet'!$B$15,Paramètres!$A$1:$I$88,3,0)*0.475*44/12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projet'!$B$16,Paramètres!$A$1:$I$88,3,0)*VLOOKUP('Données projet'!$B$16,Paramètres!$A$1:$I$88,5,0)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projet'!$B$16,Paramètres!$A$1:$I$88,3,0)*0.475*44/12</f>
        <v>#N/A</v>
      </c>
      <c r="FR16" s="23" t="e">
        <f>EXP(-LN(2)/25)*FR15+(1-EXP(-LN(2)/25))/(LN(2)/25)*Calculateur!FM16*Calculateur!FO16*VLOOKUP('Données projet'!$B$16,Paramètres!$A$1:$I$88,3,0)*0.475*44/12</f>
        <v>#N/A</v>
      </c>
      <c r="FS16" s="23" t="e">
        <f>EXP(-LN(2)/2)*FS15+(1-EXP(-LN(2)/2))/(LN(2)/2)*FM16*FP16*VLOOKUP('Données projet'!$B$16,Paramètres!$A$1:$I$88,3,0)*0.475*44/12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projet'!$B$17,Paramètres!$A$1:$I$88,3,0)*VLOOKUP('Données projet'!$B$17,Paramètres!$A$1:$I$88,5,0)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projet'!$B$17,Paramètres!$A$1:$I$88,3,0)*0.475*44/12</f>
        <v>#N/A</v>
      </c>
      <c r="GM16" s="23" t="e">
        <f>EXP(-LN(2)/25)*GM15+(1-EXP(-LN(2)/25))/(LN(2)/25)*Calculateur!GH16*Calculateur!GJ16*VLOOKUP('Données projet'!$B$17,Paramètres!$A$1:$I$88,3,0)*0.475*44/12</f>
        <v>#N/A</v>
      </c>
      <c r="GN16" s="23" t="e">
        <f>EXP(-LN(2)/2)*GN15+(1-EXP(-LN(2)/2))/(LN(2)/2)*GH16*GK16*VLOOKUP('Données projet'!$B$17,Paramètres!$A$1:$I$88,3,0)*0.475*44/12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projet'!$B$18,Paramètres!$A$1:$I$88,3,0)*VLOOKUP('Données projet'!$B$18,Paramètres!$A$1:$I$88,5,0)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projet'!$B$18,Paramètres!$A$1:$I$88,3,0)*0.475*44/12</f>
        <v>#N/A</v>
      </c>
      <c r="HH16" s="23" t="e">
        <f>EXP(-LN(2)/25)*HH15+(1-EXP(-LN(2)/25))/(LN(2)/25)*Calculateur!HC16*Calculateur!HE16*VLOOKUP('Données projet'!$B$18,Paramètres!$A$1:$I$88,3,0)*0.475*44/12</f>
        <v>#N/A</v>
      </c>
      <c r="HI16" s="23" t="e">
        <f>EXP(-LN(2)/2)*HI15+(1-EXP(-LN(2)/2))/(LN(2)/2)*HC16*HF16*VLOOKUP('Données projet'!$B$18,Paramètres!$A$1:$I$88,3,0)*0.475*44/12</f>
        <v>#N/A</v>
      </c>
      <c r="HJ16" s="24" t="e">
        <f t="shared" si="30"/>
        <v>#N/A</v>
      </c>
    </row>
    <row r="17" spans="1:218" s="5" customFormat="1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6.1333333333333337</v>
      </c>
      <c r="N17" s="14">
        <f>IF('Données projet'!$A$36&gt;35,N16+M17-V16,IF(A17&lt;'Données projet'!$A$36,$K$205^A17,IF(A17='Données projet'!$A$36,'Données projet'!$B$36,N16+M17-V16)))</f>
        <v>68.056347737933137</v>
      </c>
      <c r="O17" s="14">
        <f>N17*VLOOKUP('Données projet'!$B$9,Paramètres!$A$1:$I$88,3,0)*VLOOKUP('Données projet'!$B$9,Paramètres!$A$1:$I$88,5,0)</f>
        <v>40.697695947284018</v>
      </c>
      <c r="P17" s="14">
        <f t="shared" si="33"/>
        <v>12.183384776222468</v>
      </c>
      <c r="Q17" s="22">
        <f t="shared" si="2"/>
        <v>92.101215593440472</v>
      </c>
      <c r="R17" s="62">
        <f t="shared" si="0"/>
        <v>294.13107736571368</v>
      </c>
      <c r="S17" s="62">
        <f ca="1">AVERAGE(OFFSET($R$3,0,0,'Données projet'!$E$9+1,1))-AVERAGE(OFFSET($H$3,0,0,'Données projet'!$E$9+1,1))</f>
        <v>301.2688576786212</v>
      </c>
      <c r="T17" s="62">
        <f t="shared" si="34"/>
        <v>417.62172165132927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6.5</v>
      </c>
      <c r="AI17" s="14">
        <f>IF('Données projet'!$A$62&gt;35,AI16+AH17-AQ16,IF(A17&lt;'Données projet'!$A$62,$AF$205^A17,IF(A17='Données projet'!$A$62,'Données projet'!$B$62,AI16+AH17-AQ16)))</f>
        <v>30.182857033756495</v>
      </c>
      <c r="AJ17" s="14">
        <f>AI17*VLOOKUP('Données projet'!$B$10,Paramètres!$A$1:$I$88,3,0)*VLOOKUP('Données projet'!$B$10,Paramètres!$A$1:$I$88,5,0)</f>
        <v>14.125577091798039</v>
      </c>
      <c r="AK17" s="14">
        <f t="shared" si="35"/>
        <v>4.7829687449278158</v>
      </c>
      <c r="AL17" s="22">
        <f t="shared" si="4"/>
        <v>32.932383998964205</v>
      </c>
      <c r="AM17" s="62">
        <f t="shared" si="5"/>
        <v>234.96224577123741</v>
      </c>
      <c r="AN17" s="62">
        <f ca="1">AVERAGE(OFFSET($AM$3,0,0,'Données projet'!$E$10+1,1))-AVERAGE(OFFSET($H$3,0,0,'Données projet'!$E$10+1,1))</f>
        <v>170.08673939431091</v>
      </c>
      <c r="AO17" s="62">
        <f t="shared" si="36"/>
        <v>252.97355497077106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projet'!$B$10,Paramètres!$A$1:$I$88,3,0)*0.475*44/12</f>
        <v>0</v>
      </c>
      <c r="AV17" s="23">
        <f>EXP(-LN(2)/25)*AV16+(1-EXP(-LN(2)/25))/(LN(2)/25)*Calculateur!AQ17*Calculateur!AS17*VLOOKUP('Données projet'!$B$10,Paramètres!$A$1:$I$88,3,0)*0.475*44/12</f>
        <v>0</v>
      </c>
      <c r="AW17" s="23">
        <f>EXP(-LN(2)/2)*AW16+(1-EXP(-LN(2)/2))/(LN(2)/2)*AQ17*AT17*VLOOKUP('Données projet'!$B$10,Paramètres!$A$1:$I$88,3,0)*0.475*44/12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2.1</v>
      </c>
      <c r="BD17" s="13">
        <f>IF('Données projet'!$A$88&gt;35,BD16+BC17-BL16,IF(A17&lt;'Données projet'!$A$88,$BA$205^A17,IF(A17='Données projet'!$A$88,'Données projet'!$B$88,BD16+BC17-BL16)))</f>
        <v>13.685935953338433</v>
      </c>
      <c r="BE17" s="14">
        <f>BD17*VLOOKUP('Données projet'!$B$11,Paramètres!$A$1:$I$88,3,0)*VLOOKUP('Données projet'!$B$11,Paramètres!$A$1:$I$88,5,0)</f>
        <v>12.383034850580612</v>
      </c>
      <c r="BF17" s="14">
        <f t="shared" si="37"/>
        <v>4.2576904771143838</v>
      </c>
      <c r="BG17" s="22">
        <f t="shared" si="7"/>
        <v>28.982596612402116</v>
      </c>
      <c r="BH17" s="62">
        <f t="shared" si="8"/>
        <v>231.01245838467531</v>
      </c>
      <c r="BI17" s="62">
        <f ca="1">AVERAGE(OFFSET($BH$3,0,0,'Données projet'!$E$11+1,1))-AVERAGE(OFFSET($H$3,0,0,'Données projet'!$E$11+1,1))</f>
        <v>362.63718589694594</v>
      </c>
      <c r="BJ17" s="62">
        <f t="shared" si="38"/>
        <v>250.47702091764884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projet'!$B$11,Paramètres!$A$1:$I$88,3,0)*0.475*44/12</f>
        <v>0</v>
      </c>
      <c r="BQ17" s="23">
        <f>EXP(-LN(2)/25)*BQ16+(1-EXP(-LN(2)/25))/(LN(2)/25)*Calculateur!BL17*Calculateur!BN17*VLOOKUP('Données projet'!$B$11,Paramètres!$A$1:$I$88,3,0)*0.475*44/12</f>
        <v>0</v>
      </c>
      <c r="BR17" s="23">
        <f>EXP(-LN(2)/2)*BR16+(1-EXP(-LN(2)/2))/(LN(2)/2)*BL17*BO17*VLOOKUP('Données projet'!$B$11,Paramètres!$A$1:$I$88,3,0)*0.475*44/12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2.1</v>
      </c>
      <c r="BY17" s="13">
        <f>IF('Données projet'!$A$114&gt;35,BY16+BX17-CG16,IF(A17&lt;'Données projet'!$A$114,$BV$205^A17,IF(A17='Données projet'!$A$114,'Données projet'!$B$114,BY16+BX17-CG16)))</f>
        <v>13.685935953338433</v>
      </c>
      <c r="BZ17" s="14">
        <f>BY17*VLOOKUP('Données projet'!$B$12,Paramètres!$A$1:$I$88,3,0)*VLOOKUP('Données projet'!$B$12,Paramètres!$A$1:$I$88,5,0)</f>
        <v>13.877539056685173</v>
      </c>
      <c r="CA17" s="14">
        <f t="shared" si="39"/>
        <v>4.7086819085950955</v>
      </c>
      <c r="CB17" s="22">
        <f t="shared" si="10"/>
        <v>32.371001514529802</v>
      </c>
      <c r="CC17" s="62">
        <f t="shared" si="11"/>
        <v>234.400863286803</v>
      </c>
      <c r="CD17" s="62">
        <f ca="1">AVERAGE(OFFSET($CC$3,0,0,'Données projet'!$E$12+1,1))-AVERAGE(OFFSET($H$3,0,0,'Données projet'!$E$12+1,1))</f>
        <v>398.14524781940196</v>
      </c>
      <c r="CE17" s="62">
        <f t="shared" si="40"/>
        <v>273.35778700650792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projet'!$B$12,Paramètres!$A$1:$I$88,3,0)*0.475*44/12</f>
        <v>0</v>
      </c>
      <c r="CL17" s="23">
        <f>EXP(-LN(2)/25)*CL16+(1-EXP(-LN(2)/25))/(LN(2)/25)*Calculateur!CG17*Calculateur!CI17*VLOOKUP('Données projet'!$B$12,Paramètres!$A$1:$I$88,3,0)*0.475*44/12</f>
        <v>0</v>
      </c>
      <c r="CM17" s="23">
        <f>EXP(-LN(2)/2)*CM16+(1-EXP(-LN(2)/2))/(LN(2)/2)*CG17*CJ17*VLOOKUP('Données projet'!$B$12,Paramètres!$A$1:$I$88,3,0)*0.475*44/12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1.6</v>
      </c>
      <c r="CT17" s="13">
        <f>IF('Données projet'!$A$140&gt;35,CT16+CS17-DB16,IF(A17&lt;'Données projet'!$A$140,$CQ$205^A17,IF(A17='Données projet'!$A$140,'Données projet'!$B$140,CT16+CS17-DB16)))</f>
        <v>11.313708498984752</v>
      </c>
      <c r="CU17" s="18">
        <f>CT17*VLOOKUP('Données projet'!$B$13,Paramètres!$A$1:$I$88,3,0)*VLOOKUP('Données projet'!$B$13,Paramètres!$A$1:$I$88,5,0)</f>
        <v>10.766125007633891</v>
      </c>
      <c r="CV17" s="14">
        <f t="shared" si="41"/>
        <v>3.7625282272679526</v>
      </c>
      <c r="CW17" s="22">
        <f t="shared" si="13"/>
        <v>25.304071050787371</v>
      </c>
      <c r="CX17" s="62">
        <f t="shared" si="14"/>
        <v>227.33393282306056</v>
      </c>
      <c r="CY17" s="62">
        <f ca="1">AVERAGE(OFFSET($CX$3,0,0,'Données projet'!$E$13+1,1))-AVERAGE(OFFSET($H$3,0,0,'Données projet'!$E$13+1,1))</f>
        <v>470.0521927195926</v>
      </c>
      <c r="CZ17" s="62">
        <f t="shared" si="42"/>
        <v>299.27200854723435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projet'!$B$13,Paramètres!$A$1:$I$88,3,0)*0.475*44/12</f>
        <v>0</v>
      </c>
      <c r="DG17" s="23">
        <f>EXP(-LN(2)/25)*DG16+(1-EXP(-LN(2)/25))/(LN(2)/25)*Calculateur!DB17*Calculateur!DD17*VLOOKUP('Données projet'!$B$13,Paramètres!$A$1:$I$88,3,0)*0.475*44/12</f>
        <v>0</v>
      </c>
      <c r="DH17" s="23">
        <f>EXP(-LN(2)/2)*DH16+(1-EXP(-LN(2)/2))/(LN(2)/2)*DB17*DE17*VLOOKUP('Données projet'!$B$13,Paramètres!$A$1:$I$88,3,0)*0.475*44/12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1.2</v>
      </c>
      <c r="DO17" s="13">
        <f>IF('Données projet'!$A$166&gt;35,DO16+DN17-DW16,IF(A17&lt;'Données projet'!$A$166,$DL$205^A17,IF(A17='Données projet'!$A$166,'Données projet'!$B$166,DO16+DN17-DW16)))</f>
        <v>6.7171941741218459</v>
      </c>
      <c r="DP17" s="18">
        <f>DO17*VLOOKUP('Données projet'!$B$14,Paramètres!$A$1:$I$88,3,0)*VLOOKUP('Données projet'!$B$14,Paramètres!$A$1:$I$88,5,0)</f>
        <v>6.4968702052106497</v>
      </c>
      <c r="DQ17" s="14">
        <f t="shared" si="43"/>
        <v>2.4080055723865681</v>
      </c>
      <c r="DR17" s="22">
        <f t="shared" si="16"/>
        <v>15.509325312648487</v>
      </c>
      <c r="DS17" s="62">
        <f t="shared" si="17"/>
        <v>217.53918708492168</v>
      </c>
      <c r="DT17" s="62">
        <f ca="1">AVERAGE(OFFSET($DS$3,0,0,'Données projet'!$E$14+1,1))-AVERAGE(OFFSET($H$3,0,0,'Données projet'!$E$14+1,1))</f>
        <v>290.89727102147953</v>
      </c>
      <c r="DU17" s="62">
        <f t="shared" si="44"/>
        <v>173.19148969173838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projet'!$B$14,Paramètres!$A$1:$I$88,3,0)*0.475*44/12</f>
        <v>0</v>
      </c>
      <c r="EB17" s="23">
        <f>EXP(-LN(2)/25)*EB16+(1-EXP(-LN(2)/25))/(LN(2)/25)*Calculateur!DW17*Calculateur!DY17*VLOOKUP('Données projet'!$B$14,Paramètres!$A$1:$I$88,3,0)*0.475*44/12</f>
        <v>0</v>
      </c>
      <c r="EC17" s="23">
        <f>EXP(-LN(2)/2)*EC16+(1-EXP(-LN(2)/2))/(LN(2)/2)*DW17*DZ17*VLOOKUP('Données projet'!$B$14,Paramètres!$A$1:$I$88,3,0)*0.475*44/12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projet'!$B$15,Paramètres!$A$1:$I$88,3,0)*VLOOKUP('Données projet'!$B$15,Paramètres!$A$1:$I$88,5,0)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projet'!$B$15,Paramètres!$A$1:$I$88,3,0)*0.475*44/12</f>
        <v>#N/A</v>
      </c>
      <c r="EW17" s="23" t="e">
        <f>EXP(-LN(2)/25)*EW16+(1-EXP(-LN(2)/25))/(LN(2)/25)*Calculateur!ER17*Calculateur!ET17*VLOOKUP('Données projet'!$B$15,Paramètres!$A$1:$I$88,3,0)*0.475*44/12</f>
        <v>#N/A</v>
      </c>
      <c r="EX17" s="23" t="e">
        <f>EXP(-LN(2)/2)*EX16+(1-EXP(-LN(2)/2))/(LN(2)/2)*ER17*EU17*VLOOKUP('Données projet'!$B$15,Paramètres!$A$1:$I$88,3,0)*0.475*44/12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projet'!$B$16,Paramètres!$A$1:$I$88,3,0)*VLOOKUP('Données projet'!$B$16,Paramètres!$A$1:$I$88,5,0)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projet'!$B$16,Paramètres!$A$1:$I$88,3,0)*0.475*44/12</f>
        <v>#N/A</v>
      </c>
      <c r="FR17" s="23" t="e">
        <f>EXP(-LN(2)/25)*FR16+(1-EXP(-LN(2)/25))/(LN(2)/25)*Calculateur!FM17*Calculateur!FO17*VLOOKUP('Données projet'!$B$16,Paramètres!$A$1:$I$88,3,0)*0.475*44/12</f>
        <v>#N/A</v>
      </c>
      <c r="FS17" s="23" t="e">
        <f>EXP(-LN(2)/2)*FS16+(1-EXP(-LN(2)/2))/(LN(2)/2)*FM17*FP17*VLOOKUP('Données projet'!$B$16,Paramètres!$A$1:$I$88,3,0)*0.475*44/12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projet'!$B$17,Paramètres!$A$1:$I$88,3,0)*VLOOKUP('Données projet'!$B$17,Paramètres!$A$1:$I$88,5,0)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projet'!$B$17,Paramètres!$A$1:$I$88,3,0)*0.475*44/12</f>
        <v>#N/A</v>
      </c>
      <c r="GM17" s="23" t="e">
        <f>EXP(-LN(2)/25)*GM16+(1-EXP(-LN(2)/25))/(LN(2)/25)*Calculateur!GH17*Calculateur!GJ17*VLOOKUP('Données projet'!$B$17,Paramètres!$A$1:$I$88,3,0)*0.475*44/12</f>
        <v>#N/A</v>
      </c>
      <c r="GN17" s="23" t="e">
        <f>EXP(-LN(2)/2)*GN16+(1-EXP(-LN(2)/2))/(LN(2)/2)*GH17*GK17*VLOOKUP('Données projet'!$B$17,Paramètres!$A$1:$I$88,3,0)*0.475*44/12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projet'!$B$18,Paramètres!$A$1:$I$88,3,0)*VLOOKUP('Données projet'!$B$18,Paramètres!$A$1:$I$88,5,0)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projet'!$B$18,Paramètres!$A$1:$I$88,3,0)*0.475*44/12</f>
        <v>#N/A</v>
      </c>
      <c r="HH17" s="23" t="e">
        <f>EXP(-LN(2)/25)*HH16+(1-EXP(-LN(2)/25))/(LN(2)/25)*Calculateur!HC17*Calculateur!HE17*VLOOKUP('Données projet'!$B$18,Paramètres!$A$1:$I$88,3,0)*0.475*44/12</f>
        <v>#N/A</v>
      </c>
      <c r="HI17" s="23" t="e">
        <f>EXP(-LN(2)/2)*HI16+(1-EXP(-LN(2)/2))/(LN(2)/2)*HC17*HF17*VLOOKUP('Données projet'!$B$18,Paramètres!$A$1:$I$88,3,0)*0.475*44/12</f>
        <v>#N/A</v>
      </c>
      <c r="HJ17" s="24" t="e">
        <f t="shared" si="30"/>
        <v>#N/A</v>
      </c>
    </row>
    <row r="18" spans="1:218" s="5" customFormat="1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92</v>
      </c>
      <c r="L18" s="13">
        <f>VLOOKUP(A18,'Données projet'!$A$35:$I$55,9,0)</f>
        <v>6.1333333333333337</v>
      </c>
      <c r="M18" s="13">
        <f t="array" ref="M18">INDEX(L:L,MIN(IF(ISNUMBER(L18:L214),ROW(L18:L214),"")))</f>
        <v>6.1333333333333337</v>
      </c>
      <c r="N18" s="14">
        <f>IF('Données projet'!$A$36&gt;35,N17+M18-V17,IF(A18&lt;'Données projet'!$A$36,$K$205^A18,IF(A18='Données projet'!$A$36,'Données projet'!$B$36,N17+M18-V17)))</f>
        <v>92</v>
      </c>
      <c r="O18" s="14">
        <f>N18*VLOOKUP('Données projet'!$B$9,Paramètres!$A$1:$I$88,3,0)*VLOOKUP('Données projet'!$B$9,Paramètres!$A$1:$I$88,5,0)</f>
        <v>55.016000000000005</v>
      </c>
      <c r="P18" s="14">
        <f t="shared" si="33"/>
        <v>15.901868409640327</v>
      </c>
      <c r="Q18" s="22">
        <f t="shared" si="2"/>
        <v>123.51528748012358</v>
      </c>
      <c r="R18" s="62">
        <f t="shared" si="0"/>
        <v>328.01203741300463</v>
      </c>
      <c r="S18" s="62">
        <f ca="1">AVERAGE(OFFSET($R$3,0,0,'Données projet'!$E$9+1,1))-AVERAGE(OFFSET($H$3,0,0,'Données projet'!$E$9+1,1))</f>
        <v>301.2688576786212</v>
      </c>
      <c r="T18" s="62">
        <f t="shared" si="34"/>
        <v>417.62172165132927</v>
      </c>
      <c r="U18" s="16">
        <f>IF(ISNA(VLOOKUP(A18,'Données projet'!$A$35:$I$55,3,0)),0,VLOOKUP(A18,'Données projet'!$A$35:$I$55,3,0))</f>
        <v>1</v>
      </c>
      <c r="V18" s="16">
        <f>IF(ISNA(VLOOKUP(A18,'Données projet'!$A$35:$I$55,4,0)),0,VLOOKUP(A18,'Données projet'!$A$35:$I$55,4,0))</f>
        <v>4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0.25200000000000006</v>
      </c>
      <c r="Y18" s="17">
        <f>IF(ISNA(VLOOKUP(A18,'Données projet'!$A$35:$I$55,7,0)),0%,VLOOKUP(A18,'Données projet'!$A$35:$I$55,7,0))</f>
        <v>0.44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0.79648337351443244</v>
      </c>
      <c r="AB18" s="23">
        <f>EXP(-LN(2)/2)*AB17+(1-EXP(-LN(2)/2))/(LN(2)/2)*V18*Y18*VLOOKUP('Données projet'!$B$9,Paramètres!$A$1:$I$88,3,0)*0.475*44/12</f>
        <v>1.1916518485006549</v>
      </c>
      <c r="AC18" s="24">
        <f t="shared" si="3"/>
        <v>1.9881352220150874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6.5</v>
      </c>
      <c r="AI18" s="14">
        <f>IF('Données projet'!$A$62&gt;35,AI17+AH18-AQ17,IF(A18&lt;'Données projet'!$A$62,$AF$205^A18,IF(A18='Données projet'!$A$62,'Données projet'!$B$62,AI17+AH18-AQ17)))</f>
        <v>38.499714968151096</v>
      </c>
      <c r="AJ18" s="14">
        <f>AI18*VLOOKUP('Données projet'!$B$10,Paramètres!$A$1:$I$88,3,0)*VLOOKUP('Données projet'!$B$10,Paramètres!$A$1:$I$88,5,0)</f>
        <v>18.017866605094714</v>
      </c>
      <c r="AK18" s="14">
        <f t="shared" si="35"/>
        <v>5.9305034135608254</v>
      </c>
      <c r="AL18" s="22">
        <f t="shared" si="4"/>
        <v>41.71007778249173</v>
      </c>
      <c r="AM18" s="62">
        <f t="shared" si="5"/>
        <v>246.20682771537278</v>
      </c>
      <c r="AN18" s="62">
        <f ca="1">AVERAGE(OFFSET($AM$3,0,0,'Données projet'!$E$10+1,1))-AVERAGE(OFFSET($H$3,0,0,'Données projet'!$E$10+1,1))</f>
        <v>170.08673939431091</v>
      </c>
      <c r="AO18" s="62">
        <f t="shared" si="36"/>
        <v>252.97355497077106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projet'!$B$10,Paramètres!$A$1:$I$88,3,0)*0.475*44/12</f>
        <v>0</v>
      </c>
      <c r="AV18" s="23">
        <f>EXP(-LN(2)/25)*AV17+(1-EXP(-LN(2)/25))/(LN(2)/25)*Calculateur!AQ18*Calculateur!AS18*VLOOKUP('Données projet'!$B$10,Paramètres!$A$1:$I$88,3,0)*0.475*44/12</f>
        <v>0</v>
      </c>
      <c r="AW18" s="23">
        <f>EXP(-LN(2)/2)*AW17+(1-EXP(-LN(2)/2))/(LN(2)/2)*AQ18*AT18*VLOOKUP('Données projet'!$B$10,Paramètres!$A$1:$I$88,3,0)*0.475*44/12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2.1</v>
      </c>
      <c r="BD18" s="13">
        <f>IF('Données projet'!$A$88&gt;35,BD17+BC18-BL17,IF(A18&lt;'Données projet'!$A$88,$BA$205^A18,IF(A18='Données projet'!$A$88,'Données projet'!$B$88,BD17+BC18-BL17)))</f>
        <v>16.498215337821566</v>
      </c>
      <c r="BE18" s="14">
        <f>BD18*VLOOKUP('Données projet'!$B$11,Paramètres!$A$1:$I$88,3,0)*VLOOKUP('Données projet'!$B$11,Paramètres!$A$1:$I$88,5,0)</f>
        <v>14.927585237660953</v>
      </c>
      <c r="BF18" s="14">
        <f t="shared" si="37"/>
        <v>5.0221449106318534</v>
      </c>
      <c r="BG18" s="22">
        <f t="shared" si="7"/>
        <v>34.745780008276633</v>
      </c>
      <c r="BH18" s="62">
        <f t="shared" si="8"/>
        <v>239.24252994115767</v>
      </c>
      <c r="BI18" s="62">
        <f ca="1">AVERAGE(OFFSET($BH$3,0,0,'Données projet'!$E$11+1,1))-AVERAGE(OFFSET($H$3,0,0,'Données projet'!$E$11+1,1))</f>
        <v>362.63718589694594</v>
      </c>
      <c r="BJ18" s="62">
        <f t="shared" si="38"/>
        <v>250.47702091764884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projet'!$B$11,Paramètres!$A$1:$I$88,3,0)*0.475*44/12</f>
        <v>0</v>
      </c>
      <c r="BQ18" s="23">
        <f>EXP(-LN(2)/25)*BQ17+(1-EXP(-LN(2)/25))/(LN(2)/25)*Calculateur!BL18*Calculateur!BN18*VLOOKUP('Données projet'!$B$11,Paramètres!$A$1:$I$88,3,0)*0.475*44/12</f>
        <v>0</v>
      </c>
      <c r="BR18" s="23">
        <f>EXP(-LN(2)/2)*BR17+(1-EXP(-LN(2)/2))/(LN(2)/2)*BL18*BO18*VLOOKUP('Données projet'!$B$11,Paramètres!$A$1:$I$88,3,0)*0.475*44/12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2.1</v>
      </c>
      <c r="BY18" s="13">
        <f>IF('Données projet'!$A$114&gt;35,BY17+BX18-CG17,IF(A18&lt;'Données projet'!$A$114,$BV$205^A18,IF(A18='Données projet'!$A$114,'Données projet'!$B$114,BY17+BX18-CG17)))</f>
        <v>16.498215337821566</v>
      </c>
      <c r="BZ18" s="14">
        <f>BY18*VLOOKUP('Données projet'!$B$12,Paramètres!$A$1:$I$88,3,0)*VLOOKUP('Données projet'!$B$12,Paramètres!$A$1:$I$88,5,0)</f>
        <v>16.729190352551068</v>
      </c>
      <c r="CA18" s="14">
        <f t="shared" si="39"/>
        <v>5.5541103821765283</v>
      </c>
      <c r="CB18" s="22">
        <f t="shared" si="10"/>
        <v>38.810082112983899</v>
      </c>
      <c r="CC18" s="62">
        <f t="shared" si="11"/>
        <v>243.30683204586495</v>
      </c>
      <c r="CD18" s="62">
        <f ca="1">AVERAGE(OFFSET($CC$3,0,0,'Données projet'!$E$12+1,1))-AVERAGE(OFFSET($H$3,0,0,'Données projet'!$E$12+1,1))</f>
        <v>398.14524781940196</v>
      </c>
      <c r="CE18" s="62">
        <f t="shared" si="40"/>
        <v>273.35778700650792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projet'!$B$12,Paramètres!$A$1:$I$88,3,0)*0.475*44/12</f>
        <v>0</v>
      </c>
      <c r="CL18" s="23">
        <f>EXP(-LN(2)/25)*CL17+(1-EXP(-LN(2)/25))/(LN(2)/25)*Calculateur!CG18*Calculateur!CI18*VLOOKUP('Données projet'!$B$12,Paramètres!$A$1:$I$88,3,0)*0.475*44/12</f>
        <v>0</v>
      </c>
      <c r="CM18" s="23">
        <f>EXP(-LN(2)/2)*CM17+(1-EXP(-LN(2)/2))/(LN(2)/2)*CG18*CJ18*VLOOKUP('Données projet'!$B$12,Paramètres!$A$1:$I$88,3,0)*0.475*44/12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1.6</v>
      </c>
      <c r="CT18" s="13">
        <f>IF('Données projet'!$A$140&gt;35,CT17+CS18-DB17,IF(A18&lt;'Données projet'!$A$140,$CQ$205^A18,IF(A18='Données projet'!$A$140,'Données projet'!$B$140,CT17+CS18-DB17)))</f>
        <v>13.454342644059421</v>
      </c>
      <c r="CU18" s="18">
        <f>CT18*VLOOKUP('Données projet'!$B$13,Paramètres!$A$1:$I$88,3,0)*VLOOKUP('Données projet'!$B$13,Paramètres!$A$1:$I$88,5,0)</f>
        <v>12.803152460086945</v>
      </c>
      <c r="CV18" s="14">
        <f t="shared" si="41"/>
        <v>4.3850776970664018</v>
      </c>
      <c r="CW18" s="22">
        <f t="shared" si="13"/>
        <v>29.936167523708747</v>
      </c>
      <c r="CX18" s="62">
        <f t="shared" si="14"/>
        <v>234.43291745658979</v>
      </c>
      <c r="CY18" s="62">
        <f ca="1">AVERAGE(OFFSET($CX$3,0,0,'Données projet'!$E$13+1,1))-AVERAGE(OFFSET($H$3,0,0,'Données projet'!$E$13+1,1))</f>
        <v>470.0521927195926</v>
      </c>
      <c r="CZ18" s="62">
        <f t="shared" si="42"/>
        <v>299.27200854723435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projet'!$B$13,Paramètres!$A$1:$I$88,3,0)*0.475*44/12</f>
        <v>0</v>
      </c>
      <c r="DG18" s="23">
        <f>EXP(-LN(2)/25)*DG17+(1-EXP(-LN(2)/25))/(LN(2)/25)*Calculateur!DB18*Calculateur!DD18*VLOOKUP('Données projet'!$B$13,Paramètres!$A$1:$I$88,3,0)*0.475*44/12</f>
        <v>0</v>
      </c>
      <c r="DH18" s="23">
        <f>EXP(-LN(2)/2)*DH17+(1-EXP(-LN(2)/2))/(LN(2)/2)*DB18*DE18*VLOOKUP('Données projet'!$B$13,Paramètres!$A$1:$I$88,3,0)*0.475*44/12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1.2</v>
      </c>
      <c r="DO18" s="13">
        <f>IF('Données projet'!$A$166&gt;35,DO17+DN18-DW17,IF(A18&lt;'Données projet'!$A$166,$DL$205^A18,IF(A18='Données projet'!$A$166,'Données projet'!$B$166,DO17+DN18-DW17)))</f>
        <v>7.6961363407260848</v>
      </c>
      <c r="DP18" s="18">
        <f>DO18*VLOOKUP('Données projet'!$B$14,Paramètres!$A$1:$I$88,3,0)*VLOOKUP('Données projet'!$B$14,Paramètres!$A$1:$I$88,5,0)</f>
        <v>7.4437030687502697</v>
      </c>
      <c r="DQ18" s="14">
        <f t="shared" si="43"/>
        <v>2.7155941298840056</v>
      </c>
      <c r="DR18" s="22">
        <f t="shared" si="16"/>
        <v>17.694109287621362</v>
      </c>
      <c r="DS18" s="62">
        <f t="shared" si="17"/>
        <v>222.1908592205024</v>
      </c>
      <c r="DT18" s="62">
        <f ca="1">AVERAGE(OFFSET($DS$3,0,0,'Données projet'!$E$14+1,1))-AVERAGE(OFFSET($H$3,0,0,'Données projet'!$E$14+1,1))</f>
        <v>290.89727102147953</v>
      </c>
      <c r="DU18" s="62">
        <f t="shared" si="44"/>
        <v>173.19148969173838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projet'!$B$14,Paramètres!$A$1:$I$88,3,0)*0.475*44/12</f>
        <v>0</v>
      </c>
      <c r="EB18" s="23">
        <f>EXP(-LN(2)/25)*EB17+(1-EXP(-LN(2)/25))/(LN(2)/25)*Calculateur!DW18*Calculateur!DY18*VLOOKUP('Données projet'!$B$14,Paramètres!$A$1:$I$88,3,0)*0.475*44/12</f>
        <v>0</v>
      </c>
      <c r="EC18" s="23">
        <f>EXP(-LN(2)/2)*EC17+(1-EXP(-LN(2)/2))/(LN(2)/2)*DW18*DZ18*VLOOKUP('Données projet'!$B$14,Paramètres!$A$1:$I$88,3,0)*0.475*44/12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projet'!$B$15,Paramètres!$A$1:$I$88,3,0)*VLOOKUP('Données projet'!$B$15,Paramètres!$A$1:$I$88,5,0)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projet'!$B$15,Paramètres!$A$1:$I$88,3,0)*0.475*44/12</f>
        <v>#N/A</v>
      </c>
      <c r="EW18" s="23" t="e">
        <f>EXP(-LN(2)/25)*EW17+(1-EXP(-LN(2)/25))/(LN(2)/25)*Calculateur!ER18*Calculateur!ET18*VLOOKUP('Données projet'!$B$15,Paramètres!$A$1:$I$88,3,0)*0.475*44/12</f>
        <v>#N/A</v>
      </c>
      <c r="EX18" s="23" t="e">
        <f>EXP(-LN(2)/2)*EX17+(1-EXP(-LN(2)/2))/(LN(2)/2)*ER18*EU18*VLOOKUP('Données projet'!$B$15,Paramètres!$A$1:$I$88,3,0)*0.475*44/12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projet'!$B$16,Paramètres!$A$1:$I$88,3,0)*VLOOKUP('Données projet'!$B$16,Paramètres!$A$1:$I$88,5,0)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projet'!$B$16,Paramètres!$A$1:$I$88,3,0)*0.475*44/12</f>
        <v>#N/A</v>
      </c>
      <c r="FR18" s="23" t="e">
        <f>EXP(-LN(2)/25)*FR17+(1-EXP(-LN(2)/25))/(LN(2)/25)*Calculateur!FM18*Calculateur!FO18*VLOOKUP('Données projet'!$B$16,Paramètres!$A$1:$I$88,3,0)*0.475*44/12</f>
        <v>#N/A</v>
      </c>
      <c r="FS18" s="23" t="e">
        <f>EXP(-LN(2)/2)*FS17+(1-EXP(-LN(2)/2))/(LN(2)/2)*FM18*FP18*VLOOKUP('Données projet'!$B$16,Paramètres!$A$1:$I$88,3,0)*0.475*44/12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projet'!$B$17,Paramètres!$A$1:$I$88,3,0)*VLOOKUP('Données projet'!$B$17,Paramètres!$A$1:$I$88,5,0)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projet'!$B$17,Paramètres!$A$1:$I$88,3,0)*0.475*44/12</f>
        <v>#N/A</v>
      </c>
      <c r="GM18" s="23" t="e">
        <f>EXP(-LN(2)/25)*GM17+(1-EXP(-LN(2)/25))/(LN(2)/25)*Calculateur!GH18*Calculateur!GJ18*VLOOKUP('Données projet'!$B$17,Paramètres!$A$1:$I$88,3,0)*0.475*44/12</f>
        <v>#N/A</v>
      </c>
      <c r="GN18" s="23" t="e">
        <f>EXP(-LN(2)/2)*GN17+(1-EXP(-LN(2)/2))/(LN(2)/2)*GH18*GK18*VLOOKUP('Données projet'!$B$17,Paramètres!$A$1:$I$88,3,0)*0.475*44/12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projet'!$B$18,Paramètres!$A$1:$I$88,3,0)*VLOOKUP('Données projet'!$B$18,Paramètres!$A$1:$I$88,5,0)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projet'!$B$18,Paramètres!$A$1:$I$88,3,0)*0.475*44/12</f>
        <v>#N/A</v>
      </c>
      <c r="HH18" s="23" t="e">
        <f>EXP(-LN(2)/25)*HH17+(1-EXP(-LN(2)/25))/(LN(2)/25)*Calculateur!HC18*Calculateur!HE18*VLOOKUP('Données projet'!$B$18,Paramètres!$A$1:$I$88,3,0)*0.475*44/12</f>
        <v>#N/A</v>
      </c>
      <c r="HI18" s="23" t="e">
        <f>EXP(-LN(2)/2)*HI17+(1-EXP(-LN(2)/2))/(LN(2)/2)*HC18*HF18*VLOOKUP('Données projet'!$B$18,Paramètres!$A$1:$I$88,3,0)*0.475*44/12</f>
        <v>#N/A</v>
      </c>
      <c r="HJ18" s="24" t="e">
        <f t="shared" si="30"/>
        <v>#N/A</v>
      </c>
    </row>
    <row r="19" spans="1:218" s="5" customFormat="1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18.399999999999999</v>
      </c>
      <c r="N19" s="14">
        <f>IF('Données projet'!$A$36&gt;35,N18+M19-V18,IF(A19&lt;'Données projet'!$A$36,$K$205^A19,IF(A19='Données projet'!$A$36,'Données projet'!$B$36,N18+M19-V18)))</f>
        <v>106.4</v>
      </c>
      <c r="O19" s="14">
        <f>N19*VLOOKUP('Données projet'!$B$9,Paramètres!$A$1:$I$88,3,0)*VLOOKUP('Données projet'!$B$9,Paramètres!$A$1:$I$88,5,0)</f>
        <v>63.627200000000009</v>
      </c>
      <c r="P19" s="14">
        <f t="shared" si="33"/>
        <v>18.082182721748126</v>
      </c>
      <c r="Q19" s="22">
        <f t="shared" si="2"/>
        <v>142.310508240378</v>
      </c>
      <c r="R19" s="62">
        <f t="shared" si="0"/>
        <v>349.25255416249206</v>
      </c>
      <c r="S19" s="62">
        <f ca="1">AVERAGE(OFFSET($R$3,0,0,'Données projet'!$E$9+1,1))-AVERAGE(OFFSET($H$3,0,0,'Données projet'!$E$9+1,1))</f>
        <v>301.2688576786212</v>
      </c>
      <c r="T19" s="62">
        <f t="shared" si="34"/>
        <v>417.62172165132927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0.77470349378044001</v>
      </c>
      <c r="AB19" s="23">
        <f>EXP(-LN(2)/2)*AB18+(1-EXP(-LN(2)/2))/(LN(2)/2)*V19*Y19*VLOOKUP('Données projet'!$B$9,Paramètres!$A$1:$I$88,3,0)*0.475*44/12</f>
        <v>0.84262510288829751</v>
      </c>
      <c r="AC19" s="24">
        <f t="shared" si="3"/>
        <v>1.6173285966687376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6.5</v>
      </c>
      <c r="AI19" s="14">
        <f>IF('Données projet'!$A$62&gt;35,AI18+AH19-AQ18,IF(A19&lt;'Données projet'!$A$62,$AF$205^A19,IF(A19='Données projet'!$A$62,'Données projet'!$B$62,AI18+AH19-AQ18)))</f>
        <v>49.108275302472357</v>
      </c>
      <c r="AJ19" s="14">
        <f>AI19*VLOOKUP('Données projet'!$B$10,Paramètres!$A$1:$I$88,3,0)*VLOOKUP('Données projet'!$B$10,Paramètres!$A$1:$I$88,5,0)</f>
        <v>22.982672841557061</v>
      </c>
      <c r="AK19" s="14">
        <f t="shared" si="35"/>
        <v>7.3533557532764968</v>
      </c>
      <c r="AL19" s="22">
        <f t="shared" si="4"/>
        <v>52.835249802668443</v>
      </c>
      <c r="AM19" s="62">
        <f t="shared" si="5"/>
        <v>259.7772957247825</v>
      </c>
      <c r="AN19" s="62">
        <f ca="1">AVERAGE(OFFSET($AM$3,0,0,'Données projet'!$E$10+1,1))-AVERAGE(OFFSET($H$3,0,0,'Données projet'!$E$10+1,1))</f>
        <v>170.08673939431091</v>
      </c>
      <c r="AO19" s="62">
        <f t="shared" si="36"/>
        <v>252.97355497077106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projet'!$B$10,Paramètres!$A$1:$I$88,3,0)*0.475*44/12</f>
        <v>0</v>
      </c>
      <c r="AV19" s="23">
        <f>EXP(-LN(2)/25)*AV18+(1-EXP(-LN(2)/25))/(LN(2)/25)*Calculateur!AQ19*Calculateur!AS19*VLOOKUP('Données projet'!$B$10,Paramètres!$A$1:$I$88,3,0)*0.475*44/12</f>
        <v>0</v>
      </c>
      <c r="AW19" s="23">
        <f>EXP(-LN(2)/2)*AW18+(1-EXP(-LN(2)/2))/(LN(2)/2)*AQ19*AT19*VLOOKUP('Données projet'!$B$10,Paramètres!$A$1:$I$88,3,0)*0.475*44/12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2.1</v>
      </c>
      <c r="BD19" s="13">
        <f>IF('Données projet'!$A$88&gt;35,BD18+BC19-BL18,IF(A19&lt;'Données projet'!$A$88,$BA$205^A19,IF(A19='Données projet'!$A$88,'Données projet'!$B$88,BD18+BC19-BL18)))</f>
        <v>19.888381054913147</v>
      </c>
      <c r="BE19" s="14">
        <f>BD19*VLOOKUP('Données projet'!$B$11,Paramètres!$A$1:$I$88,3,0)*VLOOKUP('Données projet'!$B$11,Paramètres!$A$1:$I$88,5,0)</f>
        <v>17.995007178485412</v>
      </c>
      <c r="BF19" s="14">
        <f t="shared" si="37"/>
        <v>5.9238546434872337</v>
      </c>
      <c r="BG19" s="22">
        <f t="shared" si="7"/>
        <v>41.658684339935689</v>
      </c>
      <c r="BH19" s="62">
        <f t="shared" si="8"/>
        <v>248.60073026204975</v>
      </c>
      <c r="BI19" s="62">
        <f ca="1">AVERAGE(OFFSET($BH$3,0,0,'Données projet'!$E$11+1,1))-AVERAGE(OFFSET($H$3,0,0,'Données projet'!$E$11+1,1))</f>
        <v>362.63718589694594</v>
      </c>
      <c r="BJ19" s="62">
        <f t="shared" si="38"/>
        <v>250.47702091764884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projet'!$B$11,Paramètres!$A$1:$I$88,7,0))</f>
        <v>0</v>
      </c>
      <c r="BN19" s="17">
        <f>IF(ISNA(VLOOKUP(A19,'Données projet'!$A$87:$I$107,6,0)),0%,VLOOKUP(A19,'Données projet'!$A$87:$I$107,6,0)*VLOOKUP('Données projet'!$B$11,Paramètres!$A$1:$I$88,7,0))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projet'!$B$11,Paramètres!$A$1:$I$88,3,0)*0.475*44/12</f>
        <v>0</v>
      </c>
      <c r="BQ19" s="23">
        <f>EXP(-LN(2)/25)*BQ18+(1-EXP(-LN(2)/25))/(LN(2)/25)*Calculateur!BL19*Calculateur!BN19*VLOOKUP('Données projet'!$B$11,Paramètres!$A$1:$I$88,3,0)*0.475*44/12</f>
        <v>0</v>
      </c>
      <c r="BR19" s="23">
        <f>EXP(-LN(2)/2)*BR18+(1-EXP(-LN(2)/2))/(LN(2)/2)*BL19*BO19*VLOOKUP('Données projet'!$B$11,Paramètres!$A$1:$I$88,3,0)*0.475*44/12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2.1</v>
      </c>
      <c r="BY19" s="13">
        <f>IF('Données projet'!$A$114&gt;35,BY18+BX19-CG18,IF(A19&lt;'Données projet'!$A$114,$BV$205^A19,IF(A19='Données projet'!$A$114,'Données projet'!$B$114,BY18+BX19-CG18)))</f>
        <v>19.888381054913147</v>
      </c>
      <c r="BZ19" s="14">
        <f>BY19*VLOOKUP('Données projet'!$B$12,Paramètres!$A$1:$I$88,3,0)*VLOOKUP('Données projet'!$B$12,Paramètres!$A$1:$I$88,5,0)</f>
        <v>20.166818389681932</v>
      </c>
      <c r="CA19" s="14">
        <f t="shared" si="39"/>
        <v>6.5513327797938032</v>
      </c>
      <c r="CB19" s="22">
        <f t="shared" si="10"/>
        <v>46.534113286836906</v>
      </c>
      <c r="CC19" s="62">
        <f t="shared" si="11"/>
        <v>253.47615920895097</v>
      </c>
      <c r="CD19" s="62">
        <f ca="1">AVERAGE(OFFSET($CC$3,0,0,'Données projet'!$E$12+1,1))-AVERAGE(OFFSET($H$3,0,0,'Données projet'!$E$12+1,1))</f>
        <v>398.14524781940196</v>
      </c>
      <c r="CE19" s="62">
        <f t="shared" si="40"/>
        <v>273.35778700650792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projet'!$B$12,Paramètres!$A$1:$I$88,3,0)*0.475*44/12</f>
        <v>0</v>
      </c>
      <c r="CL19" s="23">
        <f>EXP(-LN(2)/25)*CL18+(1-EXP(-LN(2)/25))/(LN(2)/25)*Calculateur!CG19*Calculateur!CI19*VLOOKUP('Données projet'!$B$12,Paramètres!$A$1:$I$88,3,0)*0.475*44/12</f>
        <v>0</v>
      </c>
      <c r="CM19" s="23">
        <f>EXP(-LN(2)/2)*CM18+(1-EXP(-LN(2)/2))/(LN(2)/2)*CG19*CJ19*VLOOKUP('Données projet'!$B$12,Paramètres!$A$1:$I$88,3,0)*0.475*44/12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1.6</v>
      </c>
      <c r="CT19" s="13">
        <f>IF('Données projet'!$A$140&gt;35,CT18+CS19-DB18,IF(A19&lt;'Données projet'!$A$140,$CQ$205^A19,IF(A19='Données projet'!$A$140,'Données projet'!$B$140,CT18+CS19-DB18)))</f>
        <v>15.999999999999986</v>
      </c>
      <c r="CU19" s="18">
        <f>CT19*VLOOKUP('Données projet'!$B$13,Paramètres!$A$1:$I$88,3,0)*VLOOKUP('Données projet'!$B$13,Paramètres!$A$1:$I$88,5,0)</f>
        <v>15.225599999999986</v>
      </c>
      <c r="CV19" s="14">
        <f t="shared" si="41"/>
        <v>5.1106344584879499</v>
      </c>
      <c r="CW19" s="22">
        <f t="shared" si="13"/>
        <v>35.418941681866485</v>
      </c>
      <c r="CX19" s="62">
        <f t="shared" si="14"/>
        <v>242.36098760398056</v>
      </c>
      <c r="CY19" s="62">
        <f ca="1">AVERAGE(OFFSET($CX$3,0,0,'Données projet'!$E$13+1,1))-AVERAGE(OFFSET($H$3,0,0,'Données projet'!$E$13+1,1))</f>
        <v>470.0521927195926</v>
      </c>
      <c r="CZ19" s="62">
        <f t="shared" si="42"/>
        <v>299.27200854723435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projet'!$B$13,Paramètres!$A$1:$I$88,7,0))</f>
        <v>0</v>
      </c>
      <c r="DD19" s="17">
        <f>IF(ISNA(VLOOKUP(A19,'Données projet'!$A$139:$I$159,6,0)),0%,VLOOKUP(A19,'Données projet'!$A$139:$I$159,6,0)*VLOOKUP('Données projet'!$B$13,Paramètres!$A$1:$I$88,7,0))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projet'!$B$13,Paramètres!$A$1:$I$88,3,0)*0.475*44/12</f>
        <v>0</v>
      </c>
      <c r="DG19" s="23">
        <f>EXP(-LN(2)/25)*DG18+(1-EXP(-LN(2)/25))/(LN(2)/25)*Calculateur!DB19*Calculateur!DD19*VLOOKUP('Données projet'!$B$13,Paramètres!$A$1:$I$88,3,0)*0.475*44/12</f>
        <v>0</v>
      </c>
      <c r="DH19" s="23">
        <f>EXP(-LN(2)/2)*DH18+(1-EXP(-LN(2)/2))/(LN(2)/2)*DB19*DE19*VLOOKUP('Données projet'!$B$13,Paramètres!$A$1:$I$88,3,0)*0.475*44/12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1.2</v>
      </c>
      <c r="DO19" s="13">
        <f>IF('Données projet'!$A$166&gt;35,DO18+DN19-DW18,IF(A19&lt;'Données projet'!$A$166,$DL$205^A19,IF(A19='Données projet'!$A$166,'Données projet'!$B$166,DO18+DN19-DW18)))</f>
        <v>8.8177463744060987</v>
      </c>
      <c r="DP19" s="18">
        <f>DO19*VLOOKUP('Données projet'!$B$14,Paramètres!$A$1:$I$88,3,0)*VLOOKUP('Données projet'!$B$14,Paramètres!$A$1:$I$88,5,0)</f>
        <v>8.528524293325578</v>
      </c>
      <c r="DQ19" s="14">
        <f t="shared" si="43"/>
        <v>3.0624727628647754</v>
      </c>
      <c r="DR19" s="22">
        <f t="shared" si="16"/>
        <v>20.187653206198199</v>
      </c>
      <c r="DS19" s="62">
        <f t="shared" si="17"/>
        <v>227.12969912831227</v>
      </c>
      <c r="DT19" s="62">
        <f ca="1">AVERAGE(OFFSET($DS$3,0,0,'Données projet'!$E$14+1,1))-AVERAGE(OFFSET($H$3,0,0,'Données projet'!$E$14+1,1))</f>
        <v>290.89727102147953</v>
      </c>
      <c r="DU19" s="62">
        <f t="shared" si="44"/>
        <v>173.19148969173838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projet'!$B$14,Paramètres!$A$1:$I$88,3,0)*0.475*44/12</f>
        <v>0</v>
      </c>
      <c r="EB19" s="23">
        <f>EXP(-LN(2)/25)*EB18+(1-EXP(-LN(2)/25))/(LN(2)/25)*Calculateur!DW19*Calculateur!DY19*VLOOKUP('Données projet'!$B$14,Paramètres!$A$1:$I$88,3,0)*0.475*44/12</f>
        <v>0</v>
      </c>
      <c r="EC19" s="23">
        <f>EXP(-LN(2)/2)*EC18+(1-EXP(-LN(2)/2))/(LN(2)/2)*DW19*DZ19*VLOOKUP('Données projet'!$B$14,Paramètres!$A$1:$I$88,3,0)*0.475*44/12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projet'!$B$15,Paramètres!$A$1:$I$88,3,0)*VLOOKUP('Données projet'!$B$15,Paramètres!$A$1:$I$88,5,0)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projet'!$B$15,Paramètres!$A$1:$I$88,3,0)*0.475*44/12</f>
        <v>#N/A</v>
      </c>
      <c r="EW19" s="23" t="e">
        <f>EXP(-LN(2)/25)*EW18+(1-EXP(-LN(2)/25))/(LN(2)/25)*Calculateur!ER19*Calculateur!ET19*VLOOKUP('Données projet'!$B$15,Paramètres!$A$1:$I$88,3,0)*0.475*44/12</f>
        <v>#N/A</v>
      </c>
      <c r="EX19" s="23" t="e">
        <f>EXP(-LN(2)/2)*EX18+(1-EXP(-LN(2)/2))/(LN(2)/2)*ER19*EU19*VLOOKUP('Données projet'!$B$15,Paramètres!$A$1:$I$88,3,0)*0.475*44/12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projet'!$B$16,Paramètres!$A$1:$I$88,3,0)*VLOOKUP('Données projet'!$B$16,Paramètres!$A$1:$I$88,5,0)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projet'!$B$16,Paramètres!$A$1:$I$88,3,0)*0.475*44/12</f>
        <v>#N/A</v>
      </c>
      <c r="FR19" s="23" t="e">
        <f>EXP(-LN(2)/25)*FR18+(1-EXP(-LN(2)/25))/(LN(2)/25)*Calculateur!FM19*Calculateur!FO19*VLOOKUP('Données projet'!$B$16,Paramètres!$A$1:$I$88,3,0)*0.475*44/12</f>
        <v>#N/A</v>
      </c>
      <c r="FS19" s="23" t="e">
        <f>EXP(-LN(2)/2)*FS18+(1-EXP(-LN(2)/2))/(LN(2)/2)*FM19*FP19*VLOOKUP('Données projet'!$B$16,Paramètres!$A$1:$I$88,3,0)*0.475*44/12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projet'!$B$17,Paramètres!$A$1:$I$88,3,0)*VLOOKUP('Données projet'!$B$17,Paramètres!$A$1:$I$88,5,0)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projet'!$B$17,Paramètres!$A$1:$I$88,3,0)*0.475*44/12</f>
        <v>#N/A</v>
      </c>
      <c r="GM19" s="23" t="e">
        <f>EXP(-LN(2)/25)*GM18+(1-EXP(-LN(2)/25))/(LN(2)/25)*Calculateur!GH19*Calculateur!GJ19*VLOOKUP('Données projet'!$B$17,Paramètres!$A$1:$I$88,3,0)*0.475*44/12</f>
        <v>#N/A</v>
      </c>
      <c r="GN19" s="23" t="e">
        <f>EXP(-LN(2)/2)*GN18+(1-EXP(-LN(2)/2))/(LN(2)/2)*GH19*GK19*VLOOKUP('Données projet'!$B$17,Paramètres!$A$1:$I$88,3,0)*0.475*44/12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projet'!$B$18,Paramètres!$A$1:$I$88,3,0)*VLOOKUP('Données projet'!$B$18,Paramètres!$A$1:$I$88,5,0)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projet'!$B$18,Paramètres!$A$1:$I$88,3,0)*0.475*44/12</f>
        <v>#N/A</v>
      </c>
      <c r="HH19" s="23" t="e">
        <f>EXP(-LN(2)/25)*HH18+(1-EXP(-LN(2)/25))/(LN(2)/25)*Calculateur!HC19*Calculateur!HE19*VLOOKUP('Données projet'!$B$18,Paramètres!$A$1:$I$88,3,0)*0.475*44/12</f>
        <v>#N/A</v>
      </c>
      <c r="HI19" s="23" t="e">
        <f>EXP(-LN(2)/2)*HI18+(1-EXP(-LN(2)/2))/(LN(2)/2)*HC19*HF19*VLOOKUP('Données projet'!$B$18,Paramètres!$A$1:$I$88,3,0)*0.475*44/12</f>
        <v>#N/A</v>
      </c>
      <c r="HJ19" s="24" t="e">
        <f t="shared" si="30"/>
        <v>#N/A</v>
      </c>
    </row>
    <row r="20" spans="1:218" s="5" customFormat="1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18.399999999999999</v>
      </c>
      <c r="N20" s="14">
        <f>IF('Données projet'!$A$36&gt;35,N19+M20-V19,IF(A20&lt;'Données projet'!$A$36,$K$205^A20,IF(A20='Données projet'!$A$36,'Données projet'!$B$36,N19+M20-V19)))</f>
        <v>124.80000000000001</v>
      </c>
      <c r="O20" s="14">
        <f>N20*VLOOKUP('Données projet'!$B$9,Paramètres!$A$1:$I$88,3,0)*VLOOKUP('Données projet'!$B$9,Paramètres!$A$1:$I$88,5,0)</f>
        <v>74.630400000000009</v>
      </c>
      <c r="P20" s="14">
        <f t="shared" si="33"/>
        <v>20.819027490528757</v>
      </c>
      <c r="Q20" s="22">
        <f t="shared" si="2"/>
        <v>166.24108621267092</v>
      </c>
      <c r="R20" s="62">
        <f t="shared" si="0"/>
        <v>375.60721052854365</v>
      </c>
      <c r="S20" s="62">
        <f ca="1">AVERAGE(OFFSET($R$3,0,0,'Données projet'!$E$9+1,1))-AVERAGE(OFFSET($H$3,0,0,'Données projet'!$E$9+1,1))</f>
        <v>301.2688576786212</v>
      </c>
      <c r="T20" s="62">
        <f t="shared" si="34"/>
        <v>417.62172165132927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projet'!$B$9,Paramètres!$A$1:$I$88,7,0))</f>
        <v>0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projet'!$B$9,Paramètres!$A$1:$I$88,3,0)*0.475*44/12</f>
        <v>0</v>
      </c>
      <c r="AA20" s="23">
        <f>EXP(-LN(2)/25)*AA19+(1-EXP(-LN(2)/25))/(LN(2)/25)*Calculateur!V20*Calculateur!X20*VLOOKUP('Données projet'!$B$9,Paramètres!$A$1:$I$88,3,0)*0.475*44/12</f>
        <v>0.75351918600312773</v>
      </c>
      <c r="AB20" s="23">
        <f>EXP(-LN(2)/2)*AB19+(1-EXP(-LN(2)/2))/(LN(2)/2)*V20*Y20*VLOOKUP('Données projet'!$B$9,Paramètres!$A$1:$I$88,3,0)*0.475*44/12</f>
        <v>0.59582592425032754</v>
      </c>
      <c r="AC20" s="24">
        <f t="shared" si="3"/>
        <v>1.3493451102534553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6.5</v>
      </c>
      <c r="AI20" s="14">
        <f>IF('Données projet'!$A$62&gt;35,AI19+AH20-AQ19,IF(A20&lt;'Données projet'!$A$62,$AF$205^A20,IF(A20='Données projet'!$A$62,'Données projet'!$B$62,AI19+AH20-AQ19)))</f>
        <v>62.640014482663886</v>
      </c>
      <c r="AJ20" s="14">
        <f>AI20*VLOOKUP('Données projet'!$B$10,Paramètres!$A$1:$I$88,3,0)*VLOOKUP('Données projet'!$B$10,Paramètres!$A$1:$I$88,5,0)</f>
        <v>29.315526777886699</v>
      </c>
      <c r="AK20" s="14">
        <f t="shared" si="35"/>
        <v>9.1175802564420785</v>
      </c>
      <c r="AL20" s="22">
        <f t="shared" si="4"/>
        <v>66.93766141812263</v>
      </c>
      <c r="AM20" s="62">
        <f t="shared" si="5"/>
        <v>276.30378573399537</v>
      </c>
      <c r="AN20" s="62">
        <f ca="1">AVERAGE(OFFSET($AM$3,0,0,'Données projet'!$E$10+1,1))-AVERAGE(OFFSET($H$3,0,0,'Données projet'!$E$10+1,1))</f>
        <v>170.08673939431091</v>
      </c>
      <c r="AO20" s="62">
        <f t="shared" si="36"/>
        <v>252.97355497077106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projet'!$B$10,Paramètres!$A$1:$I$88,3,0)*0.475*44/12</f>
        <v>0</v>
      </c>
      <c r="AV20" s="23">
        <f>EXP(-LN(2)/25)*AV19+(1-EXP(-LN(2)/25))/(LN(2)/25)*Calculateur!AQ20*Calculateur!AS20*VLOOKUP('Données projet'!$B$10,Paramètres!$A$1:$I$88,3,0)*0.475*44/12</f>
        <v>0</v>
      </c>
      <c r="AW20" s="23">
        <f>EXP(-LN(2)/2)*AW19+(1-EXP(-LN(2)/2))/(LN(2)/2)*AQ20*AT20*VLOOKUP('Données projet'!$B$10,Paramètres!$A$1:$I$88,3,0)*0.475*44/12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2.1</v>
      </c>
      <c r="BD20" s="13">
        <f>IF('Données projet'!$A$88&gt;35,BD19+BC20-BL19,IF(A20&lt;'Données projet'!$A$88,$BA$205^A20,IF(A20='Données projet'!$A$88,'Données projet'!$B$88,BD19+BC20-BL19)))</f>
        <v>23.975181126327602</v>
      </c>
      <c r="BE20" s="14">
        <f>BD20*VLOOKUP('Données projet'!$B$11,Paramètres!$A$1:$I$88,3,0)*VLOOKUP('Données projet'!$B$11,Paramètres!$A$1:$I$88,5,0)</f>
        <v>21.692743883101215</v>
      </c>
      <c r="BF20" s="14">
        <f t="shared" si="37"/>
        <v>6.98746341685115</v>
      </c>
      <c r="BG20" s="22">
        <f t="shared" si="7"/>
        <v>49.951361047417038</v>
      </c>
      <c r="BH20" s="62">
        <f t="shared" si="8"/>
        <v>259.31748536328973</v>
      </c>
      <c r="BI20" s="62">
        <f ca="1">AVERAGE(OFFSET($BH$3,0,0,'Données projet'!$E$11+1,1))-AVERAGE(OFFSET($H$3,0,0,'Données projet'!$E$11+1,1))</f>
        <v>362.63718589694594</v>
      </c>
      <c r="BJ20" s="62">
        <f t="shared" si="38"/>
        <v>250.47702091764884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projet'!$B$11,Paramètres!$A$1:$I$88,3,0)*0.475*44/12</f>
        <v>0</v>
      </c>
      <c r="BQ20" s="23">
        <f>EXP(-LN(2)/25)*BQ19+(1-EXP(-LN(2)/25))/(LN(2)/25)*Calculateur!BL20*Calculateur!BN20*VLOOKUP('Données projet'!$B$11,Paramètres!$A$1:$I$88,3,0)*0.475*44/12</f>
        <v>0</v>
      </c>
      <c r="BR20" s="23">
        <f>EXP(-LN(2)/2)*BR19+(1-EXP(-LN(2)/2))/(LN(2)/2)*BL20*BO20*VLOOKUP('Données projet'!$B$11,Paramètres!$A$1:$I$88,3,0)*0.475*44/12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2.1</v>
      </c>
      <c r="BY20" s="13">
        <f>IF('Données projet'!$A$114&gt;35,BY19+BX20-CG19,IF(A20&lt;'Données projet'!$A$114,$BV$205^A20,IF(A20='Données projet'!$A$114,'Données projet'!$B$114,BY19+BX20-CG19)))</f>
        <v>23.975181126327602</v>
      </c>
      <c r="BZ20" s="14">
        <f>BY20*VLOOKUP('Données projet'!$B$12,Paramètres!$A$1:$I$88,3,0)*VLOOKUP('Données projet'!$B$12,Paramètres!$A$1:$I$88,5,0)</f>
        <v>24.31083366209619</v>
      </c>
      <c r="CA20" s="14">
        <f t="shared" si="39"/>
        <v>7.7276032052466093</v>
      </c>
      <c r="CB20" s="22">
        <f t="shared" si="10"/>
        <v>55.800277543955367</v>
      </c>
      <c r="CC20" s="62">
        <f t="shared" si="11"/>
        <v>265.16640185982811</v>
      </c>
      <c r="CD20" s="62">
        <f ca="1">AVERAGE(OFFSET($CC$3,0,0,'Données projet'!$E$12+1,1))-AVERAGE(OFFSET($H$3,0,0,'Données projet'!$E$12+1,1))</f>
        <v>398.14524781940196</v>
      </c>
      <c r="CE20" s="62">
        <f t="shared" si="40"/>
        <v>273.35778700650792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projet'!$B$12,Paramètres!$A$1:$I$88,3,0)*0.475*44/12</f>
        <v>0</v>
      </c>
      <c r="CL20" s="23">
        <f>EXP(-LN(2)/25)*CL19+(1-EXP(-LN(2)/25))/(LN(2)/25)*Calculateur!CG20*Calculateur!CI20*VLOOKUP('Données projet'!$B$12,Paramètres!$A$1:$I$88,3,0)*0.475*44/12</f>
        <v>0</v>
      </c>
      <c r="CM20" s="23">
        <f>EXP(-LN(2)/2)*CM19+(1-EXP(-LN(2)/2))/(LN(2)/2)*CG20*CJ20*VLOOKUP('Données projet'!$B$12,Paramètres!$A$1:$I$88,3,0)*0.475*44/12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1.6</v>
      </c>
      <c r="CT20" s="13">
        <f>IF('Données projet'!$A$140&gt;35,CT19+CS20-DB19,IF(A20&lt;'Données projet'!$A$140,$CQ$205^A20,IF(A20='Données projet'!$A$140,'Données projet'!$B$140,CT19+CS20-DB19)))</f>
        <v>19.027313840043519</v>
      </c>
      <c r="CU20" s="18">
        <f>CT20*VLOOKUP('Données projet'!$B$13,Paramètres!$A$1:$I$88,3,0)*VLOOKUP('Données projet'!$B$13,Paramètres!$A$1:$I$88,5,0)</f>
        <v>18.106391850185414</v>
      </c>
      <c r="CV20" s="14">
        <f t="shared" si="41"/>
        <v>5.9562421404203727</v>
      </c>
      <c r="CW20" s="22">
        <f t="shared" si="13"/>
        <v>41.909087533638413</v>
      </c>
      <c r="CX20" s="62">
        <f t="shared" si="14"/>
        <v>251.27521184951115</v>
      </c>
      <c r="CY20" s="62">
        <f ca="1">AVERAGE(OFFSET($CX$3,0,0,'Données projet'!$E$13+1,1))-AVERAGE(OFFSET($H$3,0,0,'Données projet'!$E$13+1,1))</f>
        <v>470.0521927195926</v>
      </c>
      <c r="CZ20" s="62">
        <f t="shared" si="42"/>
        <v>299.27200854723435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projet'!$B$13,Paramètres!$A$1:$I$88,3,0)*0.475*44/12</f>
        <v>0</v>
      </c>
      <c r="DG20" s="23">
        <f>EXP(-LN(2)/25)*DG19+(1-EXP(-LN(2)/25))/(LN(2)/25)*Calculateur!DB20*Calculateur!DD20*VLOOKUP('Données projet'!$B$13,Paramètres!$A$1:$I$88,3,0)*0.475*44/12</f>
        <v>0</v>
      </c>
      <c r="DH20" s="23">
        <f>EXP(-LN(2)/2)*DH19+(1-EXP(-LN(2)/2))/(LN(2)/2)*DB20*DE20*VLOOKUP('Données projet'!$B$13,Paramètres!$A$1:$I$88,3,0)*0.475*44/12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1.2</v>
      </c>
      <c r="DO20" s="13">
        <f>IF('Données projet'!$A$166&gt;35,DO19+DN20-DW19,IF(A20&lt;'Données projet'!$A$166,$DL$205^A20,IF(A20='Données projet'!$A$166,'Données projet'!$B$166,DO19+DN20-DW19)))</f>
        <v>10.102816228956828</v>
      </c>
      <c r="DP20" s="18">
        <f>DO20*VLOOKUP('Données projet'!$B$14,Paramètres!$A$1:$I$88,3,0)*VLOOKUP('Données projet'!$B$14,Paramètres!$A$1:$I$88,5,0)</f>
        <v>9.7714438566470445</v>
      </c>
      <c r="DQ20" s="14">
        <f t="shared" si="43"/>
        <v>3.4536602211941068</v>
      </c>
      <c r="DR20" s="22">
        <f t="shared" si="16"/>
        <v>23.033722935573341</v>
      </c>
      <c r="DS20" s="62">
        <f t="shared" si="17"/>
        <v>232.39984725144606</v>
      </c>
      <c r="DT20" s="62">
        <f ca="1">AVERAGE(OFFSET($DS$3,0,0,'Données projet'!$E$14+1,1))-AVERAGE(OFFSET($H$3,0,0,'Données projet'!$E$14+1,1))</f>
        <v>290.89727102147953</v>
      </c>
      <c r="DU20" s="62">
        <f t="shared" si="44"/>
        <v>173.19148969173838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projet'!$B$14,Paramètres!$A$1:$I$88,3,0)*0.475*44/12</f>
        <v>0</v>
      </c>
      <c r="EB20" s="23">
        <f>EXP(-LN(2)/25)*EB19+(1-EXP(-LN(2)/25))/(LN(2)/25)*Calculateur!DW20*Calculateur!DY20*VLOOKUP('Données projet'!$B$14,Paramètres!$A$1:$I$88,3,0)*0.475*44/12</f>
        <v>0</v>
      </c>
      <c r="EC20" s="23">
        <f>EXP(-LN(2)/2)*EC19+(1-EXP(-LN(2)/2))/(LN(2)/2)*DW20*DZ20*VLOOKUP('Données projet'!$B$14,Paramètres!$A$1:$I$88,3,0)*0.475*44/12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projet'!$B$15,Paramètres!$A$1:$I$88,3,0)*VLOOKUP('Données projet'!$B$15,Paramètres!$A$1:$I$88,5,0)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projet'!$B$15,Paramètres!$A$1:$I$88,3,0)*0.475*44/12</f>
        <v>#N/A</v>
      </c>
      <c r="EW20" s="23" t="e">
        <f>EXP(-LN(2)/25)*EW19+(1-EXP(-LN(2)/25))/(LN(2)/25)*Calculateur!ER20*Calculateur!ET20*VLOOKUP('Données projet'!$B$15,Paramètres!$A$1:$I$88,3,0)*0.475*44/12</f>
        <v>#N/A</v>
      </c>
      <c r="EX20" s="23" t="e">
        <f>EXP(-LN(2)/2)*EX19+(1-EXP(-LN(2)/2))/(LN(2)/2)*ER20*EU20*VLOOKUP('Données projet'!$B$15,Paramètres!$A$1:$I$88,3,0)*0.475*44/12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projet'!$B$16,Paramètres!$A$1:$I$88,3,0)*VLOOKUP('Données projet'!$B$16,Paramètres!$A$1:$I$88,5,0)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projet'!$B$16,Paramètres!$A$1:$I$88,3,0)*0.475*44/12</f>
        <v>#N/A</v>
      </c>
      <c r="FR20" s="23" t="e">
        <f>EXP(-LN(2)/25)*FR19+(1-EXP(-LN(2)/25))/(LN(2)/25)*Calculateur!FM20*Calculateur!FO20*VLOOKUP('Données projet'!$B$16,Paramètres!$A$1:$I$88,3,0)*0.475*44/12</f>
        <v>#N/A</v>
      </c>
      <c r="FS20" s="23" t="e">
        <f>EXP(-LN(2)/2)*FS19+(1-EXP(-LN(2)/2))/(LN(2)/2)*FM20*FP20*VLOOKUP('Données projet'!$B$16,Paramètres!$A$1:$I$88,3,0)*0.475*44/12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projet'!$B$17,Paramètres!$A$1:$I$88,3,0)*VLOOKUP('Données projet'!$B$17,Paramètres!$A$1:$I$88,5,0)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projet'!$B$17,Paramètres!$A$1:$I$88,3,0)*0.475*44/12</f>
        <v>#N/A</v>
      </c>
      <c r="GM20" s="23" t="e">
        <f>EXP(-LN(2)/25)*GM19+(1-EXP(-LN(2)/25))/(LN(2)/25)*Calculateur!GH20*Calculateur!GJ20*VLOOKUP('Données projet'!$B$17,Paramètres!$A$1:$I$88,3,0)*0.475*44/12</f>
        <v>#N/A</v>
      </c>
      <c r="GN20" s="23" t="e">
        <f>EXP(-LN(2)/2)*GN19+(1-EXP(-LN(2)/2))/(LN(2)/2)*GH20*GK20*VLOOKUP('Données projet'!$B$17,Paramètres!$A$1:$I$88,3,0)*0.475*44/12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projet'!$B$18,Paramètres!$A$1:$I$88,3,0)*VLOOKUP('Données projet'!$B$18,Paramètres!$A$1:$I$88,5,0)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projet'!$B$18,Paramètres!$A$1:$I$88,3,0)*0.475*44/12</f>
        <v>#N/A</v>
      </c>
      <c r="HH20" s="23" t="e">
        <f>EXP(-LN(2)/25)*HH19+(1-EXP(-LN(2)/25))/(LN(2)/25)*Calculateur!HC20*Calculateur!HE20*VLOOKUP('Données projet'!$B$18,Paramètres!$A$1:$I$88,3,0)*0.475*44/12</f>
        <v>#N/A</v>
      </c>
      <c r="HI20" s="23" t="e">
        <f>EXP(-LN(2)/2)*HI19+(1-EXP(-LN(2)/2))/(LN(2)/2)*HC20*HF20*VLOOKUP('Données projet'!$B$18,Paramètres!$A$1:$I$88,3,0)*0.475*44/12</f>
        <v>#N/A</v>
      </c>
      <c r="HJ20" s="24" t="e">
        <f t="shared" si="30"/>
        <v>#N/A</v>
      </c>
    </row>
    <row r="21" spans="1:218" s="5" customFormat="1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18.399999999999999</v>
      </c>
      <c r="N21" s="14">
        <f>IF('Données projet'!$A$36&gt;35,N20+M21-V20,IF(A21&lt;'Données projet'!$A$36,$K$205^A21,IF(A21='Données projet'!$A$36,'Données projet'!$B$36,N20+M21-V20)))</f>
        <v>143.20000000000002</v>
      </c>
      <c r="O21" s="14">
        <f>N21*VLOOKUP('Données projet'!$B$9,Paramètres!$A$1:$I$88,3,0)*VLOOKUP('Données projet'!$B$9,Paramètres!$A$1:$I$88,5,0)</f>
        <v>85.633600000000015</v>
      </c>
      <c r="P21" s="14">
        <f t="shared" si="33"/>
        <v>23.509125896343544</v>
      </c>
      <c r="Q21" s="22">
        <f t="shared" si="2"/>
        <v>190.09024760279837</v>
      </c>
      <c r="R21" s="62">
        <f t="shared" si="0"/>
        <v>401.85960079480151</v>
      </c>
      <c r="S21" s="62">
        <f ca="1">AVERAGE(OFFSET($R$3,0,0,'Données projet'!$E$9+1,1))-AVERAGE(OFFSET($H$3,0,0,'Données projet'!$E$9+1,1))</f>
        <v>301.2688576786212</v>
      </c>
      <c r="T21" s="62">
        <f t="shared" si="34"/>
        <v>417.62172165132927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projet'!$B$9,Paramètres!$A$1:$I$88,7,0))</f>
        <v>0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projet'!$B$9,Paramètres!$A$1:$I$88,3,0)*0.475*44/12</f>
        <v>0</v>
      </c>
      <c r="AA21" s="23">
        <f>EXP(-LN(2)/25)*AA20+(1-EXP(-LN(2)/25))/(LN(2)/25)*Calculateur!V21*Calculateur!X21*VLOOKUP('Données projet'!$B$9,Paramètres!$A$1:$I$88,3,0)*0.475*44/12</f>
        <v>0.7329141642360204</v>
      </c>
      <c r="AB21" s="23">
        <f>EXP(-LN(2)/2)*AB20+(1-EXP(-LN(2)/2))/(LN(2)/2)*V21*Y21*VLOOKUP('Données projet'!$B$9,Paramètres!$A$1:$I$88,3,0)*0.475*44/12</f>
        <v>0.42131255144414881</v>
      </c>
      <c r="AC21" s="24">
        <f t="shared" si="3"/>
        <v>1.1542267156801693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6.5</v>
      </c>
      <c r="AI21" s="14">
        <f>IF('Données projet'!$A$62&gt;35,AI20+AH21-AQ20,IF(A21&lt;'Données projet'!$A$62,$AF$205^A21,IF(A21='Données projet'!$A$62,'Données projet'!$B$62,AI20+AH21-AQ20)))</f>
        <v>79.900411696820456</v>
      </c>
      <c r="AJ21" s="14">
        <f>AI21*VLOOKUP('Données projet'!$B$10,Paramètres!$A$1:$I$88,3,0)*VLOOKUP('Données projet'!$B$10,Paramètres!$A$1:$I$88,5,0)</f>
        <v>37.393392674111972</v>
      </c>
      <c r="AK21" s="14">
        <f t="shared" si="35"/>
        <v>11.305079275624784</v>
      </c>
      <c r="AL21" s="22">
        <f t="shared" si="4"/>
        <v>84.816505312458176</v>
      </c>
      <c r="AM21" s="62">
        <f t="shared" si="5"/>
        <v>296.58585850446127</v>
      </c>
      <c r="AN21" s="62">
        <f ca="1">AVERAGE(OFFSET($AM$3,0,0,'Données projet'!$E$10+1,1))-AVERAGE(OFFSET($H$3,0,0,'Données projet'!$E$10+1,1))</f>
        <v>170.08673939431091</v>
      </c>
      <c r="AO21" s="62">
        <f t="shared" si="36"/>
        <v>252.97355497077106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projet'!$B$10,Paramètres!$A$1:$I$88,3,0)*0.475*44/12</f>
        <v>0</v>
      </c>
      <c r="AV21" s="23">
        <f>EXP(-LN(2)/25)*AV20+(1-EXP(-LN(2)/25))/(LN(2)/25)*Calculateur!AQ21*Calculateur!AS21*VLOOKUP('Données projet'!$B$10,Paramètres!$A$1:$I$88,3,0)*0.475*44/12</f>
        <v>0</v>
      </c>
      <c r="AW21" s="23">
        <f>EXP(-LN(2)/2)*AW20+(1-EXP(-LN(2)/2))/(LN(2)/2)*AQ21*AT21*VLOOKUP('Données projet'!$B$10,Paramètres!$A$1:$I$88,3,0)*0.475*44/12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2.1</v>
      </c>
      <c r="BD21" s="13">
        <f>IF('Données projet'!$A$88&gt;35,BD20+BC21-BL20,IF(A21&lt;'Données projet'!$A$88,$BA$205^A21,IF(A21='Données projet'!$A$88,'Données projet'!$B$88,BD20+BC21-BL20)))</f>
        <v>28.901764726506816</v>
      </c>
      <c r="BE21" s="14">
        <f>BD21*VLOOKUP('Données projet'!$B$11,Paramètres!$A$1:$I$88,3,0)*VLOOKUP('Données projet'!$B$11,Paramètres!$A$1:$I$88,5,0)</f>
        <v>26.150316724543362</v>
      </c>
      <c r="BF21" s="14">
        <f t="shared" si="37"/>
        <v>8.2420396752158016</v>
      </c>
      <c r="BG21" s="22">
        <f t="shared" si="7"/>
        <v>59.900020729580547</v>
      </c>
      <c r="BH21" s="62">
        <f t="shared" si="8"/>
        <v>271.66937392158366</v>
      </c>
      <c r="BI21" s="62">
        <f ca="1">AVERAGE(OFFSET($BH$3,0,0,'Données projet'!$E$11+1,1))-AVERAGE(OFFSET($H$3,0,0,'Données projet'!$E$11+1,1))</f>
        <v>362.63718589694594</v>
      </c>
      <c r="BJ21" s="62">
        <f t="shared" si="38"/>
        <v>250.47702091764884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projet'!$B$11,Paramètres!$A$1:$I$88,7,0))</f>
        <v>0</v>
      </c>
      <c r="BN21" s="17">
        <f>IF(ISNA(VLOOKUP(A21,'Données projet'!$A$87:$I$107,6,0)),0%,VLOOKUP(A21,'Données projet'!$A$87:$I$107,6,0)*VLOOKUP('Données projet'!$B$11,Paramètres!$A$1:$I$88,7,0))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projet'!$B$11,Paramètres!$A$1:$I$88,3,0)*0.475*44/12</f>
        <v>0</v>
      </c>
      <c r="BQ21" s="23">
        <f>EXP(-LN(2)/25)*BQ20+(1-EXP(-LN(2)/25))/(LN(2)/25)*Calculateur!BL21*Calculateur!BN21*VLOOKUP('Données projet'!$B$11,Paramètres!$A$1:$I$88,3,0)*0.475*44/12</f>
        <v>0</v>
      </c>
      <c r="BR21" s="23">
        <f>EXP(-LN(2)/2)*BR20+(1-EXP(-LN(2)/2))/(LN(2)/2)*BL21*BO21*VLOOKUP('Données projet'!$B$11,Paramètres!$A$1:$I$88,3,0)*0.475*44/12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2.1</v>
      </c>
      <c r="BY21" s="13">
        <f>IF('Données projet'!$A$114&gt;35,BY20+BX21-CG20,IF(A21&lt;'Données projet'!$A$114,$BV$205^A21,IF(A21='Données projet'!$A$114,'Données projet'!$B$114,BY20+BX21-CG20)))</f>
        <v>28.901764726506816</v>
      </c>
      <c r="BZ21" s="14">
        <f>BY21*VLOOKUP('Données projet'!$B$12,Paramètres!$A$1:$I$88,3,0)*VLOOKUP('Données projet'!$B$12,Paramètres!$A$1:$I$88,5,0)</f>
        <v>29.306389432677911</v>
      </c>
      <c r="CA21" s="14">
        <f t="shared" si="39"/>
        <v>9.1150691477493808</v>
      </c>
      <c r="CB21" s="22">
        <f t="shared" si="10"/>
        <v>66.917373694244205</v>
      </c>
      <c r="CC21" s="62">
        <f t="shared" si="11"/>
        <v>278.6867268862473</v>
      </c>
      <c r="CD21" s="62">
        <f ca="1">AVERAGE(OFFSET($CC$3,0,0,'Données projet'!$E$12+1,1))-AVERAGE(OFFSET($H$3,0,0,'Données projet'!$E$12+1,1))</f>
        <v>398.14524781940196</v>
      </c>
      <c r="CE21" s="62">
        <f t="shared" si="40"/>
        <v>273.35778700650792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projet'!$B$12,Paramètres!$A$1:$I$88,3,0)*0.475*44/12</f>
        <v>0</v>
      </c>
      <c r="CL21" s="23">
        <f>EXP(-LN(2)/25)*CL20+(1-EXP(-LN(2)/25))/(LN(2)/25)*Calculateur!CG21*Calculateur!CI21*VLOOKUP('Données projet'!$B$12,Paramètres!$A$1:$I$88,3,0)*0.475*44/12</f>
        <v>0</v>
      </c>
      <c r="CM21" s="23">
        <f>EXP(-LN(2)/2)*CM20+(1-EXP(-LN(2)/2))/(LN(2)/2)*CG21*CJ21*VLOOKUP('Données projet'!$B$12,Paramètres!$A$1:$I$88,3,0)*0.475*44/12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1.6</v>
      </c>
      <c r="CT21" s="13">
        <f>IF('Données projet'!$A$140&gt;35,CT20+CS21-DB20,IF(A21&lt;'Données projet'!$A$140,$CQ$205^A21,IF(A21='Données projet'!$A$140,'Données projet'!$B$140,CT20+CS21-DB20)))</f>
        <v>22.627416997969497</v>
      </c>
      <c r="CU21" s="18">
        <f>CT21*VLOOKUP('Données projet'!$B$13,Paramètres!$A$1:$I$88,3,0)*VLOOKUP('Données projet'!$B$13,Paramètres!$A$1:$I$88,5,0)</f>
        <v>21.532250015267774</v>
      </c>
      <c r="CV21" s="14">
        <f t="shared" si="41"/>
        <v>6.9417644176053512</v>
      </c>
      <c r="CW21" s="22">
        <f t="shared" si="13"/>
        <v>49.592241803920693</v>
      </c>
      <c r="CX21" s="62">
        <f t="shared" si="14"/>
        <v>261.36159499592378</v>
      </c>
      <c r="CY21" s="62">
        <f ca="1">AVERAGE(OFFSET($CX$3,0,0,'Données projet'!$E$13+1,1))-AVERAGE(OFFSET($H$3,0,0,'Données projet'!$E$13+1,1))</f>
        <v>470.0521927195926</v>
      </c>
      <c r="CZ21" s="62">
        <f t="shared" si="42"/>
        <v>299.27200854723435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projet'!$B$13,Paramètres!$A$1:$I$88,7,0))</f>
        <v>0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projet'!$B$13,Paramètres!$A$1:$I$88,3,0)*0.475*44/12</f>
        <v>0</v>
      </c>
      <c r="DG21" s="23">
        <f>EXP(-LN(2)/25)*DG20+(1-EXP(-LN(2)/25))/(LN(2)/25)*Calculateur!DB21*Calculateur!DD21*VLOOKUP('Données projet'!$B$13,Paramètres!$A$1:$I$88,3,0)*0.475*44/12</f>
        <v>0</v>
      </c>
      <c r="DH21" s="23">
        <f>EXP(-LN(2)/2)*DH20+(1-EXP(-LN(2)/2))/(LN(2)/2)*DB21*DE21*VLOOKUP('Données projet'!$B$13,Paramètres!$A$1:$I$88,3,0)*0.475*44/12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1.2</v>
      </c>
      <c r="DO21" s="13">
        <f>IF('Données projet'!$A$166&gt;35,DO20+DN21-DW20,IF(A21&lt;'Données projet'!$A$166,$DL$205^A21,IF(A21='Données projet'!$A$166,'Données projet'!$B$166,DO20+DN21-DW20)))</f>
        <v>11.575168010312384</v>
      </c>
      <c r="DP21" s="18">
        <f>DO21*VLOOKUP('Données projet'!$B$14,Paramètres!$A$1:$I$88,3,0)*VLOOKUP('Données projet'!$B$14,Paramètres!$A$1:$I$88,5,0)</f>
        <v>11.195502499574138</v>
      </c>
      <c r="DQ21" s="14">
        <f t="shared" si="43"/>
        <v>3.8948163288481799</v>
      </c>
      <c r="DR21" s="22">
        <f t="shared" si="16"/>
        <v>26.282305292835535</v>
      </c>
      <c r="DS21" s="62">
        <f t="shared" si="17"/>
        <v>238.05165848483864</v>
      </c>
      <c r="DT21" s="62">
        <f ca="1">AVERAGE(OFFSET($DS$3,0,0,'Données projet'!$E$14+1,1))-AVERAGE(OFFSET($H$3,0,0,'Données projet'!$E$14+1,1))</f>
        <v>290.89727102147953</v>
      </c>
      <c r="DU21" s="62">
        <f t="shared" si="44"/>
        <v>173.19148969173838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projet'!$B$14,Paramètres!$A$1:$I$88,3,0)*0.475*44/12</f>
        <v>0</v>
      </c>
      <c r="EB21" s="23">
        <f>EXP(-LN(2)/25)*EB20+(1-EXP(-LN(2)/25))/(LN(2)/25)*Calculateur!DW21*Calculateur!DY21*VLOOKUP('Données projet'!$B$14,Paramètres!$A$1:$I$88,3,0)*0.475*44/12</f>
        <v>0</v>
      </c>
      <c r="EC21" s="23">
        <f>EXP(-LN(2)/2)*EC20+(1-EXP(-LN(2)/2))/(LN(2)/2)*DW21*DZ21*VLOOKUP('Données projet'!$B$14,Paramètres!$A$1:$I$88,3,0)*0.475*44/12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projet'!$B$15,Paramètres!$A$1:$I$88,3,0)*VLOOKUP('Données projet'!$B$15,Paramètres!$A$1:$I$88,5,0)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projet'!$B$15,Paramètres!$A$1:$I$88,3,0)*0.475*44/12</f>
        <v>#N/A</v>
      </c>
      <c r="EW21" s="23" t="e">
        <f>EXP(-LN(2)/25)*EW20+(1-EXP(-LN(2)/25))/(LN(2)/25)*Calculateur!ER21*Calculateur!ET21*VLOOKUP('Données projet'!$B$15,Paramètres!$A$1:$I$88,3,0)*0.475*44/12</f>
        <v>#N/A</v>
      </c>
      <c r="EX21" s="23" t="e">
        <f>EXP(-LN(2)/2)*EX20+(1-EXP(-LN(2)/2))/(LN(2)/2)*ER21*EU21*VLOOKUP('Données projet'!$B$15,Paramètres!$A$1:$I$88,3,0)*0.475*44/12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projet'!$B$16,Paramètres!$A$1:$I$88,3,0)*VLOOKUP('Données projet'!$B$16,Paramètres!$A$1:$I$88,5,0)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projet'!$B$16,Paramètres!$A$1:$I$88,3,0)*0.475*44/12</f>
        <v>#N/A</v>
      </c>
      <c r="FR21" s="23" t="e">
        <f>EXP(-LN(2)/25)*FR20+(1-EXP(-LN(2)/25))/(LN(2)/25)*Calculateur!FM21*Calculateur!FO21*VLOOKUP('Données projet'!$B$16,Paramètres!$A$1:$I$88,3,0)*0.475*44/12</f>
        <v>#N/A</v>
      </c>
      <c r="FS21" s="23" t="e">
        <f>EXP(-LN(2)/2)*FS20+(1-EXP(-LN(2)/2))/(LN(2)/2)*FM21*FP21*VLOOKUP('Données projet'!$B$16,Paramètres!$A$1:$I$88,3,0)*0.475*44/12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projet'!$B$17,Paramètres!$A$1:$I$88,3,0)*VLOOKUP('Données projet'!$B$17,Paramètres!$A$1:$I$88,5,0)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projet'!$B$17,Paramètres!$A$1:$I$88,3,0)*0.475*44/12</f>
        <v>#N/A</v>
      </c>
      <c r="GM21" s="23" t="e">
        <f>EXP(-LN(2)/25)*GM20+(1-EXP(-LN(2)/25))/(LN(2)/25)*Calculateur!GH21*Calculateur!GJ21*VLOOKUP('Données projet'!$B$17,Paramètres!$A$1:$I$88,3,0)*0.475*44/12</f>
        <v>#N/A</v>
      </c>
      <c r="GN21" s="23" t="e">
        <f>EXP(-LN(2)/2)*GN20+(1-EXP(-LN(2)/2))/(LN(2)/2)*GH21*GK21*VLOOKUP('Données projet'!$B$17,Paramètres!$A$1:$I$88,3,0)*0.475*44/12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projet'!$B$18,Paramètres!$A$1:$I$88,3,0)*VLOOKUP('Données projet'!$B$18,Paramètres!$A$1:$I$88,5,0)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projet'!$B$18,Paramètres!$A$1:$I$88,3,0)*0.475*44/12</f>
        <v>#N/A</v>
      </c>
      <c r="HH21" s="23" t="e">
        <f>EXP(-LN(2)/25)*HH20+(1-EXP(-LN(2)/25))/(LN(2)/25)*Calculateur!HC21*Calculateur!HE21*VLOOKUP('Données projet'!$B$18,Paramètres!$A$1:$I$88,3,0)*0.475*44/12</f>
        <v>#N/A</v>
      </c>
      <c r="HI21" s="23" t="e">
        <f>EXP(-LN(2)/2)*HI20+(1-EXP(-LN(2)/2))/(LN(2)/2)*HC21*HF21*VLOOKUP('Données projet'!$B$18,Paramètres!$A$1:$I$88,3,0)*0.475*44/12</f>
        <v>#N/A</v>
      </c>
      <c r="HJ21" s="24" t="e">
        <f t="shared" si="30"/>
        <v>#N/A</v>
      </c>
    </row>
    <row r="22" spans="1:218" s="5" customFormat="1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18.399999999999999</v>
      </c>
      <c r="N22" s="14">
        <f>IF('Données projet'!$A$36&gt;35,N21+M22-V21,IF(A22&lt;'Données projet'!$A$36,$K$205^A22,IF(A22='Données projet'!$A$36,'Données projet'!$B$36,N21+M22-V21)))</f>
        <v>161.60000000000002</v>
      </c>
      <c r="O22" s="14">
        <f>N22*VLOOKUP('Données projet'!$B$9,Paramètres!$A$1:$I$88,3,0)*VLOOKUP('Données projet'!$B$9,Paramètres!$A$1:$I$88,5,0)</f>
        <v>96.636800000000022</v>
      </c>
      <c r="P22" s="14">
        <f t="shared" si="33"/>
        <v>26.159173215164081</v>
      </c>
      <c r="Q22" s="22">
        <f t="shared" si="2"/>
        <v>213.86965334974414</v>
      </c>
      <c r="R22" s="62">
        <f t="shared" si="0"/>
        <v>428.02174759276767</v>
      </c>
      <c r="S22" s="62">
        <f ca="1">AVERAGE(OFFSET($R$3,0,0,'Données projet'!$E$9+1,1))-AVERAGE(OFFSET($H$3,0,0,'Données projet'!$E$9+1,1))</f>
        <v>301.2688576786212</v>
      </c>
      <c r="T22" s="62">
        <f t="shared" si="34"/>
        <v>417.62172165132927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0</v>
      </c>
      <c r="AA22" s="23">
        <f>EXP(-LN(2)/25)*AA21+(1-EXP(-LN(2)/25))/(LN(2)/25)*Calculateur!V22*Calculateur!X22*VLOOKUP('Données projet'!$B$9,Paramètres!$A$1:$I$88,3,0)*0.475*44/12</f>
        <v>0.71287258787270558</v>
      </c>
      <c r="AB22" s="23">
        <f>EXP(-LN(2)/2)*AB21+(1-EXP(-LN(2)/2))/(LN(2)/2)*V22*Y22*VLOOKUP('Données projet'!$B$9,Paramètres!$A$1:$I$88,3,0)*0.475*44/12</f>
        <v>0.29791296212516377</v>
      </c>
      <c r="AC22" s="24">
        <f t="shared" si="3"/>
        <v>1.0107855499978693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6.5</v>
      </c>
      <c r="AI22" s="14">
        <f>IF('Données projet'!$A$62&gt;35,AI21+AH22-AQ21,IF(A22&lt;'Données projet'!$A$62,$AF$205^A22,IF(A22='Données projet'!$A$62,'Données projet'!$B$62,AI21+AH22-AQ21)))</f>
        <v>101.916895167517</v>
      </c>
      <c r="AJ22" s="14">
        <f>AI22*VLOOKUP('Données projet'!$B$10,Paramètres!$A$1:$I$88,3,0)*VLOOKUP('Données projet'!$B$10,Paramètres!$A$1:$I$88,5,0)</f>
        <v>47.697106938397958</v>
      </c>
      <c r="AK22" s="14">
        <f t="shared" si="35"/>
        <v>14.017405258139599</v>
      </c>
      <c r="AL22" s="22">
        <f t="shared" si="4"/>
        <v>107.4861087423029</v>
      </c>
      <c r="AM22" s="62">
        <f t="shared" si="5"/>
        <v>321.63820298532642</v>
      </c>
      <c r="AN22" s="62">
        <f ca="1">AVERAGE(OFFSET($AM$3,0,0,'Données projet'!$E$10+1,1))-AVERAGE(OFFSET($H$3,0,0,'Données projet'!$E$10+1,1))</f>
        <v>170.08673939431091</v>
      </c>
      <c r="AO22" s="62">
        <f t="shared" si="36"/>
        <v>252.97355497077106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projet'!$B$10,Paramètres!$A$1:$I$88,3,0)*0.475*44/12</f>
        <v>0</v>
      </c>
      <c r="AV22" s="23">
        <f>EXP(-LN(2)/25)*AV21+(1-EXP(-LN(2)/25))/(LN(2)/25)*Calculateur!AQ22*Calculateur!AS22*VLOOKUP('Données projet'!$B$10,Paramètres!$A$1:$I$88,3,0)*0.475*44/12</f>
        <v>0</v>
      </c>
      <c r="AW22" s="23">
        <f>EXP(-LN(2)/2)*AW21+(1-EXP(-LN(2)/2))/(LN(2)/2)*AQ22*AT22*VLOOKUP('Données projet'!$B$10,Paramètres!$A$1:$I$88,3,0)*0.475*44/12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2.1</v>
      </c>
      <c r="BD22" s="13">
        <f>IF('Données projet'!$A$88&gt;35,BD21+BC22-BL21,IF(A22&lt;'Données projet'!$A$88,$BA$205^A22,IF(A22='Données projet'!$A$88,'Données projet'!$B$88,BD21+BC22-BL21)))</f>
        <v>34.840696297767764</v>
      </c>
      <c r="BE22" s="14">
        <f>BD22*VLOOKUP('Données projet'!$B$11,Paramètres!$A$1:$I$88,3,0)*VLOOKUP('Données projet'!$B$11,Paramètres!$A$1:$I$88,5,0)</f>
        <v>31.52386201022027</v>
      </c>
      <c r="BF22" s="14">
        <f t="shared" si="37"/>
        <v>9.7218710074397983</v>
      </c>
      <c r="BG22" s="22">
        <f t="shared" si="7"/>
        <v>71.836318339091292</v>
      </c>
      <c r="BH22" s="62">
        <f t="shared" si="8"/>
        <v>285.98841258211485</v>
      </c>
      <c r="BI22" s="62">
        <f ca="1">AVERAGE(OFFSET($BH$3,0,0,'Données projet'!$E$11+1,1))-AVERAGE(OFFSET($H$3,0,0,'Données projet'!$E$11+1,1))</f>
        <v>362.63718589694594</v>
      </c>
      <c r="BJ22" s="62">
        <f t="shared" si="38"/>
        <v>250.47702091764884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projet'!$B$11,Paramètres!$A$1:$I$88,7,0))</f>
        <v>0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projet'!$B$11,Paramètres!$A$1:$I$88,3,0)*0.475*44/12</f>
        <v>0</v>
      </c>
      <c r="BQ22" s="23">
        <f>EXP(-LN(2)/25)*BQ21+(1-EXP(-LN(2)/25))/(LN(2)/25)*Calculateur!BL22*Calculateur!BN22*VLOOKUP('Données projet'!$B$11,Paramètres!$A$1:$I$88,3,0)*0.475*44/12</f>
        <v>0</v>
      </c>
      <c r="BR22" s="23">
        <f>EXP(-LN(2)/2)*BR21+(1-EXP(-LN(2)/2))/(LN(2)/2)*BL22*BO22*VLOOKUP('Données projet'!$B$11,Paramètres!$A$1:$I$88,3,0)*0.475*44/12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2.1</v>
      </c>
      <c r="BY22" s="13">
        <f>IF('Données projet'!$A$114&gt;35,BY21+BX22-CG21,IF(A22&lt;'Données projet'!$A$114,$BV$205^A22,IF(A22='Données projet'!$A$114,'Données projet'!$B$114,BY21+BX22-CG21)))</f>
        <v>34.840696297767764</v>
      </c>
      <c r="BZ22" s="14">
        <f>BY22*VLOOKUP('Données projet'!$B$12,Paramètres!$A$1:$I$88,3,0)*VLOOKUP('Données projet'!$B$12,Paramètres!$A$1:$I$88,5,0)</f>
        <v>35.328466045936516</v>
      </c>
      <c r="CA22" s="14">
        <f t="shared" si="39"/>
        <v>10.751650073316766</v>
      </c>
      <c r="CB22" s="22">
        <f t="shared" si="10"/>
        <v>80.256202241032796</v>
      </c>
      <c r="CC22" s="62">
        <f t="shared" si="11"/>
        <v>294.40829648405634</v>
      </c>
      <c r="CD22" s="62">
        <f ca="1">AVERAGE(OFFSET($CC$3,0,0,'Données projet'!$E$12+1,1))-AVERAGE(OFFSET($H$3,0,0,'Données projet'!$E$12+1,1))</f>
        <v>398.14524781940196</v>
      </c>
      <c r="CE22" s="62">
        <f t="shared" si="40"/>
        <v>273.35778700650792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projet'!$B$12,Paramètres!$A$1:$I$88,3,0)*0.475*44/12</f>
        <v>0</v>
      </c>
      <c r="CL22" s="23">
        <f>EXP(-LN(2)/25)*CL21+(1-EXP(-LN(2)/25))/(LN(2)/25)*Calculateur!CG22*Calculateur!CI22*VLOOKUP('Données projet'!$B$12,Paramètres!$A$1:$I$88,3,0)*0.475*44/12</f>
        <v>0</v>
      </c>
      <c r="CM22" s="23">
        <f>EXP(-LN(2)/2)*CM21+(1-EXP(-LN(2)/2))/(LN(2)/2)*CG22*CJ22*VLOOKUP('Données projet'!$B$12,Paramètres!$A$1:$I$88,3,0)*0.475*44/12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1.6</v>
      </c>
      <c r="CT22" s="13">
        <f>IF('Données projet'!$A$140&gt;35,CT21+CS22-DB21,IF(A22&lt;'Données projet'!$A$140,$CQ$205^A22,IF(A22='Données projet'!$A$140,'Données projet'!$B$140,CT21+CS22-DB21)))</f>
        <v>26.908685288118836</v>
      </c>
      <c r="CU22" s="18">
        <f>CT22*VLOOKUP('Données projet'!$B$13,Paramètres!$A$1:$I$88,3,0)*VLOOKUP('Données projet'!$B$13,Paramètres!$A$1:$I$88,5,0)</f>
        <v>25.606304920173887</v>
      </c>
      <c r="CV22" s="14">
        <f t="shared" si="41"/>
        <v>8.0903516165866964</v>
      </c>
      <c r="CW22" s="22">
        <f t="shared" si="13"/>
        <v>58.688343468191341</v>
      </c>
      <c r="CX22" s="62">
        <f t="shared" si="14"/>
        <v>272.84043771121486</v>
      </c>
      <c r="CY22" s="62">
        <f ca="1">AVERAGE(OFFSET($CX$3,0,0,'Données projet'!$E$13+1,1))-AVERAGE(OFFSET($H$3,0,0,'Données projet'!$E$13+1,1))</f>
        <v>470.0521927195926</v>
      </c>
      <c r="CZ22" s="62">
        <f t="shared" si="42"/>
        <v>299.27200854723435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projet'!$B$13,Paramètres!$A$1:$I$88,3,0)*0.475*44/12</f>
        <v>0</v>
      </c>
      <c r="DG22" s="23">
        <f>EXP(-LN(2)/25)*DG21+(1-EXP(-LN(2)/25))/(LN(2)/25)*Calculateur!DB22*Calculateur!DD22*VLOOKUP('Données projet'!$B$13,Paramètres!$A$1:$I$88,3,0)*0.475*44/12</f>
        <v>0</v>
      </c>
      <c r="DH22" s="23">
        <f>EXP(-LN(2)/2)*DH21+(1-EXP(-LN(2)/2))/(LN(2)/2)*DB22*DE22*VLOOKUP('Données projet'!$B$13,Paramètres!$A$1:$I$88,3,0)*0.475*44/12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1.2</v>
      </c>
      <c r="DO22" s="13">
        <f>IF('Données projet'!$A$166&gt;35,DO21+DN22-DW21,IF(A22&lt;'Données projet'!$A$166,$DL$205^A22,IF(A22='Données projet'!$A$166,'Données projet'!$B$166,DO21+DN22-DW21)))</f>
        <v>13.262095581124292</v>
      </c>
      <c r="DP22" s="18">
        <f>DO22*VLOOKUP('Données projet'!$B$14,Paramètres!$A$1:$I$88,3,0)*VLOOKUP('Données projet'!$B$14,Paramètres!$A$1:$I$88,5,0)</f>
        <v>12.827098846063416</v>
      </c>
      <c r="DQ22" s="14">
        <f t="shared" si="43"/>
        <v>4.3923238720390128</v>
      </c>
      <c r="DR22" s="22">
        <f t="shared" si="16"/>
        <v>29.990494567361733</v>
      </c>
      <c r="DS22" s="62">
        <f t="shared" si="17"/>
        <v>244.14258881038526</v>
      </c>
      <c r="DT22" s="62">
        <f ca="1">AVERAGE(OFFSET($DS$3,0,0,'Données projet'!$E$14+1,1))-AVERAGE(OFFSET($H$3,0,0,'Données projet'!$E$14+1,1))</f>
        <v>290.89727102147953</v>
      </c>
      <c r="DU22" s="62">
        <f t="shared" si="44"/>
        <v>173.19148969173838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projet'!$B$14,Paramètres!$A$1:$I$88,3,0)*0.475*44/12</f>
        <v>0</v>
      </c>
      <c r="EB22" s="23">
        <f>EXP(-LN(2)/25)*EB21+(1-EXP(-LN(2)/25))/(LN(2)/25)*Calculateur!DW22*Calculateur!DY22*VLOOKUP('Données projet'!$B$14,Paramètres!$A$1:$I$88,3,0)*0.475*44/12</f>
        <v>0</v>
      </c>
      <c r="EC22" s="23">
        <f>EXP(-LN(2)/2)*EC21+(1-EXP(-LN(2)/2))/(LN(2)/2)*DW22*DZ22*VLOOKUP('Données projet'!$B$14,Paramètres!$A$1:$I$88,3,0)*0.475*44/12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projet'!$B$15,Paramètres!$A$1:$I$88,3,0)*VLOOKUP('Données projet'!$B$15,Paramètres!$A$1:$I$88,5,0)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projet'!$B$15,Paramètres!$A$1:$I$88,3,0)*0.475*44/12</f>
        <v>#N/A</v>
      </c>
      <c r="EW22" s="23" t="e">
        <f>EXP(-LN(2)/25)*EW21+(1-EXP(-LN(2)/25))/(LN(2)/25)*Calculateur!ER22*Calculateur!ET22*VLOOKUP('Données projet'!$B$15,Paramètres!$A$1:$I$88,3,0)*0.475*44/12</f>
        <v>#N/A</v>
      </c>
      <c r="EX22" s="23" t="e">
        <f>EXP(-LN(2)/2)*EX21+(1-EXP(-LN(2)/2))/(LN(2)/2)*ER22*EU22*VLOOKUP('Données projet'!$B$15,Paramètres!$A$1:$I$88,3,0)*0.475*44/12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projet'!$B$16,Paramètres!$A$1:$I$88,3,0)*VLOOKUP('Données projet'!$B$16,Paramètres!$A$1:$I$88,5,0)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projet'!$B$16,Paramètres!$A$1:$I$88,3,0)*0.475*44/12</f>
        <v>#N/A</v>
      </c>
      <c r="FR22" s="23" t="e">
        <f>EXP(-LN(2)/25)*FR21+(1-EXP(-LN(2)/25))/(LN(2)/25)*Calculateur!FM22*Calculateur!FO22*VLOOKUP('Données projet'!$B$16,Paramètres!$A$1:$I$88,3,0)*0.475*44/12</f>
        <v>#N/A</v>
      </c>
      <c r="FS22" s="23" t="e">
        <f>EXP(-LN(2)/2)*FS21+(1-EXP(-LN(2)/2))/(LN(2)/2)*FM22*FP22*VLOOKUP('Données projet'!$B$16,Paramètres!$A$1:$I$88,3,0)*0.475*44/12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projet'!$B$17,Paramètres!$A$1:$I$88,3,0)*VLOOKUP('Données projet'!$B$17,Paramètres!$A$1:$I$88,5,0)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projet'!$B$17,Paramètres!$A$1:$I$88,3,0)*0.475*44/12</f>
        <v>#N/A</v>
      </c>
      <c r="GM22" s="23" t="e">
        <f>EXP(-LN(2)/25)*GM21+(1-EXP(-LN(2)/25))/(LN(2)/25)*Calculateur!GH22*Calculateur!GJ22*VLOOKUP('Données projet'!$B$17,Paramètres!$A$1:$I$88,3,0)*0.475*44/12</f>
        <v>#N/A</v>
      </c>
      <c r="GN22" s="23" t="e">
        <f>EXP(-LN(2)/2)*GN21+(1-EXP(-LN(2)/2))/(LN(2)/2)*GH22*GK22*VLOOKUP('Données projet'!$B$17,Paramètres!$A$1:$I$88,3,0)*0.475*44/12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projet'!$B$18,Paramètres!$A$1:$I$88,3,0)*VLOOKUP('Données projet'!$B$18,Paramètres!$A$1:$I$88,5,0)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projet'!$B$18,Paramètres!$A$1:$I$88,3,0)*0.475*44/12</f>
        <v>#N/A</v>
      </c>
      <c r="HH22" s="23" t="e">
        <f>EXP(-LN(2)/25)*HH21+(1-EXP(-LN(2)/25))/(LN(2)/25)*Calculateur!HC22*Calculateur!HE22*VLOOKUP('Données projet'!$B$18,Paramètres!$A$1:$I$88,3,0)*0.475*44/12</f>
        <v>#N/A</v>
      </c>
      <c r="HI22" s="23" t="e">
        <f>EXP(-LN(2)/2)*HI21+(1-EXP(-LN(2)/2))/(LN(2)/2)*HC22*HF22*VLOOKUP('Données projet'!$B$18,Paramètres!$A$1:$I$88,3,0)*0.475*44/12</f>
        <v>#N/A</v>
      </c>
      <c r="HJ22" s="24" t="e">
        <f t="shared" si="30"/>
        <v>#N/A</v>
      </c>
    </row>
    <row r="23" spans="1:218" s="5" customFormat="1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180</v>
      </c>
      <c r="L23" s="13">
        <f>VLOOKUP(A23,'Données projet'!$A$35:$I$55,9,0)</f>
        <v>18.399999999999999</v>
      </c>
      <c r="M23" s="13">
        <f t="array" ref="M23">INDEX(L:L,MIN(IF(ISNUMBER(L23:L219),ROW(L23:L219),"")))</f>
        <v>18.399999999999999</v>
      </c>
      <c r="N23" s="14">
        <f>IF('Données projet'!$A$36&gt;35,N22+M23-V22,IF(A23&lt;'Données projet'!$A$36,$K$205^A23,IF(A23='Données projet'!$A$36,'Données projet'!$B$36,N22+M23-V22)))</f>
        <v>180.00000000000003</v>
      </c>
      <c r="O23" s="14">
        <f>N23*VLOOKUP('Données projet'!$B$9,Paramètres!$A$1:$I$88,3,0)*VLOOKUP('Données projet'!$B$9,Paramètres!$A$1:$I$88,5,0)</f>
        <v>107.64000000000001</v>
      </c>
      <c r="P23" s="14">
        <f t="shared" si="33"/>
        <v>28.774250263353583</v>
      </c>
      <c r="Q23" s="22">
        <f t="shared" si="2"/>
        <v>237.58815254200752</v>
      </c>
      <c r="R23" s="62">
        <f t="shared" si="0"/>
        <v>454.10285542890324</v>
      </c>
      <c r="S23" s="62">
        <f ca="1">AVERAGE(OFFSET($R$3,0,0,'Données projet'!$E$9+1,1))-AVERAGE(OFFSET($H$3,0,0,'Données projet'!$E$9+1,1))</f>
        <v>301.2688576786212</v>
      </c>
      <c r="T23" s="62">
        <f t="shared" si="34"/>
        <v>417.62172165132927</v>
      </c>
      <c r="U23" s="16">
        <f>IF(ISNA(VLOOKUP(A23,'Données projet'!$A$35:$I$55,3,0)),0,VLOOKUP(A23,'Données projet'!$A$35:$I$55,3,0))</f>
        <v>2</v>
      </c>
      <c r="V23" s="16">
        <f>IF(ISNA(VLOOKUP(A23,'Données projet'!$A$35:$I$55,4,0)),0,VLOOKUP(A23,'Données projet'!$A$35:$I$55,4,0))</f>
        <v>56</v>
      </c>
      <c r="W23" s="17">
        <f>IF(ISNA(VLOOKUP(A23,'Données projet'!$A$35:$I$55,5,0)),0%,VLOOKUP(A23,'Données projet'!$A$35:$I$55,5,0)*VLOOKUP('Données projet'!$B$9,Paramètres!$A$1:$I$88,7,0))</f>
        <v>0</v>
      </c>
      <c r="X23" s="78">
        <f>IF(ISNA(VLOOKUP(A23,'Données projet'!$A$35:$I$55,6,0)),0%,VLOOKUP(A23,'Données projet'!$A$35:$I$55,6,0)*VLOOKUP('Données projet'!$B$9,Paramètres!$A$1:$I$88,7,0))</f>
        <v>0.25200000000000006</v>
      </c>
      <c r="Y23" s="17">
        <f>IF(ISNA(VLOOKUP(A23,'Données projet'!$A$35:$I$55,7,0)),0%,VLOOKUP(A23,'Données projet'!$A$35:$I$55,7,0))</f>
        <v>0.44</v>
      </c>
      <c r="Z23" s="23">
        <f>EXP(-LN(2)/35)*Z22+(1-EXP(-LN(2)/35))/(LN(2)/35)*V23*W23*VLOOKUP('Données projet'!$B$9,Paramètres!$A$1:$I$88,3,0)*0.475*44/12</f>
        <v>0</v>
      </c>
      <c r="AA23" s="23">
        <f>EXP(-LN(2)/25)*AA22+(1-EXP(-LN(2)/25))/(LN(2)/25)*Calculateur!V23*Calculateur!X23*VLOOKUP('Données projet'!$B$9,Paramètres!$A$1:$I$88,3,0)*0.475*44/12</f>
        <v>11.84414627867104</v>
      </c>
      <c r="AB23" s="23">
        <f>EXP(-LN(2)/2)*AB22+(1-EXP(-LN(2)/2))/(LN(2)/2)*V23*Y23*VLOOKUP('Données projet'!$B$9,Paramètres!$A$1:$I$88,3,0)*0.475*44/12</f>
        <v>16.893782154731241</v>
      </c>
      <c r="AC23" s="24">
        <f t="shared" si="3"/>
        <v>28.737928433402281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130</v>
      </c>
      <c r="AG23" s="13">
        <f>VLOOKUP(A23,'Données projet'!$A$61:$I$81,9,0)</f>
        <v>6.5</v>
      </c>
      <c r="AH23" s="13">
        <f t="array" ref="AH23">INDEX(AG:AG,MIN(IF(ISNUMBER(AG23:AG219),ROW(AG23:AG219),"")))</f>
        <v>6.5</v>
      </c>
      <c r="AI23" s="14">
        <f>IF('Données projet'!$A$62&gt;35,AI22+AH23-AQ22,IF(A23&lt;'Données projet'!$A$62,$AF$205^A23,IF(A23='Données projet'!$A$62,'Données projet'!$B$62,AI22+AH23-AQ22)))</f>
        <v>130</v>
      </c>
      <c r="AJ23" s="14">
        <f>AI23*VLOOKUP('Données projet'!$B$10,Paramètres!$A$1:$I$88,3,0)*VLOOKUP('Données projet'!$B$10,Paramètres!$A$1:$I$88,5,0)</f>
        <v>60.839999999999996</v>
      </c>
      <c r="AK23" s="14">
        <f t="shared" si="35"/>
        <v>17.380475216531455</v>
      </c>
      <c r="AL23" s="22">
        <f t="shared" si="4"/>
        <v>136.23399433545893</v>
      </c>
      <c r="AM23" s="62">
        <f t="shared" si="5"/>
        <v>352.74869722235462</v>
      </c>
      <c r="AN23" s="62">
        <f ca="1">AVERAGE(OFFSET($AM$3,0,0,'Données projet'!$E$10+1,1))-AVERAGE(OFFSET($H$3,0,0,'Données projet'!$E$10+1,1))</f>
        <v>170.08673939431091</v>
      </c>
      <c r="AO23" s="62">
        <f t="shared" si="36"/>
        <v>252.97355497077106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60</v>
      </c>
      <c r="AR23" s="17">
        <f>IF(ISNA(VLOOKUP(A23,'Données projet'!$A$61:$I$81,5,0)),0%,VLOOKUP(A23,'Données projet'!$A$61:$I$81,5,0)*VLOOKUP('Données projet'!$B$10,Paramètres!$A$1:$I$88,7,0))</f>
        <v>0</v>
      </c>
      <c r="AS23" s="17">
        <f>IF(ISNA(VLOOKUP(A23,'Données projet'!$A$61:$I$81,6,0)),0%,VLOOKUP(A23,'Données projet'!$A$61:$I$81,6,0)*VLOOKUP('Données projet'!$B$10,Paramètres!$A$1:$I$88,7,0))</f>
        <v>0.30800000000000005</v>
      </c>
      <c r="AT23" s="17">
        <f>IF(ISNA(VLOOKUP(A23,'Données projet'!$A$61:$I$81,7,0)),0%,VLOOKUP(A23,'Données projet'!$A$61:$I$81,7,0))</f>
        <v>0.44</v>
      </c>
      <c r="AU23" s="23">
        <f>EXP(-LN(2)/35)*AU22+(1-EXP(-LN(2)/35))/(LN(2)/35)*AQ23*AR23*VLOOKUP('Données projet'!$B$10,Paramètres!$A$1:$I$88,3,0)*0.475*44/12</f>
        <v>0</v>
      </c>
      <c r="AV23" s="23">
        <f>EXP(-LN(2)/25)*AV22+(1-EXP(-LN(2)/25))/(LN(2)/25)*Calculateur!AQ23*Calculateur!AS23*VLOOKUP('Données projet'!$B$10,Paramètres!$A$1:$I$88,3,0)*0.475*44/12</f>
        <v>11.427804924337508</v>
      </c>
      <c r="AW23" s="23">
        <f>EXP(-LN(2)/2)*AW22+(1-EXP(-LN(2)/2))/(LN(2)/2)*AQ23*AT23*VLOOKUP('Données projet'!$B$10,Paramètres!$A$1:$I$88,3,0)*0.475*44/12</f>
        <v>13.98895648239899</v>
      </c>
      <c r="AX23" s="23">
        <f t="shared" si="6"/>
        <v>25.416761406736498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42</v>
      </c>
      <c r="BB23" s="13">
        <f>VLOOKUP(A23,'Données projet'!$A$87:$I$107,9,0)</f>
        <v>2.1</v>
      </c>
      <c r="BC23" s="13">
        <f t="array" ref="BC23">INDEX(BB:BB,MIN(IF(ISNUMBER(BB23:BB219),ROW(BB23:BB219),"")))</f>
        <v>2.1</v>
      </c>
      <c r="BD23" s="13">
        <f>IF('Données projet'!$A$88&gt;35,BD22+BC23-BL22,IF(A23&lt;'Données projet'!$A$88,$BA$205^A23,IF(A23='Données projet'!$A$88,'Données projet'!$B$88,BD22+BC23-BL22)))</f>
        <v>42</v>
      </c>
      <c r="BE23" s="14">
        <f>BD23*VLOOKUP('Données projet'!$B$11,Paramètres!$A$1:$I$88,3,0)*VLOOKUP('Données projet'!$B$11,Paramètres!$A$1:$I$88,5,0)</f>
        <v>38.001600000000003</v>
      </c>
      <c r="BF23" s="14">
        <f t="shared" si="37"/>
        <v>11.467401227090512</v>
      </c>
      <c r="BG23" s="22">
        <f t="shared" si="7"/>
        <v>86.158510470515978</v>
      </c>
      <c r="BH23" s="62">
        <f t="shared" si="8"/>
        <v>302.67321335741167</v>
      </c>
      <c r="BI23" s="62">
        <f ca="1">AVERAGE(OFFSET($BH$3,0,0,'Données projet'!$E$11+1,1))-AVERAGE(OFFSET($H$3,0,0,'Données projet'!$E$11+1,1))</f>
        <v>362.63718589694594</v>
      </c>
      <c r="BJ23" s="62">
        <f t="shared" si="38"/>
        <v>250.47702091764884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projet'!$B$11,Paramètres!$A$1:$I$88,7,0))</f>
        <v>0</v>
      </c>
      <c r="BN23" s="17">
        <f>IF(ISNA(VLOOKUP(A23,'Données projet'!$A$87:$I$107,6,0)),0%,VLOOKUP(A23,'Données projet'!$A$87:$I$107,6,0)*VLOOKUP('Données projet'!$B$11,Paramètres!$A$1:$I$88,7,0))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projet'!$B$11,Paramètres!$A$1:$I$88,3,0)*0.475*44/12</f>
        <v>0</v>
      </c>
      <c r="BQ23" s="23">
        <f>EXP(-LN(2)/25)*BQ22+(1-EXP(-LN(2)/25))/(LN(2)/25)*Calculateur!BL23*Calculateur!BN23*VLOOKUP('Données projet'!$B$11,Paramètres!$A$1:$I$88,3,0)*0.475*44/12</f>
        <v>0</v>
      </c>
      <c r="BR23" s="23">
        <f>EXP(-LN(2)/2)*BR22+(1-EXP(-LN(2)/2))/(LN(2)/2)*BL23*BO23*VLOOKUP('Données projet'!$B$11,Paramètres!$A$1:$I$88,3,0)*0.475*44/12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42</v>
      </c>
      <c r="BW23" s="13">
        <f>VLOOKUP(A23,'Données projet'!$A$113:$I$133,9,0)</f>
        <v>2.1</v>
      </c>
      <c r="BX23" s="13">
        <f t="array" ref="BX23">INDEX(BW:BW,MIN(IF(ISNUMBER(BW23:BW219),ROW(BW23:BW219),"")))</f>
        <v>2.1</v>
      </c>
      <c r="BY23" s="13">
        <f>IF('Données projet'!$A$114&gt;35,BY22+BX23-CG22,IF(A23&lt;'Données projet'!$A$114,$BV$205^A23,IF(A23='Données projet'!$A$114,'Données projet'!$B$114,BY22+BX23-CG22)))</f>
        <v>42</v>
      </c>
      <c r="BZ23" s="14">
        <f>BY23*VLOOKUP('Données projet'!$B$12,Paramètres!$A$1:$I$88,3,0)*VLOOKUP('Données projet'!$B$12,Paramètres!$A$1:$I$88,5,0)</f>
        <v>42.588000000000001</v>
      </c>
      <c r="CA23" s="14">
        <f t="shared" si="39"/>
        <v>12.682073764365764</v>
      </c>
      <c r="CB23" s="22">
        <f t="shared" si="10"/>
        <v>96.262045139603686</v>
      </c>
      <c r="CC23" s="62">
        <f t="shared" si="11"/>
        <v>312.77674802649938</v>
      </c>
      <c r="CD23" s="62">
        <f ca="1">AVERAGE(OFFSET($CC$3,0,0,'Données projet'!$E$12+1,1))-AVERAGE(OFFSET($H$3,0,0,'Données projet'!$E$12+1,1))</f>
        <v>398.14524781940196</v>
      </c>
      <c r="CE23" s="62">
        <f t="shared" si="40"/>
        <v>273.35778700650792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projet'!$B$12,Paramètres!$A$1:$I$88,7,0))</f>
        <v>0</v>
      </c>
      <c r="CI23" s="17">
        <f>IF(ISNA(VLOOKUP(A23,'Données projet'!$A$113:$I$133,6,0)),0%,VLOOKUP(A23,'Données projet'!$A$113:$I$133,6,0)*VLOOKUP('Données projet'!$B$12,Paramètres!$A$1:$I$88,7,0))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projet'!$B$12,Paramètres!$A$1:$I$88,3,0)*0.475*44/12</f>
        <v>0</v>
      </c>
      <c r="CL23" s="23">
        <f>EXP(-LN(2)/25)*CL22+(1-EXP(-LN(2)/25))/(LN(2)/25)*Calculateur!CG23*Calculateur!CI23*VLOOKUP('Données projet'!$B$12,Paramètres!$A$1:$I$88,3,0)*0.475*44/12</f>
        <v>0</v>
      </c>
      <c r="CM23" s="23">
        <f>EXP(-LN(2)/2)*CM22+(1-EXP(-LN(2)/2))/(LN(2)/2)*CG23*CJ23*VLOOKUP('Données projet'!$B$12,Paramètres!$A$1:$I$88,3,0)*0.475*44/12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32</v>
      </c>
      <c r="CR23" s="13">
        <f>VLOOKUP(A23,'Données projet'!$A$139:$I$159,9,0)</f>
        <v>1.6</v>
      </c>
      <c r="CS23" s="13">
        <f t="array" ref="CS23">INDEX(CR:CR,MIN(IF(ISNUMBER(CR23:CR219),ROW(CR23:CR219),"")))</f>
        <v>1.6</v>
      </c>
      <c r="CT23" s="13">
        <f>IF('Données projet'!$A$140&gt;35,CT22+CS23-DB22,IF(A23&lt;'Données projet'!$A$140,$CQ$205^A23,IF(A23='Données projet'!$A$140,'Données projet'!$B$140,CT22+CS23-DB22)))</f>
        <v>32</v>
      </c>
      <c r="CU23" s="18">
        <f>CT23*VLOOKUP('Données projet'!$B$13,Paramètres!$A$1:$I$88,3,0)*VLOOKUP('Données projet'!$B$13,Paramètres!$A$1:$I$88,5,0)</f>
        <v>30.4512</v>
      </c>
      <c r="CV23" s="14">
        <f t="shared" si="41"/>
        <v>9.4289845264708934</v>
      </c>
      <c r="CW23" s="22">
        <f t="shared" si="13"/>
        <v>69.457988050270131</v>
      </c>
      <c r="CX23" s="62">
        <f t="shared" si="14"/>
        <v>285.97269093716585</v>
      </c>
      <c r="CY23" s="62">
        <f ca="1">AVERAGE(OFFSET($CX$3,0,0,'Données projet'!$E$13+1,1))-AVERAGE(OFFSET($H$3,0,0,'Données projet'!$E$13+1,1))</f>
        <v>470.0521927195926</v>
      </c>
      <c r="CZ23" s="62">
        <f t="shared" si="42"/>
        <v>299.27200854723435</v>
      </c>
      <c r="DA23" s="16">
        <f>IF(ISNA(VLOOKUP(A23,'Données projet'!$A$139:$I$159,3,0)),0,VLOOKUP(A23,'Données projet'!$A$139:$I$159,3,0))</f>
        <v>1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projet'!$B$13,Paramètres!$A$1:$I$88,7,0))</f>
        <v>0</v>
      </c>
      <c r="DD23" s="17">
        <f>IF(ISNA(VLOOKUP(A23,'Données projet'!$A$139:$I$159,6,0)),0%,VLOOKUP(A23,'Données projet'!$A$139:$I$159,6,0)*VLOOKUP('Données projet'!$B$13,Paramètres!$A$1:$I$88,7,0))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projet'!$B$13,Paramètres!$A$1:$I$88,3,0)*0.475*44/12</f>
        <v>0</v>
      </c>
      <c r="DG23" s="23">
        <f>EXP(-LN(2)/25)*DG22+(1-EXP(-LN(2)/25))/(LN(2)/25)*Calculateur!DB23*Calculateur!DD23*VLOOKUP('Données projet'!$B$13,Paramètres!$A$1:$I$88,3,0)*0.475*44/12</f>
        <v>0</v>
      </c>
      <c r="DH23" s="23">
        <f>EXP(-LN(2)/2)*DH22+(1-EXP(-LN(2)/2))/(LN(2)/2)*DB23*DE23*VLOOKUP('Données projet'!$B$13,Paramètres!$A$1:$I$88,3,0)*0.475*44/12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1.2</v>
      </c>
      <c r="DO23" s="13">
        <f>IF('Données projet'!$A$166&gt;35,DO22+DN23-DW22,IF(A23&lt;'Données projet'!$A$166,$DL$205^A23,IF(A23='Données projet'!$A$166,'Données projet'!$B$166,DO22+DN23-DW22)))</f>
        <v>15.194870523363559</v>
      </c>
      <c r="DP23" s="18">
        <f>DO23*VLOOKUP('Données projet'!$B$14,Paramètres!$A$1:$I$88,3,0)*VLOOKUP('Données projet'!$B$14,Paramètres!$A$1:$I$88,5,0)</f>
        <v>14.696478770197235</v>
      </c>
      <c r="DQ23" s="14">
        <f t="shared" si="43"/>
        <v>4.9533809473858224</v>
      </c>
      <c r="DR23" s="22">
        <f t="shared" si="16"/>
        <v>34.223505674790481</v>
      </c>
      <c r="DS23" s="62">
        <f t="shared" si="17"/>
        <v>250.73820856168621</v>
      </c>
      <c r="DT23" s="62">
        <f ca="1">AVERAGE(OFFSET($DS$3,0,0,'Données projet'!$E$14+1,1))-AVERAGE(OFFSET($H$3,0,0,'Données projet'!$E$14+1,1))</f>
        <v>290.89727102147953</v>
      </c>
      <c r="DU23" s="62">
        <f t="shared" si="44"/>
        <v>173.19148969173838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projet'!$B$14,Paramètres!$A$1:$I$88,3,0)*0.475*44/12</f>
        <v>0</v>
      </c>
      <c r="EB23" s="23">
        <f>EXP(-LN(2)/25)*EB22+(1-EXP(-LN(2)/25))/(LN(2)/25)*Calculateur!DW23*Calculateur!DY23*VLOOKUP('Données projet'!$B$14,Paramètres!$A$1:$I$88,3,0)*0.475*44/12</f>
        <v>0</v>
      </c>
      <c r="EC23" s="23">
        <f>EXP(-LN(2)/2)*EC22+(1-EXP(-LN(2)/2))/(LN(2)/2)*DW23*DZ23*VLOOKUP('Données projet'!$B$14,Paramètres!$A$1:$I$88,3,0)*0.475*44/12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projet'!$B$15,Paramètres!$A$1:$I$88,3,0)*VLOOKUP('Données projet'!$B$15,Paramètres!$A$1:$I$88,5,0)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projet'!$B$15,Paramètres!$A$1:$I$88,3,0)*0.475*44/12</f>
        <v>#N/A</v>
      </c>
      <c r="EW23" s="23" t="e">
        <f>EXP(-LN(2)/25)*EW22+(1-EXP(-LN(2)/25))/(LN(2)/25)*Calculateur!ER23*Calculateur!ET23*VLOOKUP('Données projet'!$B$15,Paramètres!$A$1:$I$88,3,0)*0.475*44/12</f>
        <v>#N/A</v>
      </c>
      <c r="EX23" s="23" t="e">
        <f>EXP(-LN(2)/2)*EX22+(1-EXP(-LN(2)/2))/(LN(2)/2)*ER23*EU23*VLOOKUP('Données projet'!$B$15,Paramètres!$A$1:$I$88,3,0)*0.475*44/12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projet'!$B$16,Paramètres!$A$1:$I$88,3,0)*VLOOKUP('Données projet'!$B$16,Paramètres!$A$1:$I$88,5,0)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projet'!$B$16,Paramètres!$A$1:$I$88,3,0)*0.475*44/12</f>
        <v>#N/A</v>
      </c>
      <c r="FR23" s="23" t="e">
        <f>EXP(-LN(2)/25)*FR22+(1-EXP(-LN(2)/25))/(LN(2)/25)*Calculateur!FM23*Calculateur!FO23*VLOOKUP('Données projet'!$B$16,Paramètres!$A$1:$I$88,3,0)*0.475*44/12</f>
        <v>#N/A</v>
      </c>
      <c r="FS23" s="23" t="e">
        <f>EXP(-LN(2)/2)*FS22+(1-EXP(-LN(2)/2))/(LN(2)/2)*FM23*FP23*VLOOKUP('Données projet'!$B$16,Paramètres!$A$1:$I$88,3,0)*0.475*44/12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projet'!$B$17,Paramètres!$A$1:$I$88,3,0)*VLOOKUP('Données projet'!$B$17,Paramètres!$A$1:$I$88,5,0)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projet'!$B$17,Paramètres!$A$1:$I$88,3,0)*0.475*44/12</f>
        <v>#N/A</v>
      </c>
      <c r="GM23" s="23" t="e">
        <f>EXP(-LN(2)/25)*GM22+(1-EXP(-LN(2)/25))/(LN(2)/25)*Calculateur!GH23*Calculateur!GJ23*VLOOKUP('Données projet'!$B$17,Paramètres!$A$1:$I$88,3,0)*0.475*44/12</f>
        <v>#N/A</v>
      </c>
      <c r="GN23" s="23" t="e">
        <f>EXP(-LN(2)/2)*GN22+(1-EXP(-LN(2)/2))/(LN(2)/2)*GH23*GK23*VLOOKUP('Données projet'!$B$17,Paramètres!$A$1:$I$88,3,0)*0.475*44/12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projet'!$B$18,Paramètres!$A$1:$I$88,3,0)*VLOOKUP('Données projet'!$B$18,Paramètres!$A$1:$I$88,5,0)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projet'!$B$18,Paramètres!$A$1:$I$88,3,0)*0.475*44/12</f>
        <v>#N/A</v>
      </c>
      <c r="HH23" s="23" t="e">
        <f>EXP(-LN(2)/25)*HH22+(1-EXP(-LN(2)/25))/(LN(2)/25)*Calculateur!HC23*Calculateur!HE23*VLOOKUP('Données projet'!$B$18,Paramètres!$A$1:$I$88,3,0)*0.475*44/12</f>
        <v>#N/A</v>
      </c>
      <c r="HI23" s="23" t="e">
        <f>EXP(-LN(2)/2)*HI22+(1-EXP(-LN(2)/2))/(LN(2)/2)*HC23*HF23*VLOOKUP('Données projet'!$B$18,Paramètres!$A$1:$I$88,3,0)*0.475*44/12</f>
        <v>#N/A</v>
      </c>
      <c r="HJ23" s="24" t="e">
        <f t="shared" si="30"/>
        <v>#N/A</v>
      </c>
    </row>
    <row r="24" spans="1:218" s="5" customFormat="1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20.2</v>
      </c>
      <c r="N24" s="14">
        <f>IF('Données projet'!$A$36&gt;35,N23+M24-V23,IF(A24&lt;'Données projet'!$A$36,$K$205^A24,IF(A24='Données projet'!$A$36,'Données projet'!$B$36,N23+M24-V23)))</f>
        <v>144.20000000000002</v>
      </c>
      <c r="O24" s="14">
        <f>N24*VLOOKUP('Données projet'!$B$9,Paramètres!$A$1:$I$88,3,0)*VLOOKUP('Données projet'!$B$9,Paramètres!$A$1:$I$88,5,0)</f>
        <v>86.231600000000014</v>
      </c>
      <c r="P24" s="14">
        <f t="shared" si="33"/>
        <v>23.65412759312937</v>
      </c>
      <c r="Q24" s="22">
        <f t="shared" si="2"/>
        <v>191.38430889136703</v>
      </c>
      <c r="R24" s="62">
        <f t="shared" si="0"/>
        <v>410.24183726724141</v>
      </c>
      <c r="S24" s="62">
        <f ca="1">AVERAGE(OFFSET($R$3,0,0,'Données projet'!$E$9+1,1))-AVERAGE(OFFSET($H$3,0,0,'Données projet'!$E$9+1,1))</f>
        <v>301.2688576786212</v>
      </c>
      <c r="T24" s="62">
        <f t="shared" si="34"/>
        <v>417.62172165132927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projet'!$B$9,Paramètres!$A$1:$I$88,3,0)*0.475*44/12</f>
        <v>0</v>
      </c>
      <c r="AA24" s="23">
        <f>EXP(-LN(2)/25)*AA23+(1-EXP(-LN(2)/25))/(LN(2)/25)*Calculateur!V24*Calculateur!X24*VLOOKUP('Données projet'!$B$9,Paramètres!$A$1:$I$88,3,0)*0.475*44/12</f>
        <v>11.520267475824198</v>
      </c>
      <c r="AB24" s="23">
        <f>EXP(-LN(2)/2)*AB23+(1-EXP(-LN(2)/2))/(LN(2)/2)*V24*Y24*VLOOKUP('Données projet'!$B$9,Paramètres!$A$1:$I$88,3,0)*0.475*44/12</f>
        <v>11.945707921498746</v>
      </c>
      <c r="AC24" s="24">
        <f t="shared" si="3"/>
        <v>23.465975397322943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12</v>
      </c>
      <c r="AI24" s="14">
        <f>IF('Données projet'!$A$62&gt;35,AI23+AH24-AQ23,IF(A24&lt;'Données projet'!$A$62,$AF$205^A24,IF(A24='Données projet'!$A$62,'Données projet'!$B$62,AI23+AH24-AQ23)))</f>
        <v>82</v>
      </c>
      <c r="AJ24" s="14">
        <f>AI24*VLOOKUP('Données projet'!$B$10,Paramètres!$A$1:$I$88,3,0)*VLOOKUP('Données projet'!$B$10,Paramètres!$A$1:$I$88,5,0)</f>
        <v>38.375999999999998</v>
      </c>
      <c r="AK24" s="14">
        <f t="shared" si="35"/>
        <v>11.56717272359286</v>
      </c>
      <c r="AL24" s="22">
        <f t="shared" si="4"/>
        <v>86.984359160257554</v>
      </c>
      <c r="AM24" s="62">
        <f t="shared" si="5"/>
        <v>305.84188753613194</v>
      </c>
      <c r="AN24" s="62">
        <f ca="1">AVERAGE(OFFSET($AM$3,0,0,'Données projet'!$E$10+1,1))-AVERAGE(OFFSET($H$3,0,0,'Données projet'!$E$10+1,1))</f>
        <v>170.08673939431091</v>
      </c>
      <c r="AO24" s="62">
        <f t="shared" si="36"/>
        <v>252.97355497077106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projet'!$B$10,Paramètres!$A$1:$I$88,3,0)*0.475*44/12</f>
        <v>0</v>
      </c>
      <c r="AV24" s="23">
        <f>EXP(-LN(2)/25)*AV23+(1-EXP(-LN(2)/25))/(LN(2)/25)*Calculateur!AQ24*Calculateur!AS24*VLOOKUP('Données projet'!$B$10,Paramètres!$A$1:$I$88,3,0)*0.475*44/12</f>
        <v>11.115310997719357</v>
      </c>
      <c r="AW24" s="23">
        <f>EXP(-LN(2)/2)*AW23+(1-EXP(-LN(2)/2))/(LN(2)/2)*AQ24*AT24*VLOOKUP('Données projet'!$B$10,Paramètres!$A$1:$I$88,3,0)*0.475*44/12</f>
        <v>9.8916859904278382</v>
      </c>
      <c r="AX24" s="23">
        <f t="shared" si="6"/>
        <v>21.006996988147193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5.6</v>
      </c>
      <c r="BD24" s="13">
        <f>IF('Données projet'!$A$88&gt;35,BD23+BC24-BL23,IF(A24&lt;'Données projet'!$A$88,$BA$205^A24,IF(A24='Données projet'!$A$88,'Données projet'!$B$88,BD23+BC24-BL23)))</f>
        <v>47.6</v>
      </c>
      <c r="BE24" s="14">
        <f>BD24*VLOOKUP('Données projet'!$B$11,Paramètres!$A$1:$I$88,3,0)*VLOOKUP('Données projet'!$B$11,Paramètres!$A$1:$I$88,5,0)</f>
        <v>43.068480000000001</v>
      </c>
      <c r="BF24" s="14">
        <f t="shared" si="37"/>
        <v>12.808416415102187</v>
      </c>
      <c r="BG24" s="22">
        <f t="shared" si="7"/>
        <v>97.318927922969635</v>
      </c>
      <c r="BH24" s="62">
        <f t="shared" si="8"/>
        <v>316.17645629884402</v>
      </c>
      <c r="BI24" s="62">
        <f ca="1">AVERAGE(OFFSET($BH$3,0,0,'Données projet'!$E$11+1,1))-AVERAGE(OFFSET($H$3,0,0,'Données projet'!$E$11+1,1))</f>
        <v>362.63718589694594</v>
      </c>
      <c r="BJ24" s="62">
        <f t="shared" si="38"/>
        <v>250.47702091764884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projet'!$B$11,Paramètres!$A$1:$I$88,3,0)*0.475*44/12</f>
        <v>0</v>
      </c>
      <c r="BQ24" s="23">
        <f>EXP(-LN(2)/25)*BQ23+(1-EXP(-LN(2)/25))/(LN(2)/25)*Calculateur!BL24*Calculateur!BN24*VLOOKUP('Données projet'!$B$11,Paramètres!$A$1:$I$88,3,0)*0.475*44/12</f>
        <v>0</v>
      </c>
      <c r="BR24" s="23">
        <f>EXP(-LN(2)/2)*BR23+(1-EXP(-LN(2)/2))/(LN(2)/2)*BL24*BO24*VLOOKUP('Données projet'!$B$11,Paramètres!$A$1:$I$88,3,0)*0.475*44/12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5.6</v>
      </c>
      <c r="BY24" s="13">
        <f>IF('Données projet'!$A$114&gt;35,BY23+BX24-CG23,IF(A24&lt;'Données projet'!$A$114,$BV$205^A24,IF(A24='Données projet'!$A$114,'Données projet'!$B$114,BY23+BX24-CG23)))</f>
        <v>47.6</v>
      </c>
      <c r="BZ24" s="14">
        <f>BY24*VLOOKUP('Données projet'!$B$12,Paramètres!$A$1:$I$88,3,0)*VLOOKUP('Données projet'!$B$12,Paramètres!$A$1:$I$88,5,0)</f>
        <v>48.266400000000004</v>
      </c>
      <c r="CA24" s="14">
        <f t="shared" si="39"/>
        <v>14.165134590154434</v>
      </c>
      <c r="CB24" s="22">
        <f t="shared" si="10"/>
        <v>108.73492274451898</v>
      </c>
      <c r="CC24" s="62">
        <f t="shared" si="11"/>
        <v>327.59245112039338</v>
      </c>
      <c r="CD24" s="62">
        <f ca="1">AVERAGE(OFFSET($CC$3,0,0,'Données projet'!$E$12+1,1))-AVERAGE(OFFSET($H$3,0,0,'Données projet'!$E$12+1,1))</f>
        <v>398.14524781940196</v>
      </c>
      <c r="CE24" s="62">
        <f t="shared" si="40"/>
        <v>273.35778700650792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projet'!$B$12,Paramètres!$A$1:$I$88,3,0)*0.475*44/12</f>
        <v>0</v>
      </c>
      <c r="CL24" s="23">
        <f>EXP(-LN(2)/25)*CL23+(1-EXP(-LN(2)/25))/(LN(2)/25)*Calculateur!CG24*Calculateur!CI24*VLOOKUP('Données projet'!$B$12,Paramètres!$A$1:$I$88,3,0)*0.475*44/12</f>
        <v>0</v>
      </c>
      <c r="CM24" s="23">
        <f>EXP(-LN(2)/2)*CM23+(1-EXP(-LN(2)/2))/(LN(2)/2)*CG24*CJ24*VLOOKUP('Données projet'!$B$12,Paramètres!$A$1:$I$88,3,0)*0.475*44/12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8.8000000000000007</v>
      </c>
      <c r="CT24" s="13">
        <f>IF('Données projet'!$A$140&gt;35,CT23+CS24-DB23,IF(A24&lt;'Données projet'!$A$140,$CQ$205^A24,IF(A24='Données projet'!$A$140,'Données projet'!$B$140,CT23+CS24-DB23)))</f>
        <v>40.799999999999997</v>
      </c>
      <c r="CU24" s="18">
        <f>CT24*VLOOKUP('Données projet'!$B$13,Paramètres!$A$1:$I$88,3,0)*VLOOKUP('Données projet'!$B$13,Paramètres!$A$1:$I$88,5,0)</f>
        <v>38.825279999999999</v>
      </c>
      <c r="CV24" s="14">
        <f t="shared" si="41"/>
        <v>11.686749151685682</v>
      </c>
      <c r="CW24" s="22">
        <f t="shared" si="13"/>
        <v>87.975117439185894</v>
      </c>
      <c r="CX24" s="62">
        <f t="shared" si="14"/>
        <v>306.83264581506029</v>
      </c>
      <c r="CY24" s="62">
        <f ca="1">AVERAGE(OFFSET($CX$3,0,0,'Données projet'!$E$13+1,1))-AVERAGE(OFFSET($H$3,0,0,'Données projet'!$E$13+1,1))</f>
        <v>470.0521927195926</v>
      </c>
      <c r="CZ24" s="62">
        <f t="shared" si="42"/>
        <v>299.27200854723435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projet'!$B$13,Paramètres!$A$1:$I$88,3,0)*0.475*44/12</f>
        <v>0</v>
      </c>
      <c r="DG24" s="23">
        <f>EXP(-LN(2)/25)*DG23+(1-EXP(-LN(2)/25))/(LN(2)/25)*Calculateur!DB24*Calculateur!DD24*VLOOKUP('Données projet'!$B$13,Paramètres!$A$1:$I$88,3,0)*0.475*44/12</f>
        <v>0</v>
      </c>
      <c r="DH24" s="23">
        <f>EXP(-LN(2)/2)*DH23+(1-EXP(-LN(2)/2))/(LN(2)/2)*DB24*DE24*VLOOKUP('Données projet'!$B$13,Paramètres!$A$1:$I$88,3,0)*0.475*44/12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1.2</v>
      </c>
      <c r="DO24" s="13">
        <f>IF('Données projet'!$A$166&gt;35,DO23+DN24-DW23,IF(A24&lt;'Données projet'!$A$166,$DL$205^A24,IF(A24='Données projet'!$A$166,'Données projet'!$B$166,DO23+DN24-DW23)))</f>
        <v>17.409321838276906</v>
      </c>
      <c r="DP24" s="18">
        <f>DO24*VLOOKUP('Données projet'!$B$14,Paramètres!$A$1:$I$88,3,0)*VLOOKUP('Données projet'!$B$14,Paramètres!$A$1:$I$88,5,0)</f>
        <v>16.838296081981426</v>
      </c>
      <c r="DQ24" s="14">
        <f t="shared" si="43"/>
        <v>5.5861051062554639</v>
      </c>
      <c r="DR24" s="22">
        <f t="shared" si="16"/>
        <v>39.055832069512576</v>
      </c>
      <c r="DS24" s="62">
        <f t="shared" si="17"/>
        <v>257.91336044538696</v>
      </c>
      <c r="DT24" s="62">
        <f ca="1">AVERAGE(OFFSET($DS$3,0,0,'Données projet'!$E$14+1,1))-AVERAGE(OFFSET($H$3,0,0,'Données projet'!$E$14+1,1))</f>
        <v>290.89727102147953</v>
      </c>
      <c r="DU24" s="62">
        <f t="shared" si="44"/>
        <v>173.19148969173838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projet'!$B$14,Paramètres!$A$1:$I$88,3,0)*0.475*44/12</f>
        <v>0</v>
      </c>
      <c r="EB24" s="23">
        <f>EXP(-LN(2)/25)*EB23+(1-EXP(-LN(2)/25))/(LN(2)/25)*Calculateur!DW24*Calculateur!DY24*VLOOKUP('Données projet'!$B$14,Paramètres!$A$1:$I$88,3,0)*0.475*44/12</f>
        <v>0</v>
      </c>
      <c r="EC24" s="23">
        <f>EXP(-LN(2)/2)*EC23+(1-EXP(-LN(2)/2))/(LN(2)/2)*DW24*DZ24*VLOOKUP('Données projet'!$B$14,Paramètres!$A$1:$I$88,3,0)*0.475*44/12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projet'!$B$15,Paramètres!$A$1:$I$88,3,0)*VLOOKUP('Données projet'!$B$15,Paramètres!$A$1:$I$88,5,0)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projet'!$B$15,Paramètres!$A$1:$I$88,3,0)*0.475*44/12</f>
        <v>#N/A</v>
      </c>
      <c r="EW24" s="23" t="e">
        <f>EXP(-LN(2)/25)*EW23+(1-EXP(-LN(2)/25))/(LN(2)/25)*Calculateur!ER24*Calculateur!ET24*VLOOKUP('Données projet'!$B$15,Paramètres!$A$1:$I$88,3,0)*0.475*44/12</f>
        <v>#N/A</v>
      </c>
      <c r="EX24" s="23" t="e">
        <f>EXP(-LN(2)/2)*EX23+(1-EXP(-LN(2)/2))/(LN(2)/2)*ER24*EU24*VLOOKUP('Données projet'!$B$15,Paramètres!$A$1:$I$88,3,0)*0.475*44/12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projet'!$B$16,Paramètres!$A$1:$I$88,3,0)*VLOOKUP('Données projet'!$B$16,Paramètres!$A$1:$I$88,5,0)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projet'!$B$16,Paramètres!$A$1:$I$88,3,0)*0.475*44/12</f>
        <v>#N/A</v>
      </c>
      <c r="FR24" s="23" t="e">
        <f>EXP(-LN(2)/25)*FR23+(1-EXP(-LN(2)/25))/(LN(2)/25)*Calculateur!FM24*Calculateur!FO24*VLOOKUP('Données projet'!$B$16,Paramètres!$A$1:$I$88,3,0)*0.475*44/12</f>
        <v>#N/A</v>
      </c>
      <c r="FS24" s="23" t="e">
        <f>EXP(-LN(2)/2)*FS23+(1-EXP(-LN(2)/2))/(LN(2)/2)*FM24*FP24*VLOOKUP('Données projet'!$B$16,Paramètres!$A$1:$I$88,3,0)*0.475*44/12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projet'!$B$17,Paramètres!$A$1:$I$88,3,0)*VLOOKUP('Données projet'!$B$17,Paramètres!$A$1:$I$88,5,0)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projet'!$B$17,Paramètres!$A$1:$I$88,3,0)*0.475*44/12</f>
        <v>#N/A</v>
      </c>
      <c r="GM24" s="23" t="e">
        <f>EXP(-LN(2)/25)*GM23+(1-EXP(-LN(2)/25))/(LN(2)/25)*Calculateur!GH24*Calculateur!GJ24*VLOOKUP('Données projet'!$B$17,Paramètres!$A$1:$I$88,3,0)*0.475*44/12</f>
        <v>#N/A</v>
      </c>
      <c r="GN24" s="23" t="e">
        <f>EXP(-LN(2)/2)*GN23+(1-EXP(-LN(2)/2))/(LN(2)/2)*GH24*GK24*VLOOKUP('Données projet'!$B$17,Paramètres!$A$1:$I$88,3,0)*0.475*44/12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projet'!$B$18,Paramètres!$A$1:$I$88,3,0)*VLOOKUP('Données projet'!$B$18,Paramètres!$A$1:$I$88,5,0)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projet'!$B$18,Paramètres!$A$1:$I$88,3,0)*0.475*44/12</f>
        <v>#N/A</v>
      </c>
      <c r="HH24" s="23" t="e">
        <f>EXP(-LN(2)/25)*HH23+(1-EXP(-LN(2)/25))/(LN(2)/25)*Calculateur!HC24*Calculateur!HE24*VLOOKUP('Données projet'!$B$18,Paramètres!$A$1:$I$88,3,0)*0.475*44/12</f>
        <v>#N/A</v>
      </c>
      <c r="HI24" s="23" t="e">
        <f>EXP(-LN(2)/2)*HI23+(1-EXP(-LN(2)/2))/(LN(2)/2)*HC24*HF24*VLOOKUP('Données projet'!$B$18,Paramètres!$A$1:$I$88,3,0)*0.475*44/12</f>
        <v>#N/A</v>
      </c>
      <c r="HJ24" s="24" t="e">
        <f t="shared" si="30"/>
        <v>#N/A</v>
      </c>
    </row>
    <row r="25" spans="1:218" s="5" customFormat="1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20.2</v>
      </c>
      <c r="N25" s="14">
        <f>IF('Données projet'!$A$36&gt;35,N24+M25-V24,IF(A25&lt;'Données projet'!$A$36,$K$205^A25,IF(A25='Données projet'!$A$36,'Données projet'!$B$36,N24+M25-V24)))</f>
        <v>164.4</v>
      </c>
      <c r="O25" s="14">
        <f>N25*VLOOKUP('Données projet'!$B$9,Paramètres!$A$1:$I$88,3,0)*VLOOKUP('Données projet'!$B$9,Paramètres!$A$1:$I$88,5,0)</f>
        <v>98.311200000000014</v>
      </c>
      <c r="P25" s="14">
        <f t="shared" si="33"/>
        <v>26.559266282665902</v>
      </c>
      <c r="Q25" s="22">
        <f t="shared" si="2"/>
        <v>217.48272877564315</v>
      </c>
      <c r="R25" s="62">
        <f t="shared" si="0"/>
        <v>438.66364267911155</v>
      </c>
      <c r="S25" s="62">
        <f ca="1">AVERAGE(OFFSET($R$3,0,0,'Données projet'!$E$9+1,1))-AVERAGE(OFFSET($H$3,0,0,'Données projet'!$E$9+1,1))</f>
        <v>301.2688576786212</v>
      </c>
      <c r="T25" s="62">
        <f t="shared" si="34"/>
        <v>417.62172165132927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projet'!$B$9,Paramètres!$A$1:$I$88,7,0))</f>
        <v>0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projet'!$B$9,Paramètres!$A$1:$I$88,3,0)*0.475*44/12</f>
        <v>0</v>
      </c>
      <c r="AA25" s="23">
        <f>EXP(-LN(2)/25)*AA24+(1-EXP(-LN(2)/25))/(LN(2)/25)*Calculateur!V25*Calculateur!X25*VLOOKUP('Données projet'!$B$9,Paramètres!$A$1:$I$88,3,0)*0.475*44/12</f>
        <v>11.205245155873248</v>
      </c>
      <c r="AB25" s="23">
        <f>EXP(-LN(2)/2)*AB24+(1-EXP(-LN(2)/2))/(LN(2)/2)*V25*Y25*VLOOKUP('Données projet'!$B$9,Paramètres!$A$1:$I$88,3,0)*0.475*44/12</f>
        <v>8.4468910773656223</v>
      </c>
      <c r="AC25" s="24">
        <f t="shared" si="3"/>
        <v>19.65213623323887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12</v>
      </c>
      <c r="AI25" s="14">
        <f>IF('Données projet'!$A$62&gt;35,AI24+AH25-AQ24,IF(A25&lt;'Données projet'!$A$62,$AF$205^A25,IF(A25='Données projet'!$A$62,'Données projet'!$B$62,AI24+AH25-AQ24)))</f>
        <v>94</v>
      </c>
      <c r="AJ25" s="14">
        <f>AI25*VLOOKUP('Données projet'!$B$10,Paramètres!$A$1:$I$88,3,0)*VLOOKUP('Données projet'!$B$10,Paramètres!$A$1:$I$88,5,0)</f>
        <v>43.991999999999997</v>
      </c>
      <c r="AK25" s="14">
        <f t="shared" si="35"/>
        <v>13.05079813120688</v>
      </c>
      <c r="AL25" s="22">
        <f t="shared" si="4"/>
        <v>99.349540078518643</v>
      </c>
      <c r="AM25" s="62">
        <f t="shared" si="5"/>
        <v>320.53045398198702</v>
      </c>
      <c r="AN25" s="62">
        <f ca="1">AVERAGE(OFFSET($AM$3,0,0,'Données projet'!$E$10+1,1))-AVERAGE(OFFSET($H$3,0,0,'Données projet'!$E$10+1,1))</f>
        <v>170.08673939431091</v>
      </c>
      <c r="AO25" s="62">
        <f t="shared" si="36"/>
        <v>252.97355497077106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projet'!$B$10,Paramètres!$A$1:$I$88,3,0)*0.475*44/12</f>
        <v>0</v>
      </c>
      <c r="AV25" s="23">
        <f>EXP(-LN(2)/25)*AV24+(1-EXP(-LN(2)/25))/(LN(2)/25)*Calculateur!AQ25*Calculateur!AS25*VLOOKUP('Données projet'!$B$10,Paramètres!$A$1:$I$88,3,0)*0.475*44/12</f>
        <v>10.811362233957921</v>
      </c>
      <c r="AW25" s="23">
        <f>EXP(-LN(2)/2)*AW24+(1-EXP(-LN(2)/2))/(LN(2)/2)*AQ25*AT25*VLOOKUP('Données projet'!$B$10,Paramètres!$A$1:$I$88,3,0)*0.475*44/12</f>
        <v>6.9944782411994959</v>
      </c>
      <c r="AX25" s="23">
        <f t="shared" si="6"/>
        <v>17.805840475157417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5.6</v>
      </c>
      <c r="BD25" s="13">
        <f>IF('Données projet'!$A$88&gt;35,BD24+BC25-BL24,IF(A25&lt;'Données projet'!$A$88,$BA$205^A25,IF(A25='Données projet'!$A$88,'Données projet'!$B$88,BD24+BC25-BL24)))</f>
        <v>53.2</v>
      </c>
      <c r="BE25" s="14">
        <f>BD25*VLOOKUP('Données projet'!$B$11,Paramètres!$A$1:$I$88,3,0)*VLOOKUP('Données projet'!$B$11,Paramètres!$A$1:$I$88,5,0)</f>
        <v>48.135359999999999</v>
      </c>
      <c r="BF25" s="14">
        <f t="shared" si="37"/>
        <v>14.131148275361113</v>
      </c>
      <c r="BG25" s="22">
        <f t="shared" si="7"/>
        <v>108.4475019129206</v>
      </c>
      <c r="BH25" s="62">
        <f t="shared" si="8"/>
        <v>329.62841581638901</v>
      </c>
      <c r="BI25" s="62">
        <f ca="1">AVERAGE(OFFSET($BH$3,0,0,'Données projet'!$E$11+1,1))-AVERAGE(OFFSET($H$3,0,0,'Données projet'!$E$11+1,1))</f>
        <v>362.63718589694594</v>
      </c>
      <c r="BJ25" s="62">
        <f t="shared" si="38"/>
        <v>250.47702091764884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projet'!$B$11,Paramètres!$A$1:$I$88,7,0))</f>
        <v>0</v>
      </c>
      <c r="BN25" s="17">
        <f>IF(ISNA(VLOOKUP(A25,'Données projet'!$A$87:$I$107,6,0)),0%,VLOOKUP(A25,'Données projet'!$A$87:$I$107,6,0)*VLOOKUP('Données projet'!$B$11,Paramètres!$A$1:$I$88,7,0))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projet'!$B$11,Paramètres!$A$1:$I$88,3,0)*0.475*44/12</f>
        <v>0</v>
      </c>
      <c r="BQ25" s="23">
        <f>EXP(-LN(2)/25)*BQ24+(1-EXP(-LN(2)/25))/(LN(2)/25)*Calculateur!BL25*Calculateur!BN25*VLOOKUP('Données projet'!$B$11,Paramètres!$A$1:$I$88,3,0)*0.475*44/12</f>
        <v>0</v>
      </c>
      <c r="BR25" s="23">
        <f>EXP(-LN(2)/2)*BR24+(1-EXP(-LN(2)/2))/(LN(2)/2)*BL25*BO25*VLOOKUP('Données projet'!$B$11,Paramètres!$A$1:$I$88,3,0)*0.475*44/12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5.6</v>
      </c>
      <c r="BY25" s="13">
        <f>IF('Données projet'!$A$114&gt;35,BY24+BX25-CG24,IF(A25&lt;'Données projet'!$A$114,$BV$205^A25,IF(A25='Données projet'!$A$114,'Données projet'!$B$114,BY24+BX25-CG24)))</f>
        <v>53.2</v>
      </c>
      <c r="BZ25" s="14">
        <f>BY25*VLOOKUP('Données projet'!$B$12,Paramètres!$A$1:$I$88,3,0)*VLOOKUP('Données projet'!$B$12,Paramètres!$A$1:$I$88,5,0)</f>
        <v>53.944800000000008</v>
      </c>
      <c r="CA25" s="14">
        <f t="shared" si="39"/>
        <v>15.627975445731321</v>
      </c>
      <c r="CB25" s="22">
        <f t="shared" si="10"/>
        <v>121.17258390131538</v>
      </c>
      <c r="CC25" s="62">
        <f t="shared" si="11"/>
        <v>342.35349780478379</v>
      </c>
      <c r="CD25" s="62">
        <f ca="1">AVERAGE(OFFSET($CC$3,0,0,'Données projet'!$E$12+1,1))-AVERAGE(OFFSET($H$3,0,0,'Données projet'!$E$12+1,1))</f>
        <v>398.14524781940196</v>
      </c>
      <c r="CE25" s="62">
        <f t="shared" si="40"/>
        <v>273.35778700650792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projet'!$B$12,Paramètres!$A$1:$I$88,7,0))</f>
        <v>0</v>
      </c>
      <c r="CI25" s="17">
        <f>IF(ISNA(VLOOKUP(A25,'Données projet'!$A$113:$I$133,6,0)),0%,VLOOKUP(A25,'Données projet'!$A$113:$I$133,6,0)*VLOOKUP('Données projet'!$B$12,Paramètres!$A$1:$I$88,7,0))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projet'!$B$12,Paramètres!$A$1:$I$88,3,0)*0.475*44/12</f>
        <v>0</v>
      </c>
      <c r="CL25" s="23">
        <f>EXP(-LN(2)/25)*CL24+(1-EXP(-LN(2)/25))/(LN(2)/25)*Calculateur!CG25*Calculateur!CI25*VLOOKUP('Données projet'!$B$12,Paramètres!$A$1:$I$88,3,0)*0.475*44/12</f>
        <v>0</v>
      </c>
      <c r="CM25" s="23">
        <f>EXP(-LN(2)/2)*CM24+(1-EXP(-LN(2)/2))/(LN(2)/2)*CG25*CJ25*VLOOKUP('Données projet'!$B$12,Paramètres!$A$1:$I$88,3,0)*0.475*44/12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8.8000000000000007</v>
      </c>
      <c r="CT25" s="13">
        <f>IF('Données projet'!$A$140&gt;35,CT24+CS25-DB24,IF(A25&lt;'Données projet'!$A$140,$CQ$205^A25,IF(A25='Données projet'!$A$140,'Données projet'!$B$140,CT24+CS25-DB24)))</f>
        <v>49.599999999999994</v>
      </c>
      <c r="CU25" s="18">
        <f>CT25*VLOOKUP('Données projet'!$B$13,Paramètres!$A$1:$I$88,3,0)*VLOOKUP('Données projet'!$B$13,Paramètres!$A$1:$I$88,5,0)</f>
        <v>47.199359999999999</v>
      </c>
      <c r="CV25" s="14">
        <f t="shared" si="41"/>
        <v>13.888073668781496</v>
      </c>
      <c r="CW25" s="22">
        <f t="shared" si="13"/>
        <v>106.39394697312775</v>
      </c>
      <c r="CX25" s="62">
        <f t="shared" si="14"/>
        <v>327.57486087659618</v>
      </c>
      <c r="CY25" s="62">
        <f ca="1">AVERAGE(OFFSET($CX$3,0,0,'Données projet'!$E$13+1,1))-AVERAGE(OFFSET($H$3,0,0,'Données projet'!$E$13+1,1))</f>
        <v>470.0521927195926</v>
      </c>
      <c r="CZ25" s="62">
        <f t="shared" si="42"/>
        <v>299.27200854723435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projet'!$B$13,Paramètres!$A$1:$I$88,7,0))</f>
        <v>0</v>
      </c>
      <c r="DD25" s="17">
        <f>IF(ISNA(VLOOKUP(A25,'Données projet'!$A$139:$I$159,6,0)),0%,VLOOKUP(A25,'Données projet'!$A$139:$I$159,6,0)*VLOOKUP('Données projet'!$B$13,Paramètres!$A$1:$I$88,7,0))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projet'!$B$13,Paramètres!$A$1:$I$88,3,0)*0.475*44/12</f>
        <v>0</v>
      </c>
      <c r="DG25" s="23">
        <f>EXP(-LN(2)/25)*DG24+(1-EXP(-LN(2)/25))/(LN(2)/25)*Calculateur!DB25*Calculateur!DD25*VLOOKUP('Données projet'!$B$13,Paramètres!$A$1:$I$88,3,0)*0.475*44/12</f>
        <v>0</v>
      </c>
      <c r="DH25" s="23">
        <f>EXP(-LN(2)/2)*DH24+(1-EXP(-LN(2)/2))/(LN(2)/2)*DB25*DE25*VLOOKUP('Données projet'!$B$13,Paramètres!$A$1:$I$88,3,0)*0.475*44/12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1.2</v>
      </c>
      <c r="DO25" s="13">
        <f>IF('Données projet'!$A$166&gt;35,DO24+DN25-DW24,IF(A25&lt;'Données projet'!$A$166,$DL$205^A25,IF(A25='Données projet'!$A$166,'Données projet'!$B$166,DO24+DN25-DW24)))</f>
        <v>19.946500129940819</v>
      </c>
      <c r="DP25" s="18">
        <f>DO25*VLOOKUP('Données projet'!$B$14,Paramètres!$A$1:$I$88,3,0)*VLOOKUP('Données projet'!$B$14,Paramètres!$A$1:$I$88,5,0)</f>
        <v>19.292254925678762</v>
      </c>
      <c r="DQ25" s="14">
        <f t="shared" si="43"/>
        <v>6.2996508020651527</v>
      </c>
      <c r="DR25" s="22">
        <f t="shared" si="16"/>
        <v>44.572569142487318</v>
      </c>
      <c r="DS25" s="62">
        <f t="shared" si="17"/>
        <v>265.7534830459557</v>
      </c>
      <c r="DT25" s="62">
        <f ca="1">AVERAGE(OFFSET($DS$3,0,0,'Données projet'!$E$14+1,1))-AVERAGE(OFFSET($H$3,0,0,'Données projet'!$E$14+1,1))</f>
        <v>290.89727102147953</v>
      </c>
      <c r="DU25" s="62">
        <f t="shared" si="44"/>
        <v>173.19148969173838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projet'!$B$14,Paramètres!$A$1:$I$88,7,0))</f>
        <v>0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projet'!$B$14,Paramètres!$A$1:$I$88,3,0)*0.475*44/12</f>
        <v>0</v>
      </c>
      <c r="EB25" s="23">
        <f>EXP(-LN(2)/25)*EB24+(1-EXP(-LN(2)/25))/(LN(2)/25)*Calculateur!DW25*Calculateur!DY25*VLOOKUP('Données projet'!$B$14,Paramètres!$A$1:$I$88,3,0)*0.475*44/12</f>
        <v>0</v>
      </c>
      <c r="EC25" s="23">
        <f>EXP(-LN(2)/2)*EC24+(1-EXP(-LN(2)/2))/(LN(2)/2)*DW25*DZ25*VLOOKUP('Données projet'!$B$14,Paramètres!$A$1:$I$88,3,0)*0.475*44/12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projet'!$B$15,Paramètres!$A$1:$I$88,3,0)*VLOOKUP('Données projet'!$B$15,Paramètres!$A$1:$I$88,5,0)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projet'!$B$15,Paramètres!$A$1:$I$88,3,0)*0.475*44/12</f>
        <v>#N/A</v>
      </c>
      <c r="EW25" s="23" t="e">
        <f>EXP(-LN(2)/25)*EW24+(1-EXP(-LN(2)/25))/(LN(2)/25)*Calculateur!ER25*Calculateur!ET25*VLOOKUP('Données projet'!$B$15,Paramètres!$A$1:$I$88,3,0)*0.475*44/12</f>
        <v>#N/A</v>
      </c>
      <c r="EX25" s="23" t="e">
        <f>EXP(-LN(2)/2)*EX24+(1-EXP(-LN(2)/2))/(LN(2)/2)*ER25*EU25*VLOOKUP('Données projet'!$B$15,Paramètres!$A$1:$I$88,3,0)*0.475*44/12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projet'!$B$16,Paramètres!$A$1:$I$88,3,0)*VLOOKUP('Données projet'!$B$16,Paramètres!$A$1:$I$88,5,0)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projet'!$B$16,Paramètres!$A$1:$I$88,3,0)*0.475*44/12</f>
        <v>#N/A</v>
      </c>
      <c r="FR25" s="23" t="e">
        <f>EXP(-LN(2)/25)*FR24+(1-EXP(-LN(2)/25))/(LN(2)/25)*Calculateur!FM25*Calculateur!FO25*VLOOKUP('Données projet'!$B$16,Paramètres!$A$1:$I$88,3,0)*0.475*44/12</f>
        <v>#N/A</v>
      </c>
      <c r="FS25" s="23" t="e">
        <f>EXP(-LN(2)/2)*FS24+(1-EXP(-LN(2)/2))/(LN(2)/2)*FM25*FP25*VLOOKUP('Données projet'!$B$16,Paramètres!$A$1:$I$88,3,0)*0.475*44/12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projet'!$B$17,Paramètres!$A$1:$I$88,3,0)*VLOOKUP('Données projet'!$B$17,Paramètres!$A$1:$I$88,5,0)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projet'!$B$17,Paramètres!$A$1:$I$88,3,0)*0.475*44/12</f>
        <v>#N/A</v>
      </c>
      <c r="GM25" s="23" t="e">
        <f>EXP(-LN(2)/25)*GM24+(1-EXP(-LN(2)/25))/(LN(2)/25)*Calculateur!GH25*Calculateur!GJ25*VLOOKUP('Données projet'!$B$17,Paramètres!$A$1:$I$88,3,0)*0.475*44/12</f>
        <v>#N/A</v>
      </c>
      <c r="GN25" s="23" t="e">
        <f>EXP(-LN(2)/2)*GN24+(1-EXP(-LN(2)/2))/(LN(2)/2)*GH25*GK25*VLOOKUP('Données projet'!$B$17,Paramètres!$A$1:$I$88,3,0)*0.475*44/12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projet'!$B$18,Paramètres!$A$1:$I$88,3,0)*VLOOKUP('Données projet'!$B$18,Paramètres!$A$1:$I$88,5,0)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projet'!$B$18,Paramètres!$A$1:$I$88,3,0)*0.475*44/12</f>
        <v>#N/A</v>
      </c>
      <c r="HH25" s="23" t="e">
        <f>EXP(-LN(2)/25)*HH24+(1-EXP(-LN(2)/25))/(LN(2)/25)*Calculateur!HC25*Calculateur!HE25*VLOOKUP('Données projet'!$B$18,Paramètres!$A$1:$I$88,3,0)*0.475*44/12</f>
        <v>#N/A</v>
      </c>
      <c r="HI25" s="23" t="e">
        <f>EXP(-LN(2)/2)*HI24+(1-EXP(-LN(2)/2))/(LN(2)/2)*HC25*HF25*VLOOKUP('Données projet'!$B$18,Paramètres!$A$1:$I$88,3,0)*0.475*44/12</f>
        <v>#N/A</v>
      </c>
      <c r="HJ25" s="24" t="e">
        <f t="shared" si="30"/>
        <v>#N/A</v>
      </c>
    </row>
    <row r="26" spans="1:218" s="5" customFormat="1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20.2</v>
      </c>
      <c r="N26" s="14">
        <f>IF('Données projet'!$A$36&gt;35,N25+M26-V25,IF(A26&lt;'Données projet'!$A$36,$K$205^A26,IF(A26='Données projet'!$A$36,'Données projet'!$B$36,N25+M26-V25)))</f>
        <v>184.6</v>
      </c>
      <c r="O26" s="14">
        <f>N26*VLOOKUP('Données projet'!$B$9,Paramètres!$A$1:$I$88,3,0)*VLOOKUP('Données projet'!$B$9,Paramètres!$A$1:$I$88,5,0)</f>
        <v>110.3908</v>
      </c>
      <c r="P26" s="14">
        <f t="shared" si="33"/>
        <v>29.423041087469858</v>
      </c>
      <c r="Q26" s="22">
        <f t="shared" si="2"/>
        <v>243.50910656067663</v>
      </c>
      <c r="R26" s="62">
        <f t="shared" si="0"/>
        <v>466.9943032702231</v>
      </c>
      <c r="S26" s="62">
        <f ca="1">AVERAGE(OFFSET($R$3,0,0,'Données projet'!$E$9+1,1))-AVERAGE(OFFSET($H$3,0,0,'Données projet'!$E$9+1,1))</f>
        <v>301.2688576786212</v>
      </c>
      <c r="T26" s="62">
        <f t="shared" si="34"/>
        <v>417.62172165132927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0</v>
      </c>
      <c r="AA26" s="23">
        <f>EXP(-LN(2)/25)*AA25+(1-EXP(-LN(2)/25))/(LN(2)/25)*Calculateur!V26*Calculateur!X26*VLOOKUP('Données projet'!$B$9,Paramètres!$A$1:$I$88,3,0)*0.475*44/12</f>
        <v>10.898837137827661</v>
      </c>
      <c r="AB26" s="23">
        <f>EXP(-LN(2)/2)*AB25+(1-EXP(-LN(2)/2))/(LN(2)/2)*V26*Y26*VLOOKUP('Données projet'!$B$9,Paramètres!$A$1:$I$88,3,0)*0.475*44/12</f>
        <v>5.972853960749374</v>
      </c>
      <c r="AC26" s="24">
        <f t="shared" si="3"/>
        <v>16.871691098577035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12</v>
      </c>
      <c r="AI26" s="14">
        <f>IF('Données projet'!$A$62&gt;35,AI25+AH26-AQ25,IF(A26&lt;'Données projet'!$A$62,$AF$205^A26,IF(A26='Données projet'!$A$62,'Données projet'!$B$62,AI25+AH26-AQ25)))</f>
        <v>106</v>
      </c>
      <c r="AJ26" s="14">
        <f>AI26*VLOOKUP('Données projet'!$B$10,Paramètres!$A$1:$I$88,3,0)*VLOOKUP('Données projet'!$B$10,Paramètres!$A$1:$I$88,5,0)</f>
        <v>49.607999999999997</v>
      </c>
      <c r="AK26" s="14">
        <f t="shared" si="35"/>
        <v>14.512477626061585</v>
      </c>
      <c r="AL26" s="22">
        <f t="shared" si="4"/>
        <v>111.67649853205727</v>
      </c>
      <c r="AM26" s="62">
        <f t="shared" si="5"/>
        <v>335.16169524160375</v>
      </c>
      <c r="AN26" s="62">
        <f ca="1">AVERAGE(OFFSET($AM$3,0,0,'Données projet'!$E$10+1,1))-AVERAGE(OFFSET($H$3,0,0,'Données projet'!$E$10+1,1))</f>
        <v>170.08673939431091</v>
      </c>
      <c r="AO26" s="62">
        <f t="shared" si="36"/>
        <v>252.97355497077106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projet'!$B$10,Paramètres!$A$1:$I$88,3,0)*0.475*44/12</f>
        <v>0</v>
      </c>
      <c r="AV26" s="23">
        <f>EXP(-LN(2)/25)*AV25+(1-EXP(-LN(2)/25))/(LN(2)/25)*Calculateur!AQ26*Calculateur!AS26*VLOOKUP('Données projet'!$B$10,Paramètres!$A$1:$I$88,3,0)*0.475*44/12</f>
        <v>10.515724965125511</v>
      </c>
      <c r="AW26" s="23">
        <f>EXP(-LN(2)/2)*AW25+(1-EXP(-LN(2)/2))/(LN(2)/2)*AQ26*AT26*VLOOKUP('Données projet'!$B$10,Paramètres!$A$1:$I$88,3,0)*0.475*44/12</f>
        <v>4.94584299521392</v>
      </c>
      <c r="AX26" s="23">
        <f t="shared" si="6"/>
        <v>15.46156796033943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5.6</v>
      </c>
      <c r="BD26" s="13">
        <f>IF('Données projet'!$A$88&gt;35,BD25+BC26-BL25,IF(A26&lt;'Données projet'!$A$88,$BA$205^A26,IF(A26='Données projet'!$A$88,'Données projet'!$B$88,BD25+BC26-BL25)))</f>
        <v>58.800000000000004</v>
      </c>
      <c r="BE26" s="14">
        <f>BD26*VLOOKUP('Données projet'!$B$11,Paramètres!$A$1:$I$88,3,0)*VLOOKUP('Données projet'!$B$11,Paramètres!$A$1:$I$88,5,0)</f>
        <v>53.202240000000003</v>
      </c>
      <c r="BF26" s="14">
        <f t="shared" si="37"/>
        <v>15.437740642425908</v>
      </c>
      <c r="BG26" s="22">
        <f t="shared" si="7"/>
        <v>119.54796628555846</v>
      </c>
      <c r="BH26" s="62">
        <f t="shared" si="8"/>
        <v>343.03316299510493</v>
      </c>
      <c r="BI26" s="62">
        <f ca="1">AVERAGE(OFFSET($BH$3,0,0,'Données projet'!$E$11+1,1))-AVERAGE(OFFSET($H$3,0,0,'Données projet'!$E$11+1,1))</f>
        <v>362.63718589694594</v>
      </c>
      <c r="BJ26" s="62">
        <f t="shared" si="38"/>
        <v>250.47702091764884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projet'!$B$11,Paramètres!$A$1:$I$88,3,0)*0.475*44/12</f>
        <v>0</v>
      </c>
      <c r="BQ26" s="23">
        <f>EXP(-LN(2)/25)*BQ25+(1-EXP(-LN(2)/25))/(LN(2)/25)*Calculateur!BL26*Calculateur!BN26*VLOOKUP('Données projet'!$B$11,Paramètres!$A$1:$I$88,3,0)*0.475*44/12</f>
        <v>0</v>
      </c>
      <c r="BR26" s="23">
        <f>EXP(-LN(2)/2)*BR25+(1-EXP(-LN(2)/2))/(LN(2)/2)*BL26*BO26*VLOOKUP('Données projet'!$B$11,Paramètres!$A$1:$I$88,3,0)*0.475*44/12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5.6</v>
      </c>
      <c r="BY26" s="13">
        <f>IF('Données projet'!$A$114&gt;35,BY25+BX26-CG25,IF(A26&lt;'Données projet'!$A$114,$BV$205^A26,IF(A26='Données projet'!$A$114,'Données projet'!$B$114,BY25+BX26-CG25)))</f>
        <v>58.800000000000004</v>
      </c>
      <c r="BZ26" s="14">
        <f>BY26*VLOOKUP('Données projet'!$B$12,Paramètres!$A$1:$I$88,3,0)*VLOOKUP('Données projet'!$B$12,Paramètres!$A$1:$I$88,5,0)</f>
        <v>59.623200000000011</v>
      </c>
      <c r="CA26" s="14">
        <f t="shared" si="39"/>
        <v>17.072967249098898</v>
      </c>
      <c r="CB26" s="22">
        <f t="shared" si="10"/>
        <v>133.57915795884725</v>
      </c>
      <c r="CC26" s="62">
        <f t="shared" si="11"/>
        <v>357.06435466839378</v>
      </c>
      <c r="CD26" s="62">
        <f ca="1">AVERAGE(OFFSET($CC$3,0,0,'Données projet'!$E$12+1,1))-AVERAGE(OFFSET($H$3,0,0,'Données projet'!$E$12+1,1))</f>
        <v>398.14524781940196</v>
      </c>
      <c r="CE26" s="62">
        <f t="shared" si="40"/>
        <v>273.35778700650792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projet'!$B$12,Paramètres!$A$1:$I$88,3,0)*0.475*44/12</f>
        <v>0</v>
      </c>
      <c r="CL26" s="23">
        <f>EXP(-LN(2)/25)*CL25+(1-EXP(-LN(2)/25))/(LN(2)/25)*Calculateur!CG26*Calculateur!CI26*VLOOKUP('Données projet'!$B$12,Paramètres!$A$1:$I$88,3,0)*0.475*44/12</f>
        <v>0</v>
      </c>
      <c r="CM26" s="23">
        <f>EXP(-LN(2)/2)*CM25+(1-EXP(-LN(2)/2))/(LN(2)/2)*CG26*CJ26*VLOOKUP('Données projet'!$B$12,Paramètres!$A$1:$I$88,3,0)*0.475*44/12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8.8000000000000007</v>
      </c>
      <c r="CT26" s="13">
        <f>IF('Données projet'!$A$140&gt;35,CT25+CS26-DB25,IF(A26&lt;'Données projet'!$A$140,$CQ$205^A26,IF(A26='Données projet'!$A$140,'Données projet'!$B$140,CT25+CS26-DB25)))</f>
        <v>58.399999999999991</v>
      </c>
      <c r="CU26" s="18">
        <f>CT26*VLOOKUP('Données projet'!$B$13,Paramètres!$A$1:$I$88,3,0)*VLOOKUP('Données projet'!$B$13,Paramètres!$A$1:$I$88,5,0)</f>
        <v>55.573439999999998</v>
      </c>
      <c r="CV26" s="14">
        <f t="shared" si="41"/>
        <v>16.044152965199856</v>
      </c>
      <c r="CW26" s="22">
        <f t="shared" si="13"/>
        <v>124.73397441438976</v>
      </c>
      <c r="CX26" s="62">
        <f t="shared" si="14"/>
        <v>348.21917112393623</v>
      </c>
      <c r="CY26" s="62">
        <f ca="1">AVERAGE(OFFSET($CX$3,0,0,'Données projet'!$E$13+1,1))-AVERAGE(OFFSET($H$3,0,0,'Données projet'!$E$13+1,1))</f>
        <v>470.0521927195926</v>
      </c>
      <c r="CZ26" s="62">
        <f t="shared" si="42"/>
        <v>299.27200854723435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projet'!$B$13,Paramètres!$A$1:$I$88,3,0)*0.475*44/12</f>
        <v>0</v>
      </c>
      <c r="DG26" s="23">
        <f>EXP(-LN(2)/25)*DG25+(1-EXP(-LN(2)/25))/(LN(2)/25)*Calculateur!DB26*Calculateur!DD26*VLOOKUP('Données projet'!$B$13,Paramètres!$A$1:$I$88,3,0)*0.475*44/12</f>
        <v>0</v>
      </c>
      <c r="DH26" s="23">
        <f>EXP(-LN(2)/2)*DH25+(1-EXP(-LN(2)/2))/(LN(2)/2)*DB26*DE26*VLOOKUP('Données projet'!$B$13,Paramètres!$A$1:$I$88,3,0)*0.475*44/12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1.2</v>
      </c>
      <c r="DO26" s="13">
        <f>IF('Données projet'!$A$166&gt;35,DO25+DN26-DW25,IF(A26&lt;'Données projet'!$A$166,$DL$205^A26,IF(A26='Données projet'!$A$166,'Données projet'!$B$166,DO25+DN26-DW25)))</f>
        <v>22.853438584779923</v>
      </c>
      <c r="DP26" s="18">
        <f>DO26*VLOOKUP('Données projet'!$B$14,Paramètres!$A$1:$I$88,3,0)*VLOOKUP('Données projet'!$B$14,Paramètres!$A$1:$I$88,5,0)</f>
        <v>22.103845799199142</v>
      </c>
      <c r="DQ26" s="14">
        <f t="shared" si="43"/>
        <v>7.1043418398123555</v>
      </c>
      <c r="DR26" s="22">
        <f t="shared" si="16"/>
        <v>50.870926804611692</v>
      </c>
      <c r="DS26" s="62">
        <f t="shared" si="17"/>
        <v>274.35612351415818</v>
      </c>
      <c r="DT26" s="62">
        <f ca="1">AVERAGE(OFFSET($DS$3,0,0,'Données projet'!$E$14+1,1))-AVERAGE(OFFSET($H$3,0,0,'Données projet'!$E$14+1,1))</f>
        <v>290.89727102147953</v>
      </c>
      <c r="DU26" s="62">
        <f t="shared" si="44"/>
        <v>173.19148969173838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projet'!$B$14,Paramètres!$A$1:$I$88,3,0)*0.475*44/12</f>
        <v>0</v>
      </c>
      <c r="EB26" s="23">
        <f>EXP(-LN(2)/25)*EB25+(1-EXP(-LN(2)/25))/(LN(2)/25)*Calculateur!DW26*Calculateur!DY26*VLOOKUP('Données projet'!$B$14,Paramètres!$A$1:$I$88,3,0)*0.475*44/12</f>
        <v>0</v>
      </c>
      <c r="EC26" s="23">
        <f>EXP(-LN(2)/2)*EC25+(1-EXP(-LN(2)/2))/(LN(2)/2)*DW26*DZ26*VLOOKUP('Données projet'!$B$14,Paramètres!$A$1:$I$88,3,0)*0.475*44/12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projet'!$B$15,Paramètres!$A$1:$I$88,3,0)*VLOOKUP('Données projet'!$B$15,Paramètres!$A$1:$I$88,5,0)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projet'!$B$15,Paramètres!$A$1:$I$88,3,0)*0.475*44/12</f>
        <v>#N/A</v>
      </c>
      <c r="EW26" s="23" t="e">
        <f>EXP(-LN(2)/25)*EW25+(1-EXP(-LN(2)/25))/(LN(2)/25)*Calculateur!ER26*Calculateur!ET26*VLOOKUP('Données projet'!$B$15,Paramètres!$A$1:$I$88,3,0)*0.475*44/12</f>
        <v>#N/A</v>
      </c>
      <c r="EX26" s="23" t="e">
        <f>EXP(-LN(2)/2)*EX25+(1-EXP(-LN(2)/2))/(LN(2)/2)*ER26*EU26*VLOOKUP('Données projet'!$B$15,Paramètres!$A$1:$I$88,3,0)*0.475*44/12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projet'!$B$16,Paramètres!$A$1:$I$88,3,0)*VLOOKUP('Données projet'!$B$16,Paramètres!$A$1:$I$88,5,0)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projet'!$B$16,Paramètres!$A$1:$I$88,3,0)*0.475*44/12</f>
        <v>#N/A</v>
      </c>
      <c r="FR26" s="23" t="e">
        <f>EXP(-LN(2)/25)*FR25+(1-EXP(-LN(2)/25))/(LN(2)/25)*Calculateur!FM26*Calculateur!FO26*VLOOKUP('Données projet'!$B$16,Paramètres!$A$1:$I$88,3,0)*0.475*44/12</f>
        <v>#N/A</v>
      </c>
      <c r="FS26" s="23" t="e">
        <f>EXP(-LN(2)/2)*FS25+(1-EXP(-LN(2)/2))/(LN(2)/2)*FM26*FP26*VLOOKUP('Données projet'!$B$16,Paramètres!$A$1:$I$88,3,0)*0.475*44/12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projet'!$B$17,Paramètres!$A$1:$I$88,3,0)*VLOOKUP('Données projet'!$B$17,Paramètres!$A$1:$I$88,5,0)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projet'!$B$17,Paramètres!$A$1:$I$88,3,0)*0.475*44/12</f>
        <v>#N/A</v>
      </c>
      <c r="GM26" s="23" t="e">
        <f>EXP(-LN(2)/25)*GM25+(1-EXP(-LN(2)/25))/(LN(2)/25)*Calculateur!GH26*Calculateur!GJ26*VLOOKUP('Données projet'!$B$17,Paramètres!$A$1:$I$88,3,0)*0.475*44/12</f>
        <v>#N/A</v>
      </c>
      <c r="GN26" s="23" t="e">
        <f>EXP(-LN(2)/2)*GN25+(1-EXP(-LN(2)/2))/(LN(2)/2)*GH26*GK26*VLOOKUP('Données projet'!$B$17,Paramètres!$A$1:$I$88,3,0)*0.475*44/12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projet'!$B$18,Paramètres!$A$1:$I$88,3,0)*VLOOKUP('Données projet'!$B$18,Paramètres!$A$1:$I$88,5,0)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projet'!$B$18,Paramètres!$A$1:$I$88,3,0)*0.475*44/12</f>
        <v>#N/A</v>
      </c>
      <c r="HH26" s="23" t="e">
        <f>EXP(-LN(2)/25)*HH25+(1-EXP(-LN(2)/25))/(LN(2)/25)*Calculateur!HC26*Calculateur!HE26*VLOOKUP('Données projet'!$B$18,Paramètres!$A$1:$I$88,3,0)*0.475*44/12</f>
        <v>#N/A</v>
      </c>
      <c r="HI26" s="23" t="e">
        <f>EXP(-LN(2)/2)*HI25+(1-EXP(-LN(2)/2))/(LN(2)/2)*HC26*HF26*VLOOKUP('Données projet'!$B$18,Paramètres!$A$1:$I$88,3,0)*0.475*44/12</f>
        <v>#N/A</v>
      </c>
      <c r="HJ26" s="24" t="e">
        <f t="shared" si="30"/>
        <v>#N/A</v>
      </c>
    </row>
    <row r="27" spans="1:218" s="5" customFormat="1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20.2</v>
      </c>
      <c r="N27" s="14">
        <f>IF('Données projet'!$A$36&gt;35,N26+M27-V26,IF(A27&lt;'Données projet'!$A$36,$K$205^A27,IF(A27='Données projet'!$A$36,'Données projet'!$B$36,N26+M27-V26)))</f>
        <v>204.79999999999998</v>
      </c>
      <c r="O27" s="14">
        <f>N27*VLOOKUP('Données projet'!$B$9,Paramètres!$A$1:$I$88,3,0)*VLOOKUP('Données projet'!$B$9,Paramètres!$A$1:$I$88,5,0)</f>
        <v>122.4704</v>
      </c>
      <c r="P27" s="14">
        <f t="shared" si="33"/>
        <v>32.250494410521227</v>
      </c>
      <c r="Q27" s="22">
        <f t="shared" si="2"/>
        <v>269.47222443165776</v>
      </c>
      <c r="R27" s="62">
        <f t="shared" si="0"/>
        <v>495.2429326152776</v>
      </c>
      <c r="S27" s="62">
        <f ca="1">AVERAGE(OFFSET($R$3,0,0,'Données projet'!$E$9+1,1))-AVERAGE(OFFSET($H$3,0,0,'Données projet'!$E$9+1,1))</f>
        <v>301.2688576786212</v>
      </c>
      <c r="T27" s="62">
        <f t="shared" si="34"/>
        <v>417.62172165132927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projet'!$B$9,Paramètres!$A$1:$I$88,7,0))</f>
        <v>0</v>
      </c>
      <c r="X27" s="17">
        <f>IF(ISNA(VLOOKUP(A27,'Données projet'!$A$35:$I$55,6,0)),0%,VLOOKUP(A27,'Données projet'!$A$35:$I$55,6,0)*VLOOKUP('Données projet'!$B$9,Paramètres!$A$1:$I$88,7,0))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projet'!$B$9,Paramètres!$A$1:$I$88,3,0)*0.475*44/12</f>
        <v>0</v>
      </c>
      <c r="AA27" s="23">
        <f>EXP(-LN(2)/25)*AA26+(1-EXP(-LN(2)/25))/(LN(2)/25)*Calculateur!V27*Calculateur!X27*VLOOKUP('Données projet'!$B$9,Paramètres!$A$1:$I$88,3,0)*0.475*44/12</f>
        <v>10.600807863148829</v>
      </c>
      <c r="AB27" s="23">
        <f>EXP(-LN(2)/2)*AB26+(1-EXP(-LN(2)/2))/(LN(2)/2)*V27*Y27*VLOOKUP('Données projet'!$B$9,Paramètres!$A$1:$I$88,3,0)*0.475*44/12</f>
        <v>4.223445538682812</v>
      </c>
      <c r="AC27" s="24">
        <f t="shared" si="3"/>
        <v>14.824253401831641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12</v>
      </c>
      <c r="AI27" s="14">
        <f>IF('Données projet'!$A$62&gt;35,AI26+AH27-AQ26,IF(A27&lt;'Données projet'!$A$62,$AF$205^A27,IF(A27='Données projet'!$A$62,'Données projet'!$B$62,AI26+AH27-AQ26)))</f>
        <v>118</v>
      </c>
      <c r="AJ27" s="14">
        <f>AI27*VLOOKUP('Données projet'!$B$10,Paramètres!$A$1:$I$88,3,0)*VLOOKUP('Données projet'!$B$10,Paramètres!$A$1:$I$88,5,0)</f>
        <v>55.223999999999997</v>
      </c>
      <c r="AK27" s="14">
        <f t="shared" si="35"/>
        <v>15.954979198073962</v>
      </c>
      <c r="AL27" s="22">
        <f t="shared" si="4"/>
        <v>123.97005543664547</v>
      </c>
      <c r="AM27" s="62">
        <f t="shared" si="5"/>
        <v>349.74076362026528</v>
      </c>
      <c r="AN27" s="62">
        <f ca="1">AVERAGE(OFFSET($AM$3,0,0,'Données projet'!$E$10+1,1))-AVERAGE(OFFSET($H$3,0,0,'Données projet'!$E$10+1,1))</f>
        <v>170.08673939431091</v>
      </c>
      <c r="AO27" s="62">
        <f t="shared" si="36"/>
        <v>252.97355497077106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projet'!$B$10,Paramètres!$A$1:$I$88,3,0)*0.475*44/12</f>
        <v>0</v>
      </c>
      <c r="AV27" s="23">
        <f>EXP(-LN(2)/25)*AV26+(1-EXP(-LN(2)/25))/(LN(2)/25)*Calculateur!AQ27*Calculateur!AS27*VLOOKUP('Données projet'!$B$10,Paramètres!$A$1:$I$88,3,0)*0.475*44/12</f>
        <v>10.228171912956212</v>
      </c>
      <c r="AW27" s="23">
        <f>EXP(-LN(2)/2)*AW26+(1-EXP(-LN(2)/2))/(LN(2)/2)*AQ27*AT27*VLOOKUP('Données projet'!$B$10,Paramètres!$A$1:$I$88,3,0)*0.475*44/12</f>
        <v>3.4972391205997484</v>
      </c>
      <c r="AX27" s="23">
        <f t="shared" si="6"/>
        <v>13.725411033555961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5.6</v>
      </c>
      <c r="BD27" s="13">
        <f>IF('Données projet'!$A$88&gt;35,BD26+BC27-BL26,IF(A27&lt;'Données projet'!$A$88,$BA$205^A27,IF(A27='Données projet'!$A$88,'Données projet'!$B$88,BD26+BC27-BL26)))</f>
        <v>64.400000000000006</v>
      </c>
      <c r="BE27" s="14">
        <f>BD27*VLOOKUP('Données projet'!$B$11,Paramètres!$A$1:$I$88,3,0)*VLOOKUP('Données projet'!$B$11,Paramètres!$A$1:$I$88,5,0)</f>
        <v>58.269120000000008</v>
      </c>
      <c r="BF27" s="14">
        <f t="shared" si="37"/>
        <v>16.729905486873804</v>
      </c>
      <c r="BG27" s="22">
        <f t="shared" si="7"/>
        <v>130.62330272297189</v>
      </c>
      <c r="BH27" s="62">
        <f t="shared" si="8"/>
        <v>356.39401090659169</v>
      </c>
      <c r="BI27" s="62">
        <f ca="1">AVERAGE(OFFSET($BH$3,0,0,'Données projet'!$E$11+1,1))-AVERAGE(OFFSET($H$3,0,0,'Données projet'!$E$11+1,1))</f>
        <v>362.63718589694594</v>
      </c>
      <c r="BJ27" s="62">
        <f t="shared" si="38"/>
        <v>250.47702091764884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projet'!$B$11,Paramètres!$A$1:$I$88,7,0))</f>
        <v>0</v>
      </c>
      <c r="BN27" s="17">
        <f>IF(ISNA(VLOOKUP(A27,'Données projet'!$A$87:$I$107,6,0)),0%,VLOOKUP(A27,'Données projet'!$A$87:$I$107,6,0)*VLOOKUP('Données projet'!$B$11,Paramètres!$A$1:$I$88,7,0))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projet'!$B$11,Paramètres!$A$1:$I$88,3,0)*0.475*44/12</f>
        <v>0</v>
      </c>
      <c r="BQ27" s="23">
        <f>EXP(-LN(2)/25)*BQ26+(1-EXP(-LN(2)/25))/(LN(2)/25)*Calculateur!BL27*Calculateur!BN27*VLOOKUP('Données projet'!$B$11,Paramètres!$A$1:$I$88,3,0)*0.475*44/12</f>
        <v>0</v>
      </c>
      <c r="BR27" s="23">
        <f>EXP(-LN(2)/2)*BR26+(1-EXP(-LN(2)/2))/(LN(2)/2)*BL27*BO27*VLOOKUP('Données projet'!$B$11,Paramètres!$A$1:$I$88,3,0)*0.475*44/12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5.6</v>
      </c>
      <c r="BY27" s="13">
        <f>IF('Données projet'!$A$114&gt;35,BY26+BX27-CG26,IF(A27&lt;'Données projet'!$A$114,$BV$205^A27,IF(A27='Données projet'!$A$114,'Données projet'!$B$114,BY26+BX27-CG26)))</f>
        <v>64.400000000000006</v>
      </c>
      <c r="BZ27" s="14">
        <f>BY27*VLOOKUP('Données projet'!$B$12,Paramètres!$A$1:$I$88,3,0)*VLOOKUP('Données projet'!$B$12,Paramètres!$A$1:$I$88,5,0)</f>
        <v>65.301600000000008</v>
      </c>
      <c r="CA27" s="14">
        <f t="shared" si="39"/>
        <v>18.502003309535596</v>
      </c>
      <c r="CB27" s="22">
        <f t="shared" si="10"/>
        <v>145.95794243077449</v>
      </c>
      <c r="CC27" s="62">
        <f t="shared" si="11"/>
        <v>371.72865061439427</v>
      </c>
      <c r="CD27" s="62">
        <f ca="1">AVERAGE(OFFSET($CC$3,0,0,'Données projet'!$E$12+1,1))-AVERAGE(OFFSET($H$3,0,0,'Données projet'!$E$12+1,1))</f>
        <v>398.14524781940196</v>
      </c>
      <c r="CE27" s="62">
        <f t="shared" si="40"/>
        <v>273.35778700650792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projet'!$B$12,Paramètres!$A$1:$I$88,7,0))</f>
        <v>0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projet'!$B$12,Paramètres!$A$1:$I$88,3,0)*0.475*44/12</f>
        <v>0</v>
      </c>
      <c r="CL27" s="23">
        <f>EXP(-LN(2)/25)*CL26+(1-EXP(-LN(2)/25))/(LN(2)/25)*Calculateur!CG27*Calculateur!CI27*VLOOKUP('Données projet'!$B$12,Paramètres!$A$1:$I$88,3,0)*0.475*44/12</f>
        <v>0</v>
      </c>
      <c r="CM27" s="23">
        <f>EXP(-LN(2)/2)*CM26+(1-EXP(-LN(2)/2))/(LN(2)/2)*CG27*CJ27*VLOOKUP('Données projet'!$B$12,Paramètres!$A$1:$I$88,3,0)*0.475*44/12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8.8000000000000007</v>
      </c>
      <c r="CT27" s="13">
        <f>IF('Données projet'!$A$140&gt;35,CT26+CS27-DB26,IF(A27&lt;'Données projet'!$A$140,$CQ$205^A27,IF(A27='Données projet'!$A$140,'Données projet'!$B$140,CT26+CS27-DB26)))</f>
        <v>67.199999999999989</v>
      </c>
      <c r="CU27" s="18">
        <f>CT27*VLOOKUP('Données projet'!$B$13,Paramètres!$A$1:$I$88,3,0)*VLOOKUP('Données projet'!$B$13,Paramètres!$A$1:$I$88,5,0)</f>
        <v>63.94751999999999</v>
      </c>
      <c r="CV27" s="14">
        <f t="shared" si="41"/>
        <v>18.162594705540755</v>
      </c>
      <c r="CW27" s="22">
        <f t="shared" si="13"/>
        <v>143.00844977881681</v>
      </c>
      <c r="CX27" s="62">
        <f t="shared" si="14"/>
        <v>368.77915796243661</v>
      </c>
      <c r="CY27" s="62">
        <f ca="1">AVERAGE(OFFSET($CX$3,0,0,'Données projet'!$E$13+1,1))-AVERAGE(OFFSET($H$3,0,0,'Données projet'!$E$13+1,1))</f>
        <v>470.0521927195926</v>
      </c>
      <c r="CZ27" s="62">
        <f t="shared" si="42"/>
        <v>299.27200854723435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projet'!$B$13,Paramètres!$A$1:$I$88,7,0))</f>
        <v>0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projet'!$B$13,Paramètres!$A$1:$I$88,3,0)*0.475*44/12</f>
        <v>0</v>
      </c>
      <c r="DG27" s="23">
        <f>EXP(-LN(2)/25)*DG26+(1-EXP(-LN(2)/25))/(LN(2)/25)*Calculateur!DB27*Calculateur!DD27*VLOOKUP('Données projet'!$B$13,Paramètres!$A$1:$I$88,3,0)*0.475*44/12</f>
        <v>0</v>
      </c>
      <c r="DH27" s="23">
        <f>EXP(-LN(2)/2)*DH26+(1-EXP(-LN(2)/2))/(LN(2)/2)*DB27*DE27*VLOOKUP('Données projet'!$B$13,Paramètres!$A$1:$I$88,3,0)*0.475*44/12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1.2</v>
      </c>
      <c r="DO27" s="13">
        <f>IF('Données projet'!$A$166&gt;35,DO26+DN27-DW26,IF(A27&lt;'Données projet'!$A$166,$DL$205^A27,IF(A27='Données projet'!$A$166,'Données projet'!$B$166,DO26+DN27-DW26)))</f>
        <v>26.184024853780567</v>
      </c>
      <c r="DP27" s="18">
        <f>DO27*VLOOKUP('Données projet'!$B$14,Paramètres!$A$1:$I$88,3,0)*VLOOKUP('Données projet'!$B$14,Paramètres!$A$1:$I$88,5,0)</f>
        <v>25.325188838576565</v>
      </c>
      <c r="DQ27" s="14">
        <f t="shared" si="43"/>
        <v>8.0118207441534324</v>
      </c>
      <c r="DR27" s="22">
        <f t="shared" si="16"/>
        <v>58.061958356588072</v>
      </c>
      <c r="DS27" s="62">
        <f t="shared" si="17"/>
        <v>283.83266654020787</v>
      </c>
      <c r="DT27" s="62">
        <f ca="1">AVERAGE(OFFSET($DS$3,0,0,'Données projet'!$E$14+1,1))-AVERAGE(OFFSET($H$3,0,0,'Données projet'!$E$14+1,1))</f>
        <v>290.89727102147953</v>
      </c>
      <c r="DU27" s="62">
        <f t="shared" si="44"/>
        <v>173.19148969173838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projet'!$B$14,Paramètres!$A$1:$I$88,3,0)*0.475*44/12</f>
        <v>0</v>
      </c>
      <c r="EB27" s="23">
        <f>EXP(-LN(2)/25)*EB26+(1-EXP(-LN(2)/25))/(LN(2)/25)*Calculateur!DW27*Calculateur!DY27*VLOOKUP('Données projet'!$B$14,Paramètres!$A$1:$I$88,3,0)*0.475*44/12</f>
        <v>0</v>
      </c>
      <c r="EC27" s="23">
        <f>EXP(-LN(2)/2)*EC26+(1-EXP(-LN(2)/2))/(LN(2)/2)*DW27*DZ27*VLOOKUP('Données projet'!$B$14,Paramètres!$A$1:$I$88,3,0)*0.475*44/12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projet'!$B$15,Paramètres!$A$1:$I$88,3,0)*VLOOKUP('Données projet'!$B$15,Paramètres!$A$1:$I$88,5,0)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projet'!$B$15,Paramètres!$A$1:$I$88,3,0)*0.475*44/12</f>
        <v>#N/A</v>
      </c>
      <c r="EW27" s="23" t="e">
        <f>EXP(-LN(2)/25)*EW26+(1-EXP(-LN(2)/25))/(LN(2)/25)*Calculateur!ER27*Calculateur!ET27*VLOOKUP('Données projet'!$B$15,Paramètres!$A$1:$I$88,3,0)*0.475*44/12</f>
        <v>#N/A</v>
      </c>
      <c r="EX27" s="23" t="e">
        <f>EXP(-LN(2)/2)*EX26+(1-EXP(-LN(2)/2))/(LN(2)/2)*ER27*EU27*VLOOKUP('Données projet'!$B$15,Paramètres!$A$1:$I$88,3,0)*0.475*44/12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projet'!$B$16,Paramètres!$A$1:$I$88,3,0)*VLOOKUP('Données projet'!$B$16,Paramètres!$A$1:$I$88,5,0)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projet'!$B$16,Paramètres!$A$1:$I$88,3,0)*0.475*44/12</f>
        <v>#N/A</v>
      </c>
      <c r="FR27" s="23" t="e">
        <f>EXP(-LN(2)/25)*FR26+(1-EXP(-LN(2)/25))/(LN(2)/25)*Calculateur!FM27*Calculateur!FO27*VLOOKUP('Données projet'!$B$16,Paramètres!$A$1:$I$88,3,0)*0.475*44/12</f>
        <v>#N/A</v>
      </c>
      <c r="FS27" s="23" t="e">
        <f>EXP(-LN(2)/2)*FS26+(1-EXP(-LN(2)/2))/(LN(2)/2)*FM27*FP27*VLOOKUP('Données projet'!$B$16,Paramètres!$A$1:$I$88,3,0)*0.475*44/12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projet'!$B$17,Paramètres!$A$1:$I$88,3,0)*VLOOKUP('Données projet'!$B$17,Paramètres!$A$1:$I$88,5,0)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projet'!$B$17,Paramètres!$A$1:$I$88,3,0)*0.475*44/12</f>
        <v>#N/A</v>
      </c>
      <c r="GM27" s="23" t="e">
        <f>EXP(-LN(2)/25)*GM26+(1-EXP(-LN(2)/25))/(LN(2)/25)*Calculateur!GH27*Calculateur!GJ27*VLOOKUP('Données projet'!$B$17,Paramètres!$A$1:$I$88,3,0)*0.475*44/12</f>
        <v>#N/A</v>
      </c>
      <c r="GN27" s="23" t="e">
        <f>EXP(-LN(2)/2)*GN26+(1-EXP(-LN(2)/2))/(LN(2)/2)*GH27*GK27*VLOOKUP('Données projet'!$B$17,Paramètres!$A$1:$I$88,3,0)*0.475*44/12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projet'!$B$18,Paramètres!$A$1:$I$88,3,0)*VLOOKUP('Données projet'!$B$18,Paramètres!$A$1:$I$88,5,0)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projet'!$B$18,Paramètres!$A$1:$I$88,3,0)*0.475*44/12</f>
        <v>#N/A</v>
      </c>
      <c r="HH27" s="23" t="e">
        <f>EXP(-LN(2)/25)*HH26+(1-EXP(-LN(2)/25))/(LN(2)/25)*Calculateur!HC27*Calculateur!HE27*VLOOKUP('Données projet'!$B$18,Paramètres!$A$1:$I$88,3,0)*0.475*44/12</f>
        <v>#N/A</v>
      </c>
      <c r="HI27" s="23" t="e">
        <f>EXP(-LN(2)/2)*HI26+(1-EXP(-LN(2)/2))/(LN(2)/2)*HC27*HF27*VLOOKUP('Données projet'!$B$18,Paramètres!$A$1:$I$88,3,0)*0.475*44/12</f>
        <v>#N/A</v>
      </c>
      <c r="HJ27" s="24" t="e">
        <f t="shared" si="30"/>
        <v>#N/A</v>
      </c>
    </row>
    <row r="28" spans="1:218" s="5" customFormat="1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225</v>
      </c>
      <c r="L28" s="13">
        <f>VLOOKUP(A28,'Données projet'!$A$35:$I$55,9,0)</f>
        <v>20.2</v>
      </c>
      <c r="M28" s="13">
        <f t="array" ref="M28">INDEX(L:L,MIN(IF(ISNUMBER(L28:L224),ROW(L28:L224),"")))</f>
        <v>20.2</v>
      </c>
      <c r="N28" s="14">
        <f>IF('Données projet'!$A$36&gt;35,N27+M28-V27,IF(A28&lt;'Données projet'!$A$36,$K$205^A28,IF(A28='Données projet'!$A$36,'Données projet'!$B$36,N27+M28-V27)))</f>
        <v>224.99999999999997</v>
      </c>
      <c r="O28" s="14">
        <f>N28*VLOOKUP('Données projet'!$B$9,Paramètres!$A$1:$I$88,3,0)*VLOOKUP('Données projet'!$B$9,Paramètres!$A$1:$I$88,5,0)</f>
        <v>134.54999999999998</v>
      </c>
      <c r="P28" s="14">
        <f t="shared" si="33"/>
        <v>35.045616486142094</v>
      </c>
      <c r="Q28" s="22">
        <f t="shared" si="2"/>
        <v>295.37903204669743</v>
      </c>
      <c r="R28" s="62">
        <f t="shared" si="0"/>
        <v>523.4168060130296</v>
      </c>
      <c r="S28" s="62">
        <f ca="1">AVERAGE(OFFSET($R$3,0,0,'Données projet'!$E$9+1,1))-AVERAGE(OFFSET($H$3,0,0,'Données projet'!$E$9+1,1))</f>
        <v>301.2688576786212</v>
      </c>
      <c r="T28" s="62">
        <f t="shared" si="34"/>
        <v>417.62172165132927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56</v>
      </c>
      <c r="W28" s="17">
        <f>IF(ISNA(VLOOKUP(A28,'Données projet'!$A$35:$I$55,5,0)),0%,VLOOKUP(A28,'Données projet'!$A$35:$I$55,5,0)*VLOOKUP('Données projet'!$B$9,Paramètres!$A$1:$I$88,7,0))</f>
        <v>0</v>
      </c>
      <c r="X28" s="17">
        <f>IF(ISNA(VLOOKUP(A28,'Données projet'!$A$35:$I$55,6,0)),0%,VLOOKUP(A28,'Données projet'!$A$35:$I$55,6,0)*VLOOKUP('Données projet'!$B$9,Paramètres!$A$1:$I$88,7,0))</f>
        <v>0.25200000000000006</v>
      </c>
      <c r="Y28" s="17">
        <f>IF(ISNA(VLOOKUP(A28,'Données projet'!$A$35:$I$55,7,0)),0%,VLOOKUP(A28,'Données projet'!$A$35:$I$55,7,0))</f>
        <v>0.44</v>
      </c>
      <c r="Z28" s="23">
        <f>EXP(-LN(2)/35)*Z27+(1-EXP(-LN(2)/35))/(LN(2)/35)*V28*W28*VLOOKUP('Données projet'!$B$9,Paramètres!$A$1:$I$88,3,0)*0.475*44/12</f>
        <v>0</v>
      </c>
      <c r="AA28" s="23">
        <f>EXP(-LN(2)/25)*AA27+(1-EXP(-LN(2)/25))/(LN(2)/25)*Calculateur!V28*Calculateur!X28*VLOOKUP('Données projet'!$B$9,Paramètres!$A$1:$I$88,3,0)*0.475*44/12</f>
        <v>21.461695443860819</v>
      </c>
      <c r="AB28" s="23">
        <f>EXP(-LN(2)/2)*AB27+(1-EXP(-LN(2)/2))/(LN(2)/2)*V28*Y28*VLOOKUP('Données projet'!$B$9,Paramètres!$A$1:$I$88,3,0)*0.475*44/12</f>
        <v>19.669552859383856</v>
      </c>
      <c r="AC28" s="24">
        <f t="shared" si="3"/>
        <v>41.131248303244675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12</v>
      </c>
      <c r="AI28" s="14">
        <f>IF('Données projet'!$A$62&gt;35,AI27+AH28-AQ27,IF(A28&lt;'Données projet'!$A$62,$AF$205^A28,IF(A28='Données projet'!$A$62,'Données projet'!$B$62,AI27+AH28-AQ27)))</f>
        <v>130</v>
      </c>
      <c r="AJ28" s="14">
        <f>AI28*VLOOKUP('Données projet'!$B$10,Paramètres!$A$1:$I$88,3,0)*VLOOKUP('Données projet'!$B$10,Paramètres!$A$1:$I$88,5,0)</f>
        <v>60.839999999999996</v>
      </c>
      <c r="AK28" s="14">
        <f t="shared" si="35"/>
        <v>17.380475216531455</v>
      </c>
      <c r="AL28" s="22">
        <f t="shared" si="4"/>
        <v>136.23399433545893</v>
      </c>
      <c r="AM28" s="62">
        <f t="shared" si="5"/>
        <v>364.27176830179104</v>
      </c>
      <c r="AN28" s="62">
        <f ca="1">AVERAGE(OFFSET($AM$3,0,0,'Données projet'!$E$10+1,1))-AVERAGE(OFFSET($H$3,0,0,'Données projet'!$E$10+1,1))</f>
        <v>170.08673939431091</v>
      </c>
      <c r="AO28" s="62">
        <f t="shared" si="36"/>
        <v>252.97355497077106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projet'!$B$10,Paramètres!$A$1:$I$88,7,0))</f>
        <v>0</v>
      </c>
      <c r="AS28" s="17">
        <f>IF(ISNA(VLOOKUP(A28,'Données projet'!$A$61:$I$81,6,0)),0%,VLOOKUP(A28,'Données projet'!$A$61:$I$81,6,0)*VLOOKUP('Données projet'!$B$10,Paramètres!$A$1:$I$88,7,0))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projet'!$B$10,Paramètres!$A$1:$I$88,3,0)*0.475*44/12</f>
        <v>0</v>
      </c>
      <c r="AV28" s="23">
        <f>EXP(-LN(2)/25)*AV27+(1-EXP(-LN(2)/25))/(LN(2)/25)*Calculateur!AQ28*Calculateur!AS28*VLOOKUP('Données projet'!$B$10,Paramètres!$A$1:$I$88,3,0)*0.475*44/12</f>
        <v>9.9484820141202395</v>
      </c>
      <c r="AW28" s="23">
        <f>EXP(-LN(2)/2)*AW27+(1-EXP(-LN(2)/2))/(LN(2)/2)*AQ28*AT28*VLOOKUP('Données projet'!$B$10,Paramètres!$A$1:$I$88,3,0)*0.475*44/12</f>
        <v>2.4729214976069605</v>
      </c>
      <c r="AX28" s="23">
        <f t="shared" si="6"/>
        <v>12.421403511727199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70</v>
      </c>
      <c r="BB28" s="13">
        <f>VLOOKUP(A28,'Données projet'!$A$87:$I$107,9,0)</f>
        <v>5.6</v>
      </c>
      <c r="BC28" s="13">
        <f t="array" ref="BC28">INDEX(BB:BB,MIN(IF(ISNUMBER(BB28:BB224),ROW(BB28:BB224),"")))</f>
        <v>5.6</v>
      </c>
      <c r="BD28" s="13">
        <f>IF('Données projet'!$A$88&gt;35,BD27+BC28-BL27,IF(A28&lt;'Données projet'!$A$88,$BA$205^A28,IF(A28='Données projet'!$A$88,'Données projet'!$B$88,BD27+BC28-BL27)))</f>
        <v>70</v>
      </c>
      <c r="BE28" s="14">
        <f>BD28*VLOOKUP('Données projet'!$B$11,Paramètres!$A$1:$I$88,3,0)*VLOOKUP('Données projet'!$B$11,Paramètres!$A$1:$I$88,5,0)</f>
        <v>63.335999999999991</v>
      </c>
      <c r="BF28" s="14">
        <f t="shared" si="37"/>
        <v>18.009040022946227</v>
      </c>
      <c r="BG28" s="22">
        <f t="shared" si="7"/>
        <v>141.67594470663133</v>
      </c>
      <c r="BH28" s="62">
        <f t="shared" si="8"/>
        <v>369.71371867296341</v>
      </c>
      <c r="BI28" s="62">
        <f ca="1">AVERAGE(OFFSET($BH$3,0,0,'Données projet'!$E$11+1,1))-AVERAGE(OFFSET($H$3,0,0,'Données projet'!$E$11+1,1))</f>
        <v>362.63718589694594</v>
      </c>
      <c r="BJ28" s="62">
        <f t="shared" si="38"/>
        <v>250.47702091764884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8</v>
      </c>
      <c r="BM28" s="17">
        <f>IF(ISNA(VLOOKUP(A28,'Données projet'!$A$87:$I$107,5,0)),0%,VLOOKUP(A28,'Données projet'!$A$87:$I$107,5,0)*VLOOKUP('Données projet'!$B$11,Paramètres!$A$1:$I$88,7,0))</f>
        <v>0</v>
      </c>
      <c r="BN28" s="17">
        <f>IF(ISNA(VLOOKUP(A28,'Données projet'!$A$87:$I$107,6,0)),0%,VLOOKUP(A28,'Données projet'!$A$87:$I$107,6,0)*VLOOKUP('Données projet'!$B$11,Paramètres!$A$1:$I$88,7,0))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projet'!$B$11,Paramètres!$A$1:$I$88,3,0)*0.475*44/12</f>
        <v>0</v>
      </c>
      <c r="BQ28" s="23">
        <f>EXP(-LN(2)/25)*BQ27+(1-EXP(-LN(2)/25))/(LN(2)/25)*Calculateur!BL28*Calculateur!BN28*VLOOKUP('Données projet'!$B$11,Paramètres!$A$1:$I$88,3,0)*0.475*44/12</f>
        <v>0</v>
      </c>
      <c r="BR28" s="23">
        <f>EXP(-LN(2)/2)*BR27+(1-EXP(-LN(2)/2))/(LN(2)/2)*BL28*BO28*VLOOKUP('Données projet'!$B$11,Paramètres!$A$1:$I$88,3,0)*0.475*44/12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70</v>
      </c>
      <c r="BW28" s="13">
        <f>VLOOKUP(A28,'Données projet'!$A$113:$I$133,9,0)</f>
        <v>5.6</v>
      </c>
      <c r="BX28" s="13">
        <f t="array" ref="BX28">INDEX(BW:BW,MIN(IF(ISNUMBER(BW28:BW224),ROW(BW28:BW224),"")))</f>
        <v>5.6</v>
      </c>
      <c r="BY28" s="13">
        <f>IF('Données projet'!$A$114&gt;35,BY27+BX28-CG27,IF(A28&lt;'Données projet'!$A$114,$BV$205^A28,IF(A28='Données projet'!$A$114,'Données projet'!$B$114,BY27+BX28-CG27)))</f>
        <v>70</v>
      </c>
      <c r="BZ28" s="14">
        <f>BY28*VLOOKUP('Données projet'!$B$12,Paramètres!$A$1:$I$88,3,0)*VLOOKUP('Données projet'!$B$12,Paramètres!$A$1:$I$88,5,0)</f>
        <v>70.98</v>
      </c>
      <c r="CA28" s="14">
        <f t="shared" si="39"/>
        <v>19.916628839746853</v>
      </c>
      <c r="CB28" s="22">
        <f t="shared" si="10"/>
        <v>158.31162856255909</v>
      </c>
      <c r="CC28" s="62">
        <f t="shared" si="11"/>
        <v>386.34940252889123</v>
      </c>
      <c r="CD28" s="62">
        <f ca="1">AVERAGE(OFFSET($CC$3,0,0,'Données projet'!$E$12+1,1))-AVERAGE(OFFSET($H$3,0,0,'Données projet'!$E$12+1,1))</f>
        <v>398.14524781940196</v>
      </c>
      <c r="CE28" s="62">
        <f t="shared" si="40"/>
        <v>273.35778700650792</v>
      </c>
      <c r="CF28" s="16">
        <f>IF(ISNA(VLOOKUP(A28,'Données projet'!$A$113:$I$133,3,0)),0,VLOOKUP(A28,'Données projet'!$A$113:$I$133,3,0))</f>
        <v>2</v>
      </c>
      <c r="CG28" s="16">
        <f>IF(ISNA(VLOOKUP(A28,'Données projet'!$A$113:$I$133,4,0)),0,VLOOKUP(A28,'Données projet'!$A$113:$I$133,4,0))</f>
        <v>8</v>
      </c>
      <c r="CH28" s="17">
        <f>IF(ISNA(VLOOKUP(A28,'Données projet'!$A$113:$I$133,5,0)),0%,VLOOKUP(A28,'Données projet'!$A$113:$I$133,5,0)*VLOOKUP('Données projet'!$B$12,Paramètres!$A$1:$I$88,7,0))</f>
        <v>0</v>
      </c>
      <c r="CI28" s="17">
        <f>IF(ISNA(VLOOKUP(A28,'Données projet'!$A$113:$I$133,6,0)),0%,VLOOKUP(A28,'Données projet'!$A$113:$I$133,6,0)*VLOOKUP('Données projet'!$B$12,Paramètres!$A$1:$I$88,7,0))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projet'!$B$12,Paramètres!$A$1:$I$88,3,0)*0.475*44/12</f>
        <v>0</v>
      </c>
      <c r="CL28" s="23">
        <f>EXP(-LN(2)/25)*CL27+(1-EXP(-LN(2)/25))/(LN(2)/25)*Calculateur!CG28*Calculateur!CI28*VLOOKUP('Données projet'!$B$12,Paramètres!$A$1:$I$88,3,0)*0.475*44/12</f>
        <v>0</v>
      </c>
      <c r="CM28" s="23">
        <f>EXP(-LN(2)/2)*CM27+(1-EXP(-LN(2)/2))/(LN(2)/2)*CG28*CJ28*VLOOKUP('Données projet'!$B$12,Paramètres!$A$1:$I$88,3,0)*0.475*44/12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76</v>
      </c>
      <c r="CR28" s="13">
        <f>VLOOKUP(A28,'Données projet'!$A$139:$I$159,9,0)</f>
        <v>8.8000000000000007</v>
      </c>
      <c r="CS28" s="13">
        <f t="array" ref="CS28">INDEX(CR:CR,MIN(IF(ISNUMBER(CR28:CR224),ROW(CR28:CR224),"")))</f>
        <v>8.8000000000000007</v>
      </c>
      <c r="CT28" s="13">
        <f>IF('Données projet'!$A$140&gt;35,CT27+CS28-DB27,IF(A28&lt;'Données projet'!$A$140,$CQ$205^A28,IF(A28='Données projet'!$A$140,'Données projet'!$B$140,CT27+CS28-DB27)))</f>
        <v>75.999999999999986</v>
      </c>
      <c r="CU28" s="18">
        <f>CT28*VLOOKUP('Données projet'!$B$13,Paramètres!$A$1:$I$88,3,0)*VLOOKUP('Données projet'!$B$13,Paramètres!$A$1:$I$88,5,0)</f>
        <v>72.321599999999989</v>
      </c>
      <c r="CV28" s="14">
        <f t="shared" si="41"/>
        <v>20.248893319861061</v>
      </c>
      <c r="CW28" s="22">
        <f t="shared" si="13"/>
        <v>161.22694253209133</v>
      </c>
      <c r="CX28" s="62">
        <f t="shared" si="14"/>
        <v>389.26471649842347</v>
      </c>
      <c r="CY28" s="62">
        <f ca="1">AVERAGE(OFFSET($CX$3,0,0,'Données projet'!$E$13+1,1))-AVERAGE(OFFSET($H$3,0,0,'Données projet'!$E$13+1,1))</f>
        <v>470.0521927195926</v>
      </c>
      <c r="CZ28" s="62">
        <f t="shared" si="42"/>
        <v>299.27200854723435</v>
      </c>
      <c r="DA28" s="16">
        <f>IF(ISNA(VLOOKUP(A28,'Données projet'!$A$139:$I$159,3,0)),0,VLOOKUP(A28,'Données projet'!$A$139:$I$159,3,0))</f>
        <v>2</v>
      </c>
      <c r="DB28" s="16">
        <f>IF(ISNA(VLOOKUP(A28,'Données projet'!$A$139:$I$159,4,0)),0,VLOOKUP(A28,'Données projet'!$A$139:$I$159,4,0))</f>
        <v>8</v>
      </c>
      <c r="DC28" s="17">
        <f>IF(ISNA(VLOOKUP(A28,'Données projet'!$A$139:$I$159,5,0)),0%,VLOOKUP(A28,'Données projet'!$A$139:$I$159,5,0)*VLOOKUP('Données projet'!$B$13,Paramètres!$A$1:$I$88,7,0))</f>
        <v>0</v>
      </c>
      <c r="DD28" s="17">
        <f>IF(ISNA(VLOOKUP(A28,'Données projet'!$A$139:$I$159,6,0)),0%,VLOOKUP(A28,'Données projet'!$A$139:$I$159,6,0)*VLOOKUP('Données projet'!$B$13,Paramètres!$A$1:$I$88,7,0))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projet'!$B$13,Paramètres!$A$1:$I$88,3,0)*0.475*44/12</f>
        <v>0</v>
      </c>
      <c r="DG28" s="23">
        <f>EXP(-LN(2)/25)*DG27+(1-EXP(-LN(2)/25))/(LN(2)/25)*Calculateur!DB28*Calculateur!DD28*VLOOKUP('Données projet'!$B$13,Paramètres!$A$1:$I$88,3,0)*0.475*44/12</f>
        <v>0</v>
      </c>
      <c r="DH28" s="23">
        <f>EXP(-LN(2)/2)*DH27+(1-EXP(-LN(2)/2))/(LN(2)/2)*DB28*DE28*VLOOKUP('Données projet'!$B$13,Paramètres!$A$1:$I$88,3,0)*0.475*44/12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30</v>
      </c>
      <c r="DM28" s="13">
        <f>VLOOKUP(A28,'Données projet'!$A$165:$I$185,9,0)</f>
        <v>1.2</v>
      </c>
      <c r="DN28" s="13">
        <f t="array" ref="DN28">INDEX(DM:DM,MIN(IF(ISNUMBER(DM28:DM224),ROW(DM28:DM224),"")))</f>
        <v>1.2</v>
      </c>
      <c r="DO28" s="13">
        <f>IF('Données projet'!$A$166&gt;35,DO27+DN28-DW27,IF(A28&lt;'Données projet'!$A$166,$DL$205^A28,IF(A28='Données projet'!$A$166,'Données projet'!$B$166,DO27+DN28-DW27)))</f>
        <v>30</v>
      </c>
      <c r="DP28" s="18">
        <f>DO28*VLOOKUP('Données projet'!$B$14,Paramètres!$A$1:$I$88,3,0)*VLOOKUP('Données projet'!$B$14,Paramètres!$A$1:$I$88,5,0)</f>
        <v>29.016000000000002</v>
      </c>
      <c r="DQ28" s="14">
        <f t="shared" si="43"/>
        <v>9.0352172071357728</v>
      </c>
      <c r="DR28" s="22">
        <f t="shared" si="16"/>
        <v>66.272536635761469</v>
      </c>
      <c r="DS28" s="62">
        <f t="shared" si="17"/>
        <v>294.31031060209358</v>
      </c>
      <c r="DT28" s="62">
        <f ca="1">AVERAGE(OFFSET($DS$3,0,0,'Données projet'!$E$14+1,1))-AVERAGE(OFFSET($H$3,0,0,'Données projet'!$E$14+1,1))</f>
        <v>290.89727102147953</v>
      </c>
      <c r="DU28" s="62">
        <f t="shared" si="44"/>
        <v>173.19148969173838</v>
      </c>
      <c r="DV28" s="16">
        <f>IF(ISNA(VLOOKUP(A28,'Données projet'!$A$165:$I$185,3,0)),0,VLOOKUP(A28,'Données projet'!$A$165:$I$185,3,0))</f>
        <v>2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projet'!$B$14,Paramètres!$A$1:$I$88,7,0))</f>
        <v>0</v>
      </c>
      <c r="DY28" s="17">
        <f>IF(ISNA(VLOOKUP(A28,'Données projet'!$A$165:$I$185,6,0)),0%,VLOOKUP(A28,'Données projet'!$A$165:$I$185,6,0)*VLOOKUP('Données projet'!$B$14,Paramètres!$A$1:$I$88,7,0))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projet'!$B$14,Paramètres!$A$1:$I$88,3,0)*0.475*44/12</f>
        <v>0</v>
      </c>
      <c r="EB28" s="23">
        <f>EXP(-LN(2)/25)*EB27+(1-EXP(-LN(2)/25))/(LN(2)/25)*Calculateur!DW28*Calculateur!DY28*VLOOKUP('Données projet'!$B$14,Paramètres!$A$1:$I$88,3,0)*0.475*44/12</f>
        <v>0</v>
      </c>
      <c r="EC28" s="23">
        <f>EXP(-LN(2)/2)*EC27+(1-EXP(-LN(2)/2))/(LN(2)/2)*DW28*DZ28*VLOOKUP('Données projet'!$B$14,Paramètres!$A$1:$I$88,3,0)*0.475*44/12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projet'!$B$15,Paramètres!$A$1:$I$88,3,0)*VLOOKUP('Données projet'!$B$15,Paramètres!$A$1:$I$88,5,0)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projet'!$B$15,Paramètres!$A$1:$I$88,7,0))</f>
        <v>0</v>
      </c>
      <c r="ET28" s="17">
        <f>IF(ISNA(VLOOKUP(A28,'Données projet'!$A$191:$I$211,6,0)),0%,VLOOKUP(A28,'Données projet'!$A$191:$I$211,6,0)*VLOOKUP('Données projet'!$B$15,Paramètres!$A$1:$I$88,7,0))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projet'!$B$15,Paramètres!$A$1:$I$88,3,0)*0.475*44/12</f>
        <v>#N/A</v>
      </c>
      <c r="EW28" s="23" t="e">
        <f>EXP(-LN(2)/25)*EW27+(1-EXP(-LN(2)/25))/(LN(2)/25)*Calculateur!ER28*Calculateur!ET28*VLOOKUP('Données projet'!$B$15,Paramètres!$A$1:$I$88,3,0)*0.475*44/12</f>
        <v>#N/A</v>
      </c>
      <c r="EX28" s="23" t="e">
        <f>EXP(-LN(2)/2)*EX27+(1-EXP(-LN(2)/2))/(LN(2)/2)*ER28*EU28*VLOOKUP('Données projet'!$B$15,Paramètres!$A$1:$I$88,3,0)*0.475*44/12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projet'!$B$16,Paramètres!$A$1:$I$88,3,0)*VLOOKUP('Données projet'!$B$16,Paramètres!$A$1:$I$88,5,0)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projet'!$B$16,Paramètres!$A$1:$I$88,7,0))</f>
        <v>0</v>
      </c>
      <c r="FO28" s="17">
        <f>IF(ISNA(VLOOKUP(A28,'Données projet'!$A$217:$I$237,6,0)),0%,VLOOKUP(A28,'Données projet'!$A$217:$I$237,6,0)*VLOOKUP('Données projet'!$B$16,Paramètres!$A$1:$I$88,7,0))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projet'!$B$16,Paramètres!$A$1:$I$88,3,0)*0.475*44/12</f>
        <v>#N/A</v>
      </c>
      <c r="FR28" s="23" t="e">
        <f>EXP(-LN(2)/25)*FR27+(1-EXP(-LN(2)/25))/(LN(2)/25)*Calculateur!FM28*Calculateur!FO28*VLOOKUP('Données projet'!$B$16,Paramètres!$A$1:$I$88,3,0)*0.475*44/12</f>
        <v>#N/A</v>
      </c>
      <c r="FS28" s="23" t="e">
        <f>EXP(-LN(2)/2)*FS27+(1-EXP(-LN(2)/2))/(LN(2)/2)*FM28*FP28*VLOOKUP('Données projet'!$B$16,Paramètres!$A$1:$I$88,3,0)*0.475*44/12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projet'!$B$17,Paramètres!$A$1:$I$88,3,0)*VLOOKUP('Données projet'!$B$17,Paramètres!$A$1:$I$88,5,0)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projet'!$B$17,Paramètres!$A$1:$I$88,7,0))</f>
        <v>0</v>
      </c>
      <c r="GJ28" s="17">
        <f>IF(ISNA(VLOOKUP(A28,'Données projet'!$A$243:$I$263,6,0)),0%,VLOOKUP(A28,'Données projet'!$A$243:$I$263,6,0)*VLOOKUP('Données projet'!$B$17,Paramètres!$A$1:$I$88,7,0))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projet'!$B$17,Paramètres!$A$1:$I$88,3,0)*0.475*44/12</f>
        <v>#N/A</v>
      </c>
      <c r="GM28" s="23" t="e">
        <f>EXP(-LN(2)/25)*GM27+(1-EXP(-LN(2)/25))/(LN(2)/25)*Calculateur!GH28*Calculateur!GJ28*VLOOKUP('Données projet'!$B$17,Paramètres!$A$1:$I$88,3,0)*0.475*44/12</f>
        <v>#N/A</v>
      </c>
      <c r="GN28" s="23" t="e">
        <f>EXP(-LN(2)/2)*GN27+(1-EXP(-LN(2)/2))/(LN(2)/2)*GH28*GK28*VLOOKUP('Données projet'!$B$17,Paramètres!$A$1:$I$88,3,0)*0.475*44/12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projet'!$B$18,Paramètres!$A$1:$I$88,3,0)*VLOOKUP('Données projet'!$B$18,Paramètres!$A$1:$I$88,5,0)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projet'!$B$18,Paramètres!$A$1:$I$88,3,0)*0.475*44/12</f>
        <v>#N/A</v>
      </c>
      <c r="HH28" s="23" t="e">
        <f>EXP(-LN(2)/25)*HH27+(1-EXP(-LN(2)/25))/(LN(2)/25)*Calculateur!HC28*Calculateur!HE28*VLOOKUP('Données projet'!$B$18,Paramètres!$A$1:$I$88,3,0)*0.475*44/12</f>
        <v>#N/A</v>
      </c>
      <c r="HI28" s="23" t="e">
        <f>EXP(-LN(2)/2)*HI27+(1-EXP(-LN(2)/2))/(LN(2)/2)*HC28*HF28*VLOOKUP('Données projet'!$B$18,Paramètres!$A$1:$I$88,3,0)*0.475*44/12</f>
        <v>#N/A</v>
      </c>
      <c r="HJ28" s="24" t="e">
        <f t="shared" si="30"/>
        <v>#N/A</v>
      </c>
    </row>
    <row r="29" spans="1:218" s="5" customFormat="1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21.6</v>
      </c>
      <c r="N29" s="14">
        <f>IF('Données projet'!$A$36&gt;35,N28+M29-V28,IF(A29&lt;'Données projet'!$A$36,$K$205^A29,IF(A29='Données projet'!$A$36,'Données projet'!$B$36,N28+M29-V28)))</f>
        <v>190.59999999999997</v>
      </c>
      <c r="O29" s="14">
        <f>N29*VLOOKUP('Données projet'!$B$9,Paramètres!$A$1:$I$88,3,0)*VLOOKUP('Données projet'!$B$9,Paramètres!$A$1:$I$88,5,0)</f>
        <v>113.97879999999999</v>
      </c>
      <c r="P29" s="14">
        <f t="shared" si="33"/>
        <v>30.266473511018898</v>
      </c>
      <c r="Q29" s="22">
        <f t="shared" si="2"/>
        <v>251.22718469835789</v>
      </c>
      <c r="R29" s="62">
        <f t="shared" si="0"/>
        <v>481.51389874754807</v>
      </c>
      <c r="S29" s="62">
        <f ca="1">AVERAGE(OFFSET($R$3,0,0,'Données projet'!$E$9+1,1))-AVERAGE(OFFSET($H$3,0,0,'Données projet'!$E$9+1,1))</f>
        <v>301.2688576786212</v>
      </c>
      <c r="T29" s="62">
        <f t="shared" si="34"/>
        <v>417.62172165132927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0</v>
      </c>
      <c r="AA29" s="23">
        <f>EXP(-LN(2)/25)*AA28+(1-EXP(-LN(2)/25))/(LN(2)/25)*Calculateur!V29*Calculateur!X29*VLOOKUP('Données projet'!$B$9,Paramètres!$A$1:$I$88,3,0)*0.475*44/12</f>
        <v>20.874824253326931</v>
      </c>
      <c r="AB29" s="23">
        <f>EXP(-LN(2)/2)*AB28+(1-EXP(-LN(2)/2))/(LN(2)/2)*V29*Y29*VLOOKUP('Données projet'!$B$9,Paramètres!$A$1:$I$88,3,0)*0.475*44/12</f>
        <v>13.908474209777571</v>
      </c>
      <c r="AC29" s="24">
        <f t="shared" si="3"/>
        <v>34.783298463104501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12</v>
      </c>
      <c r="AI29" s="14">
        <f>IF('Données projet'!$A$62&gt;35,AI28+AH29-AQ28,IF(A29&lt;'Données projet'!$A$62,$AF$205^A29,IF(A29='Données projet'!$A$62,'Données projet'!$B$62,AI28+AH29-AQ28)))</f>
        <v>142</v>
      </c>
      <c r="AJ29" s="14">
        <f>AI29*VLOOKUP('Données projet'!$B$10,Paramètres!$A$1:$I$88,3,0)*VLOOKUP('Données projet'!$B$10,Paramètres!$A$1:$I$88,5,0)</f>
        <v>66.456000000000003</v>
      </c>
      <c r="AK29" s="14">
        <f t="shared" si="35"/>
        <v>18.790713966583603</v>
      </c>
      <c r="AL29" s="22">
        <f t="shared" si="4"/>
        <v>148.47136015846644</v>
      </c>
      <c r="AM29" s="62">
        <f t="shared" si="5"/>
        <v>378.75807420765659</v>
      </c>
      <c r="AN29" s="62">
        <f ca="1">AVERAGE(OFFSET($AM$3,0,0,'Données projet'!$E$10+1,1))-AVERAGE(OFFSET($H$3,0,0,'Données projet'!$E$10+1,1))</f>
        <v>170.08673939431091</v>
      </c>
      <c r="AO29" s="62">
        <f t="shared" si="36"/>
        <v>252.97355497077106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projet'!$B$10,Paramètres!$A$1:$I$88,3,0)*0.475*44/12</f>
        <v>0</v>
      </c>
      <c r="AV29" s="23">
        <f>EXP(-LN(2)/25)*AV28+(1-EXP(-LN(2)/25))/(LN(2)/25)*Calculateur!AQ29*Calculateur!AS29*VLOOKUP('Données projet'!$B$10,Paramètres!$A$1:$I$88,3,0)*0.475*44/12</f>
        <v>9.6764402502761904</v>
      </c>
      <c r="AW29" s="23">
        <f>EXP(-LN(2)/2)*AW28+(1-EXP(-LN(2)/2))/(LN(2)/2)*AQ29*AT29*VLOOKUP('Données projet'!$B$10,Paramètres!$A$1:$I$88,3,0)*0.475*44/12</f>
        <v>1.7486195602998744</v>
      </c>
      <c r="AX29" s="23">
        <f t="shared" si="6"/>
        <v>11.425059810576064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</v>
      </c>
      <c r="BD29" s="13">
        <f>IF('Données projet'!$A$88&gt;35,BD28+BC29-BL28,IF(A29&lt;'Données projet'!$A$88,$BA$205^A29,IF(A29='Données projet'!$A$88,'Données projet'!$B$88,BD28+BC29-BL28)))</f>
        <v>69</v>
      </c>
      <c r="BE29" s="14">
        <f>BD29*VLOOKUP('Données projet'!$B$11,Paramètres!$A$1:$I$88,3,0)*VLOOKUP('Données projet'!$B$11,Paramètres!$A$1:$I$88,5,0)</f>
        <v>62.431199999999997</v>
      </c>
      <c r="BF29" s="14">
        <f t="shared" si="37"/>
        <v>17.781524466058684</v>
      </c>
      <c r="BG29" s="22">
        <f t="shared" si="7"/>
        <v>139.70382844505221</v>
      </c>
      <c r="BH29" s="62">
        <f t="shared" si="8"/>
        <v>369.99054249424239</v>
      </c>
      <c r="BI29" s="62">
        <f ca="1">AVERAGE(OFFSET($BH$3,0,0,'Données projet'!$E$11+1,1))-AVERAGE(OFFSET($H$3,0,0,'Données projet'!$E$11+1,1))</f>
        <v>362.63718589694594</v>
      </c>
      <c r="BJ29" s="62">
        <f t="shared" si="38"/>
        <v>250.47702091764884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projet'!$B$11,Paramètres!$A$1:$I$88,3,0)*0.475*44/12</f>
        <v>0</v>
      </c>
      <c r="BQ29" s="23">
        <f>EXP(-LN(2)/25)*BQ28+(1-EXP(-LN(2)/25))/(LN(2)/25)*Calculateur!BL29*Calculateur!BN29*VLOOKUP('Données projet'!$B$11,Paramètres!$A$1:$I$88,3,0)*0.475*44/12</f>
        <v>0</v>
      </c>
      <c r="BR29" s="23">
        <f>EXP(-LN(2)/2)*BR28+(1-EXP(-LN(2)/2))/(LN(2)/2)*BL29*BO29*VLOOKUP('Données projet'!$B$11,Paramètres!$A$1:$I$88,3,0)*0.475*44/12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7</v>
      </c>
      <c r="BY29" s="13">
        <f>IF('Données projet'!$A$114&gt;35,BY28+BX29-CG28,IF(A29&lt;'Données projet'!$A$114,$BV$205^A29,IF(A29='Données projet'!$A$114,'Données projet'!$B$114,BY28+BX29-CG28)))</f>
        <v>69</v>
      </c>
      <c r="BZ29" s="14">
        <f>BY29*VLOOKUP('Données projet'!$B$12,Paramètres!$A$1:$I$88,3,0)*VLOOKUP('Données projet'!$B$12,Paramètres!$A$1:$I$88,5,0)</f>
        <v>69.966000000000008</v>
      </c>
      <c r="CA29" s="14">
        <f t="shared" si="39"/>
        <v>19.665013934342461</v>
      </c>
      <c r="CB29" s="22">
        <f t="shared" si="10"/>
        <v>156.10734926897979</v>
      </c>
      <c r="CC29" s="62">
        <f t="shared" si="11"/>
        <v>386.39406331816997</v>
      </c>
      <c r="CD29" s="62">
        <f ca="1">AVERAGE(OFFSET($CC$3,0,0,'Données projet'!$E$12+1,1))-AVERAGE(OFFSET($H$3,0,0,'Données projet'!$E$12+1,1))</f>
        <v>398.14524781940196</v>
      </c>
      <c r="CE29" s="62">
        <f t="shared" si="40"/>
        <v>273.35778700650792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projet'!$B$12,Paramètres!$A$1:$I$88,3,0)*0.475*44/12</f>
        <v>0</v>
      </c>
      <c r="CL29" s="23">
        <f>EXP(-LN(2)/25)*CL28+(1-EXP(-LN(2)/25))/(LN(2)/25)*Calculateur!CG29*Calculateur!CI29*VLOOKUP('Données projet'!$B$12,Paramètres!$A$1:$I$88,3,0)*0.475*44/12</f>
        <v>0</v>
      </c>
      <c r="CM29" s="23">
        <f>EXP(-LN(2)/2)*CM28+(1-EXP(-LN(2)/2))/(LN(2)/2)*CG29*CJ29*VLOOKUP('Données projet'!$B$12,Paramètres!$A$1:$I$88,3,0)*0.475*44/12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9.6</v>
      </c>
      <c r="CT29" s="13">
        <f>IF('Données projet'!$A$140&gt;35,CT28+CS29-DB28,IF(A29&lt;'Données projet'!$A$140,$CQ$205^A29,IF(A29='Données projet'!$A$140,'Données projet'!$B$140,CT28+CS29-DB28)))</f>
        <v>77.59999999999998</v>
      </c>
      <c r="CU29" s="18">
        <f>CT29*VLOOKUP('Données projet'!$B$13,Paramètres!$A$1:$I$88,3,0)*VLOOKUP('Données projet'!$B$13,Paramètres!$A$1:$I$88,5,0)</f>
        <v>73.844159999999974</v>
      </c>
      <c r="CV29" s="14">
        <f t="shared" si="41"/>
        <v>20.625107418470034</v>
      </c>
      <c r="CW29" s="22">
        <f t="shared" si="13"/>
        <v>164.53397408716859</v>
      </c>
      <c r="CX29" s="62">
        <f t="shared" si="14"/>
        <v>394.82068813635874</v>
      </c>
      <c r="CY29" s="62">
        <f ca="1">AVERAGE(OFFSET($CX$3,0,0,'Données projet'!$E$13+1,1))-AVERAGE(OFFSET($H$3,0,0,'Données projet'!$E$13+1,1))</f>
        <v>470.0521927195926</v>
      </c>
      <c r="CZ29" s="62">
        <f t="shared" si="42"/>
        <v>299.27200854723435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projet'!$B$13,Paramètres!$A$1:$I$88,3,0)*0.475*44/12</f>
        <v>0</v>
      </c>
      <c r="DG29" s="23">
        <f>EXP(-LN(2)/25)*DG28+(1-EXP(-LN(2)/25))/(LN(2)/25)*Calculateur!DB29*Calculateur!DD29*VLOOKUP('Données projet'!$B$13,Paramètres!$A$1:$I$88,3,0)*0.475*44/12</f>
        <v>0</v>
      </c>
      <c r="DH29" s="23">
        <f>EXP(-LN(2)/2)*DH28+(1-EXP(-LN(2)/2))/(LN(2)/2)*DB29*DE29*VLOOKUP('Données projet'!$B$13,Paramètres!$A$1:$I$88,3,0)*0.475*44/12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4.8</v>
      </c>
      <c r="DO29" s="13">
        <f>IF('Données projet'!$A$166&gt;35,DO28+DN29-DW28,IF(A29&lt;'Données projet'!$A$166,$DL$205^A29,IF(A29='Données projet'!$A$166,'Données projet'!$B$166,DO28+DN29-DW28)))</f>
        <v>34.799999999999997</v>
      </c>
      <c r="DP29" s="18">
        <f>DO29*VLOOKUP('Données projet'!$B$14,Paramètres!$A$1:$I$88,3,0)*VLOOKUP('Données projet'!$B$14,Paramètres!$A$1:$I$88,5,0)</f>
        <v>33.658559999999994</v>
      </c>
      <c r="DQ29" s="14">
        <f t="shared" si="43"/>
        <v>10.301338939492439</v>
      </c>
      <c r="DR29" s="22">
        <f t="shared" si="16"/>
        <v>76.563490652949312</v>
      </c>
      <c r="DS29" s="62">
        <f t="shared" si="17"/>
        <v>306.85020470213948</v>
      </c>
      <c r="DT29" s="62">
        <f ca="1">AVERAGE(OFFSET($DS$3,0,0,'Données projet'!$E$14+1,1))-AVERAGE(OFFSET($H$3,0,0,'Données projet'!$E$14+1,1))</f>
        <v>290.89727102147953</v>
      </c>
      <c r="DU29" s="62">
        <f t="shared" si="44"/>
        <v>173.19148969173838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projet'!$B$14,Paramètres!$A$1:$I$88,3,0)*0.475*44/12</f>
        <v>0</v>
      </c>
      <c r="EB29" s="23">
        <f>EXP(-LN(2)/25)*EB28+(1-EXP(-LN(2)/25))/(LN(2)/25)*Calculateur!DW29*Calculateur!DY29*VLOOKUP('Données projet'!$B$14,Paramètres!$A$1:$I$88,3,0)*0.475*44/12</f>
        <v>0</v>
      </c>
      <c r="EC29" s="23">
        <f>EXP(-LN(2)/2)*EC28+(1-EXP(-LN(2)/2))/(LN(2)/2)*DW29*DZ29*VLOOKUP('Données projet'!$B$14,Paramètres!$A$1:$I$88,3,0)*0.475*44/12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projet'!$B$15,Paramètres!$A$1:$I$88,3,0)*VLOOKUP('Données projet'!$B$15,Paramètres!$A$1:$I$88,5,0)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projet'!$B$15,Paramètres!$A$1:$I$88,3,0)*0.475*44/12</f>
        <v>#N/A</v>
      </c>
      <c r="EW29" s="23" t="e">
        <f>EXP(-LN(2)/25)*EW28+(1-EXP(-LN(2)/25))/(LN(2)/25)*Calculateur!ER29*Calculateur!ET29*VLOOKUP('Données projet'!$B$15,Paramètres!$A$1:$I$88,3,0)*0.475*44/12</f>
        <v>#N/A</v>
      </c>
      <c r="EX29" s="23" t="e">
        <f>EXP(-LN(2)/2)*EX28+(1-EXP(-LN(2)/2))/(LN(2)/2)*ER29*EU29*VLOOKUP('Données projet'!$B$15,Paramètres!$A$1:$I$88,3,0)*0.475*44/12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projet'!$B$16,Paramètres!$A$1:$I$88,3,0)*VLOOKUP('Données projet'!$B$16,Paramètres!$A$1:$I$88,5,0)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projet'!$B$16,Paramètres!$A$1:$I$88,3,0)*0.475*44/12</f>
        <v>#N/A</v>
      </c>
      <c r="FR29" s="23" t="e">
        <f>EXP(-LN(2)/25)*FR28+(1-EXP(-LN(2)/25))/(LN(2)/25)*Calculateur!FM29*Calculateur!FO29*VLOOKUP('Données projet'!$B$16,Paramètres!$A$1:$I$88,3,0)*0.475*44/12</f>
        <v>#N/A</v>
      </c>
      <c r="FS29" s="23" t="e">
        <f>EXP(-LN(2)/2)*FS28+(1-EXP(-LN(2)/2))/(LN(2)/2)*FM29*FP29*VLOOKUP('Données projet'!$B$16,Paramètres!$A$1:$I$88,3,0)*0.475*44/12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projet'!$B$17,Paramètres!$A$1:$I$88,3,0)*VLOOKUP('Données projet'!$B$17,Paramètres!$A$1:$I$88,5,0)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projet'!$B$17,Paramètres!$A$1:$I$88,3,0)*0.475*44/12</f>
        <v>#N/A</v>
      </c>
      <c r="GM29" s="23" t="e">
        <f>EXP(-LN(2)/25)*GM28+(1-EXP(-LN(2)/25))/(LN(2)/25)*Calculateur!GH29*Calculateur!GJ29*VLOOKUP('Données projet'!$B$17,Paramètres!$A$1:$I$88,3,0)*0.475*44/12</f>
        <v>#N/A</v>
      </c>
      <c r="GN29" s="23" t="e">
        <f>EXP(-LN(2)/2)*GN28+(1-EXP(-LN(2)/2))/(LN(2)/2)*GH29*GK29*VLOOKUP('Données projet'!$B$17,Paramètres!$A$1:$I$88,3,0)*0.475*44/12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projet'!$B$18,Paramètres!$A$1:$I$88,3,0)*VLOOKUP('Données projet'!$B$18,Paramètres!$A$1:$I$88,5,0)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projet'!$B$18,Paramètres!$A$1:$I$88,3,0)*0.475*44/12</f>
        <v>#N/A</v>
      </c>
      <c r="HH29" s="23" t="e">
        <f>EXP(-LN(2)/25)*HH28+(1-EXP(-LN(2)/25))/(LN(2)/25)*Calculateur!HC29*Calculateur!HE29*VLOOKUP('Données projet'!$B$18,Paramètres!$A$1:$I$88,3,0)*0.475*44/12</f>
        <v>#N/A</v>
      </c>
      <c r="HI29" s="23" t="e">
        <f>EXP(-LN(2)/2)*HI28+(1-EXP(-LN(2)/2))/(LN(2)/2)*HC29*HF29*VLOOKUP('Données projet'!$B$18,Paramètres!$A$1:$I$88,3,0)*0.475*44/12</f>
        <v>#N/A</v>
      </c>
      <c r="HJ29" s="24" t="e">
        <f t="shared" si="30"/>
        <v>#N/A</v>
      </c>
    </row>
    <row r="30" spans="1:218" s="5" customFormat="1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21.6</v>
      </c>
      <c r="N30" s="14">
        <f>IF('Données projet'!$A$36&gt;35,N29+M30-V29,IF(A30&lt;'Données projet'!$A$36,$K$205^A30,IF(A30='Données projet'!$A$36,'Données projet'!$B$36,N29+M30-V29)))</f>
        <v>212.19999999999996</v>
      </c>
      <c r="O30" s="14">
        <f>N30*VLOOKUP('Données projet'!$B$9,Paramètres!$A$1:$I$88,3,0)*VLOOKUP('Données projet'!$B$9,Paramètres!$A$1:$I$88,5,0)</f>
        <v>126.89559999999997</v>
      </c>
      <c r="P30" s="14">
        <f t="shared" si="33"/>
        <v>33.278017701950297</v>
      </c>
      <c r="Q30" s="22">
        <f t="shared" si="2"/>
        <v>278.96905083089666</v>
      </c>
      <c r="R30" s="62">
        <f t="shared" si="0"/>
        <v>511.48689370346017</v>
      </c>
      <c r="S30" s="62">
        <f ca="1">AVERAGE(OFFSET($R$3,0,0,'Données projet'!$E$9+1,1))-AVERAGE(OFFSET($H$3,0,0,'Données projet'!$E$9+1,1))</f>
        <v>301.2688576786212</v>
      </c>
      <c r="T30" s="62">
        <f t="shared" si="34"/>
        <v>417.62172165132927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0</v>
      </c>
      <c r="AA30" s="23">
        <f>EXP(-LN(2)/25)*AA29+(1-EXP(-LN(2)/25))/(LN(2)/25)*Calculateur!V30*Calculateur!X30*VLOOKUP('Données projet'!$B$9,Paramètres!$A$1:$I$88,3,0)*0.475*44/12</f>
        <v>20.304001086360408</v>
      </c>
      <c r="AB30" s="23">
        <f>EXP(-LN(2)/2)*AB29+(1-EXP(-LN(2)/2))/(LN(2)/2)*V30*Y30*VLOOKUP('Données projet'!$B$9,Paramètres!$A$1:$I$88,3,0)*0.475*44/12</f>
        <v>9.8347764296919298</v>
      </c>
      <c r="AC30" s="24">
        <f t="shared" si="3"/>
        <v>30.138777516052336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12</v>
      </c>
      <c r="AI30" s="14">
        <f>IF('Données projet'!$A$62&gt;35,AI29+AH30-AQ29,IF(A30&lt;'Données projet'!$A$62,$AF$205^A30,IF(A30='Données projet'!$A$62,'Données projet'!$B$62,AI29+AH30-AQ29)))</f>
        <v>154</v>
      </c>
      <c r="AJ30" s="14">
        <f>AI30*VLOOKUP('Données projet'!$B$10,Paramètres!$A$1:$I$88,3,0)*VLOOKUP('Données projet'!$B$10,Paramètres!$A$1:$I$88,5,0)</f>
        <v>72.072000000000003</v>
      </c>
      <c r="AK30" s="14">
        <f t="shared" si="35"/>
        <v>20.187131385147271</v>
      </c>
      <c r="AL30" s="22">
        <f t="shared" si="4"/>
        <v>160.68465382913149</v>
      </c>
      <c r="AM30" s="62">
        <f t="shared" si="5"/>
        <v>393.202496701695</v>
      </c>
      <c r="AN30" s="62">
        <f ca="1">AVERAGE(OFFSET($AM$3,0,0,'Données projet'!$E$10+1,1))-AVERAGE(OFFSET($H$3,0,0,'Données projet'!$E$10+1,1))</f>
        <v>170.08673939431091</v>
      </c>
      <c r="AO30" s="62">
        <f t="shared" si="36"/>
        <v>252.97355497077106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projet'!$B$10,Paramètres!$A$1:$I$88,3,0)*0.475*44/12</f>
        <v>0</v>
      </c>
      <c r="AV30" s="23">
        <f>EXP(-LN(2)/25)*AV29+(1-EXP(-LN(2)/25))/(LN(2)/25)*Calculateur!AQ30*Calculateur!AS30*VLOOKUP('Données projet'!$B$10,Paramètres!$A$1:$I$88,3,0)*0.475*44/12</f>
        <v>9.4118374827705118</v>
      </c>
      <c r="AW30" s="23">
        <f>EXP(-LN(2)/2)*AW29+(1-EXP(-LN(2)/2))/(LN(2)/2)*AQ30*AT30*VLOOKUP('Données projet'!$B$10,Paramètres!$A$1:$I$88,3,0)*0.475*44/12</f>
        <v>1.2364607488034802</v>
      </c>
      <c r="AX30" s="23">
        <f t="shared" si="6"/>
        <v>10.648298231573992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</v>
      </c>
      <c r="BD30" s="13">
        <f>IF('Données projet'!$A$88&gt;35,BD29+BC30-BL29,IF(A30&lt;'Données projet'!$A$88,$BA$205^A30,IF(A30='Données projet'!$A$88,'Données projet'!$B$88,BD29+BC30-BL29)))</f>
        <v>76</v>
      </c>
      <c r="BE30" s="14">
        <f>BD30*VLOOKUP('Données projet'!$B$11,Paramètres!$A$1:$I$88,3,0)*VLOOKUP('Données projet'!$B$11,Paramètres!$A$1:$I$88,5,0)</f>
        <v>68.764799999999994</v>
      </c>
      <c r="BF30" s="14">
        <f t="shared" si="37"/>
        <v>19.366396769521369</v>
      </c>
      <c r="BG30" s="22">
        <f t="shared" si="7"/>
        <v>153.49516770691636</v>
      </c>
      <c r="BH30" s="62">
        <f t="shared" si="8"/>
        <v>386.0130105794799</v>
      </c>
      <c r="BI30" s="62">
        <f ca="1">AVERAGE(OFFSET($BH$3,0,0,'Données projet'!$E$11+1,1))-AVERAGE(OFFSET($H$3,0,0,'Données projet'!$E$11+1,1))</f>
        <v>362.63718589694594</v>
      </c>
      <c r="BJ30" s="62">
        <f t="shared" si="38"/>
        <v>250.47702091764884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projet'!$B$11,Paramètres!$A$1:$I$88,3,0)*0.475*44/12</f>
        <v>0</v>
      </c>
      <c r="BQ30" s="23">
        <f>EXP(-LN(2)/25)*BQ29+(1-EXP(-LN(2)/25))/(LN(2)/25)*Calculateur!BL30*Calculateur!BN30*VLOOKUP('Données projet'!$B$11,Paramètres!$A$1:$I$88,3,0)*0.475*44/12</f>
        <v>0</v>
      </c>
      <c r="BR30" s="23">
        <f>EXP(-LN(2)/2)*BR29+(1-EXP(-LN(2)/2))/(LN(2)/2)*BL30*BO30*VLOOKUP('Données projet'!$B$11,Paramètres!$A$1:$I$88,3,0)*0.475*44/12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7</v>
      </c>
      <c r="BY30" s="13">
        <f>IF('Données projet'!$A$114&gt;35,BY29+BX30-CG29,IF(A30&lt;'Données projet'!$A$114,$BV$205^A30,IF(A30='Données projet'!$A$114,'Données projet'!$B$114,BY29+BX30-CG29)))</f>
        <v>76</v>
      </c>
      <c r="BZ30" s="14">
        <f>BY30*VLOOKUP('Données projet'!$B$12,Paramètres!$A$1:$I$88,3,0)*VLOOKUP('Données projet'!$B$12,Paramètres!$A$1:$I$88,5,0)</f>
        <v>77.064000000000007</v>
      </c>
      <c r="CA30" s="14">
        <f t="shared" si="39"/>
        <v>21.417762186678065</v>
      </c>
      <c r="CB30" s="22">
        <f t="shared" si="10"/>
        <v>171.52240247513097</v>
      </c>
      <c r="CC30" s="62">
        <f t="shared" si="11"/>
        <v>404.04024534769451</v>
      </c>
      <c r="CD30" s="62">
        <f ca="1">AVERAGE(OFFSET($CC$3,0,0,'Données projet'!$E$12+1,1))-AVERAGE(OFFSET($H$3,0,0,'Données projet'!$E$12+1,1))</f>
        <v>398.14524781940196</v>
      </c>
      <c r="CE30" s="62">
        <f t="shared" si="40"/>
        <v>273.35778700650792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projet'!$B$12,Paramètres!$A$1:$I$88,7,0))</f>
        <v>0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projet'!$B$12,Paramètres!$A$1:$I$88,3,0)*0.475*44/12</f>
        <v>0</v>
      </c>
      <c r="CL30" s="23">
        <f>EXP(-LN(2)/25)*CL29+(1-EXP(-LN(2)/25))/(LN(2)/25)*Calculateur!CG30*Calculateur!CI30*VLOOKUP('Données projet'!$B$12,Paramètres!$A$1:$I$88,3,0)*0.475*44/12</f>
        <v>0</v>
      </c>
      <c r="CM30" s="23">
        <f>EXP(-LN(2)/2)*CM29+(1-EXP(-LN(2)/2))/(LN(2)/2)*CG30*CJ30*VLOOKUP('Données projet'!$B$12,Paramètres!$A$1:$I$88,3,0)*0.475*44/12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9.6</v>
      </c>
      <c r="CT30" s="13">
        <f>IF('Données projet'!$A$140&gt;35,CT29+CS30-DB29,IF(A30&lt;'Données projet'!$A$140,$CQ$205^A30,IF(A30='Données projet'!$A$140,'Données projet'!$B$140,CT29+CS30-DB29)))</f>
        <v>87.199999999999974</v>
      </c>
      <c r="CU30" s="18">
        <f>CT30*VLOOKUP('Données projet'!$B$13,Paramètres!$A$1:$I$88,3,0)*VLOOKUP('Données projet'!$B$13,Paramètres!$A$1:$I$88,5,0)</f>
        <v>82.97951999999998</v>
      </c>
      <c r="CV30" s="14">
        <f t="shared" si="41"/>
        <v>22.864134608080672</v>
      </c>
      <c r="CW30" s="22">
        <f t="shared" si="13"/>
        <v>184.34436510907381</v>
      </c>
      <c r="CX30" s="62">
        <f t="shared" si="14"/>
        <v>416.86220798163731</v>
      </c>
      <c r="CY30" s="62">
        <f ca="1">AVERAGE(OFFSET($CX$3,0,0,'Données projet'!$E$13+1,1))-AVERAGE(OFFSET($H$3,0,0,'Données projet'!$E$13+1,1))</f>
        <v>470.0521927195926</v>
      </c>
      <c r="CZ30" s="62">
        <f t="shared" si="42"/>
        <v>299.27200854723435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projet'!$B$13,Paramètres!$A$1:$I$88,7,0))</f>
        <v>0</v>
      </c>
      <c r="DD30" s="17">
        <f>IF(ISNA(VLOOKUP(A30,'Données projet'!$A$139:$I$159,6,0)),0%,VLOOKUP(A30,'Données projet'!$A$139:$I$159,6,0)*VLOOKUP('Données projet'!$B$13,Paramètres!$A$1:$I$88,7,0))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projet'!$B$13,Paramètres!$A$1:$I$88,3,0)*0.475*44/12</f>
        <v>0</v>
      </c>
      <c r="DG30" s="23">
        <f>EXP(-LN(2)/25)*DG29+(1-EXP(-LN(2)/25))/(LN(2)/25)*Calculateur!DB30*Calculateur!DD30*VLOOKUP('Données projet'!$B$13,Paramètres!$A$1:$I$88,3,0)*0.475*44/12</f>
        <v>0</v>
      </c>
      <c r="DH30" s="23">
        <f>EXP(-LN(2)/2)*DH29+(1-EXP(-LN(2)/2))/(LN(2)/2)*DB30*DE30*VLOOKUP('Données projet'!$B$13,Paramètres!$A$1:$I$88,3,0)*0.475*44/12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4.8</v>
      </c>
      <c r="DO30" s="13">
        <f>IF('Données projet'!$A$166&gt;35,DO29+DN30-DW29,IF(A30&lt;'Données projet'!$A$166,$DL$205^A30,IF(A30='Données projet'!$A$166,'Données projet'!$B$166,DO29+DN30-DW29)))</f>
        <v>39.599999999999994</v>
      </c>
      <c r="DP30" s="18">
        <f>DO30*VLOOKUP('Données projet'!$B$14,Paramètres!$A$1:$I$88,3,0)*VLOOKUP('Données projet'!$B$14,Paramètres!$A$1:$I$88,5,0)</f>
        <v>38.301119999999997</v>
      </c>
      <c r="DQ30" s="14">
        <f t="shared" si="43"/>
        <v>11.547227522927502</v>
      </c>
      <c r="DR30" s="22">
        <f t="shared" si="16"/>
        <v>86.819205269098731</v>
      </c>
      <c r="DS30" s="62">
        <f t="shared" si="17"/>
        <v>319.33704814166225</v>
      </c>
      <c r="DT30" s="62">
        <f ca="1">AVERAGE(OFFSET($DS$3,0,0,'Données projet'!$E$14+1,1))-AVERAGE(OFFSET($H$3,0,0,'Données projet'!$E$14+1,1))</f>
        <v>290.89727102147953</v>
      </c>
      <c r="DU30" s="62">
        <f t="shared" si="44"/>
        <v>173.19148969173838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projet'!$B$14,Paramètres!$A$1:$I$88,3,0)*0.475*44/12</f>
        <v>0</v>
      </c>
      <c r="EB30" s="23">
        <f>EXP(-LN(2)/25)*EB29+(1-EXP(-LN(2)/25))/(LN(2)/25)*Calculateur!DW30*Calculateur!DY30*VLOOKUP('Données projet'!$B$14,Paramètres!$A$1:$I$88,3,0)*0.475*44/12</f>
        <v>0</v>
      </c>
      <c r="EC30" s="23">
        <f>EXP(-LN(2)/2)*EC29+(1-EXP(-LN(2)/2))/(LN(2)/2)*DW30*DZ30*VLOOKUP('Données projet'!$B$14,Paramètres!$A$1:$I$88,3,0)*0.475*44/12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projet'!$B$15,Paramètres!$A$1:$I$88,3,0)*VLOOKUP('Données projet'!$B$15,Paramètres!$A$1:$I$88,5,0)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projet'!$B$15,Paramètres!$A$1:$I$88,3,0)*0.475*44/12</f>
        <v>#N/A</v>
      </c>
      <c r="EW30" s="23" t="e">
        <f>EXP(-LN(2)/25)*EW29+(1-EXP(-LN(2)/25))/(LN(2)/25)*Calculateur!ER30*Calculateur!ET30*VLOOKUP('Données projet'!$B$15,Paramètres!$A$1:$I$88,3,0)*0.475*44/12</f>
        <v>#N/A</v>
      </c>
      <c r="EX30" s="23" t="e">
        <f>EXP(-LN(2)/2)*EX29+(1-EXP(-LN(2)/2))/(LN(2)/2)*ER30*EU30*VLOOKUP('Données projet'!$B$15,Paramètres!$A$1:$I$88,3,0)*0.475*44/12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projet'!$B$16,Paramètres!$A$1:$I$88,3,0)*VLOOKUP('Données projet'!$B$16,Paramètres!$A$1:$I$88,5,0)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projet'!$B$16,Paramètres!$A$1:$I$88,3,0)*0.475*44/12</f>
        <v>#N/A</v>
      </c>
      <c r="FR30" s="23" t="e">
        <f>EXP(-LN(2)/25)*FR29+(1-EXP(-LN(2)/25))/(LN(2)/25)*Calculateur!FM30*Calculateur!FO30*VLOOKUP('Données projet'!$B$16,Paramètres!$A$1:$I$88,3,0)*0.475*44/12</f>
        <v>#N/A</v>
      </c>
      <c r="FS30" s="23" t="e">
        <f>EXP(-LN(2)/2)*FS29+(1-EXP(-LN(2)/2))/(LN(2)/2)*FM30*FP30*VLOOKUP('Données projet'!$B$16,Paramètres!$A$1:$I$88,3,0)*0.475*44/12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projet'!$B$17,Paramètres!$A$1:$I$88,3,0)*VLOOKUP('Données projet'!$B$17,Paramètres!$A$1:$I$88,5,0)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projet'!$B$17,Paramètres!$A$1:$I$88,3,0)*0.475*44/12</f>
        <v>#N/A</v>
      </c>
      <c r="GM30" s="23" t="e">
        <f>EXP(-LN(2)/25)*GM29+(1-EXP(-LN(2)/25))/(LN(2)/25)*Calculateur!GH30*Calculateur!GJ30*VLOOKUP('Données projet'!$B$17,Paramètres!$A$1:$I$88,3,0)*0.475*44/12</f>
        <v>#N/A</v>
      </c>
      <c r="GN30" s="23" t="e">
        <f>EXP(-LN(2)/2)*GN29+(1-EXP(-LN(2)/2))/(LN(2)/2)*GH30*GK30*VLOOKUP('Données projet'!$B$17,Paramètres!$A$1:$I$88,3,0)*0.475*44/12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projet'!$B$18,Paramètres!$A$1:$I$88,3,0)*VLOOKUP('Données projet'!$B$18,Paramètres!$A$1:$I$88,5,0)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projet'!$B$18,Paramètres!$A$1:$I$88,3,0)*0.475*44/12</f>
        <v>#N/A</v>
      </c>
      <c r="HH30" s="23" t="e">
        <f>EXP(-LN(2)/25)*HH29+(1-EXP(-LN(2)/25))/(LN(2)/25)*Calculateur!HC30*Calculateur!HE30*VLOOKUP('Données projet'!$B$18,Paramètres!$A$1:$I$88,3,0)*0.475*44/12</f>
        <v>#N/A</v>
      </c>
      <c r="HI30" s="23" t="e">
        <f>EXP(-LN(2)/2)*HI29+(1-EXP(-LN(2)/2))/(LN(2)/2)*HC30*HF30*VLOOKUP('Données projet'!$B$18,Paramètres!$A$1:$I$88,3,0)*0.475*44/12</f>
        <v>#N/A</v>
      </c>
      <c r="HJ30" s="24" t="e">
        <f t="shared" si="30"/>
        <v>#N/A</v>
      </c>
    </row>
    <row r="31" spans="1:218" s="5" customFormat="1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21.6</v>
      </c>
      <c r="N31" s="14">
        <f>IF('Données projet'!$A$36&gt;35,N30+M31-V30,IF(A31&lt;'Données projet'!$A$36,$K$205^A31,IF(A31='Données projet'!$A$36,'Données projet'!$B$36,N30+M31-V30)))</f>
        <v>233.79999999999995</v>
      </c>
      <c r="O31" s="14">
        <f>N31*VLOOKUP('Données projet'!$B$9,Paramètres!$A$1:$I$88,3,0)*VLOOKUP('Données projet'!$B$9,Paramètres!$A$1:$I$88,5,0)</f>
        <v>139.8124</v>
      </c>
      <c r="P31" s="14">
        <f t="shared" si="33"/>
        <v>36.254025616047976</v>
      </c>
      <c r="Q31" s="22">
        <f t="shared" si="2"/>
        <v>306.64902461461685</v>
      </c>
      <c r="R31" s="62">
        <f t="shared" si="0"/>
        <v>541.38049403660091</v>
      </c>
      <c r="S31" s="62">
        <f ca="1">AVERAGE(OFFSET($R$3,0,0,'Données projet'!$E$9+1,1))-AVERAGE(OFFSET($H$3,0,0,'Données projet'!$E$9+1,1))</f>
        <v>301.2688576786212</v>
      </c>
      <c r="T31" s="62">
        <f t="shared" si="34"/>
        <v>417.62172165132927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projet'!$B$9,Paramètres!$A$1:$I$88,7,0))</f>
        <v>0</v>
      </c>
      <c r="X31" s="17">
        <f>IF(ISNA(VLOOKUP(A31,'Données projet'!$A$35:$I$55,6,0)),0%,VLOOKUP(A31,'Données projet'!$A$35:$I$55,6,0)*VLOOKUP('Données projet'!$B$9,Paramètres!$A$1:$I$88,7,0))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0</v>
      </c>
      <c r="AA31" s="23">
        <f>EXP(-LN(2)/25)*AA30+(1-EXP(-LN(2)/25))/(LN(2)/25)*Calculateur!V31*Calculateur!X31*VLOOKUP('Données projet'!$B$9,Paramètres!$A$1:$I$88,3,0)*0.475*44/12</f>
        <v>19.748787108912872</v>
      </c>
      <c r="AB31" s="23">
        <f>EXP(-LN(2)/2)*AB30+(1-EXP(-LN(2)/2))/(LN(2)/2)*V31*Y31*VLOOKUP('Données projet'!$B$9,Paramètres!$A$1:$I$88,3,0)*0.475*44/12</f>
        <v>6.9542371048887865</v>
      </c>
      <c r="AC31" s="24">
        <f t="shared" si="3"/>
        <v>26.703024213801658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12</v>
      </c>
      <c r="AI31" s="14">
        <f>IF('Données projet'!$A$62&gt;35,AI30+AH31-AQ30,IF(A31&lt;'Données projet'!$A$62,$AF$205^A31,IF(A31='Données projet'!$A$62,'Données projet'!$B$62,AI30+AH31-AQ30)))</f>
        <v>166</v>
      </c>
      <c r="AJ31" s="14">
        <f>AI31*VLOOKUP('Données projet'!$B$10,Paramètres!$A$1:$I$88,3,0)*VLOOKUP('Données projet'!$B$10,Paramètres!$A$1:$I$88,5,0)</f>
        <v>77.688000000000002</v>
      </c>
      <c r="AK31" s="14">
        <f t="shared" si="35"/>
        <v>21.570926907728207</v>
      </c>
      <c r="AL31" s="22">
        <f t="shared" si="4"/>
        <v>172.87596436429328</v>
      </c>
      <c r="AM31" s="62">
        <f t="shared" si="5"/>
        <v>407.6074337862774</v>
      </c>
      <c r="AN31" s="62">
        <f ca="1">AVERAGE(OFFSET($AM$3,0,0,'Données projet'!$E$10+1,1))-AVERAGE(OFFSET($H$3,0,0,'Données projet'!$E$10+1,1))</f>
        <v>170.08673939431091</v>
      </c>
      <c r="AO31" s="62">
        <f t="shared" si="36"/>
        <v>252.97355497077106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projet'!$B$10,Paramètres!$A$1:$I$88,3,0)*0.475*44/12</f>
        <v>0</v>
      </c>
      <c r="AV31" s="23">
        <f>EXP(-LN(2)/25)*AV30+(1-EXP(-LN(2)/25))/(LN(2)/25)*Calculateur!AQ31*Calculateur!AS31*VLOOKUP('Données projet'!$B$10,Paramètres!$A$1:$I$88,3,0)*0.475*44/12</f>
        <v>9.1544702918571303</v>
      </c>
      <c r="AW31" s="23">
        <f>EXP(-LN(2)/2)*AW30+(1-EXP(-LN(2)/2))/(LN(2)/2)*AQ31*AT31*VLOOKUP('Données projet'!$B$10,Paramètres!$A$1:$I$88,3,0)*0.475*44/12</f>
        <v>0.87430978014993721</v>
      </c>
      <c r="AX31" s="23">
        <f t="shared" si="6"/>
        <v>10.028780072007068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</v>
      </c>
      <c r="BD31" s="13">
        <f>IF('Données projet'!$A$88&gt;35,BD30+BC31-BL30,IF(A31&lt;'Données projet'!$A$88,$BA$205^A31,IF(A31='Données projet'!$A$88,'Données projet'!$B$88,BD30+BC31-BL30)))</f>
        <v>83</v>
      </c>
      <c r="BE31" s="14">
        <f>BD31*VLOOKUP('Données projet'!$B$11,Paramètres!$A$1:$I$88,3,0)*VLOOKUP('Données projet'!$B$11,Paramètres!$A$1:$I$88,5,0)</f>
        <v>75.098399999999998</v>
      </c>
      <c r="BF31" s="14">
        <f t="shared" si="37"/>
        <v>20.934343091450742</v>
      </c>
      <c r="BG31" s="22">
        <f t="shared" si="7"/>
        <v>167.25702755094335</v>
      </c>
      <c r="BH31" s="62">
        <f t="shared" si="8"/>
        <v>401.98849697292746</v>
      </c>
      <c r="BI31" s="62">
        <f ca="1">AVERAGE(OFFSET($BH$3,0,0,'Données projet'!$E$11+1,1))-AVERAGE(OFFSET($H$3,0,0,'Données projet'!$E$11+1,1))</f>
        <v>362.63718589694594</v>
      </c>
      <c r="BJ31" s="62">
        <f t="shared" si="38"/>
        <v>250.47702091764884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projet'!$B$11,Paramètres!$A$1:$I$88,7,0))</f>
        <v>0</v>
      </c>
      <c r="BN31" s="17">
        <f>IF(ISNA(VLOOKUP(A31,'Données projet'!$A$87:$I$107,6,0)),0%,VLOOKUP(A31,'Données projet'!$A$87:$I$107,6,0)*VLOOKUP('Données projet'!$B$11,Paramètres!$A$1:$I$88,7,0))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projet'!$B$11,Paramètres!$A$1:$I$88,3,0)*0.475*44/12</f>
        <v>0</v>
      </c>
      <c r="BQ31" s="23">
        <f>EXP(-LN(2)/25)*BQ30+(1-EXP(-LN(2)/25))/(LN(2)/25)*Calculateur!BL31*Calculateur!BN31*VLOOKUP('Données projet'!$B$11,Paramètres!$A$1:$I$88,3,0)*0.475*44/12</f>
        <v>0</v>
      </c>
      <c r="BR31" s="23">
        <f>EXP(-LN(2)/2)*BR30+(1-EXP(-LN(2)/2))/(LN(2)/2)*BL31*BO31*VLOOKUP('Données projet'!$B$11,Paramètres!$A$1:$I$88,3,0)*0.475*44/12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7</v>
      </c>
      <c r="BY31" s="13">
        <f>IF('Données projet'!$A$114&gt;35,BY30+BX31-CG30,IF(A31&lt;'Données projet'!$A$114,$BV$205^A31,IF(A31='Données projet'!$A$114,'Données projet'!$B$114,BY30+BX31-CG30)))</f>
        <v>83</v>
      </c>
      <c r="BZ31" s="14">
        <f>BY31*VLOOKUP('Données projet'!$B$12,Paramètres!$A$1:$I$88,3,0)*VLOOKUP('Données projet'!$B$12,Paramètres!$A$1:$I$88,5,0)</f>
        <v>84.162000000000006</v>
      </c>
      <c r="CA31" s="14">
        <f t="shared" si="39"/>
        <v>23.151791590506594</v>
      </c>
      <c r="CB31" s="22">
        <f t="shared" si="10"/>
        <v>186.90485368679899</v>
      </c>
      <c r="CC31" s="62">
        <f t="shared" si="11"/>
        <v>421.63632310878307</v>
      </c>
      <c r="CD31" s="62">
        <f ca="1">AVERAGE(OFFSET($CC$3,0,0,'Données projet'!$E$12+1,1))-AVERAGE(OFFSET($H$3,0,0,'Données projet'!$E$12+1,1))</f>
        <v>398.14524781940196</v>
      </c>
      <c r="CE31" s="62">
        <f t="shared" si="40"/>
        <v>273.35778700650792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projet'!$B$12,Paramètres!$A$1:$I$88,7,0))</f>
        <v>0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projet'!$B$12,Paramètres!$A$1:$I$88,3,0)*0.475*44/12</f>
        <v>0</v>
      </c>
      <c r="CL31" s="23">
        <f>EXP(-LN(2)/25)*CL30+(1-EXP(-LN(2)/25))/(LN(2)/25)*Calculateur!CG31*Calculateur!CI31*VLOOKUP('Données projet'!$B$12,Paramètres!$A$1:$I$88,3,0)*0.475*44/12</f>
        <v>0</v>
      </c>
      <c r="CM31" s="23">
        <f>EXP(-LN(2)/2)*CM30+(1-EXP(-LN(2)/2))/(LN(2)/2)*CG31*CJ31*VLOOKUP('Données projet'!$B$12,Paramètres!$A$1:$I$88,3,0)*0.475*44/12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9.6</v>
      </c>
      <c r="CT31" s="13">
        <f>IF('Données projet'!$A$140&gt;35,CT30+CS31-DB30,IF(A31&lt;'Données projet'!$A$140,$CQ$205^A31,IF(A31='Données projet'!$A$140,'Données projet'!$B$140,CT30+CS31-DB30)))</f>
        <v>96.799999999999969</v>
      </c>
      <c r="CU31" s="18">
        <f>CT31*VLOOKUP('Données projet'!$B$13,Paramètres!$A$1:$I$88,3,0)*VLOOKUP('Données projet'!$B$13,Paramètres!$A$1:$I$88,5,0)</f>
        <v>92.114879999999971</v>
      </c>
      <c r="CV31" s="14">
        <f t="shared" si="41"/>
        <v>25.074591582004967</v>
      </c>
      <c r="CW31" s="22">
        <f t="shared" si="13"/>
        <v>204.10499633865859</v>
      </c>
      <c r="CX31" s="62">
        <f t="shared" si="14"/>
        <v>438.83646576064268</v>
      </c>
      <c r="CY31" s="62">
        <f ca="1">AVERAGE(OFFSET($CX$3,0,0,'Données projet'!$E$13+1,1))-AVERAGE(OFFSET($H$3,0,0,'Données projet'!$E$13+1,1))</f>
        <v>470.0521927195926</v>
      </c>
      <c r="CZ31" s="62">
        <f t="shared" si="42"/>
        <v>299.27200854723435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projet'!$B$13,Paramètres!$A$1:$I$88,7,0))</f>
        <v>0</v>
      </c>
      <c r="DD31" s="17">
        <f>IF(ISNA(VLOOKUP(A31,'Données projet'!$A$139:$I$159,6,0)),0%,VLOOKUP(A31,'Données projet'!$A$139:$I$159,6,0)*VLOOKUP('Données projet'!$B$13,Paramètres!$A$1:$I$88,7,0))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projet'!$B$13,Paramètres!$A$1:$I$88,3,0)*0.475*44/12</f>
        <v>0</v>
      </c>
      <c r="DG31" s="23">
        <f>EXP(-LN(2)/25)*DG30+(1-EXP(-LN(2)/25))/(LN(2)/25)*Calculateur!DB31*Calculateur!DD31*VLOOKUP('Données projet'!$B$13,Paramètres!$A$1:$I$88,3,0)*0.475*44/12</f>
        <v>0</v>
      </c>
      <c r="DH31" s="23">
        <f>EXP(-LN(2)/2)*DH30+(1-EXP(-LN(2)/2))/(LN(2)/2)*DB31*DE31*VLOOKUP('Données projet'!$B$13,Paramètres!$A$1:$I$88,3,0)*0.475*44/12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4.8</v>
      </c>
      <c r="DO31" s="13">
        <f>IF('Données projet'!$A$166&gt;35,DO30+DN31-DW30,IF(A31&lt;'Données projet'!$A$166,$DL$205^A31,IF(A31='Données projet'!$A$166,'Données projet'!$B$166,DO30+DN31-DW30)))</f>
        <v>44.399999999999991</v>
      </c>
      <c r="DP31" s="18">
        <f>DO31*VLOOKUP('Données projet'!$B$14,Paramètres!$A$1:$I$88,3,0)*VLOOKUP('Données projet'!$B$14,Paramètres!$A$1:$I$88,5,0)</f>
        <v>42.943679999999993</v>
      </c>
      <c r="DQ31" s="14">
        <f t="shared" si="43"/>
        <v>12.775615987781539</v>
      </c>
      <c r="DR31" s="22">
        <f t="shared" si="16"/>
        <v>97.044440512052844</v>
      </c>
      <c r="DS31" s="62">
        <f t="shared" si="17"/>
        <v>331.77590993403692</v>
      </c>
      <c r="DT31" s="62">
        <f ca="1">AVERAGE(OFFSET($DS$3,0,0,'Données projet'!$E$14+1,1))-AVERAGE(OFFSET($H$3,0,0,'Données projet'!$E$14+1,1))</f>
        <v>290.89727102147953</v>
      </c>
      <c r="DU31" s="62">
        <f t="shared" si="44"/>
        <v>173.19148969173838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projet'!$B$14,Paramètres!$A$1:$I$88,7,0))</f>
        <v>0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projet'!$B$14,Paramètres!$A$1:$I$88,3,0)*0.475*44/12</f>
        <v>0</v>
      </c>
      <c r="EB31" s="23">
        <f>EXP(-LN(2)/25)*EB30+(1-EXP(-LN(2)/25))/(LN(2)/25)*Calculateur!DW31*Calculateur!DY31*VLOOKUP('Données projet'!$B$14,Paramètres!$A$1:$I$88,3,0)*0.475*44/12</f>
        <v>0</v>
      </c>
      <c r="EC31" s="23">
        <f>EXP(-LN(2)/2)*EC30+(1-EXP(-LN(2)/2))/(LN(2)/2)*DW31*DZ31*VLOOKUP('Données projet'!$B$14,Paramètres!$A$1:$I$88,3,0)*0.475*44/12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projet'!$B$15,Paramètres!$A$1:$I$88,3,0)*VLOOKUP('Données projet'!$B$15,Paramètres!$A$1:$I$88,5,0)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projet'!$B$15,Paramètres!$A$1:$I$88,3,0)*0.475*44/12</f>
        <v>#N/A</v>
      </c>
      <c r="EW31" s="23" t="e">
        <f>EXP(-LN(2)/25)*EW30+(1-EXP(-LN(2)/25))/(LN(2)/25)*Calculateur!ER31*Calculateur!ET31*VLOOKUP('Données projet'!$B$15,Paramètres!$A$1:$I$88,3,0)*0.475*44/12</f>
        <v>#N/A</v>
      </c>
      <c r="EX31" s="23" t="e">
        <f>EXP(-LN(2)/2)*EX30+(1-EXP(-LN(2)/2))/(LN(2)/2)*ER31*EU31*VLOOKUP('Données projet'!$B$15,Paramètres!$A$1:$I$88,3,0)*0.475*44/12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projet'!$B$16,Paramètres!$A$1:$I$88,3,0)*VLOOKUP('Données projet'!$B$16,Paramètres!$A$1:$I$88,5,0)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projet'!$B$16,Paramètres!$A$1:$I$88,3,0)*0.475*44/12</f>
        <v>#N/A</v>
      </c>
      <c r="FR31" s="23" t="e">
        <f>EXP(-LN(2)/25)*FR30+(1-EXP(-LN(2)/25))/(LN(2)/25)*Calculateur!FM31*Calculateur!FO31*VLOOKUP('Données projet'!$B$16,Paramètres!$A$1:$I$88,3,0)*0.475*44/12</f>
        <v>#N/A</v>
      </c>
      <c r="FS31" s="23" t="e">
        <f>EXP(-LN(2)/2)*FS30+(1-EXP(-LN(2)/2))/(LN(2)/2)*FM31*FP31*VLOOKUP('Données projet'!$B$16,Paramètres!$A$1:$I$88,3,0)*0.475*44/12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projet'!$B$17,Paramètres!$A$1:$I$88,3,0)*VLOOKUP('Données projet'!$B$17,Paramètres!$A$1:$I$88,5,0)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projet'!$B$17,Paramètres!$A$1:$I$88,3,0)*0.475*44/12</f>
        <v>#N/A</v>
      </c>
      <c r="GM31" s="23" t="e">
        <f>EXP(-LN(2)/25)*GM30+(1-EXP(-LN(2)/25))/(LN(2)/25)*Calculateur!GH31*Calculateur!GJ31*VLOOKUP('Données projet'!$B$17,Paramètres!$A$1:$I$88,3,0)*0.475*44/12</f>
        <v>#N/A</v>
      </c>
      <c r="GN31" s="23" t="e">
        <f>EXP(-LN(2)/2)*GN30+(1-EXP(-LN(2)/2))/(LN(2)/2)*GH31*GK31*VLOOKUP('Données projet'!$B$17,Paramètres!$A$1:$I$88,3,0)*0.475*44/12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projet'!$B$18,Paramètres!$A$1:$I$88,3,0)*VLOOKUP('Données projet'!$B$18,Paramètres!$A$1:$I$88,5,0)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projet'!$B$18,Paramètres!$A$1:$I$88,3,0)*0.475*44/12</f>
        <v>#N/A</v>
      </c>
      <c r="HH31" s="23" t="e">
        <f>EXP(-LN(2)/25)*HH30+(1-EXP(-LN(2)/25))/(LN(2)/25)*Calculateur!HC31*Calculateur!HE31*VLOOKUP('Données projet'!$B$18,Paramètres!$A$1:$I$88,3,0)*0.475*44/12</f>
        <v>#N/A</v>
      </c>
      <c r="HI31" s="23" t="e">
        <f>EXP(-LN(2)/2)*HI30+(1-EXP(-LN(2)/2))/(LN(2)/2)*HC31*HF31*VLOOKUP('Données projet'!$B$18,Paramètres!$A$1:$I$88,3,0)*0.475*44/12</f>
        <v>#N/A</v>
      </c>
      <c r="HJ31" s="24" t="e">
        <f t="shared" si="30"/>
        <v>#N/A</v>
      </c>
    </row>
    <row r="32" spans="1:218" s="5" customFormat="1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21.6</v>
      </c>
      <c r="N32" s="14">
        <f>IF('Données projet'!$A$36&gt;35,N31+M32-V31,IF(A32&lt;'Données projet'!$A$36,$K$205^A32,IF(A32='Données projet'!$A$36,'Données projet'!$B$36,N31+M32-V31)))</f>
        <v>255.39999999999995</v>
      </c>
      <c r="O32" s="14">
        <f>N32*VLOOKUP('Données projet'!$B$9,Paramètres!$A$1:$I$88,3,0)*VLOOKUP('Données projet'!$B$9,Paramètres!$A$1:$I$88,5,0)</f>
        <v>152.72919999999999</v>
      </c>
      <c r="P32" s="14">
        <f t="shared" si="33"/>
        <v>39.198153748932519</v>
      </c>
      <c r="Q32" s="22">
        <f t="shared" si="2"/>
        <v>334.27347444605743</v>
      </c>
      <c r="R32" s="62">
        <f t="shared" si="0"/>
        <v>571.20137176883327</v>
      </c>
      <c r="S32" s="62">
        <f ca="1">AVERAGE(OFFSET($R$3,0,0,'Données projet'!$E$9+1,1))-AVERAGE(OFFSET($H$3,0,0,'Données projet'!$E$9+1,1))</f>
        <v>301.2688576786212</v>
      </c>
      <c r="T32" s="62">
        <f t="shared" si="34"/>
        <v>417.62172165132927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0</v>
      </c>
      <c r="AA32" s="23">
        <f>EXP(-LN(2)/25)*AA31+(1-EXP(-LN(2)/25))/(LN(2)/25)*Calculateur!V32*Calculateur!X32*VLOOKUP('Données projet'!$B$9,Paramètres!$A$1:$I$88,3,0)*0.475*44/12</f>
        <v>19.208755486876072</v>
      </c>
      <c r="AB32" s="23">
        <f>EXP(-LN(2)/2)*AB31+(1-EXP(-LN(2)/2))/(LN(2)/2)*V32*Y32*VLOOKUP('Données projet'!$B$9,Paramètres!$A$1:$I$88,3,0)*0.475*44/12</f>
        <v>4.9173882148459649</v>
      </c>
      <c r="AC32" s="24">
        <f t="shared" si="3"/>
        <v>24.126143701722036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12</v>
      </c>
      <c r="AI32" s="14">
        <f>IF('Données projet'!$A$62&gt;35,AI31+AH32-AQ31,IF(A32&lt;'Données projet'!$A$62,$AF$205^A32,IF(A32='Données projet'!$A$62,'Données projet'!$B$62,AI31+AH32-AQ31)))</f>
        <v>178</v>
      </c>
      <c r="AJ32" s="14">
        <f>AI32*VLOOKUP('Données projet'!$B$10,Paramètres!$A$1:$I$88,3,0)*VLOOKUP('Données projet'!$B$10,Paramètres!$A$1:$I$88,5,0)</f>
        <v>83.304000000000002</v>
      </c>
      <c r="AK32" s="14">
        <f t="shared" si="35"/>
        <v>22.943116727725609</v>
      </c>
      <c r="AL32" s="22">
        <f t="shared" si="4"/>
        <v>185.04706163412209</v>
      </c>
      <c r="AM32" s="62">
        <f t="shared" si="5"/>
        <v>421.97495895689792</v>
      </c>
      <c r="AN32" s="62">
        <f ca="1">AVERAGE(OFFSET($AM$3,0,0,'Données projet'!$E$10+1,1))-AVERAGE(OFFSET($H$3,0,0,'Données projet'!$E$10+1,1))</f>
        <v>170.08673939431091</v>
      </c>
      <c r="AO32" s="62">
        <f t="shared" si="36"/>
        <v>252.97355497077106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projet'!$B$10,Paramètres!$A$1:$I$88,3,0)*0.475*44/12</f>
        <v>0</v>
      </c>
      <c r="AV32" s="23">
        <f>EXP(-LN(2)/25)*AV31+(1-EXP(-LN(2)/25))/(LN(2)/25)*Calculateur!AQ32*Calculateur!AS32*VLOOKUP('Données projet'!$B$10,Paramètres!$A$1:$I$88,3,0)*0.475*44/12</f>
        <v>8.9041408203136267</v>
      </c>
      <c r="AW32" s="23">
        <f>EXP(-LN(2)/2)*AW31+(1-EXP(-LN(2)/2))/(LN(2)/2)*AQ32*AT32*VLOOKUP('Données projet'!$B$10,Paramètres!$A$1:$I$88,3,0)*0.475*44/12</f>
        <v>0.61823037440174011</v>
      </c>
      <c r="AX32" s="23">
        <f t="shared" si="6"/>
        <v>9.5223711947153671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</v>
      </c>
      <c r="BD32" s="13">
        <f>IF('Données projet'!$A$88&gt;35,BD31+BC32-BL31,IF(A32&lt;'Données projet'!$A$88,$BA$205^A32,IF(A32='Données projet'!$A$88,'Données projet'!$B$88,BD31+BC32-BL31)))</f>
        <v>90</v>
      </c>
      <c r="BE32" s="14">
        <f>BD32*VLOOKUP('Données projet'!$B$11,Paramètres!$A$1:$I$88,3,0)*VLOOKUP('Données projet'!$B$11,Paramètres!$A$1:$I$88,5,0)</f>
        <v>81.432000000000002</v>
      </c>
      <c r="BF32" s="14">
        <f t="shared" si="37"/>
        <v>22.486953220240881</v>
      </c>
      <c r="BG32" s="22">
        <f t="shared" si="7"/>
        <v>180.99217685858619</v>
      </c>
      <c r="BH32" s="62">
        <f t="shared" si="8"/>
        <v>417.920074181362</v>
      </c>
      <c r="BI32" s="62">
        <f ca="1">AVERAGE(OFFSET($BH$3,0,0,'Données projet'!$E$11+1,1))-AVERAGE(OFFSET($H$3,0,0,'Données projet'!$E$11+1,1))</f>
        <v>362.63718589694594</v>
      </c>
      <c r="BJ32" s="62">
        <f t="shared" si="38"/>
        <v>250.47702091764884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projet'!$B$11,Paramètres!$A$1:$I$88,3,0)*0.475*44/12</f>
        <v>0</v>
      </c>
      <c r="BQ32" s="23">
        <f>EXP(-LN(2)/25)*BQ31+(1-EXP(-LN(2)/25))/(LN(2)/25)*Calculateur!BL32*Calculateur!BN32*VLOOKUP('Données projet'!$B$11,Paramètres!$A$1:$I$88,3,0)*0.475*44/12</f>
        <v>0</v>
      </c>
      <c r="BR32" s="23">
        <f>EXP(-LN(2)/2)*BR31+(1-EXP(-LN(2)/2))/(LN(2)/2)*BL32*BO32*VLOOKUP('Données projet'!$B$11,Paramètres!$A$1:$I$88,3,0)*0.475*44/12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7</v>
      </c>
      <c r="BY32" s="13">
        <f>IF('Données projet'!$A$114&gt;35,BY31+BX32-CG31,IF(A32&lt;'Données projet'!$A$114,$BV$205^A32,IF(A32='Données projet'!$A$114,'Données projet'!$B$114,BY31+BX32-CG31)))</f>
        <v>90</v>
      </c>
      <c r="BZ32" s="14">
        <f>BY32*VLOOKUP('Données projet'!$B$12,Paramètres!$A$1:$I$88,3,0)*VLOOKUP('Données projet'!$B$12,Paramètres!$A$1:$I$88,5,0)</f>
        <v>91.26</v>
      </c>
      <c r="CA32" s="14">
        <f t="shared" si="39"/>
        <v>24.868860330902777</v>
      </c>
      <c r="CB32" s="22">
        <f t="shared" si="10"/>
        <v>202.25776507632233</v>
      </c>
      <c r="CC32" s="62">
        <f t="shared" si="11"/>
        <v>439.18566239909819</v>
      </c>
      <c r="CD32" s="62">
        <f ca="1">AVERAGE(OFFSET($CC$3,0,0,'Données projet'!$E$12+1,1))-AVERAGE(OFFSET($H$3,0,0,'Données projet'!$E$12+1,1))</f>
        <v>398.14524781940196</v>
      </c>
      <c r="CE32" s="62">
        <f t="shared" si="40"/>
        <v>273.35778700650792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projet'!$B$12,Paramètres!$A$1:$I$88,3,0)*0.475*44/12</f>
        <v>0</v>
      </c>
      <c r="CL32" s="23">
        <f>EXP(-LN(2)/25)*CL31+(1-EXP(-LN(2)/25))/(LN(2)/25)*Calculateur!CG32*Calculateur!CI32*VLOOKUP('Données projet'!$B$12,Paramètres!$A$1:$I$88,3,0)*0.475*44/12</f>
        <v>0</v>
      </c>
      <c r="CM32" s="23">
        <f>EXP(-LN(2)/2)*CM31+(1-EXP(-LN(2)/2))/(LN(2)/2)*CG32*CJ32*VLOOKUP('Données projet'!$B$12,Paramètres!$A$1:$I$88,3,0)*0.475*44/12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9.6</v>
      </c>
      <c r="CT32" s="13">
        <f>IF('Données projet'!$A$140&gt;35,CT31+CS32-DB31,IF(A32&lt;'Données projet'!$A$140,$CQ$205^A32,IF(A32='Données projet'!$A$140,'Données projet'!$B$140,CT31+CS32-DB31)))</f>
        <v>106.39999999999996</v>
      </c>
      <c r="CU32" s="18">
        <f>CT32*VLOOKUP('Données projet'!$B$13,Paramètres!$A$1:$I$88,3,0)*VLOOKUP('Données projet'!$B$13,Paramètres!$A$1:$I$88,5,0)</f>
        <v>101.25023999999998</v>
      </c>
      <c r="CV32" s="14">
        <f t="shared" si="41"/>
        <v>27.25963426043629</v>
      </c>
      <c r="CW32" s="22">
        <f t="shared" si="13"/>
        <v>223.82136433692651</v>
      </c>
      <c r="CX32" s="62">
        <f t="shared" si="14"/>
        <v>460.74926165970237</v>
      </c>
      <c r="CY32" s="62">
        <f ca="1">AVERAGE(OFFSET($CX$3,0,0,'Données projet'!$E$13+1,1))-AVERAGE(OFFSET($H$3,0,0,'Données projet'!$E$13+1,1))</f>
        <v>470.0521927195926</v>
      </c>
      <c r="CZ32" s="62">
        <f t="shared" si="42"/>
        <v>299.27200854723435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projet'!$B$13,Paramètres!$A$1:$I$88,3,0)*0.475*44/12</f>
        <v>0</v>
      </c>
      <c r="DG32" s="23">
        <f>EXP(-LN(2)/25)*DG31+(1-EXP(-LN(2)/25))/(LN(2)/25)*Calculateur!DB32*Calculateur!DD32*VLOOKUP('Données projet'!$B$13,Paramètres!$A$1:$I$88,3,0)*0.475*44/12</f>
        <v>0</v>
      </c>
      <c r="DH32" s="23">
        <f>EXP(-LN(2)/2)*DH31+(1-EXP(-LN(2)/2))/(LN(2)/2)*DB32*DE32*VLOOKUP('Données projet'!$B$13,Paramètres!$A$1:$I$88,3,0)*0.475*44/12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4.8</v>
      </c>
      <c r="DO32" s="13">
        <f>IF('Données projet'!$A$166&gt;35,DO31+DN32-DW31,IF(A32&lt;'Données projet'!$A$166,$DL$205^A32,IF(A32='Données projet'!$A$166,'Données projet'!$B$166,DO31+DN32-DW31)))</f>
        <v>49.199999999999989</v>
      </c>
      <c r="DP32" s="18">
        <f>DO32*VLOOKUP('Données projet'!$B$14,Paramètres!$A$1:$I$88,3,0)*VLOOKUP('Données projet'!$B$14,Paramètres!$A$1:$I$88,5,0)</f>
        <v>47.586239999999989</v>
      </c>
      <c r="DQ32" s="14">
        <f t="shared" si="43"/>
        <v>13.98861191110446</v>
      </c>
      <c r="DR32" s="22">
        <f t="shared" si="16"/>
        <v>107.2428670785069</v>
      </c>
      <c r="DS32" s="62">
        <f t="shared" si="17"/>
        <v>344.17076440128272</v>
      </c>
      <c r="DT32" s="62">
        <f ca="1">AVERAGE(OFFSET($DS$3,0,0,'Données projet'!$E$14+1,1))-AVERAGE(OFFSET($H$3,0,0,'Données projet'!$E$14+1,1))</f>
        <v>290.89727102147953</v>
      </c>
      <c r="DU32" s="62">
        <f t="shared" si="44"/>
        <v>173.19148969173838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projet'!$B$14,Paramètres!$A$1:$I$88,3,0)*0.475*44/12</f>
        <v>0</v>
      </c>
      <c r="EB32" s="23">
        <f>EXP(-LN(2)/25)*EB31+(1-EXP(-LN(2)/25))/(LN(2)/25)*Calculateur!DW32*Calculateur!DY32*VLOOKUP('Données projet'!$B$14,Paramètres!$A$1:$I$88,3,0)*0.475*44/12</f>
        <v>0</v>
      </c>
      <c r="EC32" s="23">
        <f>EXP(-LN(2)/2)*EC31+(1-EXP(-LN(2)/2))/(LN(2)/2)*DW32*DZ32*VLOOKUP('Données projet'!$B$14,Paramètres!$A$1:$I$88,3,0)*0.475*44/12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projet'!$B$15,Paramètres!$A$1:$I$88,3,0)*VLOOKUP('Données projet'!$B$15,Paramètres!$A$1:$I$88,5,0)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projet'!$B$15,Paramètres!$A$1:$I$88,3,0)*0.475*44/12</f>
        <v>#N/A</v>
      </c>
      <c r="EW32" s="23" t="e">
        <f>EXP(-LN(2)/25)*EW31+(1-EXP(-LN(2)/25))/(LN(2)/25)*Calculateur!ER32*Calculateur!ET32*VLOOKUP('Données projet'!$B$15,Paramètres!$A$1:$I$88,3,0)*0.475*44/12</f>
        <v>#N/A</v>
      </c>
      <c r="EX32" s="23" t="e">
        <f>EXP(-LN(2)/2)*EX31+(1-EXP(-LN(2)/2))/(LN(2)/2)*ER32*EU32*VLOOKUP('Données projet'!$B$15,Paramètres!$A$1:$I$88,3,0)*0.475*44/12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projet'!$B$16,Paramètres!$A$1:$I$88,3,0)*VLOOKUP('Données projet'!$B$16,Paramètres!$A$1:$I$88,5,0)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projet'!$B$16,Paramètres!$A$1:$I$88,3,0)*0.475*44/12</f>
        <v>#N/A</v>
      </c>
      <c r="FR32" s="23" t="e">
        <f>EXP(-LN(2)/25)*FR31+(1-EXP(-LN(2)/25))/(LN(2)/25)*Calculateur!FM32*Calculateur!FO32*VLOOKUP('Données projet'!$B$16,Paramètres!$A$1:$I$88,3,0)*0.475*44/12</f>
        <v>#N/A</v>
      </c>
      <c r="FS32" s="23" t="e">
        <f>EXP(-LN(2)/2)*FS31+(1-EXP(-LN(2)/2))/(LN(2)/2)*FM32*FP32*VLOOKUP('Données projet'!$B$16,Paramètres!$A$1:$I$88,3,0)*0.475*44/12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projet'!$B$17,Paramètres!$A$1:$I$88,3,0)*VLOOKUP('Données projet'!$B$17,Paramètres!$A$1:$I$88,5,0)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projet'!$B$17,Paramètres!$A$1:$I$88,3,0)*0.475*44/12</f>
        <v>#N/A</v>
      </c>
      <c r="GM32" s="23" t="e">
        <f>EXP(-LN(2)/25)*GM31+(1-EXP(-LN(2)/25))/(LN(2)/25)*Calculateur!GH32*Calculateur!GJ32*VLOOKUP('Données projet'!$B$17,Paramètres!$A$1:$I$88,3,0)*0.475*44/12</f>
        <v>#N/A</v>
      </c>
      <c r="GN32" s="23" t="e">
        <f>EXP(-LN(2)/2)*GN31+(1-EXP(-LN(2)/2))/(LN(2)/2)*GH32*GK32*VLOOKUP('Données projet'!$B$17,Paramètres!$A$1:$I$88,3,0)*0.475*44/12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projet'!$B$18,Paramètres!$A$1:$I$88,3,0)*VLOOKUP('Données projet'!$B$18,Paramètres!$A$1:$I$88,5,0)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projet'!$B$18,Paramètres!$A$1:$I$88,3,0)*0.475*44/12</f>
        <v>#N/A</v>
      </c>
      <c r="HH32" s="23" t="e">
        <f>EXP(-LN(2)/25)*HH31+(1-EXP(-LN(2)/25))/(LN(2)/25)*Calculateur!HC32*Calculateur!HE32*VLOOKUP('Données projet'!$B$18,Paramètres!$A$1:$I$88,3,0)*0.475*44/12</f>
        <v>#N/A</v>
      </c>
      <c r="HI32" s="23" t="e">
        <f>EXP(-LN(2)/2)*HI31+(1-EXP(-LN(2)/2))/(LN(2)/2)*HC32*HF32*VLOOKUP('Données projet'!$B$18,Paramètres!$A$1:$I$88,3,0)*0.475*44/12</f>
        <v>#N/A</v>
      </c>
      <c r="HJ32" s="24" t="e">
        <f t="shared" si="30"/>
        <v>#N/A</v>
      </c>
    </row>
    <row r="33" spans="1:218" s="5" customFormat="1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277</v>
      </c>
      <c r="L33" s="13">
        <f>VLOOKUP(A33,'Données projet'!$A$35:$I$55,9,0)</f>
        <v>21.6</v>
      </c>
      <c r="M33" s="13">
        <f t="array" ref="M33">INDEX(L:L,MIN(IF(ISNUMBER(L33:L229),ROW(L33:L229),"")))</f>
        <v>21.6</v>
      </c>
      <c r="N33" s="14">
        <f>IF('Données projet'!$A$36&gt;35,N32+M33-V32,IF(A33&lt;'Données projet'!$A$36,$K$205^A33,IF(A33='Données projet'!$A$36,'Données projet'!$B$36,N32+M33-V32)))</f>
        <v>276.99999999999994</v>
      </c>
      <c r="O33" s="14">
        <f>N33*VLOOKUP('Données projet'!$B$9,Paramètres!$A$1:$I$88,3,0)*VLOOKUP('Données projet'!$B$9,Paramètres!$A$1:$I$88,5,0)</f>
        <v>165.64599999999996</v>
      </c>
      <c r="P33" s="14">
        <f t="shared" si="33"/>
        <v>42.113404814327666</v>
      </c>
      <c r="Q33" s="22">
        <f t="shared" si="2"/>
        <v>361.84763005162063</v>
      </c>
      <c r="R33" s="62">
        <f t="shared" si="0"/>
        <v>600.95505498466264</v>
      </c>
      <c r="S33" s="62">
        <f ca="1">AVERAGE(OFFSET($R$3,0,0,'Données projet'!$E$9+1,1))-AVERAGE(OFFSET($H$3,0,0,'Données projet'!$E$9+1,1))</f>
        <v>301.2688576786212</v>
      </c>
      <c r="T33" s="62">
        <f t="shared" si="34"/>
        <v>417.62172165132927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56</v>
      </c>
      <c r="W33" s="17">
        <f>IF(ISNA(VLOOKUP(A33,'Données projet'!$A$35:$I$55,5,0)),0%,VLOOKUP(A33,'Données projet'!$A$35:$I$55,5,0)*VLOOKUP('Données projet'!$B$9,Paramètres!$A$1:$I$88,7,0))</f>
        <v>0</v>
      </c>
      <c r="X33" s="17">
        <f>IF(ISNA(VLOOKUP(A33,'Données projet'!$A$35:$I$55,6,0)),0%,VLOOKUP(A33,'Données projet'!$A$35:$I$55,6,0)*VLOOKUP('Données projet'!$B$9,Paramètres!$A$1:$I$88,7,0))</f>
        <v>0.25200000000000006</v>
      </c>
      <c r="Y33" s="17">
        <f>IF(ISNA(VLOOKUP(A33,'Données projet'!$A$35:$I$55,7,0)),0%,VLOOKUP(A33,'Données projet'!$A$35:$I$55,7,0))</f>
        <v>0.44</v>
      </c>
      <c r="Z33" s="23">
        <f>EXP(-LN(2)/35)*Z32+(1-EXP(-LN(2)/35))/(LN(2)/35)*V33*W33*VLOOKUP('Données projet'!$B$9,Paramètres!$A$1:$I$88,3,0)*0.475*44/12</f>
        <v>0</v>
      </c>
      <c r="AA33" s="23">
        <f>EXP(-LN(2)/25)*AA32+(1-EXP(-LN(2)/25))/(LN(2)/25)*Calculateur!V33*Calculateur!X33*VLOOKUP('Données projet'!$B$9,Paramètres!$A$1:$I$88,3,0)*0.475*44/12</f>
        <v>29.834258287144955</v>
      </c>
      <c r="AB33" s="23">
        <f>EXP(-LN(2)/2)*AB32+(1-EXP(-LN(2)/2))/(LN(2)/2)*V33*Y33*VLOOKUP('Données projet'!$B$9,Paramètres!$A$1:$I$88,3,0)*0.475*44/12</f>
        <v>20.160244431453563</v>
      </c>
      <c r="AC33" s="24">
        <f t="shared" si="3"/>
        <v>49.994502718598518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190</v>
      </c>
      <c r="AG33" s="13">
        <f>VLOOKUP(A33,'Données projet'!$A$61:$I$81,9,0)</f>
        <v>12</v>
      </c>
      <c r="AH33" s="13">
        <f t="array" ref="AH33">INDEX(AG:AG,MIN(IF(ISNUMBER(AG33:AG229),ROW(AG33:AG229),"")))</f>
        <v>12</v>
      </c>
      <c r="AI33" s="14">
        <f>IF('Données projet'!$A$62&gt;35,AI32+AH33-AQ32,IF(A33&lt;'Données projet'!$A$62,$AF$205^A33,IF(A33='Données projet'!$A$62,'Données projet'!$B$62,AI32+AH33-AQ32)))</f>
        <v>190</v>
      </c>
      <c r="AJ33" s="14">
        <f>AI33*VLOOKUP('Données projet'!$B$10,Paramètres!$A$1:$I$88,3,0)*VLOOKUP('Données projet'!$B$10,Paramètres!$A$1:$I$88,5,0)</f>
        <v>88.919999999999987</v>
      </c>
      <c r="AK33" s="14">
        <f t="shared" si="35"/>
        <v>24.30457227046648</v>
      </c>
      <c r="AL33" s="22">
        <f t="shared" si="4"/>
        <v>197.19946337106239</v>
      </c>
      <c r="AM33" s="62">
        <f t="shared" si="5"/>
        <v>436.3068883041044</v>
      </c>
      <c r="AN33" s="62">
        <f ca="1">AVERAGE(OFFSET($AM$3,0,0,'Données projet'!$E$10+1,1))-AVERAGE(OFFSET($H$3,0,0,'Données projet'!$E$10+1,1))</f>
        <v>170.08673939431091</v>
      </c>
      <c r="AO33" s="62">
        <f t="shared" si="36"/>
        <v>252.97355497077106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70</v>
      </c>
      <c r="AR33" s="17">
        <f>IF(ISNA(VLOOKUP(A33,'Données projet'!$A$61:$I$81,5,0)),0%,VLOOKUP(A33,'Données projet'!$A$61:$I$81,5,0)*VLOOKUP('Données projet'!$B$10,Paramètres!$A$1:$I$88,7,0))</f>
        <v>5.5000000000000007E-2</v>
      </c>
      <c r="AS33" s="17">
        <f>IF(ISNA(VLOOKUP(A33,'Données projet'!$A$61:$I$81,6,0)),0%,VLOOKUP(A33,'Données projet'!$A$61:$I$81,6,0)*VLOOKUP('Données projet'!$B$10,Paramètres!$A$1:$I$88,7,0))</f>
        <v>0.27720000000000011</v>
      </c>
      <c r="AT33" s="17">
        <f>IF(ISNA(VLOOKUP(A33,'Données projet'!$A$61:$I$81,7,0)),0%,VLOOKUP(A33,'Données projet'!$A$61:$I$81,7,0))</f>
        <v>0.39600000000000002</v>
      </c>
      <c r="AU33" s="23">
        <f>EXP(-LN(2)/35)*AU32+(1-EXP(-LN(2)/35))/(LN(2)/35)*AQ33*AR33*VLOOKUP('Données projet'!$B$10,Paramètres!$A$1:$I$88,3,0)*0.475*44/12</f>
        <v>2.3902038358109636</v>
      </c>
      <c r="AV33" s="23">
        <f>EXP(-LN(2)/25)*AV32+(1-EXP(-LN(2)/25))/(LN(2)/25)*Calculateur!AQ33*Calculateur!AS33*VLOOKUP('Données projet'!$B$10,Paramètres!$A$1:$I$88,3,0)*0.475*44/12</f>
        <v>20.659851791888123</v>
      </c>
      <c r="AW33" s="23">
        <f>EXP(-LN(2)/2)*AW32+(1-EXP(-LN(2)/2))/(LN(2)/2)*AQ33*AT33*VLOOKUP('Données projet'!$B$10,Paramètres!$A$1:$I$88,3,0)*0.475*44/12</f>
        <v>15.125559196593906</v>
      </c>
      <c r="AX33" s="23">
        <f t="shared" si="6"/>
        <v>38.175614824292992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97</v>
      </c>
      <c r="BB33" s="13">
        <f>VLOOKUP(A33,'Données projet'!$A$87:$I$107,9,0)</f>
        <v>7</v>
      </c>
      <c r="BC33" s="13">
        <f t="array" ref="BC33">INDEX(BB:BB,MIN(IF(ISNUMBER(BB33:BB229),ROW(BB33:BB229),"")))</f>
        <v>7</v>
      </c>
      <c r="BD33" s="13">
        <f>IF('Données projet'!$A$88&gt;35,BD32+BC33-BL32,IF(A33&lt;'Données projet'!$A$88,$BA$205^A33,IF(A33='Données projet'!$A$88,'Données projet'!$B$88,BD32+BC33-BL32)))</f>
        <v>97</v>
      </c>
      <c r="BE33" s="14">
        <f>BD33*VLOOKUP('Données projet'!$B$11,Paramètres!$A$1:$I$88,3,0)*VLOOKUP('Données projet'!$B$11,Paramètres!$A$1:$I$88,5,0)</f>
        <v>87.765600000000006</v>
      </c>
      <c r="BF33" s="14">
        <f t="shared" si="37"/>
        <v>24.025555589247954</v>
      </c>
      <c r="BG33" s="22">
        <f t="shared" si="7"/>
        <v>194.7029293179402</v>
      </c>
      <c r="BH33" s="62">
        <f t="shared" si="8"/>
        <v>433.81035425098219</v>
      </c>
      <c r="BI33" s="62">
        <f ca="1">AVERAGE(OFFSET($BH$3,0,0,'Données projet'!$E$11+1,1))-AVERAGE(OFFSET($H$3,0,0,'Données projet'!$E$11+1,1))</f>
        <v>362.63718589694594</v>
      </c>
      <c r="BJ33" s="62">
        <f t="shared" si="38"/>
        <v>250.47702091764884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21</v>
      </c>
      <c r="BM33" s="17">
        <f>IF(ISNA(VLOOKUP(A33,'Données projet'!$A$87:$I$107,5,0)),0%,VLOOKUP(A33,'Données projet'!$A$87:$I$107,5,0)*VLOOKUP('Données projet'!$B$11,Paramètres!$A$1:$I$88,7,0))</f>
        <v>0</v>
      </c>
      <c r="BN33" s="17">
        <f>IF(ISNA(VLOOKUP(A33,'Données projet'!$A$87:$I$107,6,0)),0%,VLOOKUP(A33,'Données projet'!$A$87:$I$107,6,0)*VLOOKUP('Données projet'!$B$11,Paramètres!$A$1:$I$88,7,0))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projet'!$B$11,Paramètres!$A$1:$I$88,3,0)*0.475*44/12</f>
        <v>0</v>
      </c>
      <c r="BQ33" s="23">
        <f>EXP(-LN(2)/25)*BQ32+(1-EXP(-LN(2)/25))/(LN(2)/25)*Calculateur!BL33*Calculateur!BN33*VLOOKUP('Données projet'!$B$11,Paramètres!$A$1:$I$88,3,0)*0.475*44/12</f>
        <v>0</v>
      </c>
      <c r="BR33" s="23">
        <f>EXP(-LN(2)/2)*BR32+(1-EXP(-LN(2)/2))/(LN(2)/2)*BL33*BO33*VLOOKUP('Données projet'!$B$11,Paramètres!$A$1:$I$88,3,0)*0.475*44/12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97</v>
      </c>
      <c r="BW33" s="13">
        <f>VLOOKUP(A33,'Données projet'!$A$113:$I$133,9,0)</f>
        <v>7</v>
      </c>
      <c r="BX33" s="13">
        <f t="array" ref="BX33">INDEX(BW:BW,MIN(IF(ISNUMBER(BW33:BW229),ROW(BW33:BW229),"")))</f>
        <v>7</v>
      </c>
      <c r="BY33" s="13">
        <f>IF('Données projet'!$A$114&gt;35,BY32+BX33-CG32,IF(A33&lt;'Données projet'!$A$114,$BV$205^A33,IF(A33='Données projet'!$A$114,'Données projet'!$B$114,BY32+BX33-CG32)))</f>
        <v>97</v>
      </c>
      <c r="BZ33" s="14">
        <f>BY33*VLOOKUP('Données projet'!$B$12,Paramètres!$A$1:$I$88,3,0)*VLOOKUP('Données projet'!$B$12,Paramètres!$A$1:$I$88,5,0)</f>
        <v>98.358000000000004</v>
      </c>
      <c r="CA33" s="14">
        <f t="shared" si="39"/>
        <v>26.570437554143126</v>
      </c>
      <c r="CB33" s="22">
        <f t="shared" si="10"/>
        <v>217.58369540679928</v>
      </c>
      <c r="CC33" s="62">
        <f t="shared" si="11"/>
        <v>456.69112033984129</v>
      </c>
      <c r="CD33" s="62">
        <f ca="1">AVERAGE(OFFSET($CC$3,0,0,'Données projet'!$E$12+1,1))-AVERAGE(OFFSET($H$3,0,0,'Données projet'!$E$12+1,1))</f>
        <v>398.14524781940196</v>
      </c>
      <c r="CE33" s="62">
        <f t="shared" si="40"/>
        <v>273.35778700650792</v>
      </c>
      <c r="CF33" s="16">
        <f>IF(ISNA(VLOOKUP(A33,'Données projet'!$A$113:$I$133,3,0)),0,VLOOKUP(A33,'Données projet'!$A$113:$I$133,3,0))</f>
        <v>3</v>
      </c>
      <c r="CG33" s="16">
        <f>IF(ISNA(VLOOKUP(A33,'Données projet'!$A$113:$I$133,4,0)),0,VLOOKUP(A33,'Données projet'!$A$113:$I$133,4,0))</f>
        <v>21</v>
      </c>
      <c r="CH33" s="17">
        <f>IF(ISNA(VLOOKUP(A33,'Données projet'!$A$113:$I$133,5,0)),0%,VLOOKUP(A33,'Données projet'!$A$113:$I$133,5,0)*VLOOKUP('Données projet'!$B$12,Paramètres!$A$1:$I$88,7,0))</f>
        <v>0</v>
      </c>
      <c r="CI33" s="17">
        <f>IF(ISNA(VLOOKUP(A33,'Données projet'!$A$113:$I$133,6,0)),0%,VLOOKUP(A33,'Données projet'!$A$113:$I$133,6,0)*VLOOKUP('Données projet'!$B$12,Paramètres!$A$1:$I$88,7,0))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projet'!$B$12,Paramètres!$A$1:$I$88,3,0)*0.475*44/12</f>
        <v>0</v>
      </c>
      <c r="CL33" s="23">
        <f>EXP(-LN(2)/25)*CL32+(1-EXP(-LN(2)/25))/(LN(2)/25)*Calculateur!CG33*Calculateur!CI33*VLOOKUP('Données projet'!$B$12,Paramètres!$A$1:$I$88,3,0)*0.475*44/12</f>
        <v>0</v>
      </c>
      <c r="CM33" s="23">
        <f>EXP(-LN(2)/2)*CM32+(1-EXP(-LN(2)/2))/(LN(2)/2)*CG33*CJ33*VLOOKUP('Données projet'!$B$12,Paramètres!$A$1:$I$88,3,0)*0.475*44/12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116</v>
      </c>
      <c r="CR33" s="13">
        <f>VLOOKUP(A33,'Données projet'!$A$139:$I$159,9,0)</f>
        <v>9.6</v>
      </c>
      <c r="CS33" s="13">
        <f t="array" ref="CS33">INDEX(CR:CR,MIN(IF(ISNUMBER(CR33:CR229),ROW(CR33:CR229),"")))</f>
        <v>9.6</v>
      </c>
      <c r="CT33" s="13">
        <f>IF('Données projet'!$A$140&gt;35,CT32+CS33-DB32,IF(A33&lt;'Données projet'!$A$140,$CQ$205^A33,IF(A33='Données projet'!$A$140,'Données projet'!$B$140,CT32+CS33-DB32)))</f>
        <v>115.99999999999996</v>
      </c>
      <c r="CU33" s="18">
        <f>CT33*VLOOKUP('Données projet'!$B$13,Paramètres!$A$1:$I$88,3,0)*VLOOKUP('Données projet'!$B$13,Paramètres!$A$1:$I$88,5,0)</f>
        <v>110.38559999999997</v>
      </c>
      <c r="CV33" s="14">
        <f t="shared" si="41"/>
        <v>29.421816429201407</v>
      </c>
      <c r="CW33" s="22">
        <f t="shared" si="13"/>
        <v>243.49791694752571</v>
      </c>
      <c r="CX33" s="62">
        <f t="shared" si="14"/>
        <v>482.60534188056772</v>
      </c>
      <c r="CY33" s="62">
        <f ca="1">AVERAGE(OFFSET($CX$3,0,0,'Données projet'!$E$13+1,1))-AVERAGE(OFFSET($H$3,0,0,'Données projet'!$E$13+1,1))</f>
        <v>470.0521927195926</v>
      </c>
      <c r="CZ33" s="62">
        <f t="shared" si="42"/>
        <v>299.27200854723435</v>
      </c>
      <c r="DA33" s="16">
        <f>IF(ISNA(VLOOKUP(A33,'Données projet'!$A$139:$I$159,3,0)),0,VLOOKUP(A33,'Données projet'!$A$139:$I$159,3,0))</f>
        <v>3</v>
      </c>
      <c r="DB33" s="16">
        <f>IF(ISNA(VLOOKUP(A33,'Données projet'!$A$139:$I$159,4,0)),0,VLOOKUP(A33,'Données projet'!$A$139:$I$159,4,0))</f>
        <v>21</v>
      </c>
      <c r="DC33" s="17">
        <f>IF(ISNA(VLOOKUP(A33,'Données projet'!$A$139:$I$159,5,0)),0%,VLOOKUP(A33,'Données projet'!$A$139:$I$159,5,0)*VLOOKUP('Données projet'!$B$13,Paramètres!$A$1:$I$88,7,0))</f>
        <v>0</v>
      </c>
      <c r="DD33" s="17">
        <f>IF(ISNA(VLOOKUP(A33,'Données projet'!$A$139:$I$159,6,0)),0%,VLOOKUP(A33,'Données projet'!$A$139:$I$159,6,0)*VLOOKUP('Données projet'!$B$13,Paramètres!$A$1:$I$88,7,0))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projet'!$B$13,Paramètres!$A$1:$I$88,3,0)*0.475*44/12</f>
        <v>0</v>
      </c>
      <c r="DG33" s="23">
        <f>EXP(-LN(2)/25)*DG32+(1-EXP(-LN(2)/25))/(LN(2)/25)*Calculateur!DB33*Calculateur!DD33*VLOOKUP('Données projet'!$B$13,Paramètres!$A$1:$I$88,3,0)*0.475*44/12</f>
        <v>0</v>
      </c>
      <c r="DH33" s="23">
        <f>EXP(-LN(2)/2)*DH32+(1-EXP(-LN(2)/2))/(LN(2)/2)*DB33*DE33*VLOOKUP('Données projet'!$B$13,Paramètres!$A$1:$I$88,3,0)*0.475*44/12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54</v>
      </c>
      <c r="DM33" s="13">
        <f>VLOOKUP(A33,'Données projet'!$A$165:$I$185,9,0)</f>
        <v>4.8</v>
      </c>
      <c r="DN33" s="13">
        <f t="array" ref="DN33">INDEX(DM:DM,MIN(IF(ISNUMBER(DM33:DM229),ROW(DM33:DM229),"")))</f>
        <v>4.8</v>
      </c>
      <c r="DO33" s="13">
        <f>IF('Données projet'!$A$166&gt;35,DO32+DN33-DW32,IF(A33&lt;'Données projet'!$A$166,$DL$205^A33,IF(A33='Données projet'!$A$166,'Données projet'!$B$166,DO32+DN33-DW32)))</f>
        <v>53.999999999999986</v>
      </c>
      <c r="DP33" s="18">
        <f>DO33*VLOOKUP('Données projet'!$B$14,Paramètres!$A$1:$I$88,3,0)*VLOOKUP('Données projet'!$B$14,Paramètres!$A$1:$I$88,5,0)</f>
        <v>52.228799999999985</v>
      </c>
      <c r="DQ33" s="14">
        <f t="shared" si="43"/>
        <v>15.187887899730002</v>
      </c>
      <c r="DR33" s="22">
        <f t="shared" si="16"/>
        <v>117.41739809202973</v>
      </c>
      <c r="DS33" s="62">
        <f t="shared" si="17"/>
        <v>356.52482302507173</v>
      </c>
      <c r="DT33" s="62">
        <f ca="1">AVERAGE(OFFSET($DS$3,0,0,'Données projet'!$E$14+1,1))-AVERAGE(OFFSET($H$3,0,0,'Données projet'!$E$14+1,1))</f>
        <v>290.89727102147953</v>
      </c>
      <c r="DU33" s="62">
        <f t="shared" si="44"/>
        <v>173.19148969173838</v>
      </c>
      <c r="DV33" s="16">
        <f>IF(ISNA(VLOOKUP(A33,'Données projet'!$A$165:$I$185,3,0)),0,VLOOKUP(A33,'Données projet'!$A$165:$I$185,3,0))</f>
        <v>3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projet'!$B$14,Paramètres!$A$1:$I$88,7,0))</f>
        <v>0</v>
      </c>
      <c r="DY33" s="17">
        <f>IF(ISNA(VLOOKUP(A33,'Données projet'!$A$165:$I$185,6,0)),0%,VLOOKUP(A33,'Données projet'!$A$165:$I$185,6,0)*VLOOKUP('Données projet'!$B$14,Paramètres!$A$1:$I$88,7,0))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projet'!$B$14,Paramètres!$A$1:$I$88,3,0)*0.475*44/12</f>
        <v>0</v>
      </c>
      <c r="EB33" s="23">
        <f>EXP(-LN(2)/25)*EB32+(1-EXP(-LN(2)/25))/(LN(2)/25)*Calculateur!DW33*Calculateur!DY33*VLOOKUP('Données projet'!$B$14,Paramètres!$A$1:$I$88,3,0)*0.475*44/12</f>
        <v>0</v>
      </c>
      <c r="EC33" s="23">
        <f>EXP(-LN(2)/2)*EC32+(1-EXP(-LN(2)/2))/(LN(2)/2)*DW33*DZ33*VLOOKUP('Données projet'!$B$14,Paramètres!$A$1:$I$88,3,0)*0.475*44/12</f>
        <v>0</v>
      </c>
      <c r="ED33" s="24">
        <f t="shared" si="18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projet'!$B$15,Paramètres!$A$1:$I$88,3,0)*VLOOKUP('Données projet'!$B$15,Paramètres!$A$1:$I$88,5,0)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projet'!$B$15,Paramètres!$A$1:$I$88,7,0))</f>
        <v>0</v>
      </c>
      <c r="ET33" s="17">
        <f>IF(ISNA(VLOOKUP(A33,'Données projet'!$A$191:$I$211,6,0)),0%,VLOOKUP(A33,'Données projet'!$A$191:$I$211,6,0)*VLOOKUP('Données projet'!$B$15,Paramètres!$A$1:$I$88,7,0))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projet'!$B$15,Paramètres!$A$1:$I$88,3,0)*0.475*44/12</f>
        <v>#N/A</v>
      </c>
      <c r="EW33" s="23" t="e">
        <f>EXP(-LN(2)/25)*EW32+(1-EXP(-LN(2)/25))/(LN(2)/25)*Calculateur!ER33*Calculateur!ET33*VLOOKUP('Données projet'!$B$15,Paramètres!$A$1:$I$88,3,0)*0.475*44/12</f>
        <v>#N/A</v>
      </c>
      <c r="EX33" s="23" t="e">
        <f>EXP(-LN(2)/2)*EX32+(1-EXP(-LN(2)/2))/(LN(2)/2)*ER33*EU33*VLOOKUP('Données projet'!$B$15,Paramètres!$A$1:$I$88,3,0)*0.475*44/12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projet'!$B$16,Paramètres!$A$1:$I$88,3,0)*VLOOKUP('Données projet'!$B$16,Paramètres!$A$1:$I$88,5,0)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projet'!$B$16,Paramètres!$A$1:$I$88,7,0))</f>
        <v>0</v>
      </c>
      <c r="FO33" s="17">
        <f>IF(ISNA(VLOOKUP(A33,'Données projet'!$A$217:$I$237,6,0)),0%,VLOOKUP(A33,'Données projet'!$A$217:$I$237,6,0)*VLOOKUP('Données projet'!$B$16,Paramètres!$A$1:$I$88,7,0))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projet'!$B$16,Paramètres!$A$1:$I$88,3,0)*0.475*44/12</f>
        <v>#N/A</v>
      </c>
      <c r="FR33" s="23" t="e">
        <f>EXP(-LN(2)/25)*FR32+(1-EXP(-LN(2)/25))/(LN(2)/25)*Calculateur!FM33*Calculateur!FO33*VLOOKUP('Données projet'!$B$16,Paramètres!$A$1:$I$88,3,0)*0.475*44/12</f>
        <v>#N/A</v>
      </c>
      <c r="FS33" s="23" t="e">
        <f>EXP(-LN(2)/2)*FS32+(1-EXP(-LN(2)/2))/(LN(2)/2)*FM33*FP33*VLOOKUP('Données projet'!$B$16,Paramètres!$A$1:$I$88,3,0)*0.475*44/12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projet'!$B$17,Paramètres!$A$1:$I$88,3,0)*VLOOKUP('Données projet'!$B$17,Paramètres!$A$1:$I$88,5,0)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projet'!$B$17,Paramètres!$A$1:$I$88,7,0))</f>
        <v>0</v>
      </c>
      <c r="GJ33" s="17">
        <f>IF(ISNA(VLOOKUP(A33,'Données projet'!$A$243:$I$263,6,0)),0%,VLOOKUP(A33,'Données projet'!$A$243:$I$263,6,0)*VLOOKUP('Données projet'!$B$17,Paramètres!$A$1:$I$88,7,0))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projet'!$B$17,Paramètres!$A$1:$I$88,3,0)*0.475*44/12</f>
        <v>#N/A</v>
      </c>
      <c r="GM33" s="23" t="e">
        <f>EXP(-LN(2)/25)*GM32+(1-EXP(-LN(2)/25))/(LN(2)/25)*Calculateur!GH33*Calculateur!GJ33*VLOOKUP('Données projet'!$B$17,Paramètres!$A$1:$I$88,3,0)*0.475*44/12</f>
        <v>#N/A</v>
      </c>
      <c r="GN33" s="23" t="e">
        <f>EXP(-LN(2)/2)*GN32+(1-EXP(-LN(2)/2))/(LN(2)/2)*GH33*GK33*VLOOKUP('Données projet'!$B$17,Paramètres!$A$1:$I$88,3,0)*0.475*44/12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projet'!$B$18,Paramètres!$A$1:$I$88,3,0)*VLOOKUP('Données projet'!$B$18,Paramètres!$A$1:$I$88,5,0)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projet'!$B$18,Paramètres!$A$1:$I$88,3,0)*0.475*44/12</f>
        <v>#N/A</v>
      </c>
      <c r="HH33" s="23" t="e">
        <f>EXP(-LN(2)/25)*HH32+(1-EXP(-LN(2)/25))/(LN(2)/25)*Calculateur!HC33*Calculateur!HE33*VLOOKUP('Données projet'!$B$18,Paramètres!$A$1:$I$88,3,0)*0.475*44/12</f>
        <v>#N/A</v>
      </c>
      <c r="HI33" s="23" t="e">
        <f>EXP(-LN(2)/2)*HI32+(1-EXP(-LN(2)/2))/(LN(2)/2)*HC33*HF33*VLOOKUP('Données projet'!$B$18,Paramètres!$A$1:$I$88,3,0)*0.475*44/12</f>
        <v>#N/A</v>
      </c>
      <c r="HJ33" s="24" t="e">
        <f t="shared" si="30"/>
        <v>#N/A</v>
      </c>
    </row>
    <row r="34" spans="1:218" s="5" customFormat="1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21.8</v>
      </c>
      <c r="N34" s="14">
        <f>IF('Données projet'!$A$36&gt;35,N33+M34-V33,IF(A34&lt;'Données projet'!$A$36,$K$205^A34,IF(A34='Données projet'!$A$36,'Données projet'!$B$36,N33+M34-V33)))</f>
        <v>242.79999999999995</v>
      </c>
      <c r="O34" s="14">
        <f>N34*VLOOKUP('Données projet'!$B$9,Paramètres!$A$1:$I$88,3,0)*VLOOKUP('Données projet'!$B$9,Paramètres!$A$1:$I$88,5,0)</f>
        <v>145.1944</v>
      </c>
      <c r="P34" s="14">
        <f t="shared" si="33"/>
        <v>37.484434798807726</v>
      </c>
      <c r="Q34" s="22">
        <f t="shared" si="2"/>
        <v>318.1656372745901</v>
      </c>
      <c r="R34" s="62">
        <f t="shared" si="0"/>
        <v>558.21376048740763</v>
      </c>
      <c r="S34" s="62">
        <f ca="1">AVERAGE(OFFSET($R$3,0,0,'Données projet'!$E$9+1,1))-AVERAGE(OFFSET($H$3,0,0,'Données projet'!$E$9+1,1))</f>
        <v>301.2688576786212</v>
      </c>
      <c r="T34" s="62">
        <f t="shared" si="34"/>
        <v>417.62172165132927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0</v>
      </c>
      <c r="AA34" s="23">
        <f>EXP(-LN(2)/25)*AA33+(1-EXP(-LN(2)/25))/(LN(2)/25)*Calculateur!V34*Calculateur!X34*VLOOKUP('Données projet'!$B$9,Paramètres!$A$1:$I$88,3,0)*0.475*44/12</f>
        <v>29.018438925367519</v>
      </c>
      <c r="AB34" s="23">
        <f>EXP(-LN(2)/2)*AB33+(1-EXP(-LN(2)/2))/(LN(2)/2)*V34*Y34*VLOOKUP('Données projet'!$B$9,Paramètres!$A$1:$I$88,3,0)*0.475*44/12</f>
        <v>14.255445547859148</v>
      </c>
      <c r="AC34" s="24">
        <f t="shared" si="3"/>
        <v>43.273884473226666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14</v>
      </c>
      <c r="AI34" s="14">
        <f>IF('Données projet'!$A$62&gt;35,AI33+AH34-AQ33,IF(A34&lt;'Données projet'!$A$62,$AF$205^A34,IF(A34='Données projet'!$A$62,'Données projet'!$B$62,AI33+AH34-AQ33)))</f>
        <v>134</v>
      </c>
      <c r="AJ34" s="14">
        <f>AI34*VLOOKUP('Données projet'!$B$10,Paramètres!$A$1:$I$88,3,0)*VLOOKUP('Données projet'!$B$10,Paramètres!$A$1:$I$88,5,0)</f>
        <v>62.711999999999996</v>
      </c>
      <c r="AK34" s="14">
        <f t="shared" si="35"/>
        <v>17.85217356216183</v>
      </c>
      <c r="AL34" s="22">
        <f t="shared" si="4"/>
        <v>140.31593562076515</v>
      </c>
      <c r="AM34" s="62">
        <f t="shared" si="5"/>
        <v>380.3640588335827</v>
      </c>
      <c r="AN34" s="62">
        <f ca="1">AVERAGE(OFFSET($AM$3,0,0,'Données projet'!$E$10+1,1))-AVERAGE(OFFSET($H$3,0,0,'Données projet'!$E$10+1,1))</f>
        <v>170.08673939431091</v>
      </c>
      <c r="AO34" s="62">
        <f t="shared" si="36"/>
        <v>252.97355497077106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projet'!$B$10,Paramètres!$A$1:$I$88,3,0)*0.475*44/12</f>
        <v>2.3433333964710967</v>
      </c>
      <c r="AV34" s="23">
        <f>EXP(-LN(2)/25)*AV33+(1-EXP(-LN(2)/25))/(LN(2)/25)*Calculateur!AQ34*Calculateur!AS34*VLOOKUP('Données projet'!$B$10,Paramètres!$A$1:$I$88,3,0)*0.475*44/12</f>
        <v>20.094907058184557</v>
      </c>
      <c r="AW34" s="23">
        <f>EXP(-LN(2)/2)*AW33+(1-EXP(-LN(2)/2))/(LN(2)/2)*AQ34*AT34*VLOOKUP('Données projet'!$B$10,Paramètres!$A$1:$I$88,3,0)*0.475*44/12</f>
        <v>10.695385477150099</v>
      </c>
      <c r="AX34" s="23">
        <f t="shared" si="6"/>
        <v>33.133625931805753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8</v>
      </c>
      <c r="BD34" s="13">
        <f>IF('Données projet'!$A$88&gt;35,BD33+BC34-BL33,IF(A34&lt;'Données projet'!$A$88,$BA$205^A34,IF(A34='Données projet'!$A$88,'Données projet'!$B$88,BD33+BC34-BL33)))</f>
        <v>84</v>
      </c>
      <c r="BE34" s="14">
        <f>BD34*VLOOKUP('Données projet'!$B$11,Paramètres!$A$1:$I$88,3,0)*VLOOKUP('Données projet'!$B$11,Paramètres!$A$1:$I$88,5,0)</f>
        <v>76.003200000000007</v>
      </c>
      <c r="BF34" s="14">
        <f t="shared" si="37"/>
        <v>21.157049992000456</v>
      </c>
      <c r="BG34" s="22">
        <f t="shared" si="7"/>
        <v>169.22076873606747</v>
      </c>
      <c r="BH34" s="62">
        <f t="shared" si="8"/>
        <v>409.26889194888503</v>
      </c>
      <c r="BI34" s="62">
        <f ca="1">AVERAGE(OFFSET($BH$3,0,0,'Données projet'!$E$11+1,1))-AVERAGE(OFFSET($H$3,0,0,'Données projet'!$E$11+1,1))</f>
        <v>362.63718589694594</v>
      </c>
      <c r="BJ34" s="62">
        <f t="shared" si="38"/>
        <v>250.47702091764884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projet'!$B$11,Paramètres!$A$1:$I$88,3,0)*0.475*44/12</f>
        <v>0</v>
      </c>
      <c r="BQ34" s="23">
        <f>EXP(-LN(2)/25)*BQ33+(1-EXP(-LN(2)/25))/(LN(2)/25)*Calculateur!BL34*Calculateur!BN34*VLOOKUP('Données projet'!$B$11,Paramètres!$A$1:$I$88,3,0)*0.475*44/12</f>
        <v>0</v>
      </c>
      <c r="BR34" s="23">
        <f>EXP(-LN(2)/2)*BR33+(1-EXP(-LN(2)/2))/(LN(2)/2)*BL34*BO34*VLOOKUP('Données projet'!$B$11,Paramètres!$A$1:$I$88,3,0)*0.475*44/12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8</v>
      </c>
      <c r="BY34" s="13">
        <f>IF('Données projet'!$A$114&gt;35,BY33+BX34-CG33,IF(A34&lt;'Données projet'!$A$114,$BV$205^A34,IF(A34='Données projet'!$A$114,'Données projet'!$B$114,BY33+BX34-CG33)))</f>
        <v>84</v>
      </c>
      <c r="BZ34" s="14">
        <f>BY34*VLOOKUP('Données projet'!$B$12,Paramètres!$A$1:$I$88,3,0)*VLOOKUP('Données projet'!$B$12,Paramètres!$A$1:$I$88,5,0)</f>
        <v>85.176000000000002</v>
      </c>
      <c r="CA34" s="14">
        <f t="shared" si="39"/>
        <v>23.398088487656441</v>
      </c>
      <c r="CB34" s="22">
        <f t="shared" si="10"/>
        <v>189.09987078266829</v>
      </c>
      <c r="CC34" s="62">
        <f t="shared" si="11"/>
        <v>429.14799399548588</v>
      </c>
      <c r="CD34" s="62">
        <f ca="1">AVERAGE(OFFSET($CC$3,0,0,'Données projet'!$E$12+1,1))-AVERAGE(OFFSET($H$3,0,0,'Données projet'!$E$12+1,1))</f>
        <v>398.14524781940196</v>
      </c>
      <c r="CE34" s="62">
        <f t="shared" si="40"/>
        <v>273.35778700650792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projet'!$B$12,Paramètres!$A$1:$I$88,3,0)*0.475*44/12</f>
        <v>0</v>
      </c>
      <c r="CL34" s="23">
        <f>EXP(-LN(2)/25)*CL33+(1-EXP(-LN(2)/25))/(LN(2)/25)*Calculateur!CG34*Calculateur!CI34*VLOOKUP('Données projet'!$B$12,Paramètres!$A$1:$I$88,3,0)*0.475*44/12</f>
        <v>0</v>
      </c>
      <c r="CM34" s="23">
        <f>EXP(-LN(2)/2)*CM33+(1-EXP(-LN(2)/2))/(LN(2)/2)*CG34*CJ34*VLOOKUP('Données projet'!$B$12,Paramètres!$A$1:$I$88,3,0)*0.475*44/12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8.8000000000000007</v>
      </c>
      <c r="CT34" s="13">
        <f>IF('Données projet'!$A$140&gt;35,CT33+CS34-DB33,IF(A34&lt;'Données projet'!$A$140,$CQ$205^A34,IF(A34='Données projet'!$A$140,'Données projet'!$B$140,CT33+CS34-DB33)))</f>
        <v>103.79999999999995</v>
      </c>
      <c r="CU34" s="18">
        <f>CT34*VLOOKUP('Données projet'!$B$13,Paramètres!$A$1:$I$88,3,0)*VLOOKUP('Données projet'!$B$13,Paramètres!$A$1:$I$88,5,0)</f>
        <v>98.776079999999951</v>
      </c>
      <c r="CV34" s="14">
        <f t="shared" si="41"/>
        <v>26.670206833473099</v>
      </c>
      <c r="CW34" s="22">
        <f t="shared" si="13"/>
        <v>218.48561623496553</v>
      </c>
      <c r="CX34" s="62">
        <f t="shared" si="14"/>
        <v>458.53373944778309</v>
      </c>
      <c r="CY34" s="62">
        <f ca="1">AVERAGE(OFFSET($CX$3,0,0,'Données projet'!$E$13+1,1))-AVERAGE(OFFSET($H$3,0,0,'Données projet'!$E$13+1,1))</f>
        <v>470.0521927195926</v>
      </c>
      <c r="CZ34" s="62">
        <f t="shared" si="42"/>
        <v>299.27200854723435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projet'!$B$13,Paramètres!$A$1:$I$88,3,0)*0.475*44/12</f>
        <v>0</v>
      </c>
      <c r="DG34" s="23">
        <f>EXP(-LN(2)/25)*DG33+(1-EXP(-LN(2)/25))/(LN(2)/25)*Calculateur!DB34*Calculateur!DD34*VLOOKUP('Données projet'!$B$13,Paramètres!$A$1:$I$88,3,0)*0.475*44/12</f>
        <v>0</v>
      </c>
      <c r="DH34" s="23">
        <f>EXP(-LN(2)/2)*DH33+(1-EXP(-LN(2)/2))/(LN(2)/2)*DB34*DE34*VLOOKUP('Données projet'!$B$13,Paramètres!$A$1:$I$88,3,0)*0.475*44/12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5</v>
      </c>
      <c r="DO34" s="13">
        <f>IF('Données projet'!$A$166&gt;35,DO33+DN34-DW33,IF(A34&lt;'Données projet'!$A$166,$DL$205^A34,IF(A34='Données projet'!$A$166,'Données projet'!$B$166,DO33+DN34-DW33)))</f>
        <v>58.999999999999986</v>
      </c>
      <c r="DP34" s="18">
        <f>DO34*VLOOKUP('Données projet'!$B$14,Paramètres!$A$1:$I$88,3,0)*VLOOKUP('Données projet'!$B$14,Paramètres!$A$1:$I$88,5,0)</f>
        <v>57.064799999999991</v>
      </c>
      <c r="DQ34" s="14">
        <f t="shared" si="43"/>
        <v>16.424005972947381</v>
      </c>
      <c r="DR34" s="22">
        <f t="shared" si="16"/>
        <v>127.99300373621668</v>
      </c>
      <c r="DS34" s="62">
        <f t="shared" si="17"/>
        <v>368.04112694903426</v>
      </c>
      <c r="DT34" s="62">
        <f ca="1">AVERAGE(OFFSET($DS$3,0,0,'Données projet'!$E$14+1,1))-AVERAGE(OFFSET($H$3,0,0,'Données projet'!$E$14+1,1))</f>
        <v>290.89727102147953</v>
      </c>
      <c r="DU34" s="62">
        <f t="shared" si="44"/>
        <v>173.19148969173838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projet'!$B$14,Paramètres!$A$1:$I$88,3,0)*0.475*44/12</f>
        <v>0</v>
      </c>
      <c r="EB34" s="23">
        <f>EXP(-LN(2)/25)*EB33+(1-EXP(-LN(2)/25))/(LN(2)/25)*Calculateur!DW34*Calculateur!DY34*VLOOKUP('Données projet'!$B$14,Paramètres!$A$1:$I$88,3,0)*0.475*44/12</f>
        <v>0</v>
      </c>
      <c r="EC34" s="23">
        <f>EXP(-LN(2)/2)*EC33+(1-EXP(-LN(2)/2))/(LN(2)/2)*DW34*DZ34*VLOOKUP('Données projet'!$B$14,Paramètres!$A$1:$I$88,3,0)*0.475*44/12</f>
        <v>0</v>
      </c>
      <c r="ED34" s="24">
        <f t="shared" si="18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projet'!$B$15,Paramètres!$A$1:$I$88,3,0)*VLOOKUP('Données projet'!$B$15,Paramètres!$A$1:$I$88,5,0)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projet'!$B$15,Paramètres!$A$1:$I$88,3,0)*0.475*44/12</f>
        <v>#N/A</v>
      </c>
      <c r="EW34" s="23" t="e">
        <f>EXP(-LN(2)/25)*EW33+(1-EXP(-LN(2)/25))/(LN(2)/25)*Calculateur!ER34*Calculateur!ET34*VLOOKUP('Données projet'!$B$15,Paramètres!$A$1:$I$88,3,0)*0.475*44/12</f>
        <v>#N/A</v>
      </c>
      <c r="EX34" s="23" t="e">
        <f>EXP(-LN(2)/2)*EX33+(1-EXP(-LN(2)/2))/(LN(2)/2)*ER34*EU34*VLOOKUP('Données projet'!$B$15,Paramètres!$A$1:$I$88,3,0)*0.475*44/12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projet'!$B$16,Paramètres!$A$1:$I$88,3,0)*VLOOKUP('Données projet'!$B$16,Paramètres!$A$1:$I$88,5,0)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projet'!$B$16,Paramètres!$A$1:$I$88,3,0)*0.475*44/12</f>
        <v>#N/A</v>
      </c>
      <c r="FR34" s="23" t="e">
        <f>EXP(-LN(2)/25)*FR33+(1-EXP(-LN(2)/25))/(LN(2)/25)*Calculateur!FM34*Calculateur!FO34*VLOOKUP('Données projet'!$B$16,Paramètres!$A$1:$I$88,3,0)*0.475*44/12</f>
        <v>#N/A</v>
      </c>
      <c r="FS34" s="23" t="e">
        <f>EXP(-LN(2)/2)*FS33+(1-EXP(-LN(2)/2))/(LN(2)/2)*FM34*FP34*VLOOKUP('Données projet'!$B$16,Paramètres!$A$1:$I$88,3,0)*0.475*44/12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projet'!$B$17,Paramètres!$A$1:$I$88,3,0)*VLOOKUP('Données projet'!$B$17,Paramètres!$A$1:$I$88,5,0)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projet'!$B$17,Paramètres!$A$1:$I$88,3,0)*0.475*44/12</f>
        <v>#N/A</v>
      </c>
      <c r="GM34" s="23" t="e">
        <f>EXP(-LN(2)/25)*GM33+(1-EXP(-LN(2)/25))/(LN(2)/25)*Calculateur!GH34*Calculateur!GJ34*VLOOKUP('Données projet'!$B$17,Paramètres!$A$1:$I$88,3,0)*0.475*44/12</f>
        <v>#N/A</v>
      </c>
      <c r="GN34" s="23" t="e">
        <f>EXP(-LN(2)/2)*GN33+(1-EXP(-LN(2)/2))/(LN(2)/2)*GH34*GK34*VLOOKUP('Données projet'!$B$17,Paramètres!$A$1:$I$88,3,0)*0.475*44/12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projet'!$B$18,Paramètres!$A$1:$I$88,3,0)*VLOOKUP('Données projet'!$B$18,Paramètres!$A$1:$I$88,5,0)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projet'!$B$18,Paramètres!$A$1:$I$88,3,0)*0.475*44/12</f>
        <v>#N/A</v>
      </c>
      <c r="HH34" s="23" t="e">
        <f>EXP(-LN(2)/25)*HH33+(1-EXP(-LN(2)/25))/(LN(2)/25)*Calculateur!HC34*Calculateur!HE34*VLOOKUP('Données projet'!$B$18,Paramètres!$A$1:$I$88,3,0)*0.475*44/12</f>
        <v>#N/A</v>
      </c>
      <c r="HI34" s="23" t="e">
        <f>EXP(-LN(2)/2)*HI33+(1-EXP(-LN(2)/2))/(LN(2)/2)*HC34*HF34*VLOOKUP('Données projet'!$B$18,Paramètres!$A$1:$I$88,3,0)*0.475*44/12</f>
        <v>#N/A</v>
      </c>
      <c r="HJ34" s="24" t="e">
        <f t="shared" si="30"/>
        <v>#N/A</v>
      </c>
    </row>
    <row r="35" spans="1:218" s="5" customFormat="1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21.8</v>
      </c>
      <c r="N35" s="14">
        <f>IF('Données projet'!$A$36&gt;35,N34+M35-V34,IF(A35&lt;'Données projet'!$A$36,$K$205^A35,IF(A35='Données projet'!$A$36,'Données projet'!$B$36,N34+M35-V34)))</f>
        <v>264.59999999999997</v>
      </c>
      <c r="O35" s="14">
        <f>N35*VLOOKUP('Données projet'!$B$9,Paramètres!$A$1:$I$88,3,0)*VLOOKUP('Données projet'!$B$9,Paramètres!$A$1:$I$88,5,0)</f>
        <v>158.23079999999999</v>
      </c>
      <c r="P35" s="14">
        <f t="shared" si="33"/>
        <v>40.443209539379019</v>
      </c>
      <c r="Q35" s="22">
        <f t="shared" ref="Q35:Q66" si="53">(O35+P35)*0.475*44/12</f>
        <v>346.02389994775172</v>
      </c>
      <c r="R35" s="62">
        <f t="shared" si="0"/>
        <v>586.99640242827707</v>
      </c>
      <c r="S35" s="62">
        <f ca="1">AVERAGE(OFFSET($R$3,0,0,'Données projet'!$E$9+1,1))-AVERAGE(OFFSET($H$3,0,0,'Données projet'!$E$9+1,1))</f>
        <v>301.2688576786212</v>
      </c>
      <c r="T35" s="62">
        <f t="shared" si="34"/>
        <v>417.62172165132927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projet'!$B$9,Paramètres!$A$1:$I$88,7,0))</f>
        <v>0</v>
      </c>
      <c r="X35" s="17">
        <f>IF(ISNA(VLOOKUP(A35,'Données projet'!$A$35:$I$55,6,0)),0%,VLOOKUP(A35,'Données projet'!$A$35:$I$55,6,0)*VLOOKUP('Données projet'!$B$9,Paramètres!$A$1:$I$88,7,0))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0</v>
      </c>
      <c r="AA35" s="23">
        <f>EXP(-LN(2)/25)*AA34+(1-EXP(-LN(2)/25))/(LN(2)/25)*Calculateur!V35*Calculateur!X35*VLOOKUP('Données projet'!$B$9,Paramètres!$A$1:$I$88,3,0)*0.475*44/12</f>
        <v>28.224928186939962</v>
      </c>
      <c r="AB35" s="23">
        <f>EXP(-LN(2)/2)*AB34+(1-EXP(-LN(2)/2))/(LN(2)/2)*V35*Y35*VLOOKUP('Données projet'!$B$9,Paramètres!$A$1:$I$88,3,0)*0.475*44/12</f>
        <v>10.080122215726783</v>
      </c>
      <c r="AC35" s="24">
        <f t="shared" si="3"/>
        <v>38.305050402666744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14</v>
      </c>
      <c r="AI35" s="14">
        <f>IF('Données projet'!$A$62&gt;35,AI34+AH35-AQ34,IF(A35&lt;'Données projet'!$A$62,$AF$205^A35,IF(A35='Données projet'!$A$62,'Données projet'!$B$62,AI34+AH35-AQ34)))</f>
        <v>148</v>
      </c>
      <c r="AJ35" s="14">
        <f>AI35*VLOOKUP('Données projet'!$B$10,Paramètres!$A$1:$I$88,3,0)*VLOOKUP('Données projet'!$B$10,Paramètres!$A$1:$I$88,5,0)</f>
        <v>69.26400000000001</v>
      </c>
      <c r="AK35" s="14">
        <f t="shared" si="35"/>
        <v>19.490570545800445</v>
      </c>
      <c r="AL35" s="22">
        <f t="shared" si="4"/>
        <v>154.58087703393579</v>
      </c>
      <c r="AM35" s="62">
        <f t="shared" si="5"/>
        <v>395.55337951446108</v>
      </c>
      <c r="AN35" s="62">
        <f ca="1">AVERAGE(OFFSET($AM$3,0,0,'Données projet'!$E$10+1,1))-AVERAGE(OFFSET($H$3,0,0,'Données projet'!$E$10+1,1))</f>
        <v>170.08673939431091</v>
      </c>
      <c r="AO35" s="62">
        <f t="shared" si="36"/>
        <v>252.97355497077106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projet'!$B$10,Paramètres!$A$1:$I$88,3,0)*0.475*44/12</f>
        <v>2.2973820578585396</v>
      </c>
      <c r="AV35" s="23">
        <f>EXP(-LN(2)/25)*AV34+(1-EXP(-LN(2)/25))/(LN(2)/25)*Calculateur!AQ35*Calculateur!AS35*VLOOKUP('Données projet'!$B$10,Paramètres!$A$1:$I$88,3,0)*0.475*44/12</f>
        <v>19.545410767933266</v>
      </c>
      <c r="AW35" s="23">
        <f>EXP(-LN(2)/2)*AW34+(1-EXP(-LN(2)/2))/(LN(2)/2)*AQ35*AT35*VLOOKUP('Données projet'!$B$10,Paramètres!$A$1:$I$88,3,0)*0.475*44/12</f>
        <v>7.5627795982969541</v>
      </c>
      <c r="AX35" s="23">
        <f t="shared" si="6"/>
        <v>29.40557242408876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8</v>
      </c>
      <c r="BD35" s="13">
        <f>IF('Données projet'!$A$88&gt;35,BD34+BC35-BL34,IF(A35&lt;'Données projet'!$A$88,$BA$205^A35,IF(A35='Données projet'!$A$88,'Données projet'!$B$88,BD34+BC35-BL34)))</f>
        <v>92</v>
      </c>
      <c r="BE35" s="14">
        <f>BD35*VLOOKUP('Données projet'!$B$11,Paramètres!$A$1:$I$88,3,0)*VLOOKUP('Données projet'!$B$11,Paramètres!$A$1:$I$88,5,0)</f>
        <v>83.241600000000005</v>
      </c>
      <c r="BF35" s="14">
        <f t="shared" si="37"/>
        <v>22.927930643846508</v>
      </c>
      <c r="BG35" s="22">
        <f t="shared" si="7"/>
        <v>184.91193253803269</v>
      </c>
      <c r="BH35" s="62">
        <f t="shared" si="8"/>
        <v>425.88443501855801</v>
      </c>
      <c r="BI35" s="62">
        <f ca="1">AVERAGE(OFFSET($BH$3,0,0,'Données projet'!$E$11+1,1))-AVERAGE(OFFSET($H$3,0,0,'Données projet'!$E$11+1,1))</f>
        <v>362.63718589694594</v>
      </c>
      <c r="BJ35" s="62">
        <f t="shared" si="38"/>
        <v>250.47702091764884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projet'!$B$11,Paramètres!$A$1:$I$88,7,0))</f>
        <v>0</v>
      </c>
      <c r="BN35" s="17">
        <f>IF(ISNA(VLOOKUP(A35,'Données projet'!$A$87:$I$107,6,0)),0%,VLOOKUP(A35,'Données projet'!$A$87:$I$107,6,0)*VLOOKUP('Données projet'!$B$11,Paramètres!$A$1:$I$88,7,0))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projet'!$B$11,Paramètres!$A$1:$I$88,3,0)*0.475*44/12</f>
        <v>0</v>
      </c>
      <c r="BQ35" s="23">
        <f>EXP(-LN(2)/25)*BQ34+(1-EXP(-LN(2)/25))/(LN(2)/25)*Calculateur!BL35*Calculateur!BN35*VLOOKUP('Données projet'!$B$11,Paramètres!$A$1:$I$88,3,0)*0.475*44/12</f>
        <v>0</v>
      </c>
      <c r="BR35" s="23">
        <f>EXP(-LN(2)/2)*BR34+(1-EXP(-LN(2)/2))/(LN(2)/2)*BL35*BO35*VLOOKUP('Données projet'!$B$11,Paramètres!$A$1:$I$88,3,0)*0.475*44/12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8</v>
      </c>
      <c r="BY35" s="13">
        <f>IF('Données projet'!$A$114&gt;35,BY34+BX35-CG34,IF(A35&lt;'Données projet'!$A$114,$BV$205^A35,IF(A35='Données projet'!$A$114,'Données projet'!$B$114,BY34+BX35-CG34)))</f>
        <v>92</v>
      </c>
      <c r="BZ35" s="14">
        <f>BY35*VLOOKUP('Données projet'!$B$12,Paramètres!$A$1:$I$88,3,0)*VLOOKUP('Données projet'!$B$12,Paramètres!$A$1:$I$88,5,0)</f>
        <v>93.288000000000011</v>
      </c>
      <c r="CA35" s="14">
        <f t="shared" si="39"/>
        <v>25.356547829040977</v>
      </c>
      <c r="CB35" s="22">
        <f t="shared" si="10"/>
        <v>206.63925413557971</v>
      </c>
      <c r="CC35" s="62">
        <f t="shared" si="11"/>
        <v>447.61175661610503</v>
      </c>
      <c r="CD35" s="62">
        <f ca="1">AVERAGE(OFFSET($CC$3,0,0,'Données projet'!$E$12+1,1))-AVERAGE(OFFSET($H$3,0,0,'Données projet'!$E$12+1,1))</f>
        <v>398.14524781940196</v>
      </c>
      <c r="CE35" s="62">
        <f t="shared" si="40"/>
        <v>273.35778700650792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projet'!$B$12,Paramètres!$A$1:$I$88,3,0)*0.475*44/12</f>
        <v>0</v>
      </c>
      <c r="CL35" s="23">
        <f>EXP(-LN(2)/25)*CL34+(1-EXP(-LN(2)/25))/(LN(2)/25)*Calculateur!CG35*Calculateur!CI35*VLOOKUP('Données projet'!$B$12,Paramètres!$A$1:$I$88,3,0)*0.475*44/12</f>
        <v>0</v>
      </c>
      <c r="CM35" s="23">
        <f>EXP(-LN(2)/2)*CM34+(1-EXP(-LN(2)/2))/(LN(2)/2)*CG35*CJ35*VLOOKUP('Données projet'!$B$12,Paramètres!$A$1:$I$88,3,0)*0.475*44/12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8.8000000000000007</v>
      </c>
      <c r="CT35" s="13">
        <f>IF('Données projet'!$A$140&gt;35,CT34+CS35-DB34,IF(A35&lt;'Données projet'!$A$140,$CQ$205^A35,IF(A35='Données projet'!$A$140,'Données projet'!$B$140,CT34+CS35-DB34)))</f>
        <v>112.59999999999995</v>
      </c>
      <c r="CU35" s="18">
        <f>CT35*VLOOKUP('Données projet'!$B$13,Paramètres!$A$1:$I$88,3,0)*VLOOKUP('Données projet'!$B$13,Paramètres!$A$1:$I$88,5,0)</f>
        <v>107.15015999999994</v>
      </c>
      <c r="CV35" s="14">
        <f t="shared" si="41"/>
        <v>28.658517723314318</v>
      </c>
      <c r="CW35" s="22">
        <f t="shared" si="13"/>
        <v>236.53344703477231</v>
      </c>
      <c r="CX35" s="62">
        <f t="shared" si="14"/>
        <v>477.50594951529763</v>
      </c>
      <c r="CY35" s="62">
        <f ca="1">AVERAGE(OFFSET($CX$3,0,0,'Données projet'!$E$13+1,1))-AVERAGE(OFFSET($H$3,0,0,'Données projet'!$E$13+1,1))</f>
        <v>470.0521927195926</v>
      </c>
      <c r="CZ35" s="62">
        <f t="shared" si="42"/>
        <v>299.27200854723435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projet'!$B$13,Paramètres!$A$1:$I$88,3,0)*0.475*44/12</f>
        <v>0</v>
      </c>
      <c r="DG35" s="23">
        <f>EXP(-LN(2)/25)*DG34+(1-EXP(-LN(2)/25))/(LN(2)/25)*Calculateur!DB35*Calculateur!DD35*VLOOKUP('Données projet'!$B$13,Paramètres!$A$1:$I$88,3,0)*0.475*44/12</f>
        <v>0</v>
      </c>
      <c r="DH35" s="23">
        <f>EXP(-LN(2)/2)*DH34+(1-EXP(-LN(2)/2))/(LN(2)/2)*DB35*DE35*VLOOKUP('Données projet'!$B$13,Paramètres!$A$1:$I$88,3,0)*0.475*44/12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5</v>
      </c>
      <c r="DO35" s="13">
        <f>IF('Données projet'!$A$166&gt;35,DO34+DN35-DW34,IF(A35&lt;'Données projet'!$A$166,$DL$205^A35,IF(A35='Données projet'!$A$166,'Données projet'!$B$166,DO34+DN35-DW34)))</f>
        <v>63.999999999999986</v>
      </c>
      <c r="DP35" s="18">
        <f>DO35*VLOOKUP('Données projet'!$B$14,Paramètres!$A$1:$I$88,3,0)*VLOOKUP('Données projet'!$B$14,Paramètres!$A$1:$I$88,5,0)</f>
        <v>61.90079999999999</v>
      </c>
      <c r="DQ35" s="14">
        <f t="shared" si="43"/>
        <v>17.647975079256284</v>
      </c>
      <c r="DR35" s="22">
        <f t="shared" si="16"/>
        <v>138.54744992970467</v>
      </c>
      <c r="DS35" s="62">
        <f t="shared" si="17"/>
        <v>379.51995241022996</v>
      </c>
      <c r="DT35" s="62">
        <f ca="1">AVERAGE(OFFSET($DS$3,0,0,'Données projet'!$E$14+1,1))-AVERAGE(OFFSET($H$3,0,0,'Données projet'!$E$14+1,1))</f>
        <v>290.89727102147953</v>
      </c>
      <c r="DU35" s="62">
        <f t="shared" si="44"/>
        <v>173.19148969173838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projet'!$B$14,Paramètres!$A$1:$I$88,3,0)*0.475*44/12</f>
        <v>0</v>
      </c>
      <c r="EB35" s="23">
        <f>EXP(-LN(2)/25)*EB34+(1-EXP(-LN(2)/25))/(LN(2)/25)*Calculateur!DW35*Calculateur!DY35*VLOOKUP('Données projet'!$B$14,Paramètres!$A$1:$I$88,3,0)*0.475*44/12</f>
        <v>0</v>
      </c>
      <c r="EC35" s="23">
        <f>EXP(-LN(2)/2)*EC34+(1-EXP(-LN(2)/2))/(LN(2)/2)*DW35*DZ35*VLOOKUP('Données projet'!$B$14,Paramètres!$A$1:$I$88,3,0)*0.475*44/12</f>
        <v>0</v>
      </c>
      <c r="ED35" s="24">
        <f t="shared" si="18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projet'!$B$15,Paramètres!$A$1:$I$88,3,0)*VLOOKUP('Données projet'!$B$15,Paramètres!$A$1:$I$88,5,0)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projet'!$B$15,Paramètres!$A$1:$I$88,3,0)*0.475*44/12</f>
        <v>#N/A</v>
      </c>
      <c r="EW35" s="23" t="e">
        <f>EXP(-LN(2)/25)*EW34+(1-EXP(-LN(2)/25))/(LN(2)/25)*Calculateur!ER35*Calculateur!ET35*VLOOKUP('Données projet'!$B$15,Paramètres!$A$1:$I$88,3,0)*0.475*44/12</f>
        <v>#N/A</v>
      </c>
      <c r="EX35" s="23" t="e">
        <f>EXP(-LN(2)/2)*EX34+(1-EXP(-LN(2)/2))/(LN(2)/2)*ER35*EU35*VLOOKUP('Données projet'!$B$15,Paramètres!$A$1:$I$88,3,0)*0.475*44/12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projet'!$B$16,Paramètres!$A$1:$I$88,3,0)*VLOOKUP('Données projet'!$B$16,Paramètres!$A$1:$I$88,5,0)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projet'!$B$16,Paramètres!$A$1:$I$88,3,0)*0.475*44/12</f>
        <v>#N/A</v>
      </c>
      <c r="FR35" s="23" t="e">
        <f>EXP(-LN(2)/25)*FR34+(1-EXP(-LN(2)/25))/(LN(2)/25)*Calculateur!FM35*Calculateur!FO35*VLOOKUP('Données projet'!$B$16,Paramètres!$A$1:$I$88,3,0)*0.475*44/12</f>
        <v>#N/A</v>
      </c>
      <c r="FS35" s="23" t="e">
        <f>EXP(-LN(2)/2)*FS34+(1-EXP(-LN(2)/2))/(LN(2)/2)*FM35*FP35*VLOOKUP('Données projet'!$B$16,Paramètres!$A$1:$I$88,3,0)*0.475*44/12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projet'!$B$17,Paramètres!$A$1:$I$88,3,0)*VLOOKUP('Données projet'!$B$17,Paramètres!$A$1:$I$88,5,0)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projet'!$B$17,Paramètres!$A$1:$I$88,3,0)*0.475*44/12</f>
        <v>#N/A</v>
      </c>
      <c r="GM35" s="23" t="e">
        <f>EXP(-LN(2)/25)*GM34+(1-EXP(-LN(2)/25))/(LN(2)/25)*Calculateur!GH35*Calculateur!GJ35*VLOOKUP('Données projet'!$B$17,Paramètres!$A$1:$I$88,3,0)*0.475*44/12</f>
        <v>#N/A</v>
      </c>
      <c r="GN35" s="23" t="e">
        <f>EXP(-LN(2)/2)*GN34+(1-EXP(-LN(2)/2))/(LN(2)/2)*GH35*GK35*VLOOKUP('Données projet'!$B$17,Paramètres!$A$1:$I$88,3,0)*0.475*44/12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projet'!$B$18,Paramètres!$A$1:$I$88,3,0)*VLOOKUP('Données projet'!$B$18,Paramètres!$A$1:$I$88,5,0)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projet'!$B$18,Paramètres!$A$1:$I$88,3,0)*0.475*44/12</f>
        <v>#N/A</v>
      </c>
      <c r="HH35" s="23" t="e">
        <f>EXP(-LN(2)/25)*HH34+(1-EXP(-LN(2)/25))/(LN(2)/25)*Calculateur!HC35*Calculateur!HE35*VLOOKUP('Données projet'!$B$18,Paramètres!$A$1:$I$88,3,0)*0.475*44/12</f>
        <v>#N/A</v>
      </c>
      <c r="HI35" s="23" t="e">
        <f>EXP(-LN(2)/2)*HI34+(1-EXP(-LN(2)/2))/(LN(2)/2)*HC35*HF35*VLOOKUP('Données projet'!$B$18,Paramètres!$A$1:$I$88,3,0)*0.475*44/12</f>
        <v>#N/A</v>
      </c>
      <c r="HJ35" s="24" t="e">
        <f t="shared" si="30"/>
        <v>#N/A</v>
      </c>
    </row>
    <row r="36" spans="1:218" s="5" customFormat="1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21.8</v>
      </c>
      <c r="N36" s="14">
        <f>IF('Données projet'!$A$36&gt;35,N35+M36-V35,IF(A36&lt;'Données projet'!$A$36,$K$205^A36,IF(A36='Données projet'!$A$36,'Données projet'!$B$36,N35+M36-V35)))</f>
        <v>286.39999999999998</v>
      </c>
      <c r="O36" s="14">
        <f>N36*VLOOKUP('Données projet'!$B$9,Paramètres!$A$1:$I$88,3,0)*VLOOKUP('Données projet'!$B$9,Paramètres!$A$1:$I$88,5,0)</f>
        <v>171.2672</v>
      </c>
      <c r="P36" s="14">
        <f t="shared" si="33"/>
        <v>43.373711445811836</v>
      </c>
      <c r="Q36" s="22">
        <f t="shared" si="53"/>
        <v>373.83292076812228</v>
      </c>
      <c r="R36" s="62">
        <f t="shared" si="0"/>
        <v>615.71376660266299</v>
      </c>
      <c r="S36" s="62">
        <f ca="1">AVERAGE(OFFSET($R$3,0,0,'Données projet'!$E$9+1,1))-AVERAGE(OFFSET($H$3,0,0,'Données projet'!$E$9+1,1))</f>
        <v>301.2688576786212</v>
      </c>
      <c r="T36" s="62">
        <f t="shared" si="34"/>
        <v>417.62172165132927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0</v>
      </c>
      <c r="AA36" s="23">
        <f>EXP(-LN(2)/25)*AA35+(1-EXP(-LN(2)/25))/(LN(2)/25)*Calculateur!V36*Calculateur!X36*VLOOKUP('Données projet'!$B$9,Paramètres!$A$1:$I$88,3,0)*0.475*44/12</f>
        <v>27.453116041383623</v>
      </c>
      <c r="AB36" s="23">
        <f>EXP(-LN(2)/2)*AB35+(1-EXP(-LN(2)/2))/(LN(2)/2)*V36*Y36*VLOOKUP('Données projet'!$B$9,Paramètres!$A$1:$I$88,3,0)*0.475*44/12</f>
        <v>7.1277227739295759</v>
      </c>
      <c r="AC36" s="24">
        <f t="shared" si="3"/>
        <v>34.5808388153132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14</v>
      </c>
      <c r="AI36" s="14">
        <f>IF('Données projet'!$A$62&gt;35,AI35+AH36-AQ35,IF(A36&lt;'Données projet'!$A$62,$AF$205^A36,IF(A36='Données projet'!$A$62,'Données projet'!$B$62,AI35+AH36-AQ35)))</f>
        <v>162</v>
      </c>
      <c r="AJ36" s="14">
        <f>AI36*VLOOKUP('Données projet'!$B$10,Paramètres!$A$1:$I$88,3,0)*VLOOKUP('Données projet'!$B$10,Paramètres!$A$1:$I$88,5,0)</f>
        <v>75.816000000000003</v>
      </c>
      <c r="AK36" s="14">
        <f t="shared" si="35"/>
        <v>21.110998140607162</v>
      </c>
      <c r="AL36" s="22">
        <f t="shared" si="4"/>
        <v>168.81452176155747</v>
      </c>
      <c r="AM36" s="62">
        <f t="shared" si="5"/>
        <v>410.69536759609821</v>
      </c>
      <c r="AN36" s="62">
        <f ca="1">AVERAGE(OFFSET($AM$3,0,0,'Données projet'!$E$10+1,1))-AVERAGE(OFFSET($H$3,0,0,'Données projet'!$E$10+1,1))</f>
        <v>170.08673939431091</v>
      </c>
      <c r="AO36" s="62">
        <f t="shared" si="36"/>
        <v>252.97355497077106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projet'!$B$10,Paramètres!$A$1:$I$88,3,0)*0.475*44/12</f>
        <v>2.2523317969686256</v>
      </c>
      <c r="AV36" s="23">
        <f>EXP(-LN(2)/25)*AV35+(1-EXP(-LN(2)/25))/(LN(2)/25)*Calculateur!AQ36*Calculateur!AS36*VLOOKUP('Données projet'!$B$10,Paramètres!$A$1:$I$88,3,0)*0.475*44/12</f>
        <v>19.01094048263565</v>
      </c>
      <c r="AW36" s="23">
        <f>EXP(-LN(2)/2)*AW35+(1-EXP(-LN(2)/2))/(LN(2)/2)*AQ36*AT36*VLOOKUP('Données projet'!$B$10,Paramètres!$A$1:$I$88,3,0)*0.475*44/12</f>
        <v>5.3476927385750503</v>
      </c>
      <c r="AX36" s="23">
        <f t="shared" si="6"/>
        <v>26.610965018179328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8</v>
      </c>
      <c r="BD36" s="13">
        <f>IF('Données projet'!$A$88&gt;35,BD35+BC36-BL35,IF(A36&lt;'Données projet'!$A$88,$BA$205^A36,IF(A36='Données projet'!$A$88,'Données projet'!$B$88,BD35+BC36-BL35)))</f>
        <v>100</v>
      </c>
      <c r="BE36" s="14">
        <f>BD36*VLOOKUP('Données projet'!$B$11,Paramètres!$A$1:$I$88,3,0)*VLOOKUP('Données projet'!$B$11,Paramètres!$A$1:$I$88,5,0)</f>
        <v>90.47999999999999</v>
      </c>
      <c r="BF36" s="14">
        <f t="shared" si="37"/>
        <v>24.680953573367994</v>
      </c>
      <c r="BG36" s="22">
        <f t="shared" si="7"/>
        <v>200.57199414028256</v>
      </c>
      <c r="BH36" s="62">
        <f t="shared" si="8"/>
        <v>442.45283997482329</v>
      </c>
      <c r="BI36" s="62">
        <f ca="1">AVERAGE(OFFSET($BH$3,0,0,'Données projet'!$E$11+1,1))-AVERAGE(OFFSET($H$3,0,0,'Données projet'!$E$11+1,1))</f>
        <v>362.63718589694594</v>
      </c>
      <c r="BJ36" s="62">
        <f t="shared" si="38"/>
        <v>250.47702091764884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projet'!$B$11,Paramètres!$A$1:$I$88,3,0)*0.475*44/12</f>
        <v>0</v>
      </c>
      <c r="BQ36" s="23">
        <f>EXP(-LN(2)/25)*BQ35+(1-EXP(-LN(2)/25))/(LN(2)/25)*Calculateur!BL36*Calculateur!BN36*VLOOKUP('Données projet'!$B$11,Paramètres!$A$1:$I$88,3,0)*0.475*44/12</f>
        <v>0</v>
      </c>
      <c r="BR36" s="23">
        <f>EXP(-LN(2)/2)*BR35+(1-EXP(-LN(2)/2))/(LN(2)/2)*BL36*BO36*VLOOKUP('Données projet'!$B$11,Paramètres!$A$1:$I$88,3,0)*0.475*44/12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8</v>
      </c>
      <c r="BY36" s="13">
        <f>IF('Données projet'!$A$114&gt;35,BY35+BX36-CG35,IF(A36&lt;'Données projet'!$A$114,$BV$205^A36,IF(A36='Données projet'!$A$114,'Données projet'!$B$114,BY35+BX36-CG35)))</f>
        <v>100</v>
      </c>
      <c r="BZ36" s="14">
        <f>BY36*VLOOKUP('Données projet'!$B$12,Paramètres!$A$1:$I$88,3,0)*VLOOKUP('Données projet'!$B$12,Paramètres!$A$1:$I$88,5,0)</f>
        <v>101.4</v>
      </c>
      <c r="CA36" s="14">
        <f t="shared" si="39"/>
        <v>27.295257887453797</v>
      </c>
      <c r="CB36" s="22">
        <f t="shared" si="10"/>
        <v>224.14424082064872</v>
      </c>
      <c r="CC36" s="62">
        <f t="shared" si="11"/>
        <v>466.02508665518945</v>
      </c>
      <c r="CD36" s="62">
        <f ca="1">AVERAGE(OFFSET($CC$3,0,0,'Données projet'!$E$12+1,1))-AVERAGE(OFFSET($H$3,0,0,'Données projet'!$E$12+1,1))</f>
        <v>398.14524781940196</v>
      </c>
      <c r="CE36" s="62">
        <f t="shared" si="40"/>
        <v>273.35778700650792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projet'!$B$12,Paramètres!$A$1:$I$88,3,0)*0.475*44/12</f>
        <v>0</v>
      </c>
      <c r="CL36" s="23">
        <f>EXP(-LN(2)/25)*CL35+(1-EXP(-LN(2)/25))/(LN(2)/25)*Calculateur!CG36*Calculateur!CI36*VLOOKUP('Données projet'!$B$12,Paramètres!$A$1:$I$88,3,0)*0.475*44/12</f>
        <v>0</v>
      </c>
      <c r="CM36" s="23">
        <f>EXP(-LN(2)/2)*CM35+(1-EXP(-LN(2)/2))/(LN(2)/2)*CG36*CJ36*VLOOKUP('Données projet'!$B$12,Paramètres!$A$1:$I$88,3,0)*0.475*44/12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8.8000000000000007</v>
      </c>
      <c r="CT36" s="13">
        <f>IF('Données projet'!$A$140&gt;35,CT35+CS36-DB35,IF(A36&lt;'Données projet'!$A$140,$CQ$205^A36,IF(A36='Données projet'!$A$140,'Données projet'!$B$140,CT35+CS36-DB35)))</f>
        <v>121.39999999999995</v>
      </c>
      <c r="CU36" s="18">
        <f>CT36*VLOOKUP('Données projet'!$B$13,Paramètres!$A$1:$I$88,3,0)*VLOOKUP('Données projet'!$B$13,Paramètres!$A$1:$I$88,5,0)</f>
        <v>115.52423999999996</v>
      </c>
      <c r="CV36" s="14">
        <f t="shared" si="41"/>
        <v>30.628803652926258</v>
      </c>
      <c r="CW36" s="22">
        <f t="shared" si="13"/>
        <v>254.54988436217982</v>
      </c>
      <c r="CX36" s="62">
        <f t="shared" si="14"/>
        <v>496.43073019672056</v>
      </c>
      <c r="CY36" s="62">
        <f ca="1">AVERAGE(OFFSET($CX$3,0,0,'Données projet'!$E$13+1,1))-AVERAGE(OFFSET($H$3,0,0,'Données projet'!$E$13+1,1))</f>
        <v>470.0521927195926</v>
      </c>
      <c r="CZ36" s="62">
        <f t="shared" si="42"/>
        <v>299.27200854723435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projet'!$B$13,Paramètres!$A$1:$I$88,3,0)*0.475*44/12</f>
        <v>0</v>
      </c>
      <c r="DG36" s="23">
        <f>EXP(-LN(2)/25)*DG35+(1-EXP(-LN(2)/25))/(LN(2)/25)*Calculateur!DB36*Calculateur!DD36*VLOOKUP('Données projet'!$B$13,Paramètres!$A$1:$I$88,3,0)*0.475*44/12</f>
        <v>0</v>
      </c>
      <c r="DH36" s="23">
        <f>EXP(-LN(2)/2)*DH35+(1-EXP(-LN(2)/2))/(LN(2)/2)*DB36*DE36*VLOOKUP('Données projet'!$B$13,Paramètres!$A$1:$I$88,3,0)*0.475*44/12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5</v>
      </c>
      <c r="DO36" s="13">
        <f>IF('Données projet'!$A$166&gt;35,DO35+DN36-DW35,IF(A36&lt;'Données projet'!$A$166,$DL$205^A36,IF(A36='Données projet'!$A$166,'Données projet'!$B$166,DO35+DN36-DW35)))</f>
        <v>68.999999999999986</v>
      </c>
      <c r="DP36" s="18">
        <f>DO36*VLOOKUP('Données projet'!$B$14,Paramètres!$A$1:$I$88,3,0)*VLOOKUP('Données projet'!$B$14,Paramètres!$A$1:$I$88,5,0)</f>
        <v>66.736799999999988</v>
      </c>
      <c r="DQ36" s="14">
        <f t="shared" si="43"/>
        <v>18.860852268900583</v>
      </c>
      <c r="DR36" s="22">
        <f t="shared" si="16"/>
        <v>149.0825777016685</v>
      </c>
      <c r="DS36" s="62">
        <f t="shared" si="17"/>
        <v>390.96342353620923</v>
      </c>
      <c r="DT36" s="62">
        <f ca="1">AVERAGE(OFFSET($DS$3,0,0,'Données projet'!$E$14+1,1))-AVERAGE(OFFSET($H$3,0,0,'Données projet'!$E$14+1,1))</f>
        <v>290.89727102147953</v>
      </c>
      <c r="DU36" s="62">
        <f t="shared" si="44"/>
        <v>173.19148969173838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projet'!$B$14,Paramètres!$A$1:$I$88,3,0)*0.475*44/12</f>
        <v>0</v>
      </c>
      <c r="EB36" s="23">
        <f>EXP(-LN(2)/25)*EB35+(1-EXP(-LN(2)/25))/(LN(2)/25)*Calculateur!DW36*Calculateur!DY36*VLOOKUP('Données projet'!$B$14,Paramètres!$A$1:$I$88,3,0)*0.475*44/12</f>
        <v>0</v>
      </c>
      <c r="EC36" s="23">
        <f>EXP(-LN(2)/2)*EC35+(1-EXP(-LN(2)/2))/(LN(2)/2)*DW36*DZ36*VLOOKUP('Données projet'!$B$14,Paramètres!$A$1:$I$88,3,0)*0.475*44/12</f>
        <v>0</v>
      </c>
      <c r="ED36" s="24">
        <f t="shared" si="18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projet'!$B$15,Paramètres!$A$1:$I$88,3,0)*VLOOKUP('Données projet'!$B$15,Paramètres!$A$1:$I$88,5,0)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projet'!$B$15,Paramètres!$A$1:$I$88,3,0)*0.475*44/12</f>
        <v>#N/A</v>
      </c>
      <c r="EW36" s="23" t="e">
        <f>EXP(-LN(2)/25)*EW35+(1-EXP(-LN(2)/25))/(LN(2)/25)*Calculateur!ER36*Calculateur!ET36*VLOOKUP('Données projet'!$B$15,Paramètres!$A$1:$I$88,3,0)*0.475*44/12</f>
        <v>#N/A</v>
      </c>
      <c r="EX36" s="23" t="e">
        <f>EXP(-LN(2)/2)*EX35+(1-EXP(-LN(2)/2))/(LN(2)/2)*ER36*EU36*VLOOKUP('Données projet'!$B$15,Paramètres!$A$1:$I$88,3,0)*0.475*44/12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projet'!$B$16,Paramètres!$A$1:$I$88,3,0)*VLOOKUP('Données projet'!$B$16,Paramètres!$A$1:$I$88,5,0)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projet'!$B$16,Paramètres!$A$1:$I$88,3,0)*0.475*44/12</f>
        <v>#N/A</v>
      </c>
      <c r="FR36" s="23" t="e">
        <f>EXP(-LN(2)/25)*FR35+(1-EXP(-LN(2)/25))/(LN(2)/25)*Calculateur!FM36*Calculateur!FO36*VLOOKUP('Données projet'!$B$16,Paramètres!$A$1:$I$88,3,0)*0.475*44/12</f>
        <v>#N/A</v>
      </c>
      <c r="FS36" s="23" t="e">
        <f>EXP(-LN(2)/2)*FS35+(1-EXP(-LN(2)/2))/(LN(2)/2)*FM36*FP36*VLOOKUP('Données projet'!$B$16,Paramètres!$A$1:$I$88,3,0)*0.475*44/12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projet'!$B$17,Paramètres!$A$1:$I$88,3,0)*VLOOKUP('Données projet'!$B$17,Paramètres!$A$1:$I$88,5,0)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projet'!$B$17,Paramètres!$A$1:$I$88,3,0)*0.475*44/12</f>
        <v>#N/A</v>
      </c>
      <c r="GM36" s="23" t="e">
        <f>EXP(-LN(2)/25)*GM35+(1-EXP(-LN(2)/25))/(LN(2)/25)*Calculateur!GH36*Calculateur!GJ36*VLOOKUP('Données projet'!$B$17,Paramètres!$A$1:$I$88,3,0)*0.475*44/12</f>
        <v>#N/A</v>
      </c>
      <c r="GN36" s="23" t="e">
        <f>EXP(-LN(2)/2)*GN35+(1-EXP(-LN(2)/2))/(LN(2)/2)*GH36*GK36*VLOOKUP('Données projet'!$B$17,Paramètres!$A$1:$I$88,3,0)*0.475*44/12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projet'!$B$18,Paramètres!$A$1:$I$88,3,0)*VLOOKUP('Données projet'!$B$18,Paramètres!$A$1:$I$88,5,0)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projet'!$B$18,Paramètres!$A$1:$I$88,3,0)*0.475*44/12</f>
        <v>#N/A</v>
      </c>
      <c r="HH36" s="23" t="e">
        <f>EXP(-LN(2)/25)*HH35+(1-EXP(-LN(2)/25))/(LN(2)/25)*Calculateur!HC36*Calculateur!HE36*VLOOKUP('Données projet'!$B$18,Paramètres!$A$1:$I$88,3,0)*0.475*44/12</f>
        <v>#N/A</v>
      </c>
      <c r="HI36" s="23" t="e">
        <f>EXP(-LN(2)/2)*HI35+(1-EXP(-LN(2)/2))/(LN(2)/2)*HC36*HF36*VLOOKUP('Données projet'!$B$18,Paramètres!$A$1:$I$88,3,0)*0.475*44/12</f>
        <v>#N/A</v>
      </c>
      <c r="HJ36" s="24" t="e">
        <f t="shared" si="30"/>
        <v>#N/A</v>
      </c>
    </row>
    <row r="37" spans="1:218" s="5" customFormat="1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21.8</v>
      </c>
      <c r="N37" s="14">
        <f>IF('Données projet'!$A$36&gt;35,N36+M37-V36,IF(A37&lt;'Données projet'!$A$36,$K$205^A37,IF(A37='Données projet'!$A$36,'Données projet'!$B$36,N36+M37-V36)))</f>
        <v>308.2</v>
      </c>
      <c r="O37" s="14">
        <f>N37*VLOOKUP('Données projet'!$B$9,Paramètres!$A$1:$I$88,3,0)*VLOOKUP('Données projet'!$B$9,Paramètres!$A$1:$I$88,5,0)</f>
        <v>184.30359999999999</v>
      </c>
      <c r="P37" s="14">
        <f t="shared" si="33"/>
        <v>46.27833726438655</v>
      </c>
      <c r="Q37" s="22">
        <f t="shared" si="53"/>
        <v>401.59687406880653</v>
      </c>
      <c r="R37" s="62">
        <f t="shared" si="0"/>
        <v>644.37030553092211</v>
      </c>
      <c r="S37" s="62">
        <f ca="1">AVERAGE(OFFSET($R$3,0,0,'Données projet'!$E$9+1,1))-AVERAGE(OFFSET($H$3,0,0,'Données projet'!$E$9+1,1))</f>
        <v>301.2688576786212</v>
      </c>
      <c r="T37" s="62">
        <f t="shared" si="34"/>
        <v>417.62172165132927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projet'!$B$9,Paramètres!$A$1:$I$88,7,0))</f>
        <v>0</v>
      </c>
      <c r="X37" s="17">
        <f>IF(ISNA(VLOOKUP(A37,'Données projet'!$A$35:$I$55,6,0)),0%,VLOOKUP(A37,'Données projet'!$A$35:$I$55,6,0)*VLOOKUP('Données projet'!$B$9,Paramètres!$A$1:$I$88,7,0))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0</v>
      </c>
      <c r="AA37" s="23">
        <f>EXP(-LN(2)/25)*AA36+(1-EXP(-LN(2)/25))/(LN(2)/25)*Calculateur!V37*Calculateur!X37*VLOOKUP('Données projet'!$B$9,Paramètres!$A$1:$I$88,3,0)*0.475*44/12</f>
        <v>26.702409139535359</v>
      </c>
      <c r="AB37" s="23">
        <f>EXP(-LN(2)/2)*AB36+(1-EXP(-LN(2)/2))/(LN(2)/2)*V37*Y37*VLOOKUP('Données projet'!$B$9,Paramètres!$A$1:$I$88,3,0)*0.475*44/12</f>
        <v>5.0400611078633926</v>
      </c>
      <c r="AC37" s="24">
        <f t="shared" si="3"/>
        <v>31.742470247398749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14</v>
      </c>
      <c r="AI37" s="14">
        <f>IF('Données projet'!$A$62&gt;35,AI36+AH37-AQ36,IF(A37&lt;'Données projet'!$A$62,$AF$205^A37,IF(A37='Données projet'!$A$62,'Données projet'!$B$62,AI36+AH37-AQ36)))</f>
        <v>176</v>
      </c>
      <c r="AJ37" s="14">
        <f>AI37*VLOOKUP('Données projet'!$B$10,Paramètres!$A$1:$I$88,3,0)*VLOOKUP('Données projet'!$B$10,Paramètres!$A$1:$I$88,5,0)</f>
        <v>82.367999999999995</v>
      </c>
      <c r="AK37" s="14">
        <f t="shared" si="35"/>
        <v>22.715185822374924</v>
      </c>
      <c r="AL37" s="22">
        <f t="shared" si="4"/>
        <v>183.01988197396963</v>
      </c>
      <c r="AM37" s="62">
        <f t="shared" si="5"/>
        <v>425.79331343608521</v>
      </c>
      <c r="AN37" s="62">
        <f ca="1">AVERAGE(OFFSET($AM$3,0,0,'Données projet'!$E$10+1,1))-AVERAGE(OFFSET($H$3,0,0,'Données projet'!$E$10+1,1))</f>
        <v>170.08673939431091</v>
      </c>
      <c r="AO37" s="62">
        <f t="shared" si="36"/>
        <v>252.97355497077106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projet'!$B$10,Paramètres!$A$1:$I$88,7,0))</f>
        <v>0</v>
      </c>
      <c r="AS37" s="17">
        <f>IF(ISNA(VLOOKUP(A37,'Données projet'!$A$61:$I$81,6,0)),0%,VLOOKUP(A37,'Données projet'!$A$61:$I$81,6,0)*VLOOKUP('Données projet'!$B$10,Paramètres!$A$1:$I$88,7,0))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projet'!$B$10,Paramètres!$A$1:$I$88,3,0)*0.475*44/12</f>
        <v>2.2081649442168167</v>
      </c>
      <c r="AV37" s="23">
        <f>EXP(-LN(2)/25)*AV36+(1-EXP(-LN(2)/25))/(LN(2)/25)*Calculateur!AQ37*Calculateur!AS37*VLOOKUP('Données projet'!$B$10,Paramètres!$A$1:$I$88,3,0)*0.475*44/12</f>
        <v>18.49108531539607</v>
      </c>
      <c r="AW37" s="23">
        <f>EXP(-LN(2)/2)*AW36+(1-EXP(-LN(2)/2))/(LN(2)/2)*AQ37*AT37*VLOOKUP('Données projet'!$B$10,Paramètres!$A$1:$I$88,3,0)*0.475*44/12</f>
        <v>3.7813897991484775</v>
      </c>
      <c r="AX37" s="23">
        <f t="shared" si="6"/>
        <v>24.480640058761367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8</v>
      </c>
      <c r="BD37" s="13">
        <f>IF('Données projet'!$A$88&gt;35,BD36+BC37-BL36,IF(A37&lt;'Données projet'!$A$88,$BA$205^A37,IF(A37='Données projet'!$A$88,'Données projet'!$B$88,BD36+BC37-BL36)))</f>
        <v>108</v>
      </c>
      <c r="BE37" s="14">
        <f>BD37*VLOOKUP('Données projet'!$B$11,Paramètres!$A$1:$I$88,3,0)*VLOOKUP('Données projet'!$B$11,Paramètres!$A$1:$I$88,5,0)</f>
        <v>97.718399999999988</v>
      </c>
      <c r="BF37" s="14">
        <f t="shared" si="37"/>
        <v>26.417709819192194</v>
      </c>
      <c r="BG37" s="22">
        <f t="shared" si="7"/>
        <v>216.20372460175972</v>
      </c>
      <c r="BH37" s="62">
        <f t="shared" si="8"/>
        <v>458.97715606387533</v>
      </c>
      <c r="BI37" s="62">
        <f ca="1">AVERAGE(OFFSET($BH$3,0,0,'Données projet'!$E$11+1,1))-AVERAGE(OFFSET($H$3,0,0,'Données projet'!$E$11+1,1))</f>
        <v>362.63718589694594</v>
      </c>
      <c r="BJ37" s="62">
        <f t="shared" si="38"/>
        <v>250.47702091764884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projet'!$B$11,Paramètres!$A$1:$I$88,7,0))</f>
        <v>0</v>
      </c>
      <c r="BN37" s="17">
        <f>IF(ISNA(VLOOKUP(A37,'Données projet'!$A$87:$I$107,6,0)),0%,VLOOKUP(A37,'Données projet'!$A$87:$I$107,6,0)*VLOOKUP('Données projet'!$B$11,Paramètres!$A$1:$I$88,7,0))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projet'!$B$11,Paramètres!$A$1:$I$88,3,0)*0.475*44/12</f>
        <v>0</v>
      </c>
      <c r="BQ37" s="23">
        <f>EXP(-LN(2)/25)*BQ36+(1-EXP(-LN(2)/25))/(LN(2)/25)*Calculateur!BL37*Calculateur!BN37*VLOOKUP('Données projet'!$B$11,Paramètres!$A$1:$I$88,3,0)*0.475*44/12</f>
        <v>0</v>
      </c>
      <c r="BR37" s="23">
        <f>EXP(-LN(2)/2)*BR36+(1-EXP(-LN(2)/2))/(LN(2)/2)*BL37*BO37*VLOOKUP('Données projet'!$B$11,Paramètres!$A$1:$I$88,3,0)*0.475*44/12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8</v>
      </c>
      <c r="BY37" s="13">
        <f>IF('Données projet'!$A$114&gt;35,BY36+BX37-CG36,IF(A37&lt;'Données projet'!$A$114,$BV$205^A37,IF(A37='Données projet'!$A$114,'Données projet'!$B$114,BY36+BX37-CG36)))</f>
        <v>108</v>
      </c>
      <c r="BZ37" s="14">
        <f>BY37*VLOOKUP('Données projet'!$B$12,Paramètres!$A$1:$I$88,3,0)*VLOOKUP('Données projet'!$B$12,Paramètres!$A$1:$I$88,5,0)</f>
        <v>109.51200000000001</v>
      </c>
      <c r="CA37" s="14">
        <f t="shared" si="39"/>
        <v>29.215978230632555</v>
      </c>
      <c r="CB37" s="22">
        <f t="shared" si="10"/>
        <v>241.61789541835174</v>
      </c>
      <c r="CC37" s="62">
        <f t="shared" si="11"/>
        <v>484.39132688046732</v>
      </c>
      <c r="CD37" s="62">
        <f ca="1">AVERAGE(OFFSET($CC$3,0,0,'Données projet'!$E$12+1,1))-AVERAGE(OFFSET($H$3,0,0,'Données projet'!$E$12+1,1))</f>
        <v>398.14524781940196</v>
      </c>
      <c r="CE37" s="62">
        <f t="shared" si="40"/>
        <v>273.35778700650792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projet'!$B$12,Paramètres!$A$1:$I$88,7,0))</f>
        <v>0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projet'!$B$12,Paramètres!$A$1:$I$88,3,0)*0.475*44/12</f>
        <v>0</v>
      </c>
      <c r="CL37" s="23">
        <f>EXP(-LN(2)/25)*CL36+(1-EXP(-LN(2)/25))/(LN(2)/25)*Calculateur!CG37*Calculateur!CI37*VLOOKUP('Données projet'!$B$12,Paramètres!$A$1:$I$88,3,0)*0.475*44/12</f>
        <v>0</v>
      </c>
      <c r="CM37" s="23">
        <f>EXP(-LN(2)/2)*CM36+(1-EXP(-LN(2)/2))/(LN(2)/2)*CG37*CJ37*VLOOKUP('Données projet'!$B$12,Paramètres!$A$1:$I$88,3,0)*0.475*44/12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8.8000000000000007</v>
      </c>
      <c r="CT37" s="13">
        <f>IF('Données projet'!$A$140&gt;35,CT36+CS37-DB36,IF(A37&lt;'Données projet'!$A$140,$CQ$205^A37,IF(A37='Données projet'!$A$140,'Données projet'!$B$140,CT36+CS37-DB36)))</f>
        <v>130.19999999999996</v>
      </c>
      <c r="CU37" s="18">
        <f>CT37*VLOOKUP('Données projet'!$B$13,Paramètres!$A$1:$I$88,3,0)*VLOOKUP('Données projet'!$B$13,Paramètres!$A$1:$I$88,5,0)</f>
        <v>123.89831999999996</v>
      </c>
      <c r="CV37" s="14">
        <f t="shared" si="41"/>
        <v>32.582519800947011</v>
      </c>
      <c r="CW37" s="22">
        <f t="shared" si="13"/>
        <v>272.53746265331591</v>
      </c>
      <c r="CX37" s="62">
        <f t="shared" si="14"/>
        <v>515.31089411543144</v>
      </c>
      <c r="CY37" s="62">
        <f ca="1">AVERAGE(OFFSET($CX$3,0,0,'Données projet'!$E$13+1,1))-AVERAGE(OFFSET($H$3,0,0,'Données projet'!$E$13+1,1))</f>
        <v>470.0521927195926</v>
      </c>
      <c r="CZ37" s="62">
        <f t="shared" si="42"/>
        <v>299.27200854723435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projet'!$B$13,Paramètres!$A$1:$I$88,7,0))</f>
        <v>0</v>
      </c>
      <c r="DD37" s="17">
        <f>IF(ISNA(VLOOKUP(A37,'Données projet'!$A$139:$I$159,6,0)),0%,VLOOKUP(A37,'Données projet'!$A$139:$I$159,6,0)*VLOOKUP('Données projet'!$B$13,Paramètres!$A$1:$I$88,7,0))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projet'!$B$13,Paramètres!$A$1:$I$88,3,0)*0.475*44/12</f>
        <v>0</v>
      </c>
      <c r="DG37" s="23">
        <f>EXP(-LN(2)/25)*DG36+(1-EXP(-LN(2)/25))/(LN(2)/25)*Calculateur!DB37*Calculateur!DD37*VLOOKUP('Données projet'!$B$13,Paramètres!$A$1:$I$88,3,0)*0.475*44/12</f>
        <v>0</v>
      </c>
      <c r="DH37" s="23">
        <f>EXP(-LN(2)/2)*DH36+(1-EXP(-LN(2)/2))/(LN(2)/2)*DB37*DE37*VLOOKUP('Données projet'!$B$13,Paramètres!$A$1:$I$88,3,0)*0.475*44/12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5</v>
      </c>
      <c r="DO37" s="13">
        <f>IF('Données projet'!$A$166&gt;35,DO36+DN37-DW36,IF(A37&lt;'Données projet'!$A$166,$DL$205^A37,IF(A37='Données projet'!$A$166,'Données projet'!$B$166,DO36+DN37-DW36)))</f>
        <v>73.999999999999986</v>
      </c>
      <c r="DP37" s="18">
        <f>DO37*VLOOKUP('Données projet'!$B$14,Paramètres!$A$1:$I$88,3,0)*VLOOKUP('Données projet'!$B$14,Paramètres!$A$1:$I$88,5,0)</f>
        <v>71.572799999999987</v>
      </c>
      <c r="DQ37" s="14">
        <f t="shared" si="43"/>
        <v>20.063532712034</v>
      </c>
      <c r="DR37" s="22">
        <f t="shared" si="16"/>
        <v>159.59994614012587</v>
      </c>
      <c r="DS37" s="62">
        <f t="shared" si="17"/>
        <v>402.37337760224148</v>
      </c>
      <c r="DT37" s="62">
        <f ca="1">AVERAGE(OFFSET($DS$3,0,0,'Données projet'!$E$14+1,1))-AVERAGE(OFFSET($H$3,0,0,'Données projet'!$E$14+1,1))</f>
        <v>290.89727102147953</v>
      </c>
      <c r="DU37" s="62">
        <f t="shared" si="44"/>
        <v>173.19148969173838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projet'!$B$14,Paramètres!$A$1:$I$88,3,0)*0.475*44/12</f>
        <v>0</v>
      </c>
      <c r="EB37" s="23">
        <f>EXP(-LN(2)/25)*EB36+(1-EXP(-LN(2)/25))/(LN(2)/25)*Calculateur!DW37*Calculateur!DY37*VLOOKUP('Données projet'!$B$14,Paramètres!$A$1:$I$88,3,0)*0.475*44/12</f>
        <v>0</v>
      </c>
      <c r="EC37" s="23">
        <f>EXP(-LN(2)/2)*EC36+(1-EXP(-LN(2)/2))/(LN(2)/2)*DW37*DZ37*VLOOKUP('Données projet'!$B$14,Paramètres!$A$1:$I$88,3,0)*0.475*44/12</f>
        <v>0</v>
      </c>
      <c r="ED37" s="24">
        <f t="shared" si="18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projet'!$B$15,Paramètres!$A$1:$I$88,3,0)*VLOOKUP('Données projet'!$B$15,Paramètres!$A$1:$I$88,5,0)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projet'!$B$15,Paramètres!$A$1:$I$88,3,0)*0.475*44/12</f>
        <v>#N/A</v>
      </c>
      <c r="EW37" s="23" t="e">
        <f>EXP(-LN(2)/25)*EW36+(1-EXP(-LN(2)/25))/(LN(2)/25)*Calculateur!ER37*Calculateur!ET37*VLOOKUP('Données projet'!$B$15,Paramètres!$A$1:$I$88,3,0)*0.475*44/12</f>
        <v>#N/A</v>
      </c>
      <c r="EX37" s="23" t="e">
        <f>EXP(-LN(2)/2)*EX36+(1-EXP(-LN(2)/2))/(LN(2)/2)*ER37*EU37*VLOOKUP('Données projet'!$B$15,Paramètres!$A$1:$I$88,3,0)*0.475*44/12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projet'!$B$16,Paramètres!$A$1:$I$88,3,0)*VLOOKUP('Données projet'!$B$16,Paramètres!$A$1:$I$88,5,0)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projet'!$B$16,Paramètres!$A$1:$I$88,3,0)*0.475*44/12</f>
        <v>#N/A</v>
      </c>
      <c r="FR37" s="23" t="e">
        <f>EXP(-LN(2)/25)*FR36+(1-EXP(-LN(2)/25))/(LN(2)/25)*Calculateur!FM37*Calculateur!FO37*VLOOKUP('Données projet'!$B$16,Paramètres!$A$1:$I$88,3,0)*0.475*44/12</f>
        <v>#N/A</v>
      </c>
      <c r="FS37" s="23" t="e">
        <f>EXP(-LN(2)/2)*FS36+(1-EXP(-LN(2)/2))/(LN(2)/2)*FM37*FP37*VLOOKUP('Données projet'!$B$16,Paramètres!$A$1:$I$88,3,0)*0.475*44/12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projet'!$B$17,Paramètres!$A$1:$I$88,3,0)*VLOOKUP('Données projet'!$B$17,Paramètres!$A$1:$I$88,5,0)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projet'!$B$17,Paramètres!$A$1:$I$88,3,0)*0.475*44/12</f>
        <v>#N/A</v>
      </c>
      <c r="GM37" s="23" t="e">
        <f>EXP(-LN(2)/25)*GM36+(1-EXP(-LN(2)/25))/(LN(2)/25)*Calculateur!GH37*Calculateur!GJ37*VLOOKUP('Données projet'!$B$17,Paramètres!$A$1:$I$88,3,0)*0.475*44/12</f>
        <v>#N/A</v>
      </c>
      <c r="GN37" s="23" t="e">
        <f>EXP(-LN(2)/2)*GN36+(1-EXP(-LN(2)/2))/(LN(2)/2)*GH37*GK37*VLOOKUP('Données projet'!$B$17,Paramètres!$A$1:$I$88,3,0)*0.475*44/12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projet'!$B$18,Paramètres!$A$1:$I$88,3,0)*VLOOKUP('Données projet'!$B$18,Paramètres!$A$1:$I$88,5,0)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projet'!$B$18,Paramètres!$A$1:$I$88,3,0)*0.475*44/12</f>
        <v>#N/A</v>
      </c>
      <c r="HH37" s="23" t="e">
        <f>EXP(-LN(2)/25)*HH36+(1-EXP(-LN(2)/25))/(LN(2)/25)*Calculateur!HC37*Calculateur!HE37*VLOOKUP('Données projet'!$B$18,Paramètres!$A$1:$I$88,3,0)*0.475*44/12</f>
        <v>#N/A</v>
      </c>
      <c r="HI37" s="23" t="e">
        <f>EXP(-LN(2)/2)*HI36+(1-EXP(-LN(2)/2))/(LN(2)/2)*HC37*HF37*VLOOKUP('Données projet'!$B$18,Paramètres!$A$1:$I$88,3,0)*0.475*44/12</f>
        <v>#N/A</v>
      </c>
      <c r="HJ37" s="24" t="e">
        <f t="shared" si="30"/>
        <v>#N/A</v>
      </c>
    </row>
    <row r="38" spans="1:218" s="5" customFormat="1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330</v>
      </c>
      <c r="L38" s="13">
        <f>VLOOKUP(A38,'Données projet'!$A$35:$I$55,9,0)</f>
        <v>21.8</v>
      </c>
      <c r="M38" s="13">
        <f t="array" ref="M38">INDEX(L:L,MIN(IF(ISNUMBER(L38:L234),ROW(L38:L234),"")))</f>
        <v>21.8</v>
      </c>
      <c r="N38" s="14">
        <f>IF('Données projet'!$A$36&gt;35,N37+M38-V37,IF(A38&lt;'Données projet'!$A$36,$K$205^A38,IF(A38='Données projet'!$A$36,'Données projet'!$B$36,N37+M38-V37)))</f>
        <v>330</v>
      </c>
      <c r="O38" s="14">
        <f>N38*VLOOKUP('Données projet'!$B$9,Paramètres!$A$1:$I$88,3,0)*VLOOKUP('Données projet'!$B$9,Paramètres!$A$1:$I$88,5,0)</f>
        <v>197.34000000000003</v>
      </c>
      <c r="P38" s="14">
        <f t="shared" si="33"/>
        <v>49.15912547427002</v>
      </c>
      <c r="Q38" s="22">
        <f t="shared" si="53"/>
        <v>429.3193102010203</v>
      </c>
      <c r="R38" s="62">
        <f t="shared" si="0"/>
        <v>672.96984292559478</v>
      </c>
      <c r="S38" s="62">
        <f ca="1">AVERAGE(OFFSET($R$3,0,0,'Données projet'!$E$9+1,1))-AVERAGE(OFFSET($H$3,0,0,'Données projet'!$E$9+1,1))</f>
        <v>301.2688576786212</v>
      </c>
      <c r="T38" s="62">
        <f t="shared" si="34"/>
        <v>417.62172165132927</v>
      </c>
      <c r="U38" s="16">
        <f>IF(ISNA(VLOOKUP(A38,'Données projet'!$A$35:$I$55,3,0)),0,VLOOKUP(A38,'Données projet'!$A$35:$I$55,3,0))</f>
        <v>5</v>
      </c>
      <c r="V38" s="16">
        <f>IF(ISNA(VLOOKUP(A38,'Données projet'!$A$35:$I$55,4,0)),0,VLOOKUP(A38,'Données projet'!$A$35:$I$55,4,0))</f>
        <v>56</v>
      </c>
      <c r="W38" s="17">
        <f>IF(ISNA(VLOOKUP(A38,'Données projet'!$A$35:$I$55,5,0)),0%,VLOOKUP(A38,'Données projet'!$A$35:$I$55,5,0)*VLOOKUP('Données projet'!$B$9,Paramètres!$A$1:$I$88,7,0))</f>
        <v>9.0000000000000011E-2</v>
      </c>
      <c r="X38" s="17">
        <f>IF(ISNA(VLOOKUP(A38,'Données projet'!$A$35:$I$55,6,0)),0%,VLOOKUP(A38,'Données projet'!$A$35:$I$55,6,0)*VLOOKUP('Données projet'!$B$9,Paramètres!$A$1:$I$88,7,0))</f>
        <v>0.20160000000000003</v>
      </c>
      <c r="Y38" s="17">
        <f>IF(ISNA(VLOOKUP(A38,'Données projet'!$A$35:$I$55,7,0)),0%,VLOOKUP(A38,'Données projet'!$A$35:$I$55,7,0))</f>
        <v>0.35200000000000004</v>
      </c>
      <c r="Z38" s="23">
        <f>EXP(-LN(2)/35)*Z37+(1-EXP(-LN(2)/35))/(LN(2)/35)*V38*W38*VLOOKUP('Données projet'!$B$9,Paramètres!$A$1:$I$88,3,0)*0.475*44/12</f>
        <v>3.9981591435383397</v>
      </c>
      <c r="AA38" s="23">
        <f>EXP(-LN(2)/25)*AA37+(1-EXP(-LN(2)/25))/(LN(2)/25)*Calculateur!V38*Calculateur!X38*VLOOKUP('Données projet'!$B$9,Paramètres!$A$1:$I$88,3,0)*0.475*44/12</f>
        <v>34.892844140757738</v>
      </c>
      <c r="AB38" s="23">
        <f>EXP(-LN(2)/2)*AB37+(1-EXP(-LN(2)/2))/(LN(2)/2)*V38*Y38*VLOOKUP('Données projet'!$B$9,Paramètres!$A$1:$I$88,3,0)*0.475*44/12</f>
        <v>16.910362090172121</v>
      </c>
      <c r="AC38" s="24">
        <f t="shared" si="3"/>
        <v>55.801365374468197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14</v>
      </c>
      <c r="AI38" s="14">
        <f>IF('Données projet'!$A$62&gt;35,AI37+AH38-AQ37,IF(A38&lt;'Données projet'!$A$62,$AF$205^A38,IF(A38='Données projet'!$A$62,'Données projet'!$B$62,AI37+AH38-AQ37)))</f>
        <v>190</v>
      </c>
      <c r="AJ38" s="14">
        <f>AI38*VLOOKUP('Données projet'!$B$10,Paramètres!$A$1:$I$88,3,0)*VLOOKUP('Données projet'!$B$10,Paramètres!$A$1:$I$88,5,0)</f>
        <v>88.919999999999987</v>
      </c>
      <c r="AK38" s="14">
        <f t="shared" si="35"/>
        <v>24.30457227046648</v>
      </c>
      <c r="AL38" s="22">
        <f t="shared" si="4"/>
        <v>197.19946337106239</v>
      </c>
      <c r="AM38" s="62">
        <f t="shared" si="5"/>
        <v>440.84999609563693</v>
      </c>
      <c r="AN38" s="62">
        <f ca="1">AVERAGE(OFFSET($AM$3,0,0,'Données projet'!$E$10+1,1))-AVERAGE(OFFSET($H$3,0,0,'Données projet'!$E$10+1,1))</f>
        <v>170.08673939431091</v>
      </c>
      <c r="AO38" s="62">
        <f t="shared" si="36"/>
        <v>252.97355497077106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projet'!$B$10,Paramètres!$A$1:$I$88,7,0))</f>
        <v>0</v>
      </c>
      <c r="AS38" s="17">
        <f>IF(ISNA(VLOOKUP(A38,'Données projet'!$A$61:$I$81,6,0)),0%,VLOOKUP(A38,'Données projet'!$A$61:$I$81,6,0)*VLOOKUP('Données projet'!$B$10,Paramètres!$A$1:$I$88,7,0))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projet'!$B$10,Paramètres!$A$1:$I$88,3,0)*0.475*44/12</f>
        <v>2.1648641765083507</v>
      </c>
      <c r="AV38" s="23">
        <f>EXP(-LN(2)/25)*AV37+(1-EXP(-LN(2)/25))/(LN(2)/25)*Calculateur!AQ38*Calculateur!AS38*VLOOKUP('Données projet'!$B$10,Paramètres!$A$1:$I$88,3,0)*0.475*44/12</f>
        <v>17.98544561504265</v>
      </c>
      <c r="AW38" s="23">
        <f>EXP(-LN(2)/2)*AW37+(1-EXP(-LN(2)/2))/(LN(2)/2)*AQ38*AT38*VLOOKUP('Données projet'!$B$10,Paramètres!$A$1:$I$88,3,0)*0.475*44/12</f>
        <v>2.6738463692875256</v>
      </c>
      <c r="AX38" s="23">
        <f t="shared" si="6"/>
        <v>22.824156160838527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116</v>
      </c>
      <c r="BB38" s="13">
        <f>VLOOKUP(A38,'Données projet'!$A$87:$I$107,9,0)</f>
        <v>8</v>
      </c>
      <c r="BC38" s="13">
        <f t="array" ref="BC38">INDEX(BB:BB,MIN(IF(ISNUMBER(BB38:BB234),ROW(BB38:BB234),"")))</f>
        <v>8</v>
      </c>
      <c r="BD38" s="13">
        <f>IF('Données projet'!$A$88&gt;35,BD37+BC38-BL37,IF(A38&lt;'Données projet'!$A$88,$BA$205^A38,IF(A38='Données projet'!$A$88,'Données projet'!$B$88,BD37+BC38-BL37)))</f>
        <v>116</v>
      </c>
      <c r="BE38" s="14">
        <f>BD38*VLOOKUP('Données projet'!$B$11,Paramètres!$A$1:$I$88,3,0)*VLOOKUP('Données projet'!$B$11,Paramètres!$A$1:$I$88,5,0)</f>
        <v>104.9568</v>
      </c>
      <c r="BF38" s="14">
        <f t="shared" si="37"/>
        <v>28.139541339232373</v>
      </c>
      <c r="BG38" s="22">
        <f t="shared" si="7"/>
        <v>231.8094611658297</v>
      </c>
      <c r="BH38" s="62">
        <f t="shared" si="8"/>
        <v>475.45999389040423</v>
      </c>
      <c r="BI38" s="62">
        <f ca="1">AVERAGE(OFFSET($BH$3,0,0,'Données projet'!$E$11+1,1))-AVERAGE(OFFSET($H$3,0,0,'Données projet'!$E$11+1,1))</f>
        <v>362.63718589694594</v>
      </c>
      <c r="BJ38" s="62">
        <f t="shared" si="38"/>
        <v>250.47702091764884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21</v>
      </c>
      <c r="BM38" s="17">
        <f>IF(ISNA(VLOOKUP(A38,'Données projet'!$A$87:$I$107,5,0)),0%,VLOOKUP(A38,'Données projet'!$A$87:$I$107,5,0)*VLOOKUP('Données projet'!$B$11,Paramètres!$A$1:$I$88,7,0))</f>
        <v>0</v>
      </c>
      <c r="BN38" s="17">
        <f>IF(ISNA(VLOOKUP(A38,'Données projet'!$A$87:$I$107,6,0)),0%,VLOOKUP(A38,'Données projet'!$A$87:$I$107,6,0)*VLOOKUP('Données projet'!$B$11,Paramètres!$A$1:$I$88,7,0))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projet'!$B$11,Paramètres!$A$1:$I$88,3,0)*0.475*44/12</f>
        <v>0</v>
      </c>
      <c r="BQ38" s="23">
        <f>EXP(-LN(2)/25)*BQ37+(1-EXP(-LN(2)/25))/(LN(2)/25)*Calculateur!BL38*Calculateur!BN38*VLOOKUP('Données projet'!$B$11,Paramètres!$A$1:$I$88,3,0)*0.475*44/12</f>
        <v>0</v>
      </c>
      <c r="BR38" s="23">
        <f>EXP(-LN(2)/2)*BR37+(1-EXP(-LN(2)/2))/(LN(2)/2)*BL38*BO38*VLOOKUP('Données projet'!$B$11,Paramètres!$A$1:$I$88,3,0)*0.475*44/12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116</v>
      </c>
      <c r="BW38" s="13">
        <f>VLOOKUP(A38,'Données projet'!$A$113:$I$133,9,0)</f>
        <v>8</v>
      </c>
      <c r="BX38" s="13">
        <f t="array" ref="BX38">INDEX(BW:BW,MIN(IF(ISNUMBER(BW38:BW234),ROW(BW38:BW234),"")))</f>
        <v>8</v>
      </c>
      <c r="BY38" s="13">
        <f>IF('Données projet'!$A$114&gt;35,BY37+BX38-CG37,IF(A38&lt;'Données projet'!$A$114,$BV$205^A38,IF(A38='Données projet'!$A$114,'Données projet'!$B$114,BY37+BX38-CG37)))</f>
        <v>116</v>
      </c>
      <c r="BZ38" s="14">
        <f>BY38*VLOOKUP('Données projet'!$B$12,Paramètres!$A$1:$I$88,3,0)*VLOOKUP('Données projet'!$B$12,Paramètres!$A$1:$I$88,5,0)</f>
        <v>117.62400000000001</v>
      </c>
      <c r="CA38" s="14">
        <f t="shared" si="39"/>
        <v>31.120192961985413</v>
      </c>
      <c r="CB38" s="22">
        <f t="shared" si="10"/>
        <v>259.06280274212457</v>
      </c>
      <c r="CC38" s="62">
        <f t="shared" si="11"/>
        <v>502.71333546669905</v>
      </c>
      <c r="CD38" s="62">
        <f ca="1">AVERAGE(OFFSET($CC$3,0,0,'Données projet'!$E$12+1,1))-AVERAGE(OFFSET($H$3,0,0,'Données projet'!$E$12+1,1))</f>
        <v>398.14524781940196</v>
      </c>
      <c r="CE38" s="62">
        <f t="shared" si="40"/>
        <v>273.35778700650792</v>
      </c>
      <c r="CF38" s="16">
        <f>IF(ISNA(VLOOKUP(A38,'Données projet'!$A$113:$I$133,3,0)),0,VLOOKUP(A38,'Données projet'!$A$113:$I$133,3,0))</f>
        <v>4</v>
      </c>
      <c r="CG38" s="16">
        <f>IF(ISNA(VLOOKUP(A38,'Données projet'!$A$113:$I$133,4,0)),0,VLOOKUP(A38,'Données projet'!$A$113:$I$133,4,0))</f>
        <v>21</v>
      </c>
      <c r="CH38" s="17">
        <f>IF(ISNA(VLOOKUP(A38,'Données projet'!$A$113:$I$133,5,0)),0%,VLOOKUP(A38,'Données projet'!$A$113:$I$133,5,0)*VLOOKUP('Données projet'!$B$12,Paramètres!$A$1:$I$88,7,0))</f>
        <v>0</v>
      </c>
      <c r="CI38" s="17">
        <f>IF(ISNA(VLOOKUP(A38,'Données projet'!$A$113:$I$133,6,0)),0%,VLOOKUP(A38,'Données projet'!$A$113:$I$133,6,0)*VLOOKUP('Données projet'!$B$12,Paramètres!$A$1:$I$88,7,0))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projet'!$B$12,Paramètres!$A$1:$I$88,3,0)*0.475*44/12</f>
        <v>0</v>
      </c>
      <c r="CL38" s="23">
        <f>EXP(-LN(2)/25)*CL37+(1-EXP(-LN(2)/25))/(LN(2)/25)*Calculateur!CG38*Calculateur!CI38*VLOOKUP('Données projet'!$B$12,Paramètres!$A$1:$I$88,3,0)*0.475*44/12</f>
        <v>0</v>
      </c>
      <c r="CM38" s="23">
        <f>EXP(-LN(2)/2)*CM37+(1-EXP(-LN(2)/2))/(LN(2)/2)*CG38*CJ38*VLOOKUP('Données projet'!$B$12,Paramètres!$A$1:$I$88,3,0)*0.475*44/12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139</v>
      </c>
      <c r="CR38" s="13">
        <f>VLOOKUP(A38,'Données projet'!$A$139:$I$159,9,0)</f>
        <v>8.8000000000000007</v>
      </c>
      <c r="CS38" s="13">
        <f t="array" ref="CS38">INDEX(CR:CR,MIN(IF(ISNUMBER(CR38:CR234),ROW(CR38:CR234),"")))</f>
        <v>8.8000000000000007</v>
      </c>
      <c r="CT38" s="13">
        <f>IF('Données projet'!$A$140&gt;35,CT37+CS38-DB37,IF(A38&lt;'Données projet'!$A$140,$CQ$205^A38,IF(A38='Données projet'!$A$140,'Données projet'!$B$140,CT37+CS38-DB37)))</f>
        <v>138.99999999999997</v>
      </c>
      <c r="CU38" s="18">
        <f>CT38*VLOOKUP('Données projet'!$B$13,Paramètres!$A$1:$I$88,3,0)*VLOOKUP('Données projet'!$B$13,Paramètres!$A$1:$I$88,5,0)</f>
        <v>132.27239999999998</v>
      </c>
      <c r="CV38" s="14">
        <f t="shared" si="41"/>
        <v>34.520913508292487</v>
      </c>
      <c r="CW38" s="22">
        <f t="shared" si="13"/>
        <v>290.49835436027604</v>
      </c>
      <c r="CX38" s="62">
        <f t="shared" si="14"/>
        <v>534.14888708485057</v>
      </c>
      <c r="CY38" s="62">
        <f ca="1">AVERAGE(OFFSET($CX$3,0,0,'Données projet'!$E$13+1,1))-AVERAGE(OFFSET($H$3,0,0,'Données projet'!$E$13+1,1))</f>
        <v>470.0521927195926</v>
      </c>
      <c r="CZ38" s="62">
        <f t="shared" si="42"/>
        <v>299.27200854723435</v>
      </c>
      <c r="DA38" s="16">
        <f>IF(ISNA(VLOOKUP(A38,'Données projet'!$A$139:$I$159,3,0)),0,VLOOKUP(A38,'Données projet'!$A$139:$I$159,3,0))</f>
        <v>4</v>
      </c>
      <c r="DB38" s="16">
        <f>IF(ISNA(VLOOKUP(A38,'Données projet'!$A$139:$I$159,4,0)),0,VLOOKUP(A38,'Données projet'!$A$139:$I$159,4,0))</f>
        <v>21</v>
      </c>
      <c r="DC38" s="17">
        <f>IF(ISNA(VLOOKUP(A38,'Données projet'!$A$139:$I$159,5,0)),0%,VLOOKUP(A38,'Données projet'!$A$139:$I$159,5,0)*VLOOKUP('Données projet'!$B$13,Paramètres!$A$1:$I$88,7,0))</f>
        <v>0</v>
      </c>
      <c r="DD38" s="17">
        <f>IF(ISNA(VLOOKUP(A38,'Données projet'!$A$139:$I$159,6,0)),0%,VLOOKUP(A38,'Données projet'!$A$139:$I$159,6,0)*VLOOKUP('Données projet'!$B$13,Paramètres!$A$1:$I$88,7,0))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projet'!$B$13,Paramètres!$A$1:$I$88,3,0)*0.475*44/12</f>
        <v>0</v>
      </c>
      <c r="DG38" s="23">
        <f>EXP(-LN(2)/25)*DG37+(1-EXP(-LN(2)/25))/(LN(2)/25)*Calculateur!DB38*Calculateur!DD38*VLOOKUP('Données projet'!$B$13,Paramètres!$A$1:$I$88,3,0)*0.475*44/12</f>
        <v>0</v>
      </c>
      <c r="DH38" s="23">
        <f>EXP(-LN(2)/2)*DH37+(1-EXP(-LN(2)/2))/(LN(2)/2)*DB38*DE38*VLOOKUP('Données projet'!$B$13,Paramètres!$A$1:$I$88,3,0)*0.475*44/12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79</v>
      </c>
      <c r="DM38" s="13">
        <f>VLOOKUP(A38,'Données projet'!$A$165:$I$185,9,0)</f>
        <v>5</v>
      </c>
      <c r="DN38" s="13">
        <f t="array" ref="DN38">INDEX(DM:DM,MIN(IF(ISNUMBER(DM38:DM234),ROW(DM38:DM234),"")))</f>
        <v>5</v>
      </c>
      <c r="DO38" s="13">
        <f>IF('Données projet'!$A$166&gt;35,DO37+DN38-DW37,IF(A38&lt;'Données projet'!$A$166,$DL$205^A38,IF(A38='Données projet'!$A$166,'Données projet'!$B$166,DO37+DN38-DW37)))</f>
        <v>78.999999999999986</v>
      </c>
      <c r="DP38" s="18">
        <f>DO38*VLOOKUP('Données projet'!$B$14,Paramètres!$A$1:$I$88,3,0)*VLOOKUP('Données projet'!$B$14,Paramètres!$A$1:$I$88,5,0)</f>
        <v>76.408799999999985</v>
      </c>
      <c r="DQ38" s="14">
        <f t="shared" si="43"/>
        <v>21.256783764315173</v>
      </c>
      <c r="DR38" s="22">
        <f t="shared" si="16"/>
        <v>170.1008917228489</v>
      </c>
      <c r="DS38" s="62">
        <f t="shared" si="17"/>
        <v>413.7514244474234</v>
      </c>
      <c r="DT38" s="62">
        <f ca="1">AVERAGE(OFFSET($DS$3,0,0,'Données projet'!$E$14+1,1))-AVERAGE(OFFSET($H$3,0,0,'Données projet'!$E$14+1,1))</f>
        <v>290.89727102147953</v>
      </c>
      <c r="DU38" s="62">
        <f t="shared" si="44"/>
        <v>173.19148969173838</v>
      </c>
      <c r="DV38" s="16">
        <f>IF(ISNA(VLOOKUP(A38,'Données projet'!$A$165:$I$185,3,0)),0,VLOOKUP(A38,'Données projet'!$A$165:$I$185,3,0))</f>
        <v>4</v>
      </c>
      <c r="DW38" s="16">
        <f>IF(ISNA(VLOOKUP(A38,'Données projet'!$A$165:$I$185,4,0)),0,VLOOKUP(A38,'Données projet'!$A$165:$I$185,4,0))</f>
        <v>13</v>
      </c>
      <c r="DX38" s="17">
        <f>IF(ISNA(VLOOKUP(A38,'Données projet'!$A$165:$I$185,5,0)),0%,VLOOKUP(A38,'Données projet'!$A$165:$I$185,5,0)*VLOOKUP('Données projet'!$B$14,Paramètres!$A$1:$I$88,7,0))</f>
        <v>0</v>
      </c>
      <c r="DY38" s="17">
        <f>IF(ISNA(VLOOKUP(A38,'Données projet'!$A$165:$I$185,6,0)),0%,VLOOKUP(A38,'Données projet'!$A$165:$I$185,6,0)*VLOOKUP('Données projet'!$B$14,Paramètres!$A$1:$I$88,7,0))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projet'!$B$14,Paramètres!$A$1:$I$88,3,0)*0.475*44/12</f>
        <v>0</v>
      </c>
      <c r="EB38" s="23">
        <f>EXP(-LN(2)/25)*EB37+(1-EXP(-LN(2)/25))/(LN(2)/25)*Calculateur!DW38*Calculateur!DY38*VLOOKUP('Données projet'!$B$14,Paramètres!$A$1:$I$88,3,0)*0.475*44/12</f>
        <v>0</v>
      </c>
      <c r="EC38" s="23">
        <f>EXP(-LN(2)/2)*EC37+(1-EXP(-LN(2)/2))/(LN(2)/2)*DW38*DZ38*VLOOKUP('Données projet'!$B$14,Paramètres!$A$1:$I$88,3,0)*0.475*44/12</f>
        <v>0</v>
      </c>
      <c r="ED38" s="24">
        <f t="shared" si="18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projet'!$B$15,Paramètres!$A$1:$I$88,3,0)*VLOOKUP('Données projet'!$B$15,Paramètres!$A$1:$I$88,5,0)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projet'!$B$15,Paramètres!$A$1:$I$88,7,0))</f>
        <v>0</v>
      </c>
      <c r="ET38" s="17">
        <f>IF(ISNA(VLOOKUP(A38,'Données projet'!$A$191:$I$211,6,0)),0%,VLOOKUP(A38,'Données projet'!$A$191:$I$211,6,0)*VLOOKUP('Données projet'!$B$15,Paramètres!$A$1:$I$88,7,0))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projet'!$B$15,Paramètres!$A$1:$I$88,3,0)*0.475*44/12</f>
        <v>#N/A</v>
      </c>
      <c r="EW38" s="23" t="e">
        <f>EXP(-LN(2)/25)*EW37+(1-EXP(-LN(2)/25))/(LN(2)/25)*Calculateur!ER38*Calculateur!ET38*VLOOKUP('Données projet'!$B$15,Paramètres!$A$1:$I$88,3,0)*0.475*44/12</f>
        <v>#N/A</v>
      </c>
      <c r="EX38" s="23" t="e">
        <f>EXP(-LN(2)/2)*EX37+(1-EXP(-LN(2)/2))/(LN(2)/2)*ER38*EU38*VLOOKUP('Données projet'!$B$15,Paramètres!$A$1:$I$88,3,0)*0.475*44/12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projet'!$B$16,Paramètres!$A$1:$I$88,3,0)*VLOOKUP('Données projet'!$B$16,Paramètres!$A$1:$I$88,5,0)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projet'!$B$16,Paramètres!$A$1:$I$88,7,0))</f>
        <v>0</v>
      </c>
      <c r="FO38" s="17">
        <f>IF(ISNA(VLOOKUP(A38,'Données projet'!$A$217:$I$237,6,0)),0%,VLOOKUP(A38,'Données projet'!$A$217:$I$237,6,0)*VLOOKUP('Données projet'!$B$16,Paramètres!$A$1:$I$88,7,0))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projet'!$B$16,Paramètres!$A$1:$I$88,3,0)*0.475*44/12</f>
        <v>#N/A</v>
      </c>
      <c r="FR38" s="23" t="e">
        <f>EXP(-LN(2)/25)*FR37+(1-EXP(-LN(2)/25))/(LN(2)/25)*Calculateur!FM38*Calculateur!FO38*VLOOKUP('Données projet'!$B$16,Paramètres!$A$1:$I$88,3,0)*0.475*44/12</f>
        <v>#N/A</v>
      </c>
      <c r="FS38" s="23" t="e">
        <f>EXP(-LN(2)/2)*FS37+(1-EXP(-LN(2)/2))/(LN(2)/2)*FM38*FP38*VLOOKUP('Données projet'!$B$16,Paramètres!$A$1:$I$88,3,0)*0.475*44/12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projet'!$B$17,Paramètres!$A$1:$I$88,3,0)*VLOOKUP('Données projet'!$B$17,Paramètres!$A$1:$I$88,5,0)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projet'!$B$17,Paramètres!$A$1:$I$88,7,0))</f>
        <v>0</v>
      </c>
      <c r="GJ38" s="17">
        <f>IF(ISNA(VLOOKUP(A38,'Données projet'!$A$243:$I$263,6,0)),0%,VLOOKUP(A38,'Données projet'!$A$243:$I$263,6,0)*VLOOKUP('Données projet'!$B$17,Paramètres!$A$1:$I$88,7,0))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projet'!$B$17,Paramètres!$A$1:$I$88,3,0)*0.475*44/12</f>
        <v>#N/A</v>
      </c>
      <c r="GM38" s="23" t="e">
        <f>EXP(-LN(2)/25)*GM37+(1-EXP(-LN(2)/25))/(LN(2)/25)*Calculateur!GH38*Calculateur!GJ38*VLOOKUP('Données projet'!$B$17,Paramètres!$A$1:$I$88,3,0)*0.475*44/12</f>
        <v>#N/A</v>
      </c>
      <c r="GN38" s="23" t="e">
        <f>EXP(-LN(2)/2)*GN37+(1-EXP(-LN(2)/2))/(LN(2)/2)*GH38*GK38*VLOOKUP('Données projet'!$B$17,Paramètres!$A$1:$I$88,3,0)*0.475*44/12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projet'!$B$18,Paramètres!$A$1:$I$88,3,0)*VLOOKUP('Données projet'!$B$18,Paramètres!$A$1:$I$88,5,0)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projet'!$B$18,Paramètres!$A$1:$I$88,3,0)*0.475*44/12</f>
        <v>#N/A</v>
      </c>
      <c r="HH38" s="23" t="e">
        <f>EXP(-LN(2)/25)*HH37+(1-EXP(-LN(2)/25))/(LN(2)/25)*Calculateur!HC38*Calculateur!HE38*VLOOKUP('Données projet'!$B$18,Paramètres!$A$1:$I$88,3,0)*0.475*44/12</f>
        <v>#N/A</v>
      </c>
      <c r="HI38" s="23" t="e">
        <f>EXP(-LN(2)/2)*HI37+(1-EXP(-LN(2)/2))/(LN(2)/2)*HC38*HF38*VLOOKUP('Données projet'!$B$18,Paramètres!$A$1:$I$88,3,0)*0.475*44/12</f>
        <v>#N/A</v>
      </c>
      <c r="HJ38" s="24" t="e">
        <f t="shared" si="30"/>
        <v>#N/A</v>
      </c>
    </row>
    <row r="39" spans="1:218" s="5" customFormat="1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21</v>
      </c>
      <c r="N39" s="14">
        <f>IF('Données projet'!$A$36&gt;35,N38+M39-V38,IF(A39&lt;'Données projet'!$A$36,$K$205^A39,IF(A39='Données projet'!$A$36,'Données projet'!$B$36,N38+M39-V38)))</f>
        <v>295</v>
      </c>
      <c r="O39" s="14">
        <f>N39*VLOOKUP('Données projet'!$B$9,Paramètres!$A$1:$I$88,3,0)*VLOOKUP('Données projet'!$B$9,Paramètres!$A$1:$I$88,5,0)</f>
        <v>176.41000000000003</v>
      </c>
      <c r="P39" s="14">
        <f t="shared" si="33"/>
        <v>44.522543239204609</v>
      </c>
      <c r="Q39" s="22">
        <f t="shared" si="53"/>
        <v>384.79084614161474</v>
      </c>
      <c r="R39" s="62">
        <f t="shared" si="0"/>
        <v>629.3032643826491</v>
      </c>
      <c r="S39" s="62">
        <f ca="1">AVERAGE(OFFSET($R$3,0,0,'Données projet'!$E$9+1,1))-AVERAGE(OFFSET($H$3,0,0,'Données projet'!$E$9+1,1))</f>
        <v>301.2688576786212</v>
      </c>
      <c r="T39" s="62">
        <f t="shared" si="34"/>
        <v>417.62172165132927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projet'!$B$9,Paramètres!$A$1:$I$88,7,0))</f>
        <v>0</v>
      </c>
      <c r="X39" s="17">
        <f>IF(ISNA(VLOOKUP(A39,'Données projet'!$A$35:$I$55,6,0)),0%,VLOOKUP(A39,'Données projet'!$A$35:$I$55,6,0)*VLOOKUP('Données projet'!$B$9,Paramètres!$A$1:$I$88,7,0))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3.9197576813698349</v>
      </c>
      <c r="AA39" s="23">
        <f>EXP(-LN(2)/25)*AA38+(1-EXP(-LN(2)/25))/(LN(2)/25)*Calculateur!V39*Calculateur!X39*VLOOKUP('Données projet'!$B$9,Paramètres!$A$1:$I$88,3,0)*0.475*44/12</f>
        <v>33.938697482793792</v>
      </c>
      <c r="AB39" s="23">
        <f>EXP(-LN(2)/2)*AB38+(1-EXP(-LN(2)/2))/(LN(2)/2)*V39*Y39*VLOOKUP('Données projet'!$B$9,Paramètres!$A$1:$I$88,3,0)*0.475*44/12</f>
        <v>11.957431706280628</v>
      </c>
      <c r="AC39" s="24">
        <f t="shared" si="3"/>
        <v>49.81588687044426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14</v>
      </c>
      <c r="AI39" s="14">
        <f>IF('Données projet'!$A$62&gt;35,AI38+AH39-AQ38,IF(A39&lt;'Données projet'!$A$62,$AF$205^A39,IF(A39='Données projet'!$A$62,'Données projet'!$B$62,AI38+AH39-AQ38)))</f>
        <v>204</v>
      </c>
      <c r="AJ39" s="14">
        <f>AI39*VLOOKUP('Données projet'!$B$10,Paramètres!$A$1:$I$88,3,0)*VLOOKUP('Données projet'!$B$10,Paramètres!$A$1:$I$88,5,0)</f>
        <v>95.471999999999994</v>
      </c>
      <c r="AK39" s="14">
        <f t="shared" si="35"/>
        <v>25.880372123231169</v>
      </c>
      <c r="AL39" s="22">
        <f t="shared" si="4"/>
        <v>211.35538144796092</v>
      </c>
      <c r="AM39" s="62">
        <f t="shared" si="5"/>
        <v>455.86779968899532</v>
      </c>
      <c r="AN39" s="62">
        <f ca="1">AVERAGE(OFFSET($AM$3,0,0,'Données projet'!$E$10+1,1))-AVERAGE(OFFSET($H$3,0,0,'Données projet'!$E$10+1,1))</f>
        <v>170.08673939431091</v>
      </c>
      <c r="AO39" s="62">
        <f t="shared" si="36"/>
        <v>252.97355497077106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projet'!$B$10,Paramètres!$A$1:$I$88,7,0))</f>
        <v>0</v>
      </c>
      <c r="AS39" s="17">
        <f>IF(ISNA(VLOOKUP(A39,'Données projet'!$A$61:$I$81,6,0)),0%,VLOOKUP(A39,'Données projet'!$A$61:$I$81,6,0)*VLOOKUP('Données projet'!$B$10,Paramètres!$A$1:$I$88,7,0))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projet'!$B$10,Paramètres!$A$1:$I$88,3,0)*0.475*44/12</f>
        <v>2.1224125104437874</v>
      </c>
      <c r="AV39" s="23">
        <f>EXP(-LN(2)/25)*AV38+(1-EXP(-LN(2)/25))/(LN(2)/25)*Calculateur!AQ39*Calculateur!AS39*VLOOKUP('Données projet'!$B$10,Paramètres!$A$1:$I$88,3,0)*0.475*44/12</f>
        <v>17.493632658885829</v>
      </c>
      <c r="AW39" s="23">
        <f>EXP(-LN(2)/2)*AW38+(1-EXP(-LN(2)/2))/(LN(2)/2)*AQ39*AT39*VLOOKUP('Données projet'!$B$10,Paramètres!$A$1:$I$88,3,0)*0.475*44/12</f>
        <v>1.890694899574239</v>
      </c>
      <c r="AX39" s="23">
        <f t="shared" si="6"/>
        <v>21.506740068903856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8.4</v>
      </c>
      <c r="BD39" s="13">
        <f>IF('Données projet'!$A$88&gt;35,BD38+BC39-BL38,IF(A39&lt;'Données projet'!$A$88,$BA$205^A39,IF(A39='Données projet'!$A$88,'Données projet'!$B$88,BD38+BC39-BL38)))</f>
        <v>103.4</v>
      </c>
      <c r="BE39" s="14">
        <f>BD39*VLOOKUP('Données projet'!$B$11,Paramètres!$A$1:$I$88,3,0)*VLOOKUP('Données projet'!$B$11,Paramètres!$A$1:$I$88,5,0)</f>
        <v>93.556319999999999</v>
      </c>
      <c r="BF39" s="14">
        <f t="shared" si="37"/>
        <v>25.420979659258073</v>
      </c>
      <c r="BG39" s="22">
        <f t="shared" si="7"/>
        <v>207.21879690654114</v>
      </c>
      <c r="BH39" s="62">
        <f t="shared" si="8"/>
        <v>451.73121514757554</v>
      </c>
      <c r="BI39" s="62">
        <f ca="1">AVERAGE(OFFSET($BH$3,0,0,'Données projet'!$E$11+1,1))-AVERAGE(OFFSET($H$3,0,0,'Données projet'!$E$11+1,1))</f>
        <v>362.63718589694594</v>
      </c>
      <c r="BJ39" s="62">
        <f t="shared" si="38"/>
        <v>250.47702091764884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projet'!$B$11,Paramètres!$A$1:$I$88,7,0))</f>
        <v>0</v>
      </c>
      <c r="BN39" s="17">
        <f>IF(ISNA(VLOOKUP(A39,'Données projet'!$A$87:$I$107,6,0)),0%,VLOOKUP(A39,'Données projet'!$A$87:$I$107,6,0)*VLOOKUP('Données projet'!$B$11,Paramètres!$A$1:$I$88,7,0))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projet'!$B$11,Paramètres!$A$1:$I$88,3,0)*0.475*44/12</f>
        <v>0</v>
      </c>
      <c r="BQ39" s="23">
        <f>EXP(-LN(2)/25)*BQ38+(1-EXP(-LN(2)/25))/(LN(2)/25)*Calculateur!BL39*Calculateur!BN39*VLOOKUP('Données projet'!$B$11,Paramètres!$A$1:$I$88,3,0)*0.475*44/12</f>
        <v>0</v>
      </c>
      <c r="BR39" s="23">
        <f>EXP(-LN(2)/2)*BR38+(1-EXP(-LN(2)/2))/(LN(2)/2)*BL39*BO39*VLOOKUP('Données projet'!$B$11,Paramètres!$A$1:$I$88,3,0)*0.475*44/12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8.4</v>
      </c>
      <c r="BY39" s="13">
        <f>IF('Données projet'!$A$114&gt;35,BY38+BX39-CG38,IF(A39&lt;'Données projet'!$A$114,$BV$205^A39,IF(A39='Données projet'!$A$114,'Données projet'!$B$114,BY38+BX39-CG38)))</f>
        <v>103.4</v>
      </c>
      <c r="BZ39" s="14">
        <f>BY39*VLOOKUP('Données projet'!$B$12,Paramètres!$A$1:$I$88,3,0)*VLOOKUP('Données projet'!$B$12,Paramètres!$A$1:$I$88,5,0)</f>
        <v>104.84760000000001</v>
      </c>
      <c r="CA39" s="14">
        <f t="shared" si="39"/>
        <v>28.113670466115643</v>
      </c>
      <c r="CB39" s="22">
        <f t="shared" si="10"/>
        <v>231.57421272848475</v>
      </c>
      <c r="CC39" s="62">
        <f t="shared" si="11"/>
        <v>476.08663096951921</v>
      </c>
      <c r="CD39" s="62">
        <f ca="1">AVERAGE(OFFSET($CC$3,0,0,'Données projet'!$E$12+1,1))-AVERAGE(OFFSET($H$3,0,0,'Données projet'!$E$12+1,1))</f>
        <v>398.14524781940196</v>
      </c>
      <c r="CE39" s="62">
        <f t="shared" si="40"/>
        <v>273.35778700650792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projet'!$B$12,Paramètres!$A$1:$I$88,3,0)*0.475*44/12</f>
        <v>0</v>
      </c>
      <c r="CL39" s="23">
        <f>EXP(-LN(2)/25)*CL38+(1-EXP(-LN(2)/25))/(LN(2)/25)*Calculateur!CG39*Calculateur!CI39*VLOOKUP('Données projet'!$B$12,Paramètres!$A$1:$I$88,3,0)*0.475*44/12</f>
        <v>0</v>
      </c>
      <c r="CM39" s="23">
        <f>EXP(-LN(2)/2)*CM38+(1-EXP(-LN(2)/2))/(LN(2)/2)*CG39*CJ39*VLOOKUP('Données projet'!$B$12,Paramètres!$A$1:$I$88,3,0)*0.475*44/12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9</v>
      </c>
      <c r="CT39" s="13">
        <f>IF('Données projet'!$A$140&gt;35,CT38+CS39-DB38,IF(A39&lt;'Données projet'!$A$140,$CQ$205^A39,IF(A39='Données projet'!$A$140,'Données projet'!$B$140,CT38+CS39-DB38)))</f>
        <v>126.99999999999997</v>
      </c>
      <c r="CU39" s="18">
        <f>CT39*VLOOKUP('Données projet'!$B$13,Paramètres!$A$1:$I$88,3,0)*VLOOKUP('Données projet'!$B$13,Paramètres!$A$1:$I$88,5,0)</f>
        <v>120.85319999999999</v>
      </c>
      <c r="CV39" s="14">
        <f t="shared" si="41"/>
        <v>31.873912055562094</v>
      </c>
      <c r="CW39" s="22">
        <f t="shared" si="13"/>
        <v>265.9997201634373</v>
      </c>
      <c r="CX39" s="62">
        <f t="shared" si="14"/>
        <v>510.51213840447173</v>
      </c>
      <c r="CY39" s="62">
        <f ca="1">AVERAGE(OFFSET($CX$3,0,0,'Données projet'!$E$13+1,1))-AVERAGE(OFFSET($H$3,0,0,'Données projet'!$E$13+1,1))</f>
        <v>470.0521927195926</v>
      </c>
      <c r="CZ39" s="62">
        <f t="shared" si="42"/>
        <v>299.27200854723435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projet'!$B$13,Paramètres!$A$1:$I$88,3,0)*0.475*44/12</f>
        <v>0</v>
      </c>
      <c r="DG39" s="23">
        <f>EXP(-LN(2)/25)*DG38+(1-EXP(-LN(2)/25))/(LN(2)/25)*Calculateur!DB39*Calculateur!DD39*VLOOKUP('Données projet'!$B$13,Paramètres!$A$1:$I$88,3,0)*0.475*44/12</f>
        <v>0</v>
      </c>
      <c r="DH39" s="23">
        <f>EXP(-LN(2)/2)*DH38+(1-EXP(-LN(2)/2))/(LN(2)/2)*DB39*DE39*VLOOKUP('Données projet'!$B$13,Paramètres!$A$1:$I$88,3,0)*0.475*44/12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5.4</v>
      </c>
      <c r="DO39" s="13">
        <f>IF('Données projet'!$A$166&gt;35,DO38+DN39-DW38,IF(A39&lt;'Données projet'!$A$166,$DL$205^A39,IF(A39='Données projet'!$A$166,'Données projet'!$B$166,DO38+DN39-DW38)))</f>
        <v>71.399999999999991</v>
      </c>
      <c r="DP39" s="18">
        <f>DO39*VLOOKUP('Données projet'!$B$14,Paramètres!$A$1:$I$88,3,0)*VLOOKUP('Données projet'!$B$14,Paramètres!$A$1:$I$88,5,0)</f>
        <v>69.05807999999999</v>
      </c>
      <c r="DQ39" s="14">
        <f t="shared" si="43"/>
        <v>19.439361528467131</v>
      </c>
      <c r="DR39" s="22">
        <f t="shared" si="16"/>
        <v>154.13304399541357</v>
      </c>
      <c r="DS39" s="62">
        <f t="shared" si="17"/>
        <v>398.645462236448</v>
      </c>
      <c r="DT39" s="62">
        <f ca="1">AVERAGE(OFFSET($DS$3,0,0,'Données projet'!$E$14+1,1))-AVERAGE(OFFSET($H$3,0,0,'Données projet'!$E$14+1,1))</f>
        <v>290.89727102147953</v>
      </c>
      <c r="DU39" s="62">
        <f t="shared" si="44"/>
        <v>173.19148969173838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projet'!$B$14,Paramètres!$A$1:$I$88,3,0)*0.475*44/12</f>
        <v>0</v>
      </c>
      <c r="EB39" s="23">
        <f>EXP(-LN(2)/25)*EB38+(1-EXP(-LN(2)/25))/(LN(2)/25)*Calculateur!DW39*Calculateur!DY39*VLOOKUP('Données projet'!$B$14,Paramètres!$A$1:$I$88,3,0)*0.475*44/12</f>
        <v>0</v>
      </c>
      <c r="EC39" s="23">
        <f>EXP(-LN(2)/2)*EC38+(1-EXP(-LN(2)/2))/(LN(2)/2)*DW39*DZ39*VLOOKUP('Données projet'!$B$14,Paramètres!$A$1:$I$88,3,0)*0.475*44/12</f>
        <v>0</v>
      </c>
      <c r="ED39" s="24">
        <f t="shared" si="18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projet'!$B$15,Paramètres!$A$1:$I$88,3,0)*VLOOKUP('Données projet'!$B$15,Paramètres!$A$1:$I$88,5,0)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projet'!$B$15,Paramètres!$A$1:$I$88,3,0)*0.475*44/12</f>
        <v>#N/A</v>
      </c>
      <c r="EW39" s="23" t="e">
        <f>EXP(-LN(2)/25)*EW38+(1-EXP(-LN(2)/25))/(LN(2)/25)*Calculateur!ER39*Calculateur!ET39*VLOOKUP('Données projet'!$B$15,Paramètres!$A$1:$I$88,3,0)*0.475*44/12</f>
        <v>#N/A</v>
      </c>
      <c r="EX39" s="23" t="e">
        <f>EXP(-LN(2)/2)*EX38+(1-EXP(-LN(2)/2))/(LN(2)/2)*ER39*EU39*VLOOKUP('Données projet'!$B$15,Paramètres!$A$1:$I$88,3,0)*0.475*44/12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projet'!$B$16,Paramètres!$A$1:$I$88,3,0)*VLOOKUP('Données projet'!$B$16,Paramètres!$A$1:$I$88,5,0)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projet'!$B$16,Paramètres!$A$1:$I$88,3,0)*0.475*44/12</f>
        <v>#N/A</v>
      </c>
      <c r="FR39" s="23" t="e">
        <f>EXP(-LN(2)/25)*FR38+(1-EXP(-LN(2)/25))/(LN(2)/25)*Calculateur!FM39*Calculateur!FO39*VLOOKUP('Données projet'!$B$16,Paramètres!$A$1:$I$88,3,0)*0.475*44/12</f>
        <v>#N/A</v>
      </c>
      <c r="FS39" s="23" t="e">
        <f>EXP(-LN(2)/2)*FS38+(1-EXP(-LN(2)/2))/(LN(2)/2)*FM39*FP39*VLOOKUP('Données projet'!$B$16,Paramètres!$A$1:$I$88,3,0)*0.475*44/12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projet'!$B$17,Paramètres!$A$1:$I$88,3,0)*VLOOKUP('Données projet'!$B$17,Paramètres!$A$1:$I$88,5,0)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projet'!$B$17,Paramètres!$A$1:$I$88,3,0)*0.475*44/12</f>
        <v>#N/A</v>
      </c>
      <c r="GM39" s="23" t="e">
        <f>EXP(-LN(2)/25)*GM38+(1-EXP(-LN(2)/25))/(LN(2)/25)*Calculateur!GH39*Calculateur!GJ39*VLOOKUP('Données projet'!$B$17,Paramètres!$A$1:$I$88,3,0)*0.475*44/12</f>
        <v>#N/A</v>
      </c>
      <c r="GN39" s="23" t="e">
        <f>EXP(-LN(2)/2)*GN38+(1-EXP(-LN(2)/2))/(LN(2)/2)*GH39*GK39*VLOOKUP('Données projet'!$B$17,Paramètres!$A$1:$I$88,3,0)*0.475*44/12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projet'!$B$18,Paramètres!$A$1:$I$88,3,0)*VLOOKUP('Données projet'!$B$18,Paramètres!$A$1:$I$88,5,0)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projet'!$B$18,Paramètres!$A$1:$I$88,3,0)*0.475*44/12</f>
        <v>#N/A</v>
      </c>
      <c r="HH39" s="23" t="e">
        <f>EXP(-LN(2)/25)*HH38+(1-EXP(-LN(2)/25))/(LN(2)/25)*Calculateur!HC39*Calculateur!HE39*VLOOKUP('Données projet'!$B$18,Paramètres!$A$1:$I$88,3,0)*0.475*44/12</f>
        <v>#N/A</v>
      </c>
      <c r="HI39" s="23" t="e">
        <f>EXP(-LN(2)/2)*HI38+(1-EXP(-LN(2)/2))/(LN(2)/2)*HC39*HF39*VLOOKUP('Données projet'!$B$18,Paramètres!$A$1:$I$88,3,0)*0.475*44/12</f>
        <v>#N/A</v>
      </c>
      <c r="HJ39" s="24" t="e">
        <f t="shared" si="30"/>
        <v>#N/A</v>
      </c>
    </row>
    <row r="40" spans="1:218" s="5" customFormat="1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21</v>
      </c>
      <c r="N40" s="14">
        <f>IF('Données projet'!$A$36&gt;35,N39+M40-V39,IF(A40&lt;'Données projet'!$A$36,$K$205^A40,IF(A40='Données projet'!$A$36,'Données projet'!$B$36,N39+M40-V39)))</f>
        <v>316</v>
      </c>
      <c r="O40" s="14">
        <f>N40*VLOOKUP('Données projet'!$B$9,Paramètres!$A$1:$I$88,3,0)*VLOOKUP('Données projet'!$B$9,Paramètres!$A$1:$I$88,5,0)</f>
        <v>188.96800000000002</v>
      </c>
      <c r="P40" s="14">
        <f t="shared" si="33"/>
        <v>47.311720031947068</v>
      </c>
      <c r="Q40" s="22">
        <f t="shared" si="53"/>
        <v>411.52051238897451</v>
      </c>
      <c r="R40" s="62">
        <f t="shared" si="0"/>
        <v>656.87986435964558</v>
      </c>
      <c r="S40" s="62">
        <f ca="1">AVERAGE(OFFSET($R$3,0,0,'Données projet'!$E$9+1,1))-AVERAGE(OFFSET($H$3,0,0,'Données projet'!$E$9+1,1))</f>
        <v>301.2688576786212</v>
      </c>
      <c r="T40" s="62">
        <f t="shared" si="34"/>
        <v>417.62172165132927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3.8428936240542848</v>
      </c>
      <c r="AA40" s="23">
        <f>EXP(-LN(2)/25)*AA39+(1-EXP(-LN(2)/25))/(LN(2)/25)*Calculateur!V40*Calculateur!X40*VLOOKUP('Données projet'!$B$9,Paramètres!$A$1:$I$88,3,0)*0.475*44/12</f>
        <v>33.010642015368262</v>
      </c>
      <c r="AB40" s="23">
        <f>EXP(-LN(2)/2)*AB39+(1-EXP(-LN(2)/2))/(LN(2)/2)*V40*Y40*VLOOKUP('Données projet'!$B$9,Paramètres!$A$1:$I$88,3,0)*0.475*44/12</f>
        <v>8.4551810450860625</v>
      </c>
      <c r="AC40" s="24">
        <f t="shared" si="3"/>
        <v>45.30871668450861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14</v>
      </c>
      <c r="AI40" s="14">
        <f>IF('Données projet'!$A$62&gt;35,AI39+AH40-AQ39,IF(A40&lt;'Données projet'!$A$62,$AF$205^A40,IF(A40='Données projet'!$A$62,'Données projet'!$B$62,AI39+AH40-AQ39)))</f>
        <v>218</v>
      </c>
      <c r="AJ40" s="14">
        <f>AI40*VLOOKUP('Données projet'!$B$10,Paramètres!$A$1:$I$88,3,0)*VLOOKUP('Données projet'!$B$10,Paramètres!$A$1:$I$88,5,0)</f>
        <v>102.02400000000002</v>
      </c>
      <c r="AK40" s="14">
        <f t="shared" si="35"/>
        <v>27.443623866530594</v>
      </c>
      <c r="AL40" s="22">
        <f t="shared" si="4"/>
        <v>225.48944490087413</v>
      </c>
      <c r="AM40" s="62">
        <f t="shared" si="5"/>
        <v>470.84879687154523</v>
      </c>
      <c r="AN40" s="62">
        <f ca="1">AVERAGE(OFFSET($AM$3,0,0,'Données projet'!$E$10+1,1))-AVERAGE(OFFSET($H$3,0,0,'Données projet'!$E$10+1,1))</f>
        <v>170.08673939431091</v>
      </c>
      <c r="AO40" s="62">
        <f t="shared" si="36"/>
        <v>252.97355497077106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projet'!$B$10,Paramètres!$A$1:$I$88,3,0)*0.475*44/12</f>
        <v>2.0807932956577906</v>
      </c>
      <c r="AV40" s="23">
        <f>EXP(-LN(2)/25)*AV39+(1-EXP(-LN(2)/25))/(LN(2)/25)*Calculateur!AQ40*Calculateur!AS40*VLOOKUP('Données projet'!$B$10,Paramètres!$A$1:$I$88,3,0)*0.475*44/12</f>
        <v>17.015268353878437</v>
      </c>
      <c r="AW40" s="23">
        <f>EXP(-LN(2)/2)*AW39+(1-EXP(-LN(2)/2))/(LN(2)/2)*AQ40*AT40*VLOOKUP('Données projet'!$B$10,Paramètres!$A$1:$I$88,3,0)*0.475*44/12</f>
        <v>1.336923184643763</v>
      </c>
      <c r="AX40" s="23">
        <f t="shared" si="6"/>
        <v>20.43298483417999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8.4</v>
      </c>
      <c r="BD40" s="13">
        <f>IF('Données projet'!$A$88&gt;35,BD39+BC40-BL39,IF(A40&lt;'Données projet'!$A$88,$BA$205^A40,IF(A40='Données projet'!$A$88,'Données projet'!$B$88,BD39+BC40-BL39)))</f>
        <v>111.80000000000001</v>
      </c>
      <c r="BE40" s="14">
        <f>BD40*VLOOKUP('Données projet'!$B$11,Paramètres!$A$1:$I$88,3,0)*VLOOKUP('Données projet'!$B$11,Paramètres!$A$1:$I$88,5,0)</f>
        <v>101.15664000000001</v>
      </c>
      <c r="BF40" s="14">
        <f t="shared" si="37"/>
        <v>27.237366379381644</v>
      </c>
      <c r="BG40" s="22">
        <f t="shared" si="7"/>
        <v>223.61956111075639</v>
      </c>
      <c r="BH40" s="62">
        <f t="shared" si="8"/>
        <v>468.97891308142749</v>
      </c>
      <c r="BI40" s="62">
        <f ca="1">AVERAGE(OFFSET($BH$3,0,0,'Données projet'!$E$11+1,1))-AVERAGE(OFFSET($H$3,0,0,'Données projet'!$E$11+1,1))</f>
        <v>362.63718589694594</v>
      </c>
      <c r="BJ40" s="62">
        <f t="shared" si="38"/>
        <v>250.47702091764884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projet'!$B$11,Paramètres!$A$1:$I$88,3,0)*0.475*44/12</f>
        <v>0</v>
      </c>
      <c r="BQ40" s="23">
        <f>EXP(-LN(2)/25)*BQ39+(1-EXP(-LN(2)/25))/(LN(2)/25)*Calculateur!BL40*Calculateur!BN40*VLOOKUP('Données projet'!$B$11,Paramètres!$A$1:$I$88,3,0)*0.475*44/12</f>
        <v>0</v>
      </c>
      <c r="BR40" s="23">
        <f>EXP(-LN(2)/2)*BR39+(1-EXP(-LN(2)/2))/(LN(2)/2)*BL40*BO40*VLOOKUP('Données projet'!$B$11,Paramètres!$A$1:$I$88,3,0)*0.475*44/12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8.4</v>
      </c>
      <c r="BY40" s="13">
        <f>IF('Données projet'!$A$114&gt;35,BY39+BX40-CG39,IF(A40&lt;'Données projet'!$A$114,$BV$205^A40,IF(A40='Données projet'!$A$114,'Données projet'!$B$114,BY39+BX40-CG39)))</f>
        <v>111.80000000000001</v>
      </c>
      <c r="BZ40" s="14">
        <f>BY40*VLOOKUP('Données projet'!$B$12,Paramètres!$A$1:$I$88,3,0)*VLOOKUP('Données projet'!$B$12,Paramètres!$A$1:$I$88,5,0)</f>
        <v>113.36520000000003</v>
      </c>
      <c r="CA40" s="14">
        <f t="shared" si="39"/>
        <v>30.122456058687614</v>
      </c>
      <c r="CB40" s="22">
        <f t="shared" si="10"/>
        <v>249.9076676355476</v>
      </c>
      <c r="CC40" s="62">
        <f t="shared" si="11"/>
        <v>495.2670196062187</v>
      </c>
      <c r="CD40" s="62">
        <f ca="1">AVERAGE(OFFSET($CC$3,0,0,'Données projet'!$E$12+1,1))-AVERAGE(OFFSET($H$3,0,0,'Données projet'!$E$12+1,1))</f>
        <v>398.14524781940196</v>
      </c>
      <c r="CE40" s="62">
        <f t="shared" si="40"/>
        <v>273.35778700650792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projet'!$B$12,Paramètres!$A$1:$I$88,3,0)*0.475*44/12</f>
        <v>0</v>
      </c>
      <c r="CL40" s="23">
        <f>EXP(-LN(2)/25)*CL39+(1-EXP(-LN(2)/25))/(LN(2)/25)*Calculateur!CG40*Calculateur!CI40*VLOOKUP('Données projet'!$B$12,Paramètres!$A$1:$I$88,3,0)*0.475*44/12</f>
        <v>0</v>
      </c>
      <c r="CM40" s="23">
        <f>EXP(-LN(2)/2)*CM39+(1-EXP(-LN(2)/2))/(LN(2)/2)*CG40*CJ40*VLOOKUP('Données projet'!$B$12,Paramètres!$A$1:$I$88,3,0)*0.475*44/12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9</v>
      </c>
      <c r="CT40" s="13">
        <f>IF('Données projet'!$A$140&gt;35,CT39+CS40-DB39,IF(A40&lt;'Données projet'!$A$140,$CQ$205^A40,IF(A40='Données projet'!$A$140,'Données projet'!$B$140,CT39+CS40-DB39)))</f>
        <v>135.99999999999997</v>
      </c>
      <c r="CU40" s="18">
        <f>CT40*VLOOKUP('Données projet'!$B$13,Paramètres!$A$1:$I$88,3,0)*VLOOKUP('Données projet'!$B$13,Paramètres!$A$1:$I$88,5,0)</f>
        <v>129.41759999999996</v>
      </c>
      <c r="CV40" s="14">
        <f t="shared" si="41"/>
        <v>33.861748644709095</v>
      </c>
      <c r="CW40" s="22">
        <f t="shared" si="13"/>
        <v>284.37819888953487</v>
      </c>
      <c r="CX40" s="62">
        <f t="shared" si="14"/>
        <v>529.73755086020594</v>
      </c>
      <c r="CY40" s="62">
        <f ca="1">AVERAGE(OFFSET($CX$3,0,0,'Données projet'!$E$13+1,1))-AVERAGE(OFFSET($H$3,0,0,'Données projet'!$E$13+1,1))</f>
        <v>470.0521927195926</v>
      </c>
      <c r="CZ40" s="62">
        <f t="shared" si="42"/>
        <v>299.27200854723435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projet'!$B$13,Paramètres!$A$1:$I$88,3,0)*0.475*44/12</f>
        <v>0</v>
      </c>
      <c r="DG40" s="23">
        <f>EXP(-LN(2)/25)*DG39+(1-EXP(-LN(2)/25))/(LN(2)/25)*Calculateur!DB40*Calculateur!DD40*VLOOKUP('Données projet'!$B$13,Paramètres!$A$1:$I$88,3,0)*0.475*44/12</f>
        <v>0</v>
      </c>
      <c r="DH40" s="23">
        <f>EXP(-LN(2)/2)*DH39+(1-EXP(-LN(2)/2))/(LN(2)/2)*DB40*DE40*VLOOKUP('Données projet'!$B$13,Paramètres!$A$1:$I$88,3,0)*0.475*44/12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5.4</v>
      </c>
      <c r="DO40" s="13">
        <f>IF('Données projet'!$A$166&gt;35,DO39+DN40-DW39,IF(A40&lt;'Données projet'!$A$166,$DL$205^A40,IF(A40='Données projet'!$A$166,'Données projet'!$B$166,DO39+DN40-DW39)))</f>
        <v>76.8</v>
      </c>
      <c r="DP40" s="18">
        <f>DO40*VLOOKUP('Données projet'!$B$14,Paramètres!$A$1:$I$88,3,0)*VLOOKUP('Données projet'!$B$14,Paramètres!$A$1:$I$88,5,0)</f>
        <v>74.280960000000007</v>
      </c>
      <c r="DQ40" s="14">
        <f t="shared" si="43"/>
        <v>20.732870299230971</v>
      </c>
      <c r="DR40" s="22">
        <f t="shared" si="16"/>
        <v>165.48242110449394</v>
      </c>
      <c r="DS40" s="62">
        <f t="shared" si="17"/>
        <v>410.84177307516507</v>
      </c>
      <c r="DT40" s="62">
        <f ca="1">AVERAGE(OFFSET($DS$3,0,0,'Données projet'!$E$14+1,1))-AVERAGE(OFFSET($H$3,0,0,'Données projet'!$E$14+1,1))</f>
        <v>290.89727102147953</v>
      </c>
      <c r="DU40" s="62">
        <f t="shared" si="44"/>
        <v>173.19148969173838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projet'!$B$14,Paramètres!$A$1:$I$88,3,0)*0.475*44/12</f>
        <v>0</v>
      </c>
      <c r="EB40" s="23">
        <f>EXP(-LN(2)/25)*EB39+(1-EXP(-LN(2)/25))/(LN(2)/25)*Calculateur!DW40*Calculateur!DY40*VLOOKUP('Données projet'!$B$14,Paramètres!$A$1:$I$88,3,0)*0.475*44/12</f>
        <v>0</v>
      </c>
      <c r="EC40" s="23">
        <f>EXP(-LN(2)/2)*EC39+(1-EXP(-LN(2)/2))/(LN(2)/2)*DW40*DZ40*VLOOKUP('Données projet'!$B$14,Paramètres!$A$1:$I$88,3,0)*0.475*44/12</f>
        <v>0</v>
      </c>
      <c r="ED40" s="24">
        <f t="shared" si="18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projet'!$B$15,Paramètres!$A$1:$I$88,3,0)*VLOOKUP('Données projet'!$B$15,Paramètres!$A$1:$I$88,5,0)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projet'!$B$15,Paramètres!$A$1:$I$88,3,0)*0.475*44/12</f>
        <v>#N/A</v>
      </c>
      <c r="EW40" s="23" t="e">
        <f>EXP(-LN(2)/25)*EW39+(1-EXP(-LN(2)/25))/(LN(2)/25)*Calculateur!ER40*Calculateur!ET40*VLOOKUP('Données projet'!$B$15,Paramètres!$A$1:$I$88,3,0)*0.475*44/12</f>
        <v>#N/A</v>
      </c>
      <c r="EX40" s="23" t="e">
        <f>EXP(-LN(2)/2)*EX39+(1-EXP(-LN(2)/2))/(LN(2)/2)*ER40*EU40*VLOOKUP('Données projet'!$B$15,Paramètres!$A$1:$I$88,3,0)*0.475*44/12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projet'!$B$16,Paramètres!$A$1:$I$88,3,0)*VLOOKUP('Données projet'!$B$16,Paramètres!$A$1:$I$88,5,0)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projet'!$B$16,Paramètres!$A$1:$I$88,3,0)*0.475*44/12</f>
        <v>#N/A</v>
      </c>
      <c r="FR40" s="23" t="e">
        <f>EXP(-LN(2)/25)*FR39+(1-EXP(-LN(2)/25))/(LN(2)/25)*Calculateur!FM40*Calculateur!FO40*VLOOKUP('Données projet'!$B$16,Paramètres!$A$1:$I$88,3,0)*0.475*44/12</f>
        <v>#N/A</v>
      </c>
      <c r="FS40" s="23" t="e">
        <f>EXP(-LN(2)/2)*FS39+(1-EXP(-LN(2)/2))/(LN(2)/2)*FM40*FP40*VLOOKUP('Données projet'!$B$16,Paramètres!$A$1:$I$88,3,0)*0.475*44/12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projet'!$B$17,Paramètres!$A$1:$I$88,3,0)*VLOOKUP('Données projet'!$B$17,Paramètres!$A$1:$I$88,5,0)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projet'!$B$17,Paramètres!$A$1:$I$88,3,0)*0.475*44/12</f>
        <v>#N/A</v>
      </c>
      <c r="GM40" s="23" t="e">
        <f>EXP(-LN(2)/25)*GM39+(1-EXP(-LN(2)/25))/(LN(2)/25)*Calculateur!GH40*Calculateur!GJ40*VLOOKUP('Données projet'!$B$17,Paramètres!$A$1:$I$88,3,0)*0.475*44/12</f>
        <v>#N/A</v>
      </c>
      <c r="GN40" s="23" t="e">
        <f>EXP(-LN(2)/2)*GN39+(1-EXP(-LN(2)/2))/(LN(2)/2)*GH40*GK40*VLOOKUP('Données projet'!$B$17,Paramètres!$A$1:$I$88,3,0)*0.475*44/12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projet'!$B$18,Paramètres!$A$1:$I$88,3,0)*VLOOKUP('Données projet'!$B$18,Paramètres!$A$1:$I$88,5,0)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projet'!$B$18,Paramètres!$A$1:$I$88,3,0)*0.475*44/12</f>
        <v>#N/A</v>
      </c>
      <c r="HH40" s="23" t="e">
        <f>EXP(-LN(2)/25)*HH39+(1-EXP(-LN(2)/25))/(LN(2)/25)*Calculateur!HC40*Calculateur!HE40*VLOOKUP('Données projet'!$B$18,Paramètres!$A$1:$I$88,3,0)*0.475*44/12</f>
        <v>#N/A</v>
      </c>
      <c r="HI40" s="23" t="e">
        <f>EXP(-LN(2)/2)*HI39+(1-EXP(-LN(2)/2))/(LN(2)/2)*HC40*HF40*VLOOKUP('Données projet'!$B$18,Paramètres!$A$1:$I$88,3,0)*0.475*44/12</f>
        <v>#N/A</v>
      </c>
      <c r="HJ40" s="24" t="e">
        <f t="shared" si="30"/>
        <v>#N/A</v>
      </c>
    </row>
    <row r="41" spans="1:218" s="5" customFormat="1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21</v>
      </c>
      <c r="N41" s="14">
        <f>IF('Données projet'!$A$36&gt;35,N40+M41-V40,IF(A41&lt;'Données projet'!$A$36,$K$205^A41,IF(A41='Données projet'!$A$36,'Données projet'!$B$36,N40+M41-V40)))</f>
        <v>337</v>
      </c>
      <c r="O41" s="14">
        <f>N41*VLOOKUP('Données projet'!$B$9,Paramètres!$A$1:$I$88,3,0)*VLOOKUP('Données projet'!$B$9,Paramètres!$A$1:$I$88,5,0)</f>
        <v>201.52600000000001</v>
      </c>
      <c r="P41" s="14">
        <f t="shared" si="33"/>
        <v>50.079387833316794</v>
      </c>
      <c r="Q41" s="22">
        <f t="shared" si="53"/>
        <v>438.21271714302679</v>
      </c>
      <c r="R41" s="62">
        <f t="shared" si="0"/>
        <v>684.40431043658555</v>
      </c>
      <c r="S41" s="62">
        <f ca="1">AVERAGE(OFFSET($R$3,0,0,'Données projet'!$E$9+1,1))-AVERAGE(OFFSET($H$3,0,0,'Données projet'!$E$9+1,1))</f>
        <v>301.2688576786212</v>
      </c>
      <c r="T41" s="62">
        <f t="shared" si="34"/>
        <v>417.62172165132927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3.7675368240202469</v>
      </c>
      <c r="AA41" s="23">
        <f>EXP(-LN(2)/25)*AA40+(1-EXP(-LN(2)/25))/(LN(2)/25)*Calculateur!V41*Calculateur!X41*VLOOKUP('Données projet'!$B$9,Paramètres!$A$1:$I$88,3,0)*0.475*44/12</f>
        <v>32.107964273503804</v>
      </c>
      <c r="AB41" s="23">
        <f>EXP(-LN(2)/2)*AB40+(1-EXP(-LN(2)/2))/(LN(2)/2)*V41*Y41*VLOOKUP('Données projet'!$B$9,Paramètres!$A$1:$I$88,3,0)*0.475*44/12</f>
        <v>5.9787158531403151</v>
      </c>
      <c r="AC41" s="24">
        <f t="shared" si="3"/>
        <v>41.854216950664366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14</v>
      </c>
      <c r="AI41" s="14">
        <f>IF('Données projet'!$A$62&gt;35,AI40+AH41-AQ40,IF(A41&lt;'Données projet'!$A$62,$AF$205^A41,IF(A41='Données projet'!$A$62,'Données projet'!$B$62,AI40+AH41-AQ40)))</f>
        <v>232</v>
      </c>
      <c r="AJ41" s="14">
        <f>AI41*VLOOKUP('Données projet'!$B$10,Paramètres!$A$1:$I$88,3,0)*VLOOKUP('Données projet'!$B$10,Paramètres!$A$1:$I$88,5,0)</f>
        <v>108.57599999999999</v>
      </c>
      <c r="AK41" s="14">
        <f t="shared" si="35"/>
        <v>28.995225061228002</v>
      </c>
      <c r="AL41" s="22">
        <f t="shared" si="4"/>
        <v>239.60321698163875</v>
      </c>
      <c r="AM41" s="62">
        <f t="shared" si="5"/>
        <v>485.79481027519751</v>
      </c>
      <c r="AN41" s="62">
        <f ca="1">AVERAGE(OFFSET($AM$3,0,0,'Données projet'!$E$10+1,1))-AVERAGE(OFFSET($H$3,0,0,'Données projet'!$E$10+1,1))</f>
        <v>170.08673939431091</v>
      </c>
      <c r="AO41" s="62">
        <f t="shared" si="36"/>
        <v>252.97355497077106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projet'!$B$10,Paramètres!$A$1:$I$88,3,0)*0.475*44/12</f>
        <v>2.0399902082885326</v>
      </c>
      <c r="AV41" s="23">
        <f>EXP(-LN(2)/25)*AV40+(1-EXP(-LN(2)/25))/(LN(2)/25)*Calculateur!AQ41*Calculateur!AS41*VLOOKUP('Données projet'!$B$10,Paramètres!$A$1:$I$88,3,0)*0.475*44/12</f>
        <v>16.549984945947557</v>
      </c>
      <c r="AW41" s="23">
        <f>EXP(-LN(2)/2)*AW40+(1-EXP(-LN(2)/2))/(LN(2)/2)*AQ41*AT41*VLOOKUP('Données projet'!$B$10,Paramètres!$A$1:$I$88,3,0)*0.475*44/12</f>
        <v>0.94534744978711971</v>
      </c>
      <c r="AX41" s="23">
        <f t="shared" si="6"/>
        <v>19.535322604023211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8.4</v>
      </c>
      <c r="BD41" s="13">
        <f>IF('Données projet'!$A$88&gt;35,BD40+BC41-BL40,IF(A41&lt;'Données projet'!$A$88,$BA$205^A41,IF(A41='Données projet'!$A$88,'Données projet'!$B$88,BD40+BC41-BL40)))</f>
        <v>120.20000000000002</v>
      </c>
      <c r="BE41" s="14">
        <f>BD41*VLOOKUP('Données projet'!$B$11,Paramètres!$A$1:$I$88,3,0)*VLOOKUP('Données projet'!$B$11,Paramètres!$A$1:$I$88,5,0)</f>
        <v>108.75696000000002</v>
      </c>
      <c r="BF41" s="14">
        <f t="shared" si="37"/>
        <v>29.037921223305609</v>
      </c>
      <c r="BG41" s="22">
        <f t="shared" si="7"/>
        <v>239.99275146392395</v>
      </c>
      <c r="BH41" s="62">
        <f t="shared" si="8"/>
        <v>486.18434475748268</v>
      </c>
      <c r="BI41" s="62">
        <f ca="1">AVERAGE(OFFSET($BH$3,0,0,'Données projet'!$E$11+1,1))-AVERAGE(OFFSET($H$3,0,0,'Données projet'!$E$11+1,1))</f>
        <v>362.63718589694594</v>
      </c>
      <c r="BJ41" s="62">
        <f t="shared" si="38"/>
        <v>250.47702091764884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projet'!$B$11,Paramètres!$A$1:$I$88,3,0)*0.475*44/12</f>
        <v>0</v>
      </c>
      <c r="BQ41" s="23">
        <f>EXP(-LN(2)/25)*BQ40+(1-EXP(-LN(2)/25))/(LN(2)/25)*Calculateur!BL41*Calculateur!BN41*VLOOKUP('Données projet'!$B$11,Paramètres!$A$1:$I$88,3,0)*0.475*44/12</f>
        <v>0</v>
      </c>
      <c r="BR41" s="23">
        <f>EXP(-LN(2)/2)*BR40+(1-EXP(-LN(2)/2))/(LN(2)/2)*BL41*BO41*VLOOKUP('Données projet'!$B$11,Paramètres!$A$1:$I$88,3,0)*0.475*44/12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8.4</v>
      </c>
      <c r="BY41" s="13">
        <f>IF('Données projet'!$A$114&gt;35,BY40+BX41-CG40,IF(A41&lt;'Données projet'!$A$114,$BV$205^A41,IF(A41='Données projet'!$A$114,'Données projet'!$B$114,BY40+BX41-CG40)))</f>
        <v>120.20000000000002</v>
      </c>
      <c r="BZ41" s="14">
        <f>BY41*VLOOKUP('Données projet'!$B$12,Paramètres!$A$1:$I$88,3,0)*VLOOKUP('Données projet'!$B$12,Paramètres!$A$1:$I$88,5,0)</f>
        <v>121.88280000000002</v>
      </c>
      <c r="CA41" s="14">
        <f t="shared" si="39"/>
        <v>32.113732800054677</v>
      </c>
      <c r="CB41" s="22">
        <f t="shared" si="10"/>
        <v>268.21062796009522</v>
      </c>
      <c r="CC41" s="62">
        <f t="shared" si="11"/>
        <v>514.40222125365392</v>
      </c>
      <c r="CD41" s="62">
        <f ca="1">AVERAGE(OFFSET($CC$3,0,0,'Données projet'!$E$12+1,1))-AVERAGE(OFFSET($H$3,0,0,'Données projet'!$E$12+1,1))</f>
        <v>398.14524781940196</v>
      </c>
      <c r="CE41" s="62">
        <f t="shared" si="40"/>
        <v>273.35778700650792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projet'!$B$12,Paramètres!$A$1:$I$88,3,0)*0.475*44/12</f>
        <v>0</v>
      </c>
      <c r="CL41" s="23">
        <f>EXP(-LN(2)/25)*CL40+(1-EXP(-LN(2)/25))/(LN(2)/25)*Calculateur!CG41*Calculateur!CI41*VLOOKUP('Données projet'!$B$12,Paramètres!$A$1:$I$88,3,0)*0.475*44/12</f>
        <v>0</v>
      </c>
      <c r="CM41" s="23">
        <f>EXP(-LN(2)/2)*CM40+(1-EXP(-LN(2)/2))/(LN(2)/2)*CG41*CJ41*VLOOKUP('Données projet'!$B$12,Paramètres!$A$1:$I$88,3,0)*0.475*44/12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9</v>
      </c>
      <c r="CT41" s="13">
        <f>IF('Données projet'!$A$140&gt;35,CT40+CS41-DB40,IF(A41&lt;'Données projet'!$A$140,$CQ$205^A41,IF(A41='Données projet'!$A$140,'Données projet'!$B$140,CT40+CS41-DB40)))</f>
        <v>144.99999999999997</v>
      </c>
      <c r="CU41" s="18">
        <f>CT41*VLOOKUP('Données projet'!$B$13,Paramètres!$A$1:$I$88,3,0)*VLOOKUP('Données projet'!$B$13,Paramètres!$A$1:$I$88,5,0)</f>
        <v>137.98199999999997</v>
      </c>
      <c r="CV41" s="14">
        <f t="shared" si="41"/>
        <v>35.834320111431943</v>
      </c>
      <c r="CW41" s="22">
        <f t="shared" si="13"/>
        <v>302.73009086074387</v>
      </c>
      <c r="CX41" s="62">
        <f t="shared" si="14"/>
        <v>548.92168415430262</v>
      </c>
      <c r="CY41" s="62">
        <f ca="1">AVERAGE(OFFSET($CX$3,0,0,'Données projet'!$E$13+1,1))-AVERAGE(OFFSET($H$3,0,0,'Données projet'!$E$13+1,1))</f>
        <v>470.0521927195926</v>
      </c>
      <c r="CZ41" s="62">
        <f t="shared" si="42"/>
        <v>299.27200854723435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projet'!$B$13,Paramètres!$A$1:$I$88,7,0))</f>
        <v>0</v>
      </c>
      <c r="DD41" s="17">
        <f>IF(ISNA(VLOOKUP(A41,'Données projet'!$A$139:$I$159,6,0)),0%,VLOOKUP(A41,'Données projet'!$A$139:$I$159,6,0)*VLOOKUP('Données projet'!$B$13,Paramètres!$A$1:$I$88,7,0))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projet'!$B$13,Paramètres!$A$1:$I$88,3,0)*0.475*44/12</f>
        <v>0</v>
      </c>
      <c r="DG41" s="23">
        <f>EXP(-LN(2)/25)*DG40+(1-EXP(-LN(2)/25))/(LN(2)/25)*Calculateur!DB41*Calculateur!DD41*VLOOKUP('Données projet'!$B$13,Paramètres!$A$1:$I$88,3,0)*0.475*44/12</f>
        <v>0</v>
      </c>
      <c r="DH41" s="23">
        <f>EXP(-LN(2)/2)*DH40+(1-EXP(-LN(2)/2))/(LN(2)/2)*DB41*DE41*VLOOKUP('Données projet'!$B$13,Paramètres!$A$1:$I$88,3,0)*0.475*44/12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5.4</v>
      </c>
      <c r="DO41" s="13">
        <f>IF('Données projet'!$A$166&gt;35,DO40+DN41-DW40,IF(A41&lt;'Données projet'!$A$166,$DL$205^A41,IF(A41='Données projet'!$A$166,'Données projet'!$B$166,DO40+DN41-DW40)))</f>
        <v>82.2</v>
      </c>
      <c r="DP41" s="18">
        <f>DO41*VLOOKUP('Données projet'!$B$14,Paramètres!$A$1:$I$88,3,0)*VLOOKUP('Données projet'!$B$14,Paramètres!$A$1:$I$88,5,0)</f>
        <v>79.503839999999997</v>
      </c>
      <c r="DQ41" s="14">
        <f t="shared" si="43"/>
        <v>22.015826538921051</v>
      </c>
      <c r="DR41" s="22">
        <f t="shared" si="16"/>
        <v>176.81341922195415</v>
      </c>
      <c r="DS41" s="62">
        <f t="shared" si="17"/>
        <v>423.00501251551287</v>
      </c>
      <c r="DT41" s="62">
        <f ca="1">AVERAGE(OFFSET($DS$3,0,0,'Données projet'!$E$14+1,1))-AVERAGE(OFFSET($H$3,0,0,'Données projet'!$E$14+1,1))</f>
        <v>290.89727102147953</v>
      </c>
      <c r="DU41" s="62">
        <f t="shared" si="44"/>
        <v>173.19148969173838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projet'!$B$14,Paramètres!$A$1:$I$88,3,0)*0.475*44/12</f>
        <v>0</v>
      </c>
      <c r="EB41" s="23">
        <f>EXP(-LN(2)/25)*EB40+(1-EXP(-LN(2)/25))/(LN(2)/25)*Calculateur!DW41*Calculateur!DY41*VLOOKUP('Données projet'!$B$14,Paramètres!$A$1:$I$88,3,0)*0.475*44/12</f>
        <v>0</v>
      </c>
      <c r="EC41" s="23">
        <f>EXP(-LN(2)/2)*EC40+(1-EXP(-LN(2)/2))/(LN(2)/2)*DW41*DZ41*VLOOKUP('Données projet'!$B$14,Paramètres!$A$1:$I$88,3,0)*0.475*44/12</f>
        <v>0</v>
      </c>
      <c r="ED41" s="24">
        <f t="shared" si="18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projet'!$B$15,Paramètres!$A$1:$I$88,3,0)*VLOOKUP('Données projet'!$B$15,Paramètres!$A$1:$I$88,5,0)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projet'!$B$15,Paramètres!$A$1:$I$88,3,0)*0.475*44/12</f>
        <v>#N/A</v>
      </c>
      <c r="EW41" s="23" t="e">
        <f>EXP(-LN(2)/25)*EW40+(1-EXP(-LN(2)/25))/(LN(2)/25)*Calculateur!ER41*Calculateur!ET41*VLOOKUP('Données projet'!$B$15,Paramètres!$A$1:$I$88,3,0)*0.475*44/12</f>
        <v>#N/A</v>
      </c>
      <c r="EX41" s="23" t="e">
        <f>EXP(-LN(2)/2)*EX40+(1-EXP(-LN(2)/2))/(LN(2)/2)*ER41*EU41*VLOOKUP('Données projet'!$B$15,Paramètres!$A$1:$I$88,3,0)*0.475*44/12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projet'!$B$16,Paramètres!$A$1:$I$88,3,0)*VLOOKUP('Données projet'!$B$16,Paramètres!$A$1:$I$88,5,0)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projet'!$B$16,Paramètres!$A$1:$I$88,3,0)*0.475*44/12</f>
        <v>#N/A</v>
      </c>
      <c r="FR41" s="23" t="e">
        <f>EXP(-LN(2)/25)*FR40+(1-EXP(-LN(2)/25))/(LN(2)/25)*Calculateur!FM41*Calculateur!FO41*VLOOKUP('Données projet'!$B$16,Paramètres!$A$1:$I$88,3,0)*0.475*44/12</f>
        <v>#N/A</v>
      </c>
      <c r="FS41" s="23" t="e">
        <f>EXP(-LN(2)/2)*FS40+(1-EXP(-LN(2)/2))/(LN(2)/2)*FM41*FP41*VLOOKUP('Données projet'!$B$16,Paramètres!$A$1:$I$88,3,0)*0.475*44/12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projet'!$B$17,Paramètres!$A$1:$I$88,3,0)*VLOOKUP('Données projet'!$B$17,Paramètres!$A$1:$I$88,5,0)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projet'!$B$17,Paramètres!$A$1:$I$88,3,0)*0.475*44/12</f>
        <v>#N/A</v>
      </c>
      <c r="GM41" s="23" t="e">
        <f>EXP(-LN(2)/25)*GM40+(1-EXP(-LN(2)/25))/(LN(2)/25)*Calculateur!GH41*Calculateur!GJ41*VLOOKUP('Données projet'!$B$17,Paramètres!$A$1:$I$88,3,0)*0.475*44/12</f>
        <v>#N/A</v>
      </c>
      <c r="GN41" s="23" t="e">
        <f>EXP(-LN(2)/2)*GN40+(1-EXP(-LN(2)/2))/(LN(2)/2)*GH41*GK41*VLOOKUP('Données projet'!$B$17,Paramètres!$A$1:$I$88,3,0)*0.475*44/12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projet'!$B$18,Paramètres!$A$1:$I$88,3,0)*VLOOKUP('Données projet'!$B$18,Paramètres!$A$1:$I$88,5,0)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projet'!$B$18,Paramètres!$A$1:$I$88,3,0)*0.475*44/12</f>
        <v>#N/A</v>
      </c>
      <c r="HH41" s="23" t="e">
        <f>EXP(-LN(2)/25)*HH40+(1-EXP(-LN(2)/25))/(LN(2)/25)*Calculateur!HC41*Calculateur!HE41*VLOOKUP('Données projet'!$B$18,Paramètres!$A$1:$I$88,3,0)*0.475*44/12</f>
        <v>#N/A</v>
      </c>
      <c r="HI41" s="23" t="e">
        <f>EXP(-LN(2)/2)*HI40+(1-EXP(-LN(2)/2))/(LN(2)/2)*HC41*HF41*VLOOKUP('Données projet'!$B$18,Paramètres!$A$1:$I$88,3,0)*0.475*44/12</f>
        <v>#N/A</v>
      </c>
      <c r="HJ41" s="24" t="e">
        <f t="shared" si="30"/>
        <v>#N/A</v>
      </c>
    </row>
    <row r="42" spans="1:218" s="5" customFormat="1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21</v>
      </c>
      <c r="N42" s="14">
        <f>IF('Données projet'!$A$36&gt;35,N41+M42-V41,IF(A42&lt;'Données projet'!$A$36,$K$205^A42,IF(A42='Données projet'!$A$36,'Données projet'!$B$36,N41+M42-V41)))</f>
        <v>358</v>
      </c>
      <c r="O42" s="14">
        <f>N42*VLOOKUP('Données projet'!$B$9,Paramètres!$A$1:$I$88,3,0)*VLOOKUP('Données projet'!$B$9,Paramètres!$A$1:$I$88,5,0)</f>
        <v>214.084</v>
      </c>
      <c r="P42" s="14">
        <f t="shared" si="33"/>
        <v>52.827039557879814</v>
      </c>
      <c r="Q42" s="22">
        <f t="shared" si="53"/>
        <v>464.87006056330733</v>
      </c>
      <c r="R42" s="62">
        <f t="shared" si="0"/>
        <v>711.87945765341442</v>
      </c>
      <c r="S42" s="62">
        <f ca="1">AVERAGE(OFFSET($R$3,0,0,'Données projet'!$E$9+1,1))-AVERAGE(OFFSET($H$3,0,0,'Données projet'!$E$9+1,1))</f>
        <v>301.2688576786212</v>
      </c>
      <c r="T42" s="62">
        <f t="shared" si="34"/>
        <v>417.62172165132927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projet'!$B$9,Paramètres!$A$1:$I$88,7,0))</f>
        <v>0</v>
      </c>
      <c r="X42" s="17">
        <f>IF(ISNA(VLOOKUP(A42,'Données projet'!$A$35:$I$55,6,0)),0%,VLOOKUP(A42,'Données projet'!$A$35:$I$55,6,0)*VLOOKUP('Données projet'!$B$9,Paramètres!$A$1:$I$88,7,0))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3.6936577248717666</v>
      </c>
      <c r="AA42" s="23">
        <f>EXP(-LN(2)/25)*AA41+(1-EXP(-LN(2)/25))/(LN(2)/25)*Calculateur!V42*Calculateur!X42*VLOOKUP('Données projet'!$B$9,Paramètres!$A$1:$I$88,3,0)*0.475*44/12</f>
        <v>31.229970301960385</v>
      </c>
      <c r="AB42" s="23">
        <f>EXP(-LN(2)/2)*AB41+(1-EXP(-LN(2)/2))/(LN(2)/2)*V42*Y42*VLOOKUP('Données projet'!$B$9,Paramètres!$A$1:$I$88,3,0)*0.475*44/12</f>
        <v>4.2275905225430321</v>
      </c>
      <c r="AC42" s="24">
        <f t="shared" si="3"/>
        <v>39.151218549375187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14</v>
      </c>
      <c r="AI42" s="14">
        <f>IF('Données projet'!$A$62&gt;35,AI41+AH42-AQ41,IF(A42&lt;'Données projet'!$A$62,$AF$205^A42,IF(A42='Données projet'!$A$62,'Données projet'!$B$62,AI41+AH42-AQ41)))</f>
        <v>246</v>
      </c>
      <c r="AJ42" s="14">
        <f>AI42*VLOOKUP('Données projet'!$B$10,Paramètres!$A$1:$I$88,3,0)*VLOOKUP('Données projet'!$B$10,Paramètres!$A$1:$I$88,5,0)</f>
        <v>115.128</v>
      </c>
      <c r="AK42" s="14">
        <f t="shared" si="35"/>
        <v>30.53595882135</v>
      </c>
      <c r="AL42" s="22">
        <f t="shared" si="4"/>
        <v>253.69806161385125</v>
      </c>
      <c r="AM42" s="62">
        <f t="shared" si="5"/>
        <v>500.70745870395837</v>
      </c>
      <c r="AN42" s="62">
        <f ca="1">AVERAGE(OFFSET($AM$3,0,0,'Données projet'!$E$10+1,1))-AVERAGE(OFFSET($H$3,0,0,'Données projet'!$E$10+1,1))</f>
        <v>170.08673939431091</v>
      </c>
      <c r="AO42" s="62">
        <f t="shared" si="36"/>
        <v>252.97355497077106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projet'!$B$10,Paramètres!$A$1:$I$88,3,0)*0.475*44/12</f>
        <v>1.9999872445751599</v>
      </c>
      <c r="AV42" s="23">
        <f>EXP(-LN(2)/25)*AV41+(1-EXP(-LN(2)/25))/(LN(2)/25)*Calculateur!AQ42*Calculateur!AS42*VLOOKUP('Données projet'!$B$10,Paramètres!$A$1:$I$88,3,0)*0.475*44/12</f>
        <v>16.097424737274739</v>
      </c>
      <c r="AW42" s="23">
        <f>EXP(-LN(2)/2)*AW41+(1-EXP(-LN(2)/2))/(LN(2)/2)*AQ42*AT42*VLOOKUP('Données projet'!$B$10,Paramètres!$A$1:$I$88,3,0)*0.475*44/12</f>
        <v>0.66846159232188163</v>
      </c>
      <c r="AX42" s="23">
        <f t="shared" si="6"/>
        <v>18.765873574171781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8.4</v>
      </c>
      <c r="BD42" s="13">
        <f>IF('Données projet'!$A$88&gt;35,BD41+BC42-BL41,IF(A42&lt;'Données projet'!$A$88,$BA$205^A42,IF(A42='Données projet'!$A$88,'Données projet'!$B$88,BD41+BC42-BL41)))</f>
        <v>128.60000000000002</v>
      </c>
      <c r="BE42" s="14">
        <f>BD42*VLOOKUP('Données projet'!$B$11,Paramètres!$A$1:$I$88,3,0)*VLOOKUP('Données projet'!$B$11,Paramètres!$A$1:$I$88,5,0)</f>
        <v>116.35728000000002</v>
      </c>
      <c r="BF42" s="14">
        <f t="shared" si="37"/>
        <v>30.823876427820704</v>
      </c>
      <c r="BG42" s="22">
        <f t="shared" si="7"/>
        <v>256.34051411178774</v>
      </c>
      <c r="BH42" s="62">
        <f t="shared" si="8"/>
        <v>503.34991120189488</v>
      </c>
      <c r="BI42" s="62">
        <f ca="1">AVERAGE(OFFSET($BH$3,0,0,'Données projet'!$E$11+1,1))-AVERAGE(OFFSET($H$3,0,0,'Données projet'!$E$11+1,1))</f>
        <v>362.63718589694594</v>
      </c>
      <c r="BJ42" s="62">
        <f t="shared" si="38"/>
        <v>250.47702091764884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projet'!$B$11,Paramètres!$A$1:$I$88,7,0))</f>
        <v>0</v>
      </c>
      <c r="BN42" s="17">
        <f>IF(ISNA(VLOOKUP(A42,'Données projet'!$A$87:$I$107,6,0)),0%,VLOOKUP(A42,'Données projet'!$A$87:$I$107,6,0)*VLOOKUP('Données projet'!$B$11,Paramètres!$A$1:$I$88,7,0))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projet'!$B$11,Paramètres!$A$1:$I$88,3,0)*0.475*44/12</f>
        <v>0</v>
      </c>
      <c r="BQ42" s="23">
        <f>EXP(-LN(2)/25)*BQ41+(1-EXP(-LN(2)/25))/(LN(2)/25)*Calculateur!BL42*Calculateur!BN42*VLOOKUP('Données projet'!$B$11,Paramètres!$A$1:$I$88,3,0)*0.475*44/12</f>
        <v>0</v>
      </c>
      <c r="BR42" s="23">
        <f>EXP(-LN(2)/2)*BR41+(1-EXP(-LN(2)/2))/(LN(2)/2)*BL42*BO42*VLOOKUP('Données projet'!$B$11,Paramètres!$A$1:$I$88,3,0)*0.475*44/12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8.4</v>
      </c>
      <c r="BY42" s="13">
        <f>IF('Données projet'!$A$114&gt;35,BY41+BX42-CG41,IF(A42&lt;'Données projet'!$A$114,$BV$205^A42,IF(A42='Données projet'!$A$114,'Données projet'!$B$114,BY41+BX42-CG41)))</f>
        <v>128.60000000000002</v>
      </c>
      <c r="BZ42" s="14">
        <f>BY42*VLOOKUP('Données projet'!$B$12,Paramètres!$A$1:$I$88,3,0)*VLOOKUP('Données projet'!$B$12,Paramètres!$A$1:$I$88,5,0)</f>
        <v>130.40040000000002</v>
      </c>
      <c r="CA42" s="14">
        <f t="shared" si="39"/>
        <v>34.088863450406919</v>
      </c>
      <c r="CB42" s="22">
        <f t="shared" si="10"/>
        <v>286.48546717612544</v>
      </c>
      <c r="CC42" s="62">
        <f t="shared" si="11"/>
        <v>533.49486426623253</v>
      </c>
      <c r="CD42" s="62">
        <f ca="1">AVERAGE(OFFSET($CC$3,0,0,'Données projet'!$E$12+1,1))-AVERAGE(OFFSET($H$3,0,0,'Données projet'!$E$12+1,1))</f>
        <v>398.14524781940196</v>
      </c>
      <c r="CE42" s="62">
        <f t="shared" si="40"/>
        <v>273.35778700650792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projet'!$B$12,Paramètres!$A$1:$I$88,3,0)*0.475*44/12</f>
        <v>0</v>
      </c>
      <c r="CL42" s="23">
        <f>EXP(-LN(2)/25)*CL41+(1-EXP(-LN(2)/25))/(LN(2)/25)*Calculateur!CG42*Calculateur!CI42*VLOOKUP('Données projet'!$B$12,Paramètres!$A$1:$I$88,3,0)*0.475*44/12</f>
        <v>0</v>
      </c>
      <c r="CM42" s="23">
        <f>EXP(-LN(2)/2)*CM41+(1-EXP(-LN(2)/2))/(LN(2)/2)*CG42*CJ42*VLOOKUP('Données projet'!$B$12,Paramètres!$A$1:$I$88,3,0)*0.475*44/12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9</v>
      </c>
      <c r="CT42" s="13">
        <f>IF('Données projet'!$A$140&gt;35,CT41+CS42-DB41,IF(A42&lt;'Données projet'!$A$140,$CQ$205^A42,IF(A42='Données projet'!$A$140,'Données projet'!$B$140,CT41+CS42-DB41)))</f>
        <v>153.99999999999997</v>
      </c>
      <c r="CU42" s="18">
        <f>CT42*VLOOKUP('Données projet'!$B$13,Paramètres!$A$1:$I$88,3,0)*VLOOKUP('Données projet'!$B$13,Paramètres!$A$1:$I$88,5,0)</f>
        <v>146.54639999999998</v>
      </c>
      <c r="CV42" s="14">
        <f t="shared" si="41"/>
        <v>37.7926818187577</v>
      </c>
      <c r="CW42" s="22">
        <f t="shared" si="13"/>
        <v>321.05723416766961</v>
      </c>
      <c r="CX42" s="62">
        <f t="shared" si="14"/>
        <v>568.06663125777675</v>
      </c>
      <c r="CY42" s="62">
        <f ca="1">AVERAGE(OFFSET($CX$3,0,0,'Données projet'!$E$13+1,1))-AVERAGE(OFFSET($H$3,0,0,'Données projet'!$E$13+1,1))</f>
        <v>470.0521927195926</v>
      </c>
      <c r="CZ42" s="62">
        <f t="shared" si="42"/>
        <v>299.27200854723435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projet'!$B$13,Paramètres!$A$1:$I$88,3,0)*0.475*44/12</f>
        <v>0</v>
      </c>
      <c r="DG42" s="23">
        <f>EXP(-LN(2)/25)*DG41+(1-EXP(-LN(2)/25))/(LN(2)/25)*Calculateur!DB42*Calculateur!DD42*VLOOKUP('Données projet'!$B$13,Paramètres!$A$1:$I$88,3,0)*0.475*44/12</f>
        <v>0</v>
      </c>
      <c r="DH42" s="23">
        <f>EXP(-LN(2)/2)*DH41+(1-EXP(-LN(2)/2))/(LN(2)/2)*DB42*DE42*VLOOKUP('Données projet'!$B$13,Paramètres!$A$1:$I$88,3,0)*0.475*44/12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5.4</v>
      </c>
      <c r="DO42" s="13">
        <f>IF('Données projet'!$A$166&gt;35,DO41+DN42-DW41,IF(A42&lt;'Données projet'!$A$166,$DL$205^A42,IF(A42='Données projet'!$A$166,'Données projet'!$B$166,DO41+DN42-DW41)))</f>
        <v>87.600000000000009</v>
      </c>
      <c r="DP42" s="18">
        <f>DO42*VLOOKUP('Données projet'!$B$14,Paramètres!$A$1:$I$88,3,0)*VLOOKUP('Données projet'!$B$14,Paramètres!$A$1:$I$88,5,0)</f>
        <v>84.726720000000014</v>
      </c>
      <c r="DQ42" s="14">
        <f t="shared" si="43"/>
        <v>23.289002367177517</v>
      </c>
      <c r="DR42" s="22">
        <f t="shared" si="16"/>
        <v>188.1273831228342</v>
      </c>
      <c r="DS42" s="62">
        <f t="shared" si="17"/>
        <v>435.13678021294129</v>
      </c>
      <c r="DT42" s="62">
        <f ca="1">AVERAGE(OFFSET($DS$3,0,0,'Données projet'!$E$14+1,1))-AVERAGE(OFFSET($H$3,0,0,'Données projet'!$E$14+1,1))</f>
        <v>290.89727102147953</v>
      </c>
      <c r="DU42" s="62">
        <f t="shared" si="44"/>
        <v>173.19148969173838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projet'!$B$14,Paramètres!$A$1:$I$88,3,0)*0.475*44/12</f>
        <v>0</v>
      </c>
      <c r="EB42" s="23">
        <f>EXP(-LN(2)/25)*EB41+(1-EXP(-LN(2)/25))/(LN(2)/25)*Calculateur!DW42*Calculateur!DY42*VLOOKUP('Données projet'!$B$14,Paramètres!$A$1:$I$88,3,0)*0.475*44/12</f>
        <v>0</v>
      </c>
      <c r="EC42" s="23">
        <f>EXP(-LN(2)/2)*EC41+(1-EXP(-LN(2)/2))/(LN(2)/2)*DW42*DZ42*VLOOKUP('Données projet'!$B$14,Paramètres!$A$1:$I$88,3,0)*0.475*44/12</f>
        <v>0</v>
      </c>
      <c r="ED42" s="24">
        <f t="shared" si="18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projet'!$B$15,Paramètres!$A$1:$I$88,3,0)*VLOOKUP('Données projet'!$B$15,Paramètres!$A$1:$I$88,5,0)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projet'!$B$15,Paramètres!$A$1:$I$88,3,0)*0.475*44/12</f>
        <v>#N/A</v>
      </c>
      <c r="EW42" s="23" t="e">
        <f>EXP(-LN(2)/25)*EW41+(1-EXP(-LN(2)/25))/(LN(2)/25)*Calculateur!ER42*Calculateur!ET42*VLOOKUP('Données projet'!$B$15,Paramètres!$A$1:$I$88,3,0)*0.475*44/12</f>
        <v>#N/A</v>
      </c>
      <c r="EX42" s="23" t="e">
        <f>EXP(-LN(2)/2)*EX41+(1-EXP(-LN(2)/2))/(LN(2)/2)*ER42*EU42*VLOOKUP('Données projet'!$B$15,Paramètres!$A$1:$I$88,3,0)*0.475*44/12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projet'!$B$16,Paramètres!$A$1:$I$88,3,0)*VLOOKUP('Données projet'!$B$16,Paramètres!$A$1:$I$88,5,0)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projet'!$B$16,Paramètres!$A$1:$I$88,3,0)*0.475*44/12</f>
        <v>#N/A</v>
      </c>
      <c r="FR42" s="23" t="e">
        <f>EXP(-LN(2)/25)*FR41+(1-EXP(-LN(2)/25))/(LN(2)/25)*Calculateur!FM42*Calculateur!FO42*VLOOKUP('Données projet'!$B$16,Paramètres!$A$1:$I$88,3,0)*0.475*44/12</f>
        <v>#N/A</v>
      </c>
      <c r="FS42" s="23" t="e">
        <f>EXP(-LN(2)/2)*FS41+(1-EXP(-LN(2)/2))/(LN(2)/2)*FM42*FP42*VLOOKUP('Données projet'!$B$16,Paramètres!$A$1:$I$88,3,0)*0.475*44/12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projet'!$B$17,Paramètres!$A$1:$I$88,3,0)*VLOOKUP('Données projet'!$B$17,Paramètres!$A$1:$I$88,5,0)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projet'!$B$17,Paramètres!$A$1:$I$88,3,0)*0.475*44/12</f>
        <v>#N/A</v>
      </c>
      <c r="GM42" s="23" t="e">
        <f>EXP(-LN(2)/25)*GM41+(1-EXP(-LN(2)/25))/(LN(2)/25)*Calculateur!GH42*Calculateur!GJ42*VLOOKUP('Données projet'!$B$17,Paramètres!$A$1:$I$88,3,0)*0.475*44/12</f>
        <v>#N/A</v>
      </c>
      <c r="GN42" s="23" t="e">
        <f>EXP(-LN(2)/2)*GN41+(1-EXP(-LN(2)/2))/(LN(2)/2)*GH42*GK42*VLOOKUP('Données projet'!$B$17,Paramètres!$A$1:$I$88,3,0)*0.475*44/12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projet'!$B$18,Paramètres!$A$1:$I$88,3,0)*VLOOKUP('Données projet'!$B$18,Paramètres!$A$1:$I$88,5,0)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projet'!$B$18,Paramètres!$A$1:$I$88,3,0)*0.475*44/12</f>
        <v>#N/A</v>
      </c>
      <c r="HH42" s="23" t="e">
        <f>EXP(-LN(2)/25)*HH41+(1-EXP(-LN(2)/25))/(LN(2)/25)*Calculateur!HC42*Calculateur!HE42*VLOOKUP('Données projet'!$B$18,Paramètres!$A$1:$I$88,3,0)*0.475*44/12</f>
        <v>#N/A</v>
      </c>
      <c r="HI42" s="23" t="e">
        <f>EXP(-LN(2)/2)*HI41+(1-EXP(-LN(2)/2))/(LN(2)/2)*HC42*HF42*VLOOKUP('Données projet'!$B$18,Paramètres!$A$1:$I$88,3,0)*0.475*44/12</f>
        <v>#N/A</v>
      </c>
      <c r="HJ42" s="24" t="e">
        <f t="shared" si="30"/>
        <v>#N/A</v>
      </c>
    </row>
    <row r="43" spans="1:218" s="5" customFormat="1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379</v>
      </c>
      <c r="L43" s="13">
        <f>VLOOKUP(A43,'Données projet'!$A$35:$I$55,9,0)</f>
        <v>21</v>
      </c>
      <c r="M43" s="13">
        <f t="array" ref="M43">INDEX(L:L,MIN(IF(ISNUMBER(L43:L239),ROW(L43:L239),"")))</f>
        <v>21</v>
      </c>
      <c r="N43" s="14">
        <f>IF('Données projet'!$A$36&gt;35,N42+M43-V42,IF(A43&lt;'Données projet'!$A$36,$K$205^A43,IF(A43='Données projet'!$A$36,'Données projet'!$B$36,N42+M43-V42)))</f>
        <v>379</v>
      </c>
      <c r="O43" s="14">
        <f>N43*VLOOKUP('Données projet'!$B$9,Paramètres!$A$1:$I$88,3,0)*VLOOKUP('Données projet'!$B$9,Paramètres!$A$1:$I$88,5,0)</f>
        <v>226.64200000000002</v>
      </c>
      <c r="P43" s="14">
        <f t="shared" si="33"/>
        <v>55.555983079812862</v>
      </c>
      <c r="Q43" s="22">
        <f t="shared" si="53"/>
        <v>491.49482053067408</v>
      </c>
      <c r="R43" s="62">
        <f t="shared" si="0"/>
        <v>739.30783434979492</v>
      </c>
      <c r="S43" s="62">
        <f ca="1">AVERAGE(OFFSET($R$3,0,0,'Données projet'!$E$9+1,1))-AVERAGE(OFFSET($H$3,0,0,'Données projet'!$E$9+1,1))</f>
        <v>301.2688576786212</v>
      </c>
      <c r="T43" s="62">
        <f t="shared" si="34"/>
        <v>417.62172165132927</v>
      </c>
      <c r="U43" s="16">
        <f>IF(ISNA(VLOOKUP(A43,'Données projet'!$A$35:$I$55,3,0)),0,VLOOKUP(A43,'Données projet'!$A$35:$I$55,3,0))</f>
        <v>6</v>
      </c>
      <c r="V43" s="16">
        <f>IF(ISNA(VLOOKUP(A43,'Données projet'!$A$35:$I$55,4,0)),0,VLOOKUP(A43,'Données projet'!$A$35:$I$55,4,0))</f>
        <v>56</v>
      </c>
      <c r="W43" s="17">
        <f>IF(ISNA(VLOOKUP(A43,'Données projet'!$A$35:$I$55,5,0)),0%,VLOOKUP(A43,'Données projet'!$A$35:$I$55,5,0)*VLOOKUP('Données projet'!$B$9,Paramètres!$A$1:$I$88,7,0))</f>
        <v>0.18000000000000002</v>
      </c>
      <c r="X43" s="17">
        <f>IF(ISNA(VLOOKUP(A43,'Données projet'!$A$35:$I$55,6,0)),0%,VLOOKUP(A43,'Données projet'!$A$35:$I$55,6,0)*VLOOKUP('Données projet'!$B$9,Paramètres!$A$1:$I$88,7,0))</f>
        <v>0.1512</v>
      </c>
      <c r="Y43" s="17">
        <f>IF(ISNA(VLOOKUP(A43,'Données projet'!$A$35:$I$55,7,0)),0%,VLOOKUP(A43,'Données projet'!$A$35:$I$55,7,0))</f>
        <v>0.26400000000000001</v>
      </c>
      <c r="Z43" s="23">
        <f>EXP(-LN(2)/35)*Z42+(1-EXP(-LN(2)/35))/(LN(2)/35)*V43*W43*VLOOKUP('Données projet'!$B$9,Paramètres!$A$1:$I$88,3,0)*0.475*44/12</f>
        <v>11.617545636872467</v>
      </c>
      <c r="AA43" s="23">
        <f>EXP(-LN(2)/25)*AA42+(1-EXP(-LN(2)/25))/(LN(2)/25)*Calculateur!V43*Calculateur!X43*VLOOKUP('Données projet'!$B$9,Paramètres!$A$1:$I$88,3,0)*0.475*44/12</f>
        <v>37.066445459261743</v>
      </c>
      <c r="AB43" s="23">
        <f>EXP(-LN(2)/2)*AB42+(1-EXP(-LN(2)/2))/(LN(2)/2)*V43*Y43*VLOOKUP('Données projet'!$B$9,Paramètres!$A$1:$I$88,3,0)*0.475*44/12</f>
        <v>12.999233453975661</v>
      </c>
      <c r="AC43" s="24">
        <f t="shared" si="3"/>
        <v>61.68322455010987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260</v>
      </c>
      <c r="AG43" s="13">
        <f>VLOOKUP(A43,'Données projet'!$A$61:$I$81,9,0)</f>
        <v>14</v>
      </c>
      <c r="AH43" s="13">
        <f t="array" ref="AH43">INDEX(AG:AG,MIN(IF(ISNUMBER(AG43:AG239),ROW(AG43:AG239),"")))</f>
        <v>14</v>
      </c>
      <c r="AI43" s="14">
        <f>IF('Données projet'!$A$62&gt;35,AI42+AH43-AQ42,IF(A43&lt;'Données projet'!$A$62,$AF$205^A43,IF(A43='Données projet'!$A$62,'Données projet'!$B$62,AI42+AH43-AQ42)))</f>
        <v>260</v>
      </c>
      <c r="AJ43" s="14">
        <f>AI43*VLOOKUP('Données projet'!$B$10,Paramètres!$A$1:$I$88,3,0)*VLOOKUP('Données projet'!$B$10,Paramètres!$A$1:$I$88,5,0)</f>
        <v>121.67999999999999</v>
      </c>
      <c r="AK43" s="14">
        <f t="shared" si="35"/>
        <v>32.066514091456256</v>
      </c>
      <c r="AL43" s="22">
        <f t="shared" si="4"/>
        <v>267.77517870928631</v>
      </c>
      <c r="AM43" s="62">
        <f t="shared" si="5"/>
        <v>515.58819252840715</v>
      </c>
      <c r="AN43" s="62">
        <f ca="1">AVERAGE(OFFSET($AM$3,0,0,'Données projet'!$E$10+1,1))-AVERAGE(OFFSET($H$3,0,0,'Données projet'!$E$10+1,1))</f>
        <v>170.08673939431091</v>
      </c>
      <c r="AO43" s="62">
        <f t="shared" si="36"/>
        <v>252.97355497077106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80</v>
      </c>
      <c r="AR43" s="17">
        <f>IF(ISNA(VLOOKUP(A43,'Données projet'!$A$61:$I$81,5,0)),0%,VLOOKUP(A43,'Données projet'!$A$61:$I$81,5,0)*VLOOKUP('Données projet'!$B$10,Paramètres!$A$1:$I$88,7,0))</f>
        <v>0.16500000000000001</v>
      </c>
      <c r="AS43" s="17">
        <f>IF(ISNA(VLOOKUP(A43,'Données projet'!$A$61:$I$81,6,0)),0%,VLOOKUP(A43,'Données projet'!$A$61:$I$81,6,0)*VLOOKUP('Données projet'!$B$10,Paramètres!$A$1:$I$88,7,0))</f>
        <v>0.21560000000000001</v>
      </c>
      <c r="AT43" s="17">
        <f>IF(ISNA(VLOOKUP(A43,'Données projet'!$A$61:$I$81,7,0)),0%,VLOOKUP(A43,'Données projet'!$A$61:$I$81,7,0))</f>
        <v>0.308</v>
      </c>
      <c r="AU43" s="23">
        <f>EXP(-LN(2)/35)*AU42+(1-EXP(-LN(2)/35))/(LN(2)/35)*AQ43*AR43*VLOOKUP('Données projet'!$B$10,Paramètres!$A$1:$I$88,3,0)*0.475*44/12</f>
        <v>10.155753294504111</v>
      </c>
      <c r="AV43" s="23">
        <f>EXP(-LN(2)/25)*AV42+(1-EXP(-LN(2)/25))/(LN(2)/25)*Calculateur!AQ43*Calculateur!AS43*VLOOKUP('Données projet'!$B$10,Paramètres!$A$1:$I$88,3,0)*0.475*44/12</f>
        <v>26.323191074022191</v>
      </c>
      <c r="AW43" s="23">
        <f>EXP(-LN(2)/2)*AW42+(1-EXP(-LN(2)/2))/(LN(2)/2)*AQ43*AT43*VLOOKUP('Données projet'!$B$10,Paramètres!$A$1:$I$88,3,0)*0.475*44/12</f>
        <v>13.529033108465951</v>
      </c>
      <c r="AX43" s="23">
        <f t="shared" si="6"/>
        <v>50.007977476992252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137</v>
      </c>
      <c r="BB43" s="13">
        <f>VLOOKUP(A43,'Données projet'!$A$87:$I$107,9,0)</f>
        <v>8.4</v>
      </c>
      <c r="BC43" s="13">
        <f t="array" ref="BC43">INDEX(BB:BB,MIN(IF(ISNUMBER(BB43:BB239),ROW(BB43:BB239),"")))</f>
        <v>8.4</v>
      </c>
      <c r="BD43" s="13">
        <f>IF('Données projet'!$A$88&gt;35,BD42+BC43-BL42,IF(A43&lt;'Données projet'!$A$88,$BA$205^A43,IF(A43='Données projet'!$A$88,'Données projet'!$B$88,BD42+BC43-BL42)))</f>
        <v>137.00000000000003</v>
      </c>
      <c r="BE43" s="14">
        <f>BD43*VLOOKUP('Données projet'!$B$11,Paramètres!$A$1:$I$88,3,0)*VLOOKUP('Données projet'!$B$11,Paramètres!$A$1:$I$88,5,0)</f>
        <v>123.95760000000001</v>
      </c>
      <c r="BF43" s="14">
        <f t="shared" si="37"/>
        <v>32.59629414926458</v>
      </c>
      <c r="BG43" s="22">
        <f t="shared" si="7"/>
        <v>272.6646989766358</v>
      </c>
      <c r="BH43" s="62">
        <f t="shared" si="8"/>
        <v>520.47771279575659</v>
      </c>
      <c r="BI43" s="62">
        <f ca="1">AVERAGE(OFFSET($BH$3,0,0,'Données projet'!$E$11+1,1))-AVERAGE(OFFSET($H$3,0,0,'Données projet'!$E$11+1,1))</f>
        <v>362.63718589694594</v>
      </c>
      <c r="BJ43" s="62">
        <f t="shared" si="38"/>
        <v>250.47702091764884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21</v>
      </c>
      <c r="BM43" s="17">
        <f>IF(ISNA(VLOOKUP(A43,'Données projet'!$A$87:$I$107,5,0)),0%,VLOOKUP(A43,'Données projet'!$A$87:$I$107,5,0)*VLOOKUP('Données projet'!$B$11,Paramètres!$A$1:$I$88,7,0))</f>
        <v>8.6000000000000007E-2</v>
      </c>
      <c r="BN43" s="17">
        <f>IF(ISNA(VLOOKUP(A43,'Données projet'!$A$87:$I$107,6,0)),0%,VLOOKUP(A43,'Données projet'!$A$87:$I$107,6,0)*VLOOKUP('Données projet'!$B$11,Paramètres!$A$1:$I$88,7,0))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projet'!$B$11,Paramètres!$A$1:$I$88,3,0)*0.475*44/12</f>
        <v>1.8064146565189523</v>
      </c>
      <c r="BQ43" s="23">
        <f>EXP(-LN(2)/25)*BQ42+(1-EXP(-LN(2)/25))/(LN(2)/25)*Calculateur!BL43*Calculateur!BN43*VLOOKUP('Données projet'!$B$11,Paramètres!$A$1:$I$88,3,0)*0.475*44/12</f>
        <v>0</v>
      </c>
      <c r="BR43" s="23">
        <f>EXP(-LN(2)/2)*BR42+(1-EXP(-LN(2)/2))/(LN(2)/2)*BL43*BO43*VLOOKUP('Données projet'!$B$11,Paramètres!$A$1:$I$88,3,0)*0.475*44/12</f>
        <v>0</v>
      </c>
      <c r="BS43" s="24">
        <f t="shared" si="9"/>
        <v>1.8064146565189523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137</v>
      </c>
      <c r="BW43" s="13">
        <f>VLOOKUP(A43,'Données projet'!$A$113:$I$133,9,0)</f>
        <v>8.4</v>
      </c>
      <c r="BX43" s="13">
        <f t="array" ref="BX43">INDEX(BW:BW,MIN(IF(ISNUMBER(BW43:BW239),ROW(BW43:BW239),"")))</f>
        <v>8.4</v>
      </c>
      <c r="BY43" s="13">
        <f>IF('Données projet'!$A$114&gt;35,BY42+BX43-CG42,IF(A43&lt;'Données projet'!$A$114,$BV$205^A43,IF(A43='Données projet'!$A$114,'Données projet'!$B$114,BY42+BX43-CG42)))</f>
        <v>137.00000000000003</v>
      </c>
      <c r="BZ43" s="14">
        <f>BY43*VLOOKUP('Données projet'!$B$12,Paramètres!$A$1:$I$88,3,0)*VLOOKUP('Données projet'!$B$12,Paramètres!$A$1:$I$88,5,0)</f>
        <v>138.91800000000003</v>
      </c>
      <c r="CA43" s="14">
        <f t="shared" si="39"/>
        <v>36.049022673886341</v>
      </c>
      <c r="CB43" s="22">
        <f t="shared" si="10"/>
        <v>304.73423115701877</v>
      </c>
      <c r="CC43" s="62">
        <f t="shared" si="11"/>
        <v>552.54724497613961</v>
      </c>
      <c r="CD43" s="62">
        <f ca="1">AVERAGE(OFFSET($CC$3,0,0,'Données projet'!$E$12+1,1))-AVERAGE(OFFSET($H$3,0,0,'Données projet'!$E$12+1,1))</f>
        <v>398.14524781940196</v>
      </c>
      <c r="CE43" s="62">
        <f t="shared" si="40"/>
        <v>273.35778700650792</v>
      </c>
      <c r="CF43" s="16">
        <f>IF(ISNA(VLOOKUP(A43,'Données projet'!$A$113:$I$133,3,0)),0,VLOOKUP(A43,'Données projet'!$A$113:$I$133,3,0))</f>
        <v>5</v>
      </c>
      <c r="CG43" s="16">
        <f>IF(ISNA(VLOOKUP(A43,'Données projet'!$A$113:$I$133,4,0)),0,VLOOKUP(A43,'Données projet'!$A$113:$I$133,4,0))</f>
        <v>21</v>
      </c>
      <c r="CH43" s="17">
        <f>IF(ISNA(VLOOKUP(A43,'Données projet'!$A$113:$I$133,5,0)),0%,VLOOKUP(A43,'Données projet'!$A$113:$I$133,5,0)*VLOOKUP('Données projet'!$B$12,Paramètres!$A$1:$I$88,7,0))</f>
        <v>8.6000000000000007E-2</v>
      </c>
      <c r="CI43" s="17">
        <f>IF(ISNA(VLOOKUP(A43,'Données projet'!$A$113:$I$133,6,0)),0%,VLOOKUP(A43,'Données projet'!$A$113:$I$133,6,0)*VLOOKUP('Données projet'!$B$12,Paramètres!$A$1:$I$88,7,0))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projet'!$B$12,Paramètres!$A$1:$I$88,3,0)*0.475*44/12</f>
        <v>2.0244302185126197</v>
      </c>
      <c r="CL43" s="23">
        <f>EXP(-LN(2)/25)*CL42+(1-EXP(-LN(2)/25))/(LN(2)/25)*Calculateur!CG43*Calculateur!CI43*VLOOKUP('Données projet'!$B$12,Paramètres!$A$1:$I$88,3,0)*0.475*44/12</f>
        <v>0</v>
      </c>
      <c r="CM43" s="23">
        <f>EXP(-LN(2)/2)*CM42+(1-EXP(-LN(2)/2))/(LN(2)/2)*CG43*CJ43*VLOOKUP('Données projet'!$B$12,Paramètres!$A$1:$I$88,3,0)*0.475*44/12</f>
        <v>0</v>
      </c>
      <c r="CN43" s="24">
        <f t="shared" si="12"/>
        <v>2.0244302185126197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163</v>
      </c>
      <c r="CR43" s="13">
        <f>VLOOKUP(A43,'Données projet'!$A$139:$I$159,9,0)</f>
        <v>9</v>
      </c>
      <c r="CS43" s="13">
        <f t="array" ref="CS43">INDEX(CR:CR,MIN(IF(ISNUMBER(CR43:CR239),ROW(CR43:CR239),"")))</f>
        <v>9</v>
      </c>
      <c r="CT43" s="13">
        <f>IF('Données projet'!$A$140&gt;35,CT42+CS43-DB42,IF(A43&lt;'Données projet'!$A$140,$CQ$205^A43,IF(A43='Données projet'!$A$140,'Données projet'!$B$140,CT42+CS43-DB42)))</f>
        <v>162.99999999999997</v>
      </c>
      <c r="CU43" s="18">
        <f>CT43*VLOOKUP('Données projet'!$B$13,Paramètres!$A$1:$I$88,3,0)*VLOOKUP('Données projet'!$B$13,Paramètres!$A$1:$I$88,5,0)</f>
        <v>155.11079999999998</v>
      </c>
      <c r="CV43" s="14">
        <f t="shared" si="41"/>
        <v>39.737758807485029</v>
      </c>
      <c r="CW43" s="22">
        <f t="shared" si="13"/>
        <v>339.36123992303641</v>
      </c>
      <c r="CX43" s="62">
        <f t="shared" si="14"/>
        <v>587.17425374215725</v>
      </c>
      <c r="CY43" s="62">
        <f ca="1">AVERAGE(OFFSET($CX$3,0,0,'Données projet'!$E$13+1,1))-AVERAGE(OFFSET($H$3,0,0,'Données projet'!$E$13+1,1))</f>
        <v>470.0521927195926</v>
      </c>
      <c r="CZ43" s="62">
        <f t="shared" si="42"/>
        <v>299.27200854723435</v>
      </c>
      <c r="DA43" s="16">
        <f>IF(ISNA(VLOOKUP(A43,'Données projet'!$A$139:$I$159,3,0)),0,VLOOKUP(A43,'Données projet'!$A$139:$I$159,3,0))</f>
        <v>5</v>
      </c>
      <c r="DB43" s="16">
        <f>IF(ISNA(VLOOKUP(A43,'Données projet'!$A$139:$I$159,4,0)),0,VLOOKUP(A43,'Données projet'!$A$139:$I$159,4,0))</f>
        <v>21</v>
      </c>
      <c r="DC43" s="17">
        <f>IF(ISNA(VLOOKUP(A43,'Données projet'!$A$139:$I$159,5,0)),0%,VLOOKUP(A43,'Données projet'!$A$139:$I$159,5,0)*VLOOKUP('Données projet'!$B$13,Paramètres!$A$1:$I$88,7,0))</f>
        <v>8.6000000000000007E-2</v>
      </c>
      <c r="DD43" s="17">
        <f>IF(ISNA(VLOOKUP(A43,'Données projet'!$A$139:$I$159,6,0)),0%,VLOOKUP(A43,'Données projet'!$A$139:$I$159,6,0)*VLOOKUP('Données projet'!$B$13,Paramètres!$A$1:$I$88,7,0))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projet'!$B$13,Paramètres!$A$1:$I$88,3,0)*0.475*44/12</f>
        <v>1.8998498973733813</v>
      </c>
      <c r="DG43" s="23">
        <f>EXP(-LN(2)/25)*DG42+(1-EXP(-LN(2)/25))/(LN(2)/25)*Calculateur!DB43*Calculateur!DD43*VLOOKUP('Données projet'!$B$13,Paramètres!$A$1:$I$88,3,0)*0.475*44/12</f>
        <v>0</v>
      </c>
      <c r="DH43" s="23">
        <f>EXP(-LN(2)/2)*DH42+(1-EXP(-LN(2)/2))/(LN(2)/2)*DB43*DE43*VLOOKUP('Données projet'!$B$13,Paramètres!$A$1:$I$88,3,0)*0.475*44/12</f>
        <v>0</v>
      </c>
      <c r="DI43" s="24">
        <f t="shared" si="15"/>
        <v>1.8998498973733813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93</v>
      </c>
      <c r="DM43" s="13">
        <f>VLOOKUP(A43,'Données projet'!$A$165:$I$185,9,0)</f>
        <v>5.4</v>
      </c>
      <c r="DN43" s="13">
        <f t="array" ref="DN43">INDEX(DM:DM,MIN(IF(ISNUMBER(DM43:DM239),ROW(DM43:DM239),"")))</f>
        <v>5.4</v>
      </c>
      <c r="DO43" s="13">
        <f>IF('Données projet'!$A$166&gt;35,DO42+DN43-DW42,IF(A43&lt;'Données projet'!$A$166,$DL$205^A43,IF(A43='Données projet'!$A$166,'Données projet'!$B$166,DO42+DN43-DW42)))</f>
        <v>93.000000000000014</v>
      </c>
      <c r="DP43" s="18">
        <f>DO43*VLOOKUP('Données projet'!$B$14,Paramètres!$A$1:$I$88,3,0)*VLOOKUP('Données projet'!$B$14,Paramètres!$A$1:$I$88,5,0)</f>
        <v>89.949600000000018</v>
      </c>
      <c r="DQ43" s="14">
        <f t="shared" si="43"/>
        <v>24.553069331291834</v>
      </c>
      <c r="DR43" s="22">
        <f t="shared" si="16"/>
        <v>199.42548241866663</v>
      </c>
      <c r="DS43" s="62">
        <f t="shared" si="17"/>
        <v>447.23849623778744</v>
      </c>
      <c r="DT43" s="62">
        <f ca="1">AVERAGE(OFFSET($DS$3,0,0,'Données projet'!$E$14+1,1))-AVERAGE(OFFSET($H$3,0,0,'Données projet'!$E$14+1,1))</f>
        <v>290.89727102147953</v>
      </c>
      <c r="DU43" s="62">
        <f t="shared" si="44"/>
        <v>173.19148969173838</v>
      </c>
      <c r="DV43" s="16">
        <f>IF(ISNA(VLOOKUP(A43,'Données projet'!$A$165:$I$185,3,0)),0,VLOOKUP(A43,'Données projet'!$A$165:$I$185,3,0))</f>
        <v>5</v>
      </c>
      <c r="DW43" s="16">
        <f>IF(ISNA(VLOOKUP(A43,'Données projet'!$A$165:$I$185,4,0)),0,VLOOKUP(A43,'Données projet'!$A$165:$I$185,4,0))</f>
        <v>14</v>
      </c>
      <c r="DX43" s="17">
        <f>IF(ISNA(VLOOKUP(A43,'Données projet'!$A$165:$I$185,5,0)),0%,VLOOKUP(A43,'Données projet'!$A$165:$I$185,5,0)*VLOOKUP('Données projet'!$B$14,Paramètres!$A$1:$I$88,7,0))</f>
        <v>8.6000000000000007E-2</v>
      </c>
      <c r="DY43" s="17">
        <f>IF(ISNA(VLOOKUP(A43,'Données projet'!$A$165:$I$185,6,0)),0%,VLOOKUP(A43,'Données projet'!$A$165:$I$185,6,0)*VLOOKUP('Données projet'!$B$14,Paramètres!$A$1:$I$88,7,0))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projet'!$B$14,Paramètres!$A$1:$I$88,3,0)*0.475*44/12</f>
        <v>1.2873299851054603</v>
      </c>
      <c r="EB43" s="23">
        <f>EXP(-LN(2)/25)*EB42+(1-EXP(-LN(2)/25))/(LN(2)/25)*Calculateur!DW43*Calculateur!DY43*VLOOKUP('Données projet'!$B$14,Paramètres!$A$1:$I$88,3,0)*0.475*44/12</f>
        <v>0</v>
      </c>
      <c r="EC43" s="23">
        <f>EXP(-LN(2)/2)*EC42+(1-EXP(-LN(2)/2))/(LN(2)/2)*DW43*DZ43*VLOOKUP('Données projet'!$B$14,Paramètres!$A$1:$I$88,3,0)*0.475*44/12</f>
        <v>0</v>
      </c>
      <c r="ED43" s="24">
        <f t="shared" si="18"/>
        <v>1.2873299851054603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projet'!$B$15,Paramètres!$A$1:$I$88,3,0)*VLOOKUP('Données projet'!$B$15,Paramètres!$A$1:$I$88,5,0)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projet'!$B$15,Paramètres!$A$1:$I$88,7,0))</f>
        <v>0</v>
      </c>
      <c r="ET43" s="17">
        <f>IF(ISNA(VLOOKUP(A43,'Données projet'!$A$191:$I$211,6,0)),0%,VLOOKUP(A43,'Données projet'!$A$191:$I$211,6,0)*VLOOKUP('Données projet'!$B$15,Paramètres!$A$1:$I$88,7,0))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projet'!$B$15,Paramètres!$A$1:$I$88,3,0)*0.475*44/12</f>
        <v>#N/A</v>
      </c>
      <c r="EW43" s="23" t="e">
        <f>EXP(-LN(2)/25)*EW42+(1-EXP(-LN(2)/25))/(LN(2)/25)*Calculateur!ER43*Calculateur!ET43*VLOOKUP('Données projet'!$B$15,Paramètres!$A$1:$I$88,3,0)*0.475*44/12</f>
        <v>#N/A</v>
      </c>
      <c r="EX43" s="23" t="e">
        <f>EXP(-LN(2)/2)*EX42+(1-EXP(-LN(2)/2))/(LN(2)/2)*ER43*EU43*VLOOKUP('Données projet'!$B$15,Paramètres!$A$1:$I$88,3,0)*0.475*44/12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projet'!$B$16,Paramètres!$A$1:$I$88,3,0)*VLOOKUP('Données projet'!$B$16,Paramètres!$A$1:$I$88,5,0)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projet'!$B$16,Paramètres!$A$1:$I$88,7,0))</f>
        <v>0</v>
      </c>
      <c r="FO43" s="17">
        <f>IF(ISNA(VLOOKUP(A43,'Données projet'!$A$217:$I$237,6,0)),0%,VLOOKUP(A43,'Données projet'!$A$217:$I$237,6,0)*VLOOKUP('Données projet'!$B$16,Paramètres!$A$1:$I$88,7,0))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projet'!$B$16,Paramètres!$A$1:$I$88,3,0)*0.475*44/12</f>
        <v>#N/A</v>
      </c>
      <c r="FR43" s="23" t="e">
        <f>EXP(-LN(2)/25)*FR42+(1-EXP(-LN(2)/25))/(LN(2)/25)*Calculateur!FM43*Calculateur!FO43*VLOOKUP('Données projet'!$B$16,Paramètres!$A$1:$I$88,3,0)*0.475*44/12</f>
        <v>#N/A</v>
      </c>
      <c r="FS43" s="23" t="e">
        <f>EXP(-LN(2)/2)*FS42+(1-EXP(-LN(2)/2))/(LN(2)/2)*FM43*FP43*VLOOKUP('Données projet'!$B$16,Paramètres!$A$1:$I$88,3,0)*0.475*44/12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projet'!$B$17,Paramètres!$A$1:$I$88,3,0)*VLOOKUP('Données projet'!$B$17,Paramètres!$A$1:$I$88,5,0)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projet'!$B$17,Paramètres!$A$1:$I$88,7,0))</f>
        <v>0</v>
      </c>
      <c r="GJ43" s="17">
        <f>IF(ISNA(VLOOKUP(A43,'Données projet'!$A$243:$I$263,6,0)),0%,VLOOKUP(A43,'Données projet'!$A$243:$I$263,6,0)*VLOOKUP('Données projet'!$B$17,Paramètres!$A$1:$I$88,7,0))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projet'!$B$17,Paramètres!$A$1:$I$88,3,0)*0.475*44/12</f>
        <v>#N/A</v>
      </c>
      <c r="GM43" s="23" t="e">
        <f>EXP(-LN(2)/25)*GM42+(1-EXP(-LN(2)/25))/(LN(2)/25)*Calculateur!GH43*Calculateur!GJ43*VLOOKUP('Données projet'!$B$17,Paramètres!$A$1:$I$88,3,0)*0.475*44/12</f>
        <v>#N/A</v>
      </c>
      <c r="GN43" s="23" t="e">
        <f>EXP(-LN(2)/2)*GN42+(1-EXP(-LN(2)/2))/(LN(2)/2)*GH43*GK43*VLOOKUP('Données projet'!$B$17,Paramètres!$A$1:$I$88,3,0)*0.475*44/12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projet'!$B$18,Paramètres!$A$1:$I$88,3,0)*VLOOKUP('Données projet'!$B$18,Paramètres!$A$1:$I$88,5,0)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projet'!$B$18,Paramètres!$A$1:$I$88,3,0)*0.475*44/12</f>
        <v>#N/A</v>
      </c>
      <c r="HH43" s="23" t="e">
        <f>EXP(-LN(2)/25)*HH42+(1-EXP(-LN(2)/25))/(LN(2)/25)*Calculateur!HC43*Calculateur!HE43*VLOOKUP('Données projet'!$B$18,Paramètres!$A$1:$I$88,3,0)*0.475*44/12</f>
        <v>#N/A</v>
      </c>
      <c r="HI43" s="23" t="e">
        <f>EXP(-LN(2)/2)*HI42+(1-EXP(-LN(2)/2))/(LN(2)/2)*HC43*HF43*VLOOKUP('Données projet'!$B$18,Paramètres!$A$1:$I$88,3,0)*0.475*44/12</f>
        <v>#N/A</v>
      </c>
      <c r="HJ43" s="24" t="e">
        <f t="shared" si="30"/>
        <v>#N/A</v>
      </c>
    </row>
    <row r="44" spans="1:218" s="5" customFormat="1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19.600000000000001</v>
      </c>
      <c r="N44" s="14">
        <f>IF('Données projet'!$A$36&gt;35,N43+M44-V43,IF(A44&lt;'Données projet'!$A$36,$K$205^A44,IF(A44='Données projet'!$A$36,'Données projet'!$B$36,N43+M44-V43)))</f>
        <v>342.6</v>
      </c>
      <c r="O44" s="14">
        <f>N44*VLOOKUP('Données projet'!$B$9,Paramètres!$A$1:$I$88,3,0)*VLOOKUP('Données projet'!$B$9,Paramètres!$A$1:$I$88,5,0)</f>
        <v>204.87480000000002</v>
      </c>
      <c r="P44" s="14">
        <f t="shared" si="33"/>
        <v>50.813995071401308</v>
      </c>
      <c r="Q44" s="22">
        <f t="shared" si="53"/>
        <v>445.32465141602398</v>
      </c>
      <c r="R44" s="62">
        <f t="shared" si="0"/>
        <v>693.92734101052793</v>
      </c>
      <c r="S44" s="62">
        <f ca="1">AVERAGE(OFFSET($R$3,0,0,'Données projet'!$E$9+1,1))-AVERAGE(OFFSET($H$3,0,0,'Données projet'!$E$9+1,1))</f>
        <v>301.2688576786212</v>
      </c>
      <c r="T44" s="62">
        <f t="shared" si="34"/>
        <v>417.62172165132927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11.389732652936551</v>
      </c>
      <c r="AA44" s="23">
        <f>EXP(-LN(2)/25)*AA43+(1-EXP(-LN(2)/25))/(LN(2)/25)*Calculateur!V44*Calculateur!X44*VLOOKUP('Données projet'!$B$9,Paramètres!$A$1:$I$88,3,0)*0.475*44/12</f>
        <v>36.052861558938581</v>
      </c>
      <c r="AB44" s="23">
        <f>EXP(-LN(2)/2)*AB43+(1-EXP(-LN(2)/2))/(LN(2)/2)*V44*Y44*VLOOKUP('Données projet'!$B$9,Paramètres!$A$1:$I$88,3,0)*0.475*44/12</f>
        <v>9.1918461255332158</v>
      </c>
      <c r="AC44" s="24">
        <f t="shared" si="3"/>
        <v>56.63444033740835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14</v>
      </c>
      <c r="AI44" s="14">
        <f>IF('Données projet'!$A$62&gt;35,AI43+AH44-AQ43,IF(A44&lt;'Données projet'!$A$62,$AF$205^A44,IF(A44='Données projet'!$A$62,'Données projet'!$B$62,AI43+AH44-AQ43)))</f>
        <v>194</v>
      </c>
      <c r="AJ44" s="14">
        <f>AI44*VLOOKUP('Données projet'!$B$10,Paramètres!$A$1:$I$88,3,0)*VLOOKUP('Données projet'!$B$10,Paramètres!$A$1:$I$88,5,0)</f>
        <v>90.792000000000002</v>
      </c>
      <c r="AK44" s="14">
        <f t="shared" si="35"/>
        <v>24.756138813110173</v>
      </c>
      <c r="AL44" s="22">
        <f t="shared" si="4"/>
        <v>201.24634176616689</v>
      </c>
      <c r="AM44" s="62">
        <f t="shared" si="5"/>
        <v>449.84903136067089</v>
      </c>
      <c r="AN44" s="62">
        <f ca="1">AVERAGE(OFFSET($AM$3,0,0,'Données projet'!$E$10+1,1))-AVERAGE(OFFSET($H$3,0,0,'Données projet'!$E$10+1,1))</f>
        <v>170.08673939431091</v>
      </c>
      <c r="AO44" s="62">
        <f t="shared" si="36"/>
        <v>252.97355497077106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projet'!$B$10,Paramètres!$A$1:$I$88,3,0)*0.475*44/12</f>
        <v>9.9566051667967486</v>
      </c>
      <c r="AV44" s="23">
        <f>EXP(-LN(2)/25)*AV43+(1-EXP(-LN(2)/25))/(LN(2)/25)*Calculateur!AQ44*Calculateur!AS44*VLOOKUP('Données projet'!$B$10,Paramètres!$A$1:$I$88,3,0)*0.475*44/12</f>
        <v>25.603382029826598</v>
      </c>
      <c r="AW44" s="23">
        <f>EXP(-LN(2)/2)*AW43+(1-EXP(-LN(2)/2))/(LN(2)/2)*AQ44*AT44*VLOOKUP('Données projet'!$B$10,Paramètres!$A$1:$I$88,3,0)*0.475*44/12</f>
        <v>9.56647105389359</v>
      </c>
      <c r="AX44" s="23">
        <f t="shared" si="6"/>
        <v>45.126458250516933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8.4</v>
      </c>
      <c r="BD44" s="13">
        <f>IF('Données projet'!$A$88&gt;35,BD43+BC44-BL43,IF(A44&lt;'Données projet'!$A$88,$BA$205^A44,IF(A44='Données projet'!$A$88,'Données projet'!$B$88,BD43+BC44-BL43)))</f>
        <v>124.40000000000003</v>
      </c>
      <c r="BE44" s="14">
        <f>BD44*VLOOKUP('Données projet'!$B$11,Paramètres!$A$1:$I$88,3,0)*VLOOKUP('Données projet'!$B$11,Paramètres!$A$1:$I$88,5,0)</f>
        <v>112.55712000000003</v>
      </c>
      <c r="BF44" s="14">
        <f t="shared" si="37"/>
        <v>29.932653834140599</v>
      </c>
      <c r="BG44" s="22">
        <f t="shared" si="7"/>
        <v>248.16968942779496</v>
      </c>
      <c r="BH44" s="62">
        <f t="shared" si="8"/>
        <v>496.77237902229894</v>
      </c>
      <c r="BI44" s="62">
        <f ca="1">AVERAGE(OFFSET($BH$3,0,0,'Données projet'!$E$11+1,1))-AVERAGE(OFFSET($H$3,0,0,'Données projet'!$E$11+1,1))</f>
        <v>362.63718589694594</v>
      </c>
      <c r="BJ44" s="62">
        <f t="shared" si="38"/>
        <v>250.47702091764884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projet'!$B$11,Paramètres!$A$1:$I$88,3,0)*0.475*44/12</f>
        <v>1.7709919669087619</v>
      </c>
      <c r="BQ44" s="23">
        <f>EXP(-LN(2)/25)*BQ43+(1-EXP(-LN(2)/25))/(LN(2)/25)*Calculateur!BL44*Calculateur!BN44*VLOOKUP('Données projet'!$B$11,Paramètres!$A$1:$I$88,3,0)*0.475*44/12</f>
        <v>0</v>
      </c>
      <c r="BR44" s="23">
        <f>EXP(-LN(2)/2)*BR43+(1-EXP(-LN(2)/2))/(LN(2)/2)*BL44*BO44*VLOOKUP('Données projet'!$B$11,Paramètres!$A$1:$I$88,3,0)*0.475*44/12</f>
        <v>0</v>
      </c>
      <c r="BS44" s="24">
        <f t="shared" si="9"/>
        <v>1.7709919669087619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8.4</v>
      </c>
      <c r="BY44" s="13">
        <f>IF('Données projet'!$A$114&gt;35,BY43+BX44-CG43,IF(A44&lt;'Données projet'!$A$114,$BV$205^A44,IF(A44='Données projet'!$A$114,'Données projet'!$B$114,BY43+BX44-CG43)))</f>
        <v>124.40000000000003</v>
      </c>
      <c r="BZ44" s="14">
        <f>BY44*VLOOKUP('Données projet'!$B$12,Paramètres!$A$1:$I$88,3,0)*VLOOKUP('Données projet'!$B$12,Paramètres!$A$1:$I$88,5,0)</f>
        <v>126.14160000000005</v>
      </c>
      <c r="CA44" s="14">
        <f t="shared" si="39"/>
        <v>33.10323903126482</v>
      </c>
      <c r="CB44" s="22">
        <f t="shared" si="10"/>
        <v>277.35142797945298</v>
      </c>
      <c r="CC44" s="62">
        <f t="shared" si="11"/>
        <v>525.95411757395698</v>
      </c>
      <c r="CD44" s="62">
        <f ca="1">AVERAGE(OFFSET($CC$3,0,0,'Données projet'!$E$12+1,1))-AVERAGE(OFFSET($H$3,0,0,'Données projet'!$E$12+1,1))</f>
        <v>398.14524781940196</v>
      </c>
      <c r="CE44" s="62">
        <f t="shared" si="40"/>
        <v>273.35778700650792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projet'!$B$12,Paramètres!$A$1:$I$88,3,0)*0.475*44/12</f>
        <v>1.984732376708096</v>
      </c>
      <c r="CL44" s="23">
        <f>EXP(-LN(2)/25)*CL43+(1-EXP(-LN(2)/25))/(LN(2)/25)*Calculateur!CG44*Calculateur!CI44*VLOOKUP('Données projet'!$B$12,Paramètres!$A$1:$I$88,3,0)*0.475*44/12</f>
        <v>0</v>
      </c>
      <c r="CM44" s="23">
        <f>EXP(-LN(2)/2)*CM43+(1-EXP(-LN(2)/2))/(LN(2)/2)*CG44*CJ44*VLOOKUP('Données projet'!$B$12,Paramètres!$A$1:$I$88,3,0)*0.475*44/12</f>
        <v>0</v>
      </c>
      <c r="CN44" s="24">
        <f t="shared" si="12"/>
        <v>1.984732376708096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9.6</v>
      </c>
      <c r="CT44" s="13">
        <f>IF('Données projet'!$A$140&gt;35,CT43+CS44-DB43,IF(A44&lt;'Données projet'!$A$140,$CQ$205^A44,IF(A44='Données projet'!$A$140,'Données projet'!$B$140,CT43+CS44-DB43)))</f>
        <v>151.59999999999997</v>
      </c>
      <c r="CU44" s="18">
        <f>CT44*VLOOKUP('Données projet'!$B$13,Paramètres!$A$1:$I$88,3,0)*VLOOKUP('Données projet'!$B$13,Paramètres!$A$1:$I$88,5,0)</f>
        <v>144.26255999999995</v>
      </c>
      <c r="CV44" s="14">
        <f t="shared" si="41"/>
        <v>37.271787077726188</v>
      </c>
      <c r="CW44" s="22">
        <f t="shared" si="13"/>
        <v>316.17232116037297</v>
      </c>
      <c r="CX44" s="62">
        <f t="shared" si="14"/>
        <v>564.77501075487692</v>
      </c>
      <c r="CY44" s="62">
        <f ca="1">AVERAGE(OFFSET($CX$3,0,0,'Données projet'!$E$13+1,1))-AVERAGE(OFFSET($H$3,0,0,'Données projet'!$E$13+1,1))</f>
        <v>470.0521927195926</v>
      </c>
      <c r="CZ44" s="62">
        <f t="shared" si="42"/>
        <v>299.27200854723435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projet'!$B$13,Paramètres!$A$1:$I$88,3,0)*0.475*44/12</f>
        <v>1.8625949996799052</v>
      </c>
      <c r="DG44" s="23">
        <f>EXP(-LN(2)/25)*DG43+(1-EXP(-LN(2)/25))/(LN(2)/25)*Calculateur!DB44*Calculateur!DD44*VLOOKUP('Données projet'!$B$13,Paramètres!$A$1:$I$88,3,0)*0.475*44/12</f>
        <v>0</v>
      </c>
      <c r="DH44" s="23">
        <f>EXP(-LN(2)/2)*DH43+(1-EXP(-LN(2)/2))/(LN(2)/2)*DB44*DE44*VLOOKUP('Données projet'!$B$13,Paramètres!$A$1:$I$88,3,0)*0.475*44/12</f>
        <v>0</v>
      </c>
      <c r="DI44" s="24">
        <f t="shared" si="15"/>
        <v>1.8625949996799052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5.6</v>
      </c>
      <c r="DO44" s="13">
        <f>IF('Données projet'!$A$166&gt;35,DO43+DN44-DW43,IF(A44&lt;'Données projet'!$A$166,$DL$205^A44,IF(A44='Données projet'!$A$166,'Données projet'!$B$166,DO43+DN44-DW43)))</f>
        <v>84.600000000000009</v>
      </c>
      <c r="DP44" s="18">
        <f>DO44*VLOOKUP('Données projet'!$B$14,Paramètres!$A$1:$I$88,3,0)*VLOOKUP('Données projet'!$B$14,Paramètres!$A$1:$I$88,5,0)</f>
        <v>81.825120000000013</v>
      </c>
      <c r="DQ44" s="14">
        <f t="shared" si="43"/>
        <v>22.58284790619167</v>
      </c>
      <c r="DR44" s="22">
        <f t="shared" si="16"/>
        <v>181.84387743661719</v>
      </c>
      <c r="DS44" s="62">
        <f t="shared" si="17"/>
        <v>430.44656703112116</v>
      </c>
      <c r="DT44" s="62">
        <f ca="1">AVERAGE(OFFSET($DS$3,0,0,'Données projet'!$E$14+1,1))-AVERAGE(OFFSET($H$3,0,0,'Données projet'!$E$14+1,1))</f>
        <v>290.89727102147953</v>
      </c>
      <c r="DU44" s="62">
        <f t="shared" si="44"/>
        <v>173.19148969173838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projet'!$B$14,Paramètres!$A$1:$I$88,3,0)*0.475*44/12</f>
        <v>1.2620862292913018</v>
      </c>
      <c r="EB44" s="23">
        <f>EXP(-LN(2)/25)*EB43+(1-EXP(-LN(2)/25))/(LN(2)/25)*Calculateur!DW44*Calculateur!DY44*VLOOKUP('Données projet'!$B$14,Paramètres!$A$1:$I$88,3,0)*0.475*44/12</f>
        <v>0</v>
      </c>
      <c r="EC44" s="23">
        <f>EXP(-LN(2)/2)*EC43+(1-EXP(-LN(2)/2))/(LN(2)/2)*DW44*DZ44*VLOOKUP('Données projet'!$B$14,Paramètres!$A$1:$I$88,3,0)*0.475*44/12</f>
        <v>0</v>
      </c>
      <c r="ED44" s="24">
        <f t="shared" si="18"/>
        <v>1.2620862292913018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projet'!$B$15,Paramètres!$A$1:$I$88,3,0)*VLOOKUP('Données projet'!$B$15,Paramètres!$A$1:$I$88,5,0)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projet'!$B$15,Paramètres!$A$1:$I$88,3,0)*0.475*44/12</f>
        <v>#N/A</v>
      </c>
      <c r="EW44" s="23" t="e">
        <f>EXP(-LN(2)/25)*EW43+(1-EXP(-LN(2)/25))/(LN(2)/25)*Calculateur!ER44*Calculateur!ET44*VLOOKUP('Données projet'!$B$15,Paramètres!$A$1:$I$88,3,0)*0.475*44/12</f>
        <v>#N/A</v>
      </c>
      <c r="EX44" s="23" t="e">
        <f>EXP(-LN(2)/2)*EX43+(1-EXP(-LN(2)/2))/(LN(2)/2)*ER44*EU44*VLOOKUP('Données projet'!$B$15,Paramètres!$A$1:$I$88,3,0)*0.475*44/12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projet'!$B$16,Paramètres!$A$1:$I$88,3,0)*VLOOKUP('Données projet'!$B$16,Paramètres!$A$1:$I$88,5,0)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projet'!$B$16,Paramètres!$A$1:$I$88,3,0)*0.475*44/12</f>
        <v>#N/A</v>
      </c>
      <c r="FR44" s="23" t="e">
        <f>EXP(-LN(2)/25)*FR43+(1-EXP(-LN(2)/25))/(LN(2)/25)*Calculateur!FM44*Calculateur!FO44*VLOOKUP('Données projet'!$B$16,Paramètres!$A$1:$I$88,3,0)*0.475*44/12</f>
        <v>#N/A</v>
      </c>
      <c r="FS44" s="23" t="e">
        <f>EXP(-LN(2)/2)*FS43+(1-EXP(-LN(2)/2))/(LN(2)/2)*FM44*FP44*VLOOKUP('Données projet'!$B$16,Paramètres!$A$1:$I$88,3,0)*0.475*44/12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projet'!$B$17,Paramètres!$A$1:$I$88,3,0)*VLOOKUP('Données projet'!$B$17,Paramètres!$A$1:$I$88,5,0)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projet'!$B$17,Paramètres!$A$1:$I$88,3,0)*0.475*44/12</f>
        <v>#N/A</v>
      </c>
      <c r="GM44" s="23" t="e">
        <f>EXP(-LN(2)/25)*GM43+(1-EXP(-LN(2)/25))/(LN(2)/25)*Calculateur!GH44*Calculateur!GJ44*VLOOKUP('Données projet'!$B$17,Paramètres!$A$1:$I$88,3,0)*0.475*44/12</f>
        <v>#N/A</v>
      </c>
      <c r="GN44" s="23" t="e">
        <f>EXP(-LN(2)/2)*GN43+(1-EXP(-LN(2)/2))/(LN(2)/2)*GH44*GK44*VLOOKUP('Données projet'!$B$17,Paramètres!$A$1:$I$88,3,0)*0.475*44/12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projet'!$B$18,Paramètres!$A$1:$I$88,3,0)*VLOOKUP('Données projet'!$B$18,Paramètres!$A$1:$I$88,5,0)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projet'!$B$18,Paramètres!$A$1:$I$88,3,0)*0.475*44/12</f>
        <v>#N/A</v>
      </c>
      <c r="HH44" s="23" t="e">
        <f>EXP(-LN(2)/25)*HH43+(1-EXP(-LN(2)/25))/(LN(2)/25)*Calculateur!HC44*Calculateur!HE44*VLOOKUP('Données projet'!$B$18,Paramètres!$A$1:$I$88,3,0)*0.475*44/12</f>
        <v>#N/A</v>
      </c>
      <c r="HI44" s="23" t="e">
        <f>EXP(-LN(2)/2)*HI43+(1-EXP(-LN(2)/2))/(LN(2)/2)*HC44*HF44*VLOOKUP('Données projet'!$B$18,Paramètres!$A$1:$I$88,3,0)*0.475*44/12</f>
        <v>#N/A</v>
      </c>
      <c r="HJ44" s="24" t="e">
        <f t="shared" si="30"/>
        <v>#N/A</v>
      </c>
    </row>
    <row r="45" spans="1:218" s="5" customFormat="1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19.600000000000001</v>
      </c>
      <c r="N45" s="14">
        <f>IF('Données projet'!$A$36&gt;35,N44+M45-V44,IF(A45&lt;'Données projet'!$A$36,$K$205^A45,IF(A45='Données projet'!$A$36,'Données projet'!$B$36,N44+M45-V44)))</f>
        <v>362.20000000000005</v>
      </c>
      <c r="O45" s="14">
        <f>N45*VLOOKUP('Données projet'!$B$9,Paramètres!$A$1:$I$88,3,0)*VLOOKUP('Données projet'!$B$9,Paramètres!$A$1:$I$88,5,0)</f>
        <v>216.59560000000005</v>
      </c>
      <c r="P45" s="14">
        <f t="shared" si="33"/>
        <v>53.374285937607603</v>
      </c>
      <c r="Q45" s="22">
        <f t="shared" si="53"/>
        <v>470.19755134133334</v>
      </c>
      <c r="R45" s="62">
        <f t="shared" si="0"/>
        <v>719.5762176019681</v>
      </c>
      <c r="S45" s="62">
        <f ca="1">AVERAGE(OFFSET($R$3,0,0,'Données projet'!$E$9+1,1))-AVERAGE(OFFSET($H$3,0,0,'Données projet'!$E$9+1,1))</f>
        <v>301.2688576786212</v>
      </c>
      <c r="T45" s="62">
        <f t="shared" si="34"/>
        <v>417.62172165132927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projet'!$B$9,Paramètres!$A$1:$I$88,7,0))</f>
        <v>0</v>
      </c>
      <c r="X45" s="17">
        <f>IF(ISNA(VLOOKUP(A45,'Données projet'!$A$35:$I$55,6,0)),0%,VLOOKUP(A45,'Données projet'!$A$35:$I$55,6,0)*VLOOKUP('Données projet'!$B$9,Paramètres!$A$1:$I$88,7,0))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11.16638694266342</v>
      </c>
      <c r="AA45" s="23">
        <f>EXP(-LN(2)/25)*AA44+(1-EXP(-LN(2)/25))/(LN(2)/25)*Calculateur!V45*Calculateur!X45*VLOOKUP('Données projet'!$B$9,Paramètres!$A$1:$I$88,3,0)*0.475*44/12</f>
        <v>35.066994163671815</v>
      </c>
      <c r="AB45" s="23">
        <f>EXP(-LN(2)/2)*AB44+(1-EXP(-LN(2)/2))/(LN(2)/2)*V45*Y45*VLOOKUP('Données projet'!$B$9,Paramètres!$A$1:$I$88,3,0)*0.475*44/12</f>
        <v>6.4996167269878304</v>
      </c>
      <c r="AC45" s="24">
        <f t="shared" si="3"/>
        <v>52.732997833323068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14</v>
      </c>
      <c r="AI45" s="14">
        <f>IF('Données projet'!$A$62&gt;35,AI44+AH45-AQ44,IF(A45&lt;'Données projet'!$A$62,$AF$205^A45,IF(A45='Données projet'!$A$62,'Données projet'!$B$62,AI44+AH45-AQ44)))</f>
        <v>208</v>
      </c>
      <c r="AJ45" s="14">
        <f>AI45*VLOOKUP('Données projet'!$B$10,Paramètres!$A$1:$I$88,3,0)*VLOOKUP('Données projet'!$B$10,Paramètres!$A$1:$I$88,5,0)</f>
        <v>97.343999999999994</v>
      </c>
      <c r="AK45" s="14">
        <f t="shared" si="35"/>
        <v>26.328254259866451</v>
      </c>
      <c r="AL45" s="22">
        <f t="shared" si="4"/>
        <v>215.39584283593408</v>
      </c>
      <c r="AM45" s="62">
        <f t="shared" si="5"/>
        <v>464.77450909656881</v>
      </c>
      <c r="AN45" s="62">
        <f ca="1">AVERAGE(OFFSET($AM$3,0,0,'Données projet'!$E$10+1,1))-AVERAGE(OFFSET($H$3,0,0,'Données projet'!$E$10+1,1))</f>
        <v>170.08673939431091</v>
      </c>
      <c r="AO45" s="62">
        <f t="shared" si="36"/>
        <v>252.97355497077106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projet'!$B$10,Paramètres!$A$1:$I$88,7,0))</f>
        <v>0</v>
      </c>
      <c r="AS45" s="17">
        <f>IF(ISNA(VLOOKUP(A45,'Données projet'!$A$61:$I$81,6,0)),0%,VLOOKUP(A45,'Données projet'!$A$61:$I$81,6,0)*VLOOKUP('Données projet'!$B$10,Paramètres!$A$1:$I$88,7,0))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projet'!$B$10,Paramètres!$A$1:$I$88,3,0)*0.475*44/12</f>
        <v>9.7613622124053645</v>
      </c>
      <c r="AV45" s="23">
        <f>EXP(-LN(2)/25)*AV44+(1-EXP(-LN(2)/25))/(LN(2)/25)*Calculateur!AQ45*Calculateur!AS45*VLOOKUP('Données projet'!$B$10,Paramètres!$A$1:$I$88,3,0)*0.475*44/12</f>
        <v>24.903256201797646</v>
      </c>
      <c r="AW45" s="23">
        <f>EXP(-LN(2)/2)*AW44+(1-EXP(-LN(2)/2))/(LN(2)/2)*AQ45*AT45*VLOOKUP('Données projet'!$B$10,Paramètres!$A$1:$I$88,3,0)*0.475*44/12</f>
        <v>6.7645165542329755</v>
      </c>
      <c r="AX45" s="23">
        <f t="shared" si="6"/>
        <v>41.429134968435989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8.4</v>
      </c>
      <c r="BD45" s="13">
        <f>IF('Données projet'!$A$88&gt;35,BD44+BC45-BL44,IF(A45&lt;'Données projet'!$A$88,$BA$205^A45,IF(A45='Données projet'!$A$88,'Données projet'!$B$88,BD44+BC45-BL44)))</f>
        <v>132.80000000000004</v>
      </c>
      <c r="BE45" s="14">
        <f>BD45*VLOOKUP('Données projet'!$B$11,Paramètres!$A$1:$I$88,3,0)*VLOOKUP('Données projet'!$B$11,Paramètres!$A$1:$I$88,5,0)</f>
        <v>120.15744000000002</v>
      </c>
      <c r="BF45" s="14">
        <f t="shared" si="37"/>
        <v>31.711716786129845</v>
      </c>
      <c r="BG45" s="22">
        <f t="shared" si="7"/>
        <v>264.50544806917623</v>
      </c>
      <c r="BH45" s="62">
        <f t="shared" si="8"/>
        <v>513.88411432981093</v>
      </c>
      <c r="BI45" s="62">
        <f ca="1">AVERAGE(OFFSET($BH$3,0,0,'Données projet'!$E$11+1,1))-AVERAGE(OFFSET($H$3,0,0,'Données projet'!$E$11+1,1))</f>
        <v>362.63718589694594</v>
      </c>
      <c r="BJ45" s="62">
        <f t="shared" si="38"/>
        <v>250.47702091764884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projet'!$B$11,Paramètres!$A$1:$I$88,7,0))</f>
        <v>0</v>
      </c>
      <c r="BN45" s="17">
        <f>IF(ISNA(VLOOKUP(A45,'Données projet'!$A$87:$I$107,6,0)),0%,VLOOKUP(A45,'Données projet'!$A$87:$I$107,6,0)*VLOOKUP('Données projet'!$B$11,Paramètres!$A$1:$I$88,7,0))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projet'!$B$11,Paramètres!$A$1:$I$88,3,0)*0.475*44/12</f>
        <v>1.7362638946361202</v>
      </c>
      <c r="BQ45" s="23">
        <f>EXP(-LN(2)/25)*BQ44+(1-EXP(-LN(2)/25))/(LN(2)/25)*Calculateur!BL45*Calculateur!BN45*VLOOKUP('Données projet'!$B$11,Paramètres!$A$1:$I$88,3,0)*0.475*44/12</f>
        <v>0</v>
      </c>
      <c r="BR45" s="23">
        <f>EXP(-LN(2)/2)*BR44+(1-EXP(-LN(2)/2))/(LN(2)/2)*BL45*BO45*VLOOKUP('Données projet'!$B$11,Paramètres!$A$1:$I$88,3,0)*0.475*44/12</f>
        <v>0</v>
      </c>
      <c r="BS45" s="24">
        <f t="shared" si="9"/>
        <v>1.7362638946361202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8.4</v>
      </c>
      <c r="BY45" s="13">
        <f>IF('Données projet'!$A$114&gt;35,BY44+BX45-CG44,IF(A45&lt;'Données projet'!$A$114,$BV$205^A45,IF(A45='Données projet'!$A$114,'Données projet'!$B$114,BY44+BX45-CG44)))</f>
        <v>132.80000000000004</v>
      </c>
      <c r="BZ45" s="14">
        <f>BY45*VLOOKUP('Données projet'!$B$12,Paramètres!$A$1:$I$88,3,0)*VLOOKUP('Données projet'!$B$12,Paramètres!$A$1:$I$88,5,0)</f>
        <v>134.65920000000006</v>
      </c>
      <c r="CA45" s="14">
        <f t="shared" si="39"/>
        <v>35.07074737441733</v>
      </c>
      <c r="CB45" s="22">
        <f t="shared" si="10"/>
        <v>295.61299167711024</v>
      </c>
      <c r="CC45" s="62">
        <f t="shared" si="11"/>
        <v>544.991657937745</v>
      </c>
      <c r="CD45" s="62">
        <f ca="1">AVERAGE(OFFSET($CC$3,0,0,'Données projet'!$E$12+1,1))-AVERAGE(OFFSET($H$3,0,0,'Données projet'!$E$12+1,1))</f>
        <v>398.14524781940196</v>
      </c>
      <c r="CE45" s="62">
        <f t="shared" si="40"/>
        <v>273.35778700650792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projet'!$B$12,Paramètres!$A$1:$I$88,3,0)*0.475*44/12</f>
        <v>1.9458129853680664</v>
      </c>
      <c r="CL45" s="23">
        <f>EXP(-LN(2)/25)*CL44+(1-EXP(-LN(2)/25))/(LN(2)/25)*Calculateur!CG45*Calculateur!CI45*VLOOKUP('Données projet'!$B$12,Paramètres!$A$1:$I$88,3,0)*0.475*44/12</f>
        <v>0</v>
      </c>
      <c r="CM45" s="23">
        <f>EXP(-LN(2)/2)*CM44+(1-EXP(-LN(2)/2))/(LN(2)/2)*CG45*CJ45*VLOOKUP('Données projet'!$B$12,Paramètres!$A$1:$I$88,3,0)*0.475*44/12</f>
        <v>0</v>
      </c>
      <c r="CN45" s="24">
        <f t="shared" si="12"/>
        <v>1.9458129853680664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9.6</v>
      </c>
      <c r="CT45" s="13">
        <f>IF('Données projet'!$A$140&gt;35,CT44+CS45-DB44,IF(A45&lt;'Données projet'!$A$140,$CQ$205^A45,IF(A45='Données projet'!$A$140,'Données projet'!$B$140,CT44+CS45-DB44)))</f>
        <v>161.19999999999996</v>
      </c>
      <c r="CU45" s="18">
        <f>CT45*VLOOKUP('Données projet'!$B$13,Paramètres!$A$1:$I$88,3,0)*VLOOKUP('Données projet'!$B$13,Paramètres!$A$1:$I$88,5,0)</f>
        <v>153.39791999999997</v>
      </c>
      <c r="CV45" s="14">
        <f t="shared" si="41"/>
        <v>39.349765565193408</v>
      </c>
      <c r="CW45" s="22">
        <f t="shared" si="13"/>
        <v>335.7022190260451</v>
      </c>
      <c r="CX45" s="62">
        <f t="shared" si="14"/>
        <v>585.08088528667986</v>
      </c>
      <c r="CY45" s="62">
        <f ca="1">AVERAGE(OFFSET($CX$3,0,0,'Données projet'!$E$13+1,1))-AVERAGE(OFFSET($H$3,0,0,'Données projet'!$E$13+1,1))</f>
        <v>470.0521927195926</v>
      </c>
      <c r="CZ45" s="62">
        <f t="shared" si="42"/>
        <v>299.27200854723435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projet'!$B$13,Paramètres!$A$1:$I$88,7,0))</f>
        <v>0</v>
      </c>
      <c r="DD45" s="17">
        <f>IF(ISNA(VLOOKUP(A45,'Données projet'!$A$139:$I$159,6,0)),0%,VLOOKUP(A45,'Données projet'!$A$139:$I$159,6,0)*VLOOKUP('Données projet'!$B$13,Paramètres!$A$1:$I$88,7,0))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projet'!$B$13,Paramètres!$A$1:$I$88,3,0)*0.475*44/12</f>
        <v>1.8260706478069544</v>
      </c>
      <c r="DG45" s="23">
        <f>EXP(-LN(2)/25)*DG44+(1-EXP(-LN(2)/25))/(LN(2)/25)*Calculateur!DB45*Calculateur!DD45*VLOOKUP('Données projet'!$B$13,Paramètres!$A$1:$I$88,3,0)*0.475*44/12</f>
        <v>0</v>
      </c>
      <c r="DH45" s="23">
        <f>EXP(-LN(2)/2)*DH44+(1-EXP(-LN(2)/2))/(LN(2)/2)*DB45*DE45*VLOOKUP('Données projet'!$B$13,Paramètres!$A$1:$I$88,3,0)*0.475*44/12</f>
        <v>0</v>
      </c>
      <c r="DI45" s="24">
        <f t="shared" si="15"/>
        <v>1.8260706478069544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5.6</v>
      </c>
      <c r="DO45" s="13">
        <f>IF('Données projet'!$A$166&gt;35,DO44+DN45-DW44,IF(A45&lt;'Données projet'!$A$166,$DL$205^A45,IF(A45='Données projet'!$A$166,'Données projet'!$B$166,DO44+DN45-DW44)))</f>
        <v>90.2</v>
      </c>
      <c r="DP45" s="18">
        <f>DO45*VLOOKUP('Données projet'!$B$14,Paramètres!$A$1:$I$88,3,0)*VLOOKUP('Données projet'!$B$14,Paramètres!$A$1:$I$88,5,0)</f>
        <v>87.241439999999997</v>
      </c>
      <c r="DQ45" s="14">
        <f t="shared" si="43"/>
        <v>23.898726182438701</v>
      </c>
      <c r="DR45" s="22">
        <f t="shared" si="16"/>
        <v>193.56912276774736</v>
      </c>
      <c r="DS45" s="62">
        <f t="shared" si="17"/>
        <v>442.94778902838209</v>
      </c>
      <c r="DT45" s="62">
        <f ca="1">AVERAGE(OFFSET($DS$3,0,0,'Données projet'!$E$14+1,1))-AVERAGE(OFFSET($H$3,0,0,'Données projet'!$E$14+1,1))</f>
        <v>290.89727102147953</v>
      </c>
      <c r="DU45" s="62">
        <f t="shared" si="44"/>
        <v>173.19148969173838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projet'!$B$14,Paramètres!$A$1:$I$88,3,0)*0.475*44/12</f>
        <v>1.237337488131488</v>
      </c>
      <c r="EB45" s="23">
        <f>EXP(-LN(2)/25)*EB44+(1-EXP(-LN(2)/25))/(LN(2)/25)*Calculateur!DW45*Calculateur!DY45*VLOOKUP('Données projet'!$B$14,Paramètres!$A$1:$I$88,3,0)*0.475*44/12</f>
        <v>0</v>
      </c>
      <c r="EC45" s="23">
        <f>EXP(-LN(2)/2)*EC44+(1-EXP(-LN(2)/2))/(LN(2)/2)*DW45*DZ45*VLOOKUP('Données projet'!$B$14,Paramètres!$A$1:$I$88,3,0)*0.475*44/12</f>
        <v>0</v>
      </c>
      <c r="ED45" s="24">
        <f t="shared" si="18"/>
        <v>1.237337488131488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projet'!$B$15,Paramètres!$A$1:$I$88,3,0)*VLOOKUP('Données projet'!$B$15,Paramètres!$A$1:$I$88,5,0)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projet'!$B$15,Paramètres!$A$1:$I$88,3,0)*0.475*44/12</f>
        <v>#N/A</v>
      </c>
      <c r="EW45" s="23" t="e">
        <f>EXP(-LN(2)/25)*EW44+(1-EXP(-LN(2)/25))/(LN(2)/25)*Calculateur!ER45*Calculateur!ET45*VLOOKUP('Données projet'!$B$15,Paramètres!$A$1:$I$88,3,0)*0.475*44/12</f>
        <v>#N/A</v>
      </c>
      <c r="EX45" s="23" t="e">
        <f>EXP(-LN(2)/2)*EX44+(1-EXP(-LN(2)/2))/(LN(2)/2)*ER45*EU45*VLOOKUP('Données projet'!$B$15,Paramètres!$A$1:$I$88,3,0)*0.475*44/12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projet'!$B$16,Paramètres!$A$1:$I$88,3,0)*VLOOKUP('Données projet'!$B$16,Paramètres!$A$1:$I$88,5,0)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projet'!$B$16,Paramètres!$A$1:$I$88,3,0)*0.475*44/12</f>
        <v>#N/A</v>
      </c>
      <c r="FR45" s="23" t="e">
        <f>EXP(-LN(2)/25)*FR44+(1-EXP(-LN(2)/25))/(LN(2)/25)*Calculateur!FM45*Calculateur!FO45*VLOOKUP('Données projet'!$B$16,Paramètres!$A$1:$I$88,3,0)*0.475*44/12</f>
        <v>#N/A</v>
      </c>
      <c r="FS45" s="23" t="e">
        <f>EXP(-LN(2)/2)*FS44+(1-EXP(-LN(2)/2))/(LN(2)/2)*FM45*FP45*VLOOKUP('Données projet'!$B$16,Paramètres!$A$1:$I$88,3,0)*0.475*44/12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projet'!$B$17,Paramètres!$A$1:$I$88,3,0)*VLOOKUP('Données projet'!$B$17,Paramètres!$A$1:$I$88,5,0)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projet'!$B$17,Paramètres!$A$1:$I$88,3,0)*0.475*44/12</f>
        <v>#N/A</v>
      </c>
      <c r="GM45" s="23" t="e">
        <f>EXP(-LN(2)/25)*GM44+(1-EXP(-LN(2)/25))/(LN(2)/25)*Calculateur!GH45*Calculateur!GJ45*VLOOKUP('Données projet'!$B$17,Paramètres!$A$1:$I$88,3,0)*0.475*44/12</f>
        <v>#N/A</v>
      </c>
      <c r="GN45" s="23" t="e">
        <f>EXP(-LN(2)/2)*GN44+(1-EXP(-LN(2)/2))/(LN(2)/2)*GH45*GK45*VLOOKUP('Données projet'!$B$17,Paramètres!$A$1:$I$88,3,0)*0.475*44/12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projet'!$B$18,Paramètres!$A$1:$I$88,3,0)*VLOOKUP('Données projet'!$B$18,Paramètres!$A$1:$I$88,5,0)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projet'!$B$18,Paramètres!$A$1:$I$88,3,0)*0.475*44/12</f>
        <v>#N/A</v>
      </c>
      <c r="HH45" s="23" t="e">
        <f>EXP(-LN(2)/25)*HH44+(1-EXP(-LN(2)/25))/(LN(2)/25)*Calculateur!HC45*Calculateur!HE45*VLOOKUP('Données projet'!$B$18,Paramètres!$A$1:$I$88,3,0)*0.475*44/12</f>
        <v>#N/A</v>
      </c>
      <c r="HI45" s="23" t="e">
        <f>EXP(-LN(2)/2)*HI44+(1-EXP(-LN(2)/2))/(LN(2)/2)*HC45*HF45*VLOOKUP('Données projet'!$B$18,Paramètres!$A$1:$I$88,3,0)*0.475*44/12</f>
        <v>#N/A</v>
      </c>
      <c r="HJ45" s="24" t="e">
        <f t="shared" si="30"/>
        <v>#N/A</v>
      </c>
    </row>
    <row r="46" spans="1:218" s="5" customFormat="1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19.600000000000001</v>
      </c>
      <c r="N46" s="14">
        <f>IF('Données projet'!$A$36&gt;35,N45+M46-V45,IF(A46&lt;'Données projet'!$A$36,$K$205^A46,IF(A46='Données projet'!$A$36,'Données projet'!$B$36,N45+M46-V45)))</f>
        <v>381.80000000000007</v>
      </c>
      <c r="O46" s="14">
        <f>N46*VLOOKUP('Données projet'!$B$9,Paramètres!$A$1:$I$88,3,0)*VLOOKUP('Données projet'!$B$9,Paramètres!$A$1:$I$88,5,0)</f>
        <v>228.31640000000007</v>
      </c>
      <c r="P46" s="14">
        <f t="shared" si="33"/>
        <v>55.918492337377344</v>
      </c>
      <c r="Q46" s="22">
        <f t="shared" si="53"/>
        <v>495.04243748759899</v>
      </c>
      <c r="R46" s="62">
        <f t="shared" si="0"/>
        <v>745.18361895403109</v>
      </c>
      <c r="S46" s="62">
        <f ca="1">AVERAGE(OFFSET($R$3,0,0,'Données projet'!$E$9+1,1))-AVERAGE(OFFSET($H$3,0,0,'Données projet'!$E$9+1,1))</f>
        <v>301.2688576786212</v>
      </c>
      <c r="T46" s="62">
        <f t="shared" si="34"/>
        <v>417.62172165132927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10.947420905541312</v>
      </c>
      <c r="AA46" s="23">
        <f>EXP(-LN(2)/25)*AA45+(1-EXP(-LN(2)/25))/(LN(2)/25)*Calculateur!V46*Calculateur!X46*VLOOKUP('Données projet'!$B$9,Paramètres!$A$1:$I$88,3,0)*0.475*44/12</f>
        <v>34.108085364173135</v>
      </c>
      <c r="AB46" s="23">
        <f>EXP(-LN(2)/2)*AB45+(1-EXP(-LN(2)/2))/(LN(2)/2)*V46*Y46*VLOOKUP('Données projet'!$B$9,Paramètres!$A$1:$I$88,3,0)*0.475*44/12</f>
        <v>4.5959230627666079</v>
      </c>
      <c r="AC46" s="24">
        <f t="shared" si="3"/>
        <v>49.651429332481058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14</v>
      </c>
      <c r="AI46" s="14">
        <f>IF('Données projet'!$A$62&gt;35,AI45+AH46-AQ45,IF(A46&lt;'Données projet'!$A$62,$AF$205^A46,IF(A46='Données projet'!$A$62,'Données projet'!$B$62,AI45+AH46-AQ45)))</f>
        <v>222</v>
      </c>
      <c r="AJ46" s="14">
        <f>AI46*VLOOKUP('Données projet'!$B$10,Paramètres!$A$1:$I$88,3,0)*VLOOKUP('Données projet'!$B$10,Paramètres!$A$1:$I$88,5,0)</f>
        <v>103.896</v>
      </c>
      <c r="AK46" s="14">
        <f t="shared" si="35"/>
        <v>27.888091127225799</v>
      </c>
      <c r="AL46" s="22">
        <f t="shared" si="4"/>
        <v>229.52395871325157</v>
      </c>
      <c r="AM46" s="62">
        <f t="shared" si="5"/>
        <v>479.66514017968359</v>
      </c>
      <c r="AN46" s="62">
        <f ca="1">AVERAGE(OFFSET($AM$3,0,0,'Données projet'!$E$10+1,1))-AVERAGE(OFFSET($H$3,0,0,'Données projet'!$E$10+1,1))</f>
        <v>170.08673939431091</v>
      </c>
      <c r="AO46" s="62">
        <f t="shared" si="36"/>
        <v>252.97355497077106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projet'!$B$10,Paramètres!$A$1:$I$88,3,0)*0.475*44/12</f>
        <v>9.5699478532631517</v>
      </c>
      <c r="AV46" s="23">
        <f>EXP(-LN(2)/25)*AV45+(1-EXP(-LN(2)/25))/(LN(2)/25)*Calculateur!AQ46*Calculateur!AS46*VLOOKUP('Données projet'!$B$10,Paramètres!$A$1:$I$88,3,0)*0.475*44/12</f>
        <v>24.222275351354163</v>
      </c>
      <c r="AW46" s="23">
        <f>EXP(-LN(2)/2)*AW45+(1-EXP(-LN(2)/2))/(LN(2)/2)*AQ46*AT46*VLOOKUP('Données projet'!$B$10,Paramètres!$A$1:$I$88,3,0)*0.475*44/12</f>
        <v>4.783235526946795</v>
      </c>
      <c r="AX46" s="23">
        <f t="shared" si="6"/>
        <v>38.575458731564112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8.4</v>
      </c>
      <c r="BD46" s="13">
        <f>IF('Données projet'!$A$88&gt;35,BD45+BC46-BL45,IF(A46&lt;'Données projet'!$A$88,$BA$205^A46,IF(A46='Données projet'!$A$88,'Données projet'!$B$88,BD45+BC46-BL45)))</f>
        <v>141.20000000000005</v>
      </c>
      <c r="BE46" s="14">
        <f>BD46*VLOOKUP('Données projet'!$B$11,Paramètres!$A$1:$I$88,3,0)*VLOOKUP('Données projet'!$B$11,Paramètres!$A$1:$I$88,5,0)</f>
        <v>127.75776000000003</v>
      </c>
      <c r="BF46" s="14">
        <f t="shared" si="37"/>
        <v>33.477720030956604</v>
      </c>
      <c r="BG46" s="22">
        <f t="shared" si="7"/>
        <v>280.81846105391611</v>
      </c>
      <c r="BH46" s="62">
        <f t="shared" si="8"/>
        <v>530.9596425203481</v>
      </c>
      <c r="BI46" s="62">
        <f ca="1">AVERAGE(OFFSET($BH$3,0,0,'Données projet'!$E$11+1,1))-AVERAGE(OFFSET($H$3,0,0,'Données projet'!$E$11+1,1))</f>
        <v>362.63718589694594</v>
      </c>
      <c r="BJ46" s="62">
        <f t="shared" si="38"/>
        <v>250.47702091764884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projet'!$B$11,Paramètres!$A$1:$I$88,3,0)*0.475*44/12</f>
        <v>1.7022168186787123</v>
      </c>
      <c r="BQ46" s="23">
        <f>EXP(-LN(2)/25)*BQ45+(1-EXP(-LN(2)/25))/(LN(2)/25)*Calculateur!BL46*Calculateur!BN46*VLOOKUP('Données projet'!$B$11,Paramètres!$A$1:$I$88,3,0)*0.475*44/12</f>
        <v>0</v>
      </c>
      <c r="BR46" s="23">
        <f>EXP(-LN(2)/2)*BR45+(1-EXP(-LN(2)/2))/(LN(2)/2)*BL46*BO46*VLOOKUP('Données projet'!$B$11,Paramètres!$A$1:$I$88,3,0)*0.475*44/12</f>
        <v>0</v>
      </c>
      <c r="BS46" s="24">
        <f t="shared" si="9"/>
        <v>1.7022168186787123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8.4</v>
      </c>
      <c r="BY46" s="13">
        <f>IF('Données projet'!$A$114&gt;35,BY45+BX46-CG45,IF(A46&lt;'Données projet'!$A$114,$BV$205^A46,IF(A46='Données projet'!$A$114,'Données projet'!$B$114,BY45+BX46-CG45)))</f>
        <v>141.20000000000005</v>
      </c>
      <c r="BZ46" s="14">
        <f>BY46*VLOOKUP('Données projet'!$B$12,Paramètres!$A$1:$I$88,3,0)*VLOOKUP('Données projet'!$B$12,Paramètres!$A$1:$I$88,5,0)</f>
        <v>143.17680000000004</v>
      </c>
      <c r="CA46" s="14">
        <f t="shared" si="39"/>
        <v>37.023812674521515</v>
      </c>
      <c r="CB46" s="22">
        <f t="shared" si="10"/>
        <v>313.84940040812506</v>
      </c>
      <c r="CC46" s="62">
        <f t="shared" si="11"/>
        <v>563.99058187455717</v>
      </c>
      <c r="CD46" s="62">
        <f ca="1">AVERAGE(OFFSET($CC$3,0,0,'Données projet'!$E$12+1,1))-AVERAGE(OFFSET($H$3,0,0,'Données projet'!$E$12+1,1))</f>
        <v>398.14524781940196</v>
      </c>
      <c r="CE46" s="62">
        <f t="shared" si="40"/>
        <v>273.35778700650792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projet'!$B$12,Paramètres!$A$1:$I$88,3,0)*0.475*44/12</f>
        <v>1.90765677955373</v>
      </c>
      <c r="CL46" s="23">
        <f>EXP(-LN(2)/25)*CL45+(1-EXP(-LN(2)/25))/(LN(2)/25)*Calculateur!CG46*Calculateur!CI46*VLOOKUP('Données projet'!$B$12,Paramètres!$A$1:$I$88,3,0)*0.475*44/12</f>
        <v>0</v>
      </c>
      <c r="CM46" s="23">
        <f>EXP(-LN(2)/2)*CM45+(1-EXP(-LN(2)/2))/(LN(2)/2)*CG46*CJ46*VLOOKUP('Données projet'!$B$12,Paramètres!$A$1:$I$88,3,0)*0.475*44/12</f>
        <v>0</v>
      </c>
      <c r="CN46" s="24">
        <f t="shared" si="12"/>
        <v>1.90765677955373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9.6</v>
      </c>
      <c r="CT46" s="13">
        <f>IF('Données projet'!$A$140&gt;35,CT45+CS46-DB45,IF(A46&lt;'Données projet'!$A$140,$CQ$205^A46,IF(A46='Données projet'!$A$140,'Données projet'!$B$140,CT45+CS46-DB45)))</f>
        <v>170.79999999999995</v>
      </c>
      <c r="CU46" s="18">
        <f>CT46*VLOOKUP('Données projet'!$B$13,Paramètres!$A$1:$I$88,3,0)*VLOOKUP('Données projet'!$B$13,Paramètres!$A$1:$I$88,5,0)</f>
        <v>162.53327999999996</v>
      </c>
      <c r="CV46" s="14">
        <f t="shared" si="41"/>
        <v>41.413380335155999</v>
      </c>
      <c r="CW46" s="22">
        <f t="shared" si="13"/>
        <v>355.20710008372998</v>
      </c>
      <c r="CX46" s="62">
        <f t="shared" si="14"/>
        <v>605.34828155016203</v>
      </c>
      <c r="CY46" s="62">
        <f ca="1">AVERAGE(OFFSET($CX$3,0,0,'Données projet'!$E$13+1,1))-AVERAGE(OFFSET($H$3,0,0,'Données projet'!$E$13+1,1))</f>
        <v>470.0521927195926</v>
      </c>
      <c r="CZ46" s="62">
        <f t="shared" si="42"/>
        <v>299.27200854723435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projet'!$B$13,Paramètres!$A$1:$I$88,3,0)*0.475*44/12</f>
        <v>1.7902625161965773</v>
      </c>
      <c r="DG46" s="23">
        <f>EXP(-LN(2)/25)*DG45+(1-EXP(-LN(2)/25))/(LN(2)/25)*Calculateur!DB46*Calculateur!DD46*VLOOKUP('Données projet'!$B$13,Paramètres!$A$1:$I$88,3,0)*0.475*44/12</f>
        <v>0</v>
      </c>
      <c r="DH46" s="23">
        <f>EXP(-LN(2)/2)*DH45+(1-EXP(-LN(2)/2))/(LN(2)/2)*DB46*DE46*VLOOKUP('Données projet'!$B$13,Paramètres!$A$1:$I$88,3,0)*0.475*44/12</f>
        <v>0</v>
      </c>
      <c r="DI46" s="24">
        <f t="shared" si="15"/>
        <v>1.7902625161965773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5.6</v>
      </c>
      <c r="DO46" s="13">
        <f>IF('Données projet'!$A$166&gt;35,DO45+DN46-DW45,IF(A46&lt;'Données projet'!$A$166,$DL$205^A46,IF(A46='Données projet'!$A$166,'Données projet'!$B$166,DO45+DN46-DW45)))</f>
        <v>95.8</v>
      </c>
      <c r="DP46" s="18">
        <f>DO46*VLOOKUP('Données projet'!$B$14,Paramètres!$A$1:$I$88,3,0)*VLOOKUP('Données projet'!$B$14,Paramètres!$A$1:$I$88,5,0)</f>
        <v>92.65776000000001</v>
      </c>
      <c r="DQ46" s="14">
        <f t="shared" si="43"/>
        <v>25.205122972074609</v>
      </c>
      <c r="DR46" s="22">
        <f t="shared" si="16"/>
        <v>205.2778545096966</v>
      </c>
      <c r="DS46" s="62">
        <f t="shared" si="17"/>
        <v>455.41903597612861</v>
      </c>
      <c r="DT46" s="62">
        <f ca="1">AVERAGE(OFFSET($DS$3,0,0,'Données projet'!$E$14+1,1))-AVERAGE(OFFSET($H$3,0,0,'Données projet'!$E$14+1,1))</f>
        <v>290.89727102147953</v>
      </c>
      <c r="DU46" s="62">
        <f t="shared" si="44"/>
        <v>173.19148969173838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projet'!$B$14,Paramètres!$A$1:$I$88,3,0)*0.475*44/12</f>
        <v>1.2130740546905767</v>
      </c>
      <c r="EB46" s="23">
        <f>EXP(-LN(2)/25)*EB45+(1-EXP(-LN(2)/25))/(LN(2)/25)*Calculateur!DW46*Calculateur!DY46*VLOOKUP('Données projet'!$B$14,Paramètres!$A$1:$I$88,3,0)*0.475*44/12</f>
        <v>0</v>
      </c>
      <c r="EC46" s="23">
        <f>EXP(-LN(2)/2)*EC45+(1-EXP(-LN(2)/2))/(LN(2)/2)*DW46*DZ46*VLOOKUP('Données projet'!$B$14,Paramètres!$A$1:$I$88,3,0)*0.475*44/12</f>
        <v>0</v>
      </c>
      <c r="ED46" s="24">
        <f t="shared" si="18"/>
        <v>1.2130740546905767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projet'!$B$15,Paramètres!$A$1:$I$88,3,0)*VLOOKUP('Données projet'!$B$15,Paramètres!$A$1:$I$88,5,0)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projet'!$B$15,Paramètres!$A$1:$I$88,3,0)*0.475*44/12</f>
        <v>#N/A</v>
      </c>
      <c r="EW46" s="23" t="e">
        <f>EXP(-LN(2)/25)*EW45+(1-EXP(-LN(2)/25))/(LN(2)/25)*Calculateur!ER46*Calculateur!ET46*VLOOKUP('Données projet'!$B$15,Paramètres!$A$1:$I$88,3,0)*0.475*44/12</f>
        <v>#N/A</v>
      </c>
      <c r="EX46" s="23" t="e">
        <f>EXP(-LN(2)/2)*EX45+(1-EXP(-LN(2)/2))/(LN(2)/2)*ER46*EU46*VLOOKUP('Données projet'!$B$15,Paramètres!$A$1:$I$88,3,0)*0.475*44/12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projet'!$B$16,Paramètres!$A$1:$I$88,3,0)*VLOOKUP('Données projet'!$B$16,Paramètres!$A$1:$I$88,5,0)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projet'!$B$16,Paramètres!$A$1:$I$88,3,0)*0.475*44/12</f>
        <v>#N/A</v>
      </c>
      <c r="FR46" s="23" t="e">
        <f>EXP(-LN(2)/25)*FR45+(1-EXP(-LN(2)/25))/(LN(2)/25)*Calculateur!FM46*Calculateur!FO46*VLOOKUP('Données projet'!$B$16,Paramètres!$A$1:$I$88,3,0)*0.475*44/12</f>
        <v>#N/A</v>
      </c>
      <c r="FS46" s="23" t="e">
        <f>EXP(-LN(2)/2)*FS45+(1-EXP(-LN(2)/2))/(LN(2)/2)*FM46*FP46*VLOOKUP('Données projet'!$B$16,Paramètres!$A$1:$I$88,3,0)*0.475*44/12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projet'!$B$17,Paramètres!$A$1:$I$88,3,0)*VLOOKUP('Données projet'!$B$17,Paramètres!$A$1:$I$88,5,0)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projet'!$B$17,Paramètres!$A$1:$I$88,3,0)*0.475*44/12</f>
        <v>#N/A</v>
      </c>
      <c r="GM46" s="23" t="e">
        <f>EXP(-LN(2)/25)*GM45+(1-EXP(-LN(2)/25))/(LN(2)/25)*Calculateur!GH46*Calculateur!GJ46*VLOOKUP('Données projet'!$B$17,Paramètres!$A$1:$I$88,3,0)*0.475*44/12</f>
        <v>#N/A</v>
      </c>
      <c r="GN46" s="23" t="e">
        <f>EXP(-LN(2)/2)*GN45+(1-EXP(-LN(2)/2))/(LN(2)/2)*GH46*GK46*VLOOKUP('Données projet'!$B$17,Paramètres!$A$1:$I$88,3,0)*0.475*44/12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projet'!$B$18,Paramètres!$A$1:$I$88,3,0)*VLOOKUP('Données projet'!$B$18,Paramètres!$A$1:$I$88,5,0)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projet'!$B$18,Paramètres!$A$1:$I$88,3,0)*0.475*44/12</f>
        <v>#N/A</v>
      </c>
      <c r="HH46" s="23" t="e">
        <f>EXP(-LN(2)/25)*HH45+(1-EXP(-LN(2)/25))/(LN(2)/25)*Calculateur!HC46*Calculateur!HE46*VLOOKUP('Données projet'!$B$18,Paramètres!$A$1:$I$88,3,0)*0.475*44/12</f>
        <v>#N/A</v>
      </c>
      <c r="HI46" s="23" t="e">
        <f>EXP(-LN(2)/2)*HI45+(1-EXP(-LN(2)/2))/(LN(2)/2)*HC46*HF46*VLOOKUP('Données projet'!$B$18,Paramètres!$A$1:$I$88,3,0)*0.475*44/12</f>
        <v>#N/A</v>
      </c>
      <c r="HJ46" s="24" t="e">
        <f t="shared" si="30"/>
        <v>#N/A</v>
      </c>
    </row>
    <row r="47" spans="1:218" s="5" customFormat="1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19.600000000000001</v>
      </c>
      <c r="N47" s="14">
        <f>IF('Données projet'!$A$36&gt;35,N46+M47-V46,IF(A47&lt;'Données projet'!$A$36,$K$205^A47,IF(A47='Données projet'!$A$36,'Données projet'!$B$36,N46+M47-V46)))</f>
        <v>401.40000000000009</v>
      </c>
      <c r="O47" s="14">
        <f>N47*VLOOKUP('Données projet'!$B$9,Paramètres!$A$1:$I$88,3,0)*VLOOKUP('Données projet'!$B$9,Paramètres!$A$1:$I$88,5,0)</f>
        <v>240.0372000000001</v>
      </c>
      <c r="P47" s="14">
        <f t="shared" si="33"/>
        <v>58.447534171232547</v>
      </c>
      <c r="Q47" s="22">
        <f t="shared" si="53"/>
        <v>519.86091201489683</v>
      </c>
      <c r="R47" s="62">
        <f t="shared" si="0"/>
        <v>770.75138075303425</v>
      </c>
      <c r="S47" s="62">
        <f ca="1">AVERAGE(OFFSET($R$3,0,0,'Données projet'!$E$9+1,1))-AVERAGE(OFFSET($H$3,0,0,'Données projet'!$E$9+1,1))</f>
        <v>301.2688576786212</v>
      </c>
      <c r="T47" s="62">
        <f t="shared" si="34"/>
        <v>417.62172165132927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projet'!$B$9,Paramètres!$A$1:$I$88,7,0))</f>
        <v>0</v>
      </c>
      <c r="X47" s="17">
        <f>IF(ISNA(VLOOKUP(A47,'Données projet'!$A$35:$I$55,6,0)),0%,VLOOKUP(A47,'Données projet'!$A$35:$I$55,6,0)*VLOOKUP('Données projet'!$B$9,Paramètres!$A$1:$I$88,7,0))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10.732748658851074</v>
      </c>
      <c r="AA47" s="23">
        <f>EXP(-LN(2)/25)*AA46+(1-EXP(-LN(2)/25))/(LN(2)/25)*Calculateur!V47*Calculateur!X47*VLOOKUP('Données projet'!$B$9,Paramètres!$A$1:$I$88,3,0)*0.475*44/12</f>
        <v>33.175397976223564</v>
      </c>
      <c r="AB47" s="23">
        <f>EXP(-LN(2)/2)*AB46+(1-EXP(-LN(2)/2))/(LN(2)/2)*V47*Y47*VLOOKUP('Données projet'!$B$9,Paramètres!$A$1:$I$88,3,0)*0.475*44/12</f>
        <v>3.2498083634939152</v>
      </c>
      <c r="AC47" s="24">
        <f t="shared" si="3"/>
        <v>47.157954998568549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14</v>
      </c>
      <c r="AI47" s="14">
        <f>IF('Données projet'!$A$62&gt;35,AI46+AH47-AQ46,IF(A47&lt;'Données projet'!$A$62,$AF$205^A47,IF(A47='Données projet'!$A$62,'Données projet'!$B$62,AI46+AH47-AQ46)))</f>
        <v>236</v>
      </c>
      <c r="AJ47" s="14">
        <f>AI47*VLOOKUP('Données projet'!$B$10,Paramètres!$A$1:$I$88,3,0)*VLOOKUP('Données projet'!$B$10,Paramètres!$A$1:$I$88,5,0)</f>
        <v>110.44799999999999</v>
      </c>
      <c r="AK47" s="14">
        <f t="shared" si="35"/>
        <v>29.436511885319565</v>
      </c>
      <c r="AL47" s="22">
        <f t="shared" si="4"/>
        <v>243.63219153359822</v>
      </c>
      <c r="AM47" s="62">
        <f t="shared" si="5"/>
        <v>494.52266027173562</v>
      </c>
      <c r="AN47" s="62">
        <f ca="1">AVERAGE(OFFSET($AM$3,0,0,'Données projet'!$E$10+1,1))-AVERAGE(OFFSET($H$3,0,0,'Données projet'!$E$10+1,1))</f>
        <v>170.08673939431091</v>
      </c>
      <c r="AO47" s="62">
        <f t="shared" si="36"/>
        <v>252.97355497077106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projet'!$B$10,Paramètres!$A$1:$I$88,3,0)*0.475*44/12</f>
        <v>9.3822870129524869</v>
      </c>
      <c r="AV47" s="23">
        <f>EXP(-LN(2)/25)*AV46+(1-EXP(-LN(2)/25))/(LN(2)/25)*Calculateur!AQ47*Calculateur!AS47*VLOOKUP('Données projet'!$B$10,Paramètres!$A$1:$I$88,3,0)*0.475*44/12</f>
        <v>23.559915958077283</v>
      </c>
      <c r="AW47" s="23">
        <f>EXP(-LN(2)/2)*AW46+(1-EXP(-LN(2)/2))/(LN(2)/2)*AQ47*AT47*VLOOKUP('Données projet'!$B$10,Paramètres!$A$1:$I$88,3,0)*0.475*44/12</f>
        <v>3.3822582771164877</v>
      </c>
      <c r="AX47" s="23">
        <f t="shared" si="6"/>
        <v>36.324461248146257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8.4</v>
      </c>
      <c r="BD47" s="13">
        <f>IF('Données projet'!$A$88&gt;35,BD46+BC47-BL46,IF(A47&lt;'Données projet'!$A$88,$BA$205^A47,IF(A47='Données projet'!$A$88,'Données projet'!$B$88,BD46+BC47-BL46)))</f>
        <v>149.60000000000005</v>
      </c>
      <c r="BE47" s="14">
        <f>BD47*VLOOKUP('Données projet'!$B$11,Paramètres!$A$1:$I$88,3,0)*VLOOKUP('Données projet'!$B$11,Paramètres!$A$1:$I$88,5,0)</f>
        <v>135.35808000000006</v>
      </c>
      <c r="BF47" s="14">
        <f t="shared" si="37"/>
        <v>35.231528980112834</v>
      </c>
      <c r="BG47" s="22">
        <f t="shared" si="7"/>
        <v>297.11023564036327</v>
      </c>
      <c r="BH47" s="62">
        <f t="shared" si="8"/>
        <v>548.0007043785007</v>
      </c>
      <c r="BI47" s="62">
        <f ca="1">AVERAGE(OFFSET($BH$3,0,0,'Données projet'!$E$11+1,1))-AVERAGE(OFFSET($H$3,0,0,'Données projet'!$E$11+1,1))</f>
        <v>362.63718589694594</v>
      </c>
      <c r="BJ47" s="62">
        <f t="shared" si="38"/>
        <v>250.47702091764884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projet'!$B$11,Paramètres!$A$1:$I$88,3,0)*0.475*44/12</f>
        <v>1.6688373851141636</v>
      </c>
      <c r="BQ47" s="23">
        <f>EXP(-LN(2)/25)*BQ46+(1-EXP(-LN(2)/25))/(LN(2)/25)*Calculateur!BL47*Calculateur!BN47*VLOOKUP('Données projet'!$B$11,Paramètres!$A$1:$I$88,3,0)*0.475*44/12</f>
        <v>0</v>
      </c>
      <c r="BR47" s="23">
        <f>EXP(-LN(2)/2)*BR46+(1-EXP(-LN(2)/2))/(LN(2)/2)*BL47*BO47*VLOOKUP('Données projet'!$B$11,Paramètres!$A$1:$I$88,3,0)*0.475*44/12</f>
        <v>0</v>
      </c>
      <c r="BS47" s="24">
        <f t="shared" si="9"/>
        <v>1.6688373851141636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8.4</v>
      </c>
      <c r="BY47" s="13">
        <f>IF('Données projet'!$A$114&gt;35,BY46+BX47-CG46,IF(A47&lt;'Données projet'!$A$114,$BV$205^A47,IF(A47='Données projet'!$A$114,'Données projet'!$B$114,BY46+BX47-CG46)))</f>
        <v>149.60000000000005</v>
      </c>
      <c r="BZ47" s="14">
        <f>BY47*VLOOKUP('Données projet'!$B$12,Paramètres!$A$1:$I$88,3,0)*VLOOKUP('Données projet'!$B$12,Paramètres!$A$1:$I$88,5,0)</f>
        <v>151.69440000000006</v>
      </c>
      <c r="CA47" s="14">
        <f t="shared" si="39"/>
        <v>38.963392010880654</v>
      </c>
      <c r="CB47" s="22">
        <f t="shared" si="10"/>
        <v>332.06232108561721</v>
      </c>
      <c r="CC47" s="62">
        <f t="shared" si="11"/>
        <v>582.95278982375464</v>
      </c>
      <c r="CD47" s="62">
        <f ca="1">AVERAGE(OFFSET($CC$3,0,0,'Données projet'!$E$12+1,1))-AVERAGE(OFFSET($H$3,0,0,'Données projet'!$E$12+1,1))</f>
        <v>398.14524781940196</v>
      </c>
      <c r="CE47" s="62">
        <f t="shared" si="40"/>
        <v>273.35778700650792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projet'!$B$12,Paramètres!$A$1:$I$88,7,0))</f>
        <v>0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projet'!$B$12,Paramètres!$A$1:$I$88,3,0)*0.475*44/12</f>
        <v>1.8702487936624252</v>
      </c>
      <c r="CL47" s="23">
        <f>EXP(-LN(2)/25)*CL46+(1-EXP(-LN(2)/25))/(LN(2)/25)*Calculateur!CG47*Calculateur!CI47*VLOOKUP('Données projet'!$B$12,Paramètres!$A$1:$I$88,3,0)*0.475*44/12</f>
        <v>0</v>
      </c>
      <c r="CM47" s="23">
        <f>EXP(-LN(2)/2)*CM46+(1-EXP(-LN(2)/2))/(LN(2)/2)*CG47*CJ47*VLOOKUP('Données projet'!$B$12,Paramètres!$A$1:$I$88,3,0)*0.475*44/12</f>
        <v>0</v>
      </c>
      <c r="CN47" s="24">
        <f t="shared" si="12"/>
        <v>1.8702487936624252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9.6</v>
      </c>
      <c r="CT47" s="13">
        <f>IF('Données projet'!$A$140&gt;35,CT46+CS47-DB46,IF(A47&lt;'Données projet'!$A$140,$CQ$205^A47,IF(A47='Données projet'!$A$140,'Données projet'!$B$140,CT46+CS47-DB46)))</f>
        <v>180.39999999999995</v>
      </c>
      <c r="CU47" s="18">
        <f>CT47*VLOOKUP('Données projet'!$B$13,Paramètres!$A$1:$I$88,3,0)*VLOOKUP('Données projet'!$B$13,Paramètres!$A$1:$I$88,5,0)</f>
        <v>171.66863999999995</v>
      </c>
      <c r="CV47" s="14">
        <f t="shared" si="41"/>
        <v>43.463530720091818</v>
      </c>
      <c r="CW47" s="22">
        <f t="shared" si="13"/>
        <v>374.68853067082654</v>
      </c>
      <c r="CX47" s="62">
        <f t="shared" si="14"/>
        <v>625.57899940896391</v>
      </c>
      <c r="CY47" s="62">
        <f ca="1">AVERAGE(OFFSET($CX$3,0,0,'Données projet'!$E$13+1,1))-AVERAGE(OFFSET($H$3,0,0,'Données projet'!$E$13+1,1))</f>
        <v>470.0521927195926</v>
      </c>
      <c r="CZ47" s="62">
        <f t="shared" si="42"/>
        <v>299.27200854723435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projet'!$B$13,Paramètres!$A$1:$I$88,3,0)*0.475*44/12</f>
        <v>1.755156560206276</v>
      </c>
      <c r="DG47" s="23">
        <f>EXP(-LN(2)/25)*DG46+(1-EXP(-LN(2)/25))/(LN(2)/25)*Calculateur!DB47*Calculateur!DD47*VLOOKUP('Données projet'!$B$13,Paramètres!$A$1:$I$88,3,0)*0.475*44/12</f>
        <v>0</v>
      </c>
      <c r="DH47" s="23">
        <f>EXP(-LN(2)/2)*DH46+(1-EXP(-LN(2)/2))/(LN(2)/2)*DB47*DE47*VLOOKUP('Données projet'!$B$13,Paramètres!$A$1:$I$88,3,0)*0.475*44/12</f>
        <v>0</v>
      </c>
      <c r="DI47" s="24">
        <f t="shared" si="15"/>
        <v>1.755156560206276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5.6</v>
      </c>
      <c r="DO47" s="13">
        <f>IF('Données projet'!$A$166&gt;35,DO46+DN47-DW46,IF(A47&lt;'Données projet'!$A$166,$DL$205^A47,IF(A47='Données projet'!$A$166,'Données projet'!$B$166,DO46+DN47-DW46)))</f>
        <v>101.39999999999999</v>
      </c>
      <c r="DP47" s="18">
        <f>DO47*VLOOKUP('Données projet'!$B$14,Paramètres!$A$1:$I$88,3,0)*VLOOKUP('Données projet'!$B$14,Paramètres!$A$1:$I$88,5,0)</f>
        <v>98.074079999999995</v>
      </c>
      <c r="DQ47" s="14">
        <f t="shared" si="43"/>
        <v>26.502655653208453</v>
      </c>
      <c r="DR47" s="22">
        <f t="shared" si="16"/>
        <v>216.97114792933803</v>
      </c>
      <c r="DS47" s="62">
        <f t="shared" si="17"/>
        <v>467.86161666747546</v>
      </c>
      <c r="DT47" s="62">
        <f ca="1">AVERAGE(OFFSET($DS$3,0,0,'Données projet'!$E$14+1,1))-AVERAGE(OFFSET($H$3,0,0,'Données projet'!$E$14+1,1))</f>
        <v>290.89727102147953</v>
      </c>
      <c r="DU47" s="62">
        <f t="shared" si="44"/>
        <v>173.19148969173838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projet'!$B$14,Paramètres!$A$1:$I$88,3,0)*0.475*44/12</f>
        <v>1.1892864123802087</v>
      </c>
      <c r="EB47" s="23">
        <f>EXP(-LN(2)/25)*EB46+(1-EXP(-LN(2)/25))/(LN(2)/25)*Calculateur!DW47*Calculateur!DY47*VLOOKUP('Données projet'!$B$14,Paramètres!$A$1:$I$88,3,0)*0.475*44/12</f>
        <v>0</v>
      </c>
      <c r="EC47" s="23">
        <f>EXP(-LN(2)/2)*EC46+(1-EXP(-LN(2)/2))/(LN(2)/2)*DW47*DZ47*VLOOKUP('Données projet'!$B$14,Paramètres!$A$1:$I$88,3,0)*0.475*44/12</f>
        <v>0</v>
      </c>
      <c r="ED47" s="24">
        <f t="shared" si="18"/>
        <v>1.1892864123802087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projet'!$B$15,Paramètres!$A$1:$I$88,3,0)*VLOOKUP('Données projet'!$B$15,Paramètres!$A$1:$I$88,5,0)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projet'!$B$15,Paramètres!$A$1:$I$88,3,0)*0.475*44/12</f>
        <v>#N/A</v>
      </c>
      <c r="EW47" s="23" t="e">
        <f>EXP(-LN(2)/25)*EW46+(1-EXP(-LN(2)/25))/(LN(2)/25)*Calculateur!ER47*Calculateur!ET47*VLOOKUP('Données projet'!$B$15,Paramètres!$A$1:$I$88,3,0)*0.475*44/12</f>
        <v>#N/A</v>
      </c>
      <c r="EX47" s="23" t="e">
        <f>EXP(-LN(2)/2)*EX46+(1-EXP(-LN(2)/2))/(LN(2)/2)*ER47*EU47*VLOOKUP('Données projet'!$B$15,Paramètres!$A$1:$I$88,3,0)*0.475*44/12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projet'!$B$16,Paramètres!$A$1:$I$88,3,0)*VLOOKUP('Données projet'!$B$16,Paramètres!$A$1:$I$88,5,0)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projet'!$B$16,Paramètres!$A$1:$I$88,3,0)*0.475*44/12</f>
        <v>#N/A</v>
      </c>
      <c r="FR47" s="23" t="e">
        <f>EXP(-LN(2)/25)*FR46+(1-EXP(-LN(2)/25))/(LN(2)/25)*Calculateur!FM47*Calculateur!FO47*VLOOKUP('Données projet'!$B$16,Paramètres!$A$1:$I$88,3,0)*0.475*44/12</f>
        <v>#N/A</v>
      </c>
      <c r="FS47" s="23" t="e">
        <f>EXP(-LN(2)/2)*FS46+(1-EXP(-LN(2)/2))/(LN(2)/2)*FM47*FP47*VLOOKUP('Données projet'!$B$16,Paramètres!$A$1:$I$88,3,0)*0.475*44/12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projet'!$B$17,Paramètres!$A$1:$I$88,3,0)*VLOOKUP('Données projet'!$B$17,Paramètres!$A$1:$I$88,5,0)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projet'!$B$17,Paramètres!$A$1:$I$88,3,0)*0.475*44/12</f>
        <v>#N/A</v>
      </c>
      <c r="GM47" s="23" t="e">
        <f>EXP(-LN(2)/25)*GM46+(1-EXP(-LN(2)/25))/(LN(2)/25)*Calculateur!GH47*Calculateur!GJ47*VLOOKUP('Données projet'!$B$17,Paramètres!$A$1:$I$88,3,0)*0.475*44/12</f>
        <v>#N/A</v>
      </c>
      <c r="GN47" s="23" t="e">
        <f>EXP(-LN(2)/2)*GN46+(1-EXP(-LN(2)/2))/(LN(2)/2)*GH47*GK47*VLOOKUP('Données projet'!$B$17,Paramètres!$A$1:$I$88,3,0)*0.475*44/12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projet'!$B$18,Paramètres!$A$1:$I$88,3,0)*VLOOKUP('Données projet'!$B$18,Paramètres!$A$1:$I$88,5,0)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projet'!$B$18,Paramètres!$A$1:$I$88,3,0)*0.475*44/12</f>
        <v>#N/A</v>
      </c>
      <c r="HH47" s="23" t="e">
        <f>EXP(-LN(2)/25)*HH46+(1-EXP(-LN(2)/25))/(LN(2)/25)*Calculateur!HC47*Calculateur!HE47*VLOOKUP('Données projet'!$B$18,Paramètres!$A$1:$I$88,3,0)*0.475*44/12</f>
        <v>#N/A</v>
      </c>
      <c r="HI47" s="23" t="e">
        <f>EXP(-LN(2)/2)*HI46+(1-EXP(-LN(2)/2))/(LN(2)/2)*HC47*HF47*VLOOKUP('Données projet'!$B$18,Paramètres!$A$1:$I$88,3,0)*0.475*44/12</f>
        <v>#N/A</v>
      </c>
      <c r="HJ47" s="24" t="e">
        <f t="shared" si="30"/>
        <v>#N/A</v>
      </c>
    </row>
    <row r="48" spans="1:218" s="5" customFormat="1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421</v>
      </c>
      <c r="L48" s="13">
        <f>VLOOKUP(A48,'Données projet'!$A$35:$I$55,9,0)</f>
        <v>19.600000000000001</v>
      </c>
      <c r="M48" s="13">
        <f t="array" ref="M48">INDEX(L:L,MIN(IF(ISNUMBER(L48:L244),ROW(L48:L244),"")))</f>
        <v>19.600000000000001</v>
      </c>
      <c r="N48" s="14">
        <f>IF('Données projet'!$A$36&gt;35,N47+M48-V47,IF(A48&lt;'Données projet'!$A$36,$K$205^A48,IF(A48='Données projet'!$A$36,'Données projet'!$B$36,N47+M48-V47)))</f>
        <v>421.00000000000011</v>
      </c>
      <c r="O48" s="14">
        <f>N48*VLOOKUP('Données projet'!$B$9,Paramètres!$A$1:$I$88,3,0)*VLOOKUP('Données projet'!$B$9,Paramètres!$A$1:$I$88,5,0)</f>
        <v>251.75800000000007</v>
      </c>
      <c r="P48" s="14">
        <f t="shared" si="33"/>
        <v>60.962236428453878</v>
      </c>
      <c r="Q48" s="22">
        <f t="shared" si="53"/>
        <v>544.65441177955734</v>
      </c>
      <c r="R48" s="62">
        <f t="shared" si="0"/>
        <v>796.28116933039144</v>
      </c>
      <c r="S48" s="62">
        <f ca="1">AVERAGE(OFFSET($R$3,0,0,'Données projet'!$E$9+1,1))-AVERAGE(OFFSET($H$3,0,0,'Données projet'!$E$9+1,1))</f>
        <v>301.2688576786212</v>
      </c>
      <c r="T48" s="62">
        <f t="shared" si="34"/>
        <v>417.62172165132927</v>
      </c>
      <c r="U48" s="16">
        <f>IF(ISNA(VLOOKUP(A48,'Données projet'!$A$35:$I$55,3,0)),0,VLOOKUP(A48,'Données projet'!$A$35:$I$55,3,0))</f>
        <v>7</v>
      </c>
      <c r="V48" s="16">
        <f>IF(ISNA(VLOOKUP(A48,'Données projet'!$A$35:$I$55,4,0)),0,VLOOKUP(A48,'Données projet'!$A$35:$I$55,4,0))</f>
        <v>54</v>
      </c>
      <c r="W48" s="17">
        <f>IF(ISNA(VLOOKUP(A48,'Données projet'!$A$35:$I$55,5,0)),0%,VLOOKUP(A48,'Données projet'!$A$35:$I$55,5,0)*VLOOKUP('Données projet'!$B$9,Paramètres!$A$1:$I$88,7,0))</f>
        <v>0.27</v>
      </c>
      <c r="X48" s="17">
        <f>IF(ISNA(VLOOKUP(A48,'Données projet'!$A$35:$I$55,6,0)),0%,VLOOKUP(A48,'Données projet'!$A$35:$I$55,6,0)*VLOOKUP('Données projet'!$B$9,Paramètres!$A$1:$I$88,7,0))</f>
        <v>0.10080000000000001</v>
      </c>
      <c r="Y48" s="17">
        <f>IF(ISNA(VLOOKUP(A48,'Données projet'!$A$35:$I$55,7,0)),0%,VLOOKUP(A48,'Données projet'!$A$35:$I$55,7,0))</f>
        <v>0.17600000000000002</v>
      </c>
      <c r="Z48" s="23">
        <f>EXP(-LN(2)/35)*Z47+(1-EXP(-LN(2)/35))/(LN(2)/35)*V48*W48*VLOOKUP('Données projet'!$B$9,Paramètres!$A$1:$I$88,3,0)*0.475*44/12</f>
        <v>22.088389240645771</v>
      </c>
      <c r="AA48" s="23">
        <f>EXP(-LN(2)/25)*AA47+(1-EXP(-LN(2)/25))/(LN(2)/25)*Calculateur!V48*Calculateur!X48*VLOOKUP('Données projet'!$B$9,Paramètres!$A$1:$I$88,3,0)*0.475*44/12</f>
        <v>36.569225190923312</v>
      </c>
      <c r="AB48" s="23">
        <f>EXP(-LN(2)/2)*AB47+(1-EXP(-LN(2)/2))/(LN(2)/2)*V48*Y48*VLOOKUP('Données projet'!$B$9,Paramètres!$A$1:$I$88,3,0)*0.475*44/12</f>
        <v>8.7328815132868414</v>
      </c>
      <c r="AC48" s="24">
        <f t="shared" si="3"/>
        <v>67.390495944855928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14</v>
      </c>
      <c r="AI48" s="14">
        <f>IF('Données projet'!$A$62&gt;35,AI47+AH48-AQ47,IF(A48&lt;'Données projet'!$A$62,$AF$205^A48,IF(A48='Données projet'!$A$62,'Données projet'!$B$62,AI47+AH48-AQ47)))</f>
        <v>250</v>
      </c>
      <c r="AJ48" s="14">
        <f>AI48*VLOOKUP('Données projet'!$B$10,Paramètres!$A$1:$I$88,3,0)*VLOOKUP('Données projet'!$B$10,Paramètres!$A$1:$I$88,5,0)</f>
        <v>117</v>
      </c>
      <c r="AK48" s="14">
        <f t="shared" si="35"/>
        <v>30.974270896484146</v>
      </c>
      <c r="AL48" s="22">
        <f t="shared" si="4"/>
        <v>257.72185514470988</v>
      </c>
      <c r="AM48" s="62">
        <f t="shared" si="5"/>
        <v>509.34861269554403</v>
      </c>
      <c r="AN48" s="62">
        <f ca="1">AVERAGE(OFFSET($AM$3,0,0,'Données projet'!$E$10+1,1))-AVERAGE(OFFSET($H$3,0,0,'Données projet'!$E$10+1,1))</f>
        <v>170.08673939431091</v>
      </c>
      <c r="AO48" s="62">
        <f t="shared" si="36"/>
        <v>252.97355497077106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projet'!$B$10,Paramètres!$A$1:$I$88,7,0))</f>
        <v>0</v>
      </c>
      <c r="AS48" s="17">
        <f>IF(ISNA(VLOOKUP(A48,'Données projet'!$A$61:$I$81,6,0)),0%,VLOOKUP(A48,'Données projet'!$A$61:$I$81,6,0)*VLOOKUP('Données projet'!$B$10,Paramètres!$A$1:$I$88,7,0))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projet'!$B$10,Paramètres!$A$1:$I$88,3,0)*0.475*44/12</f>
        <v>9.1983060872585032</v>
      </c>
      <c r="AV48" s="23">
        <f>EXP(-LN(2)/25)*AV47+(1-EXP(-LN(2)/25))/(LN(2)/25)*Calculateur!AQ48*Calculateur!AS48*VLOOKUP('Données projet'!$B$10,Paramètres!$A$1:$I$88,3,0)*0.475*44/12</f>
        <v>22.915668817241528</v>
      </c>
      <c r="AW48" s="23">
        <f>EXP(-LN(2)/2)*AW47+(1-EXP(-LN(2)/2))/(LN(2)/2)*AQ48*AT48*VLOOKUP('Données projet'!$B$10,Paramètres!$A$1:$I$88,3,0)*0.475*44/12</f>
        <v>2.3916177634733975</v>
      </c>
      <c r="AX48" s="23">
        <f t="shared" si="6"/>
        <v>34.505592667973431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158</v>
      </c>
      <c r="BB48" s="13">
        <f>VLOOKUP(A48,'Données projet'!$A$87:$I$107,9,0)</f>
        <v>8.4</v>
      </c>
      <c r="BC48" s="13">
        <f t="array" ref="BC48">INDEX(BB:BB,MIN(IF(ISNUMBER(BB48:BB244),ROW(BB48:BB244),"")))</f>
        <v>8.4</v>
      </c>
      <c r="BD48" s="13">
        <f>IF('Données projet'!$A$88&gt;35,BD47+BC48-BL47,IF(A48&lt;'Données projet'!$A$88,$BA$205^A48,IF(A48='Données projet'!$A$88,'Données projet'!$B$88,BD47+BC48-BL47)))</f>
        <v>158.00000000000006</v>
      </c>
      <c r="BE48" s="14">
        <f>BD48*VLOOKUP('Données projet'!$B$11,Paramètres!$A$1:$I$88,3,0)*VLOOKUP('Données projet'!$B$11,Paramètres!$A$1:$I$88,5,0)</f>
        <v>142.95840000000004</v>
      </c>
      <c r="BF48" s="14">
        <f t="shared" si="37"/>
        <v>36.973906370811264</v>
      </c>
      <c r="BG48" s="22">
        <f t="shared" si="7"/>
        <v>313.38210026249641</v>
      </c>
      <c r="BH48" s="62">
        <f t="shared" si="8"/>
        <v>565.00885781333056</v>
      </c>
      <c r="BI48" s="62">
        <f ca="1">AVERAGE(OFFSET($BH$3,0,0,'Données projet'!$E$11+1,1))-AVERAGE(OFFSET($H$3,0,0,'Données projet'!$E$11+1,1))</f>
        <v>362.63718589694594</v>
      </c>
      <c r="BJ48" s="62">
        <f t="shared" si="38"/>
        <v>250.47702091764884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21</v>
      </c>
      <c r="BM48" s="17">
        <f>IF(ISNA(VLOOKUP(A48,'Données projet'!$A$87:$I$107,5,0)),0%,VLOOKUP(A48,'Données projet'!$A$87:$I$107,5,0)*VLOOKUP('Données projet'!$B$11,Paramètres!$A$1:$I$88,7,0))</f>
        <v>8.6000000000000007E-2</v>
      </c>
      <c r="BN48" s="17">
        <f>IF(ISNA(VLOOKUP(A48,'Données projet'!$A$87:$I$107,6,0)),0%,VLOOKUP(A48,'Données projet'!$A$87:$I$107,6,0)*VLOOKUP('Données projet'!$B$11,Paramètres!$A$1:$I$88,7,0))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projet'!$B$11,Paramètres!$A$1:$I$88,3,0)*0.475*44/12</f>
        <v>3.4425271584013237</v>
      </c>
      <c r="BQ48" s="23">
        <f>EXP(-LN(2)/25)*BQ47+(1-EXP(-LN(2)/25))/(LN(2)/25)*Calculateur!BL48*Calculateur!BN48*VLOOKUP('Données projet'!$B$11,Paramètres!$A$1:$I$88,3,0)*0.475*44/12</f>
        <v>0</v>
      </c>
      <c r="BR48" s="23">
        <f>EXP(-LN(2)/2)*BR47+(1-EXP(-LN(2)/2))/(LN(2)/2)*BL48*BO48*VLOOKUP('Données projet'!$B$11,Paramètres!$A$1:$I$88,3,0)*0.475*44/12</f>
        <v>0</v>
      </c>
      <c r="BS48" s="24">
        <f t="shared" si="9"/>
        <v>3.4425271584013237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158</v>
      </c>
      <c r="BW48" s="13">
        <f>VLOOKUP(A48,'Données projet'!$A$113:$I$133,9,0)</f>
        <v>8.4</v>
      </c>
      <c r="BX48" s="13">
        <f t="array" ref="BX48">INDEX(BW:BW,MIN(IF(ISNUMBER(BW48:BW244),ROW(BW48:BW244),"")))</f>
        <v>8.4</v>
      </c>
      <c r="BY48" s="13">
        <f>IF('Données projet'!$A$114&gt;35,BY47+BX48-CG47,IF(A48&lt;'Données projet'!$A$114,$BV$205^A48,IF(A48='Données projet'!$A$114,'Données projet'!$B$114,BY47+BX48-CG47)))</f>
        <v>158.00000000000006</v>
      </c>
      <c r="BZ48" s="14">
        <f>BY48*VLOOKUP('Données projet'!$B$12,Paramètres!$A$1:$I$88,3,0)*VLOOKUP('Données projet'!$B$12,Paramètres!$A$1:$I$88,5,0)</f>
        <v>160.21200000000007</v>
      </c>
      <c r="CA48" s="14">
        <f t="shared" si="39"/>
        <v>40.890328912852731</v>
      </c>
      <c r="CB48" s="22">
        <f t="shared" si="10"/>
        <v>350.25322285655193</v>
      </c>
      <c r="CC48" s="62">
        <f t="shared" si="11"/>
        <v>601.87998040738603</v>
      </c>
      <c r="CD48" s="62">
        <f ca="1">AVERAGE(OFFSET($CC$3,0,0,'Données projet'!$E$12+1,1))-AVERAGE(OFFSET($H$3,0,0,'Données projet'!$E$12+1,1))</f>
        <v>398.14524781940196</v>
      </c>
      <c r="CE48" s="62">
        <f t="shared" si="40"/>
        <v>273.35778700650792</v>
      </c>
      <c r="CF48" s="16">
        <f>IF(ISNA(VLOOKUP(A48,'Données projet'!$A$113:$I$133,3,0)),0,VLOOKUP(A48,'Données projet'!$A$113:$I$133,3,0))</f>
        <v>6</v>
      </c>
      <c r="CG48" s="16">
        <f>IF(ISNA(VLOOKUP(A48,'Données projet'!$A$113:$I$133,4,0)),0,VLOOKUP(A48,'Données projet'!$A$113:$I$133,4,0))</f>
        <v>21</v>
      </c>
      <c r="CH48" s="17">
        <f>IF(ISNA(VLOOKUP(A48,'Données projet'!$A$113:$I$133,5,0)),0%,VLOOKUP(A48,'Données projet'!$A$113:$I$133,5,0)*VLOOKUP('Données projet'!$B$12,Paramètres!$A$1:$I$88,7,0))</f>
        <v>8.6000000000000007E-2</v>
      </c>
      <c r="CI48" s="17">
        <f>IF(ISNA(VLOOKUP(A48,'Données projet'!$A$113:$I$133,6,0)),0%,VLOOKUP(A48,'Données projet'!$A$113:$I$133,6,0)*VLOOKUP('Données projet'!$B$12,Paramètres!$A$1:$I$88,7,0))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projet'!$B$12,Paramètres!$A$1:$I$88,3,0)*0.475*44/12</f>
        <v>3.8580045740704501</v>
      </c>
      <c r="CL48" s="23">
        <f>EXP(-LN(2)/25)*CL47+(1-EXP(-LN(2)/25))/(LN(2)/25)*Calculateur!CG48*Calculateur!CI48*VLOOKUP('Données projet'!$B$12,Paramètres!$A$1:$I$88,3,0)*0.475*44/12</f>
        <v>0</v>
      </c>
      <c r="CM48" s="23">
        <f>EXP(-LN(2)/2)*CM47+(1-EXP(-LN(2)/2))/(LN(2)/2)*CG48*CJ48*VLOOKUP('Données projet'!$B$12,Paramètres!$A$1:$I$88,3,0)*0.475*44/12</f>
        <v>0</v>
      </c>
      <c r="CN48" s="24">
        <f t="shared" si="12"/>
        <v>3.8580045740704501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190</v>
      </c>
      <c r="CR48" s="13">
        <f>VLOOKUP(A48,'Données projet'!$A$139:$I$159,9,0)</f>
        <v>9.6</v>
      </c>
      <c r="CS48" s="13">
        <f t="array" ref="CS48">INDEX(CR:CR,MIN(IF(ISNUMBER(CR48:CR244),ROW(CR48:CR244),"")))</f>
        <v>9.6</v>
      </c>
      <c r="CT48" s="13">
        <f>IF('Données projet'!$A$140&gt;35,CT47+CS48-DB47,IF(A48&lt;'Données projet'!$A$140,$CQ$205^A48,IF(A48='Données projet'!$A$140,'Données projet'!$B$140,CT47+CS48-DB47)))</f>
        <v>189.99999999999994</v>
      </c>
      <c r="CU48" s="18">
        <f>CT48*VLOOKUP('Données projet'!$B$13,Paramètres!$A$1:$I$88,3,0)*VLOOKUP('Données projet'!$B$13,Paramètres!$A$1:$I$88,5,0)</f>
        <v>180.80399999999995</v>
      </c>
      <c r="CV48" s="14">
        <f t="shared" si="41"/>
        <v>45.50101493045986</v>
      </c>
      <c r="CW48" s="22">
        <f t="shared" si="13"/>
        <v>394.1479010038841</v>
      </c>
      <c r="CX48" s="62">
        <f t="shared" si="14"/>
        <v>645.77465855471826</v>
      </c>
      <c r="CY48" s="62">
        <f ca="1">AVERAGE(OFFSET($CX$3,0,0,'Données projet'!$E$13+1,1))-AVERAGE(OFFSET($H$3,0,0,'Données projet'!$E$13+1,1))</f>
        <v>470.0521927195926</v>
      </c>
      <c r="CZ48" s="62">
        <f t="shared" si="42"/>
        <v>299.27200854723435</v>
      </c>
      <c r="DA48" s="16">
        <f>IF(ISNA(VLOOKUP(A48,'Données projet'!$A$139:$I$159,3,0)),0,VLOOKUP(A48,'Données projet'!$A$139:$I$159,3,0))</f>
        <v>6</v>
      </c>
      <c r="DB48" s="16">
        <f>IF(ISNA(VLOOKUP(A48,'Données projet'!$A$139:$I$159,4,0)),0,VLOOKUP(A48,'Données projet'!$A$139:$I$159,4,0))</f>
        <v>21</v>
      </c>
      <c r="DC48" s="17">
        <f>IF(ISNA(VLOOKUP(A48,'Données projet'!$A$139:$I$159,5,0)),0%,VLOOKUP(A48,'Données projet'!$A$139:$I$159,5,0)*VLOOKUP('Données projet'!$B$13,Paramètres!$A$1:$I$88,7,0))</f>
        <v>8.6000000000000007E-2</v>
      </c>
      <c r="DD48" s="17">
        <f>IF(ISNA(VLOOKUP(A48,'Données projet'!$A$139:$I$159,6,0)),0%,VLOOKUP(A48,'Données projet'!$A$139:$I$159,6,0)*VLOOKUP('Données projet'!$B$13,Paramètres!$A$1:$I$88,7,0))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projet'!$B$13,Paramètres!$A$1:$I$88,3,0)*0.475*44/12</f>
        <v>3.6205889079738069</v>
      </c>
      <c r="DG48" s="23">
        <f>EXP(-LN(2)/25)*DG47+(1-EXP(-LN(2)/25))/(LN(2)/25)*Calculateur!DB48*Calculateur!DD48*VLOOKUP('Données projet'!$B$13,Paramètres!$A$1:$I$88,3,0)*0.475*44/12</f>
        <v>0</v>
      </c>
      <c r="DH48" s="23">
        <f>EXP(-LN(2)/2)*DH47+(1-EXP(-LN(2)/2))/(LN(2)/2)*DB48*DE48*VLOOKUP('Données projet'!$B$13,Paramètres!$A$1:$I$88,3,0)*0.475*44/12</f>
        <v>0</v>
      </c>
      <c r="DI48" s="24">
        <f t="shared" si="15"/>
        <v>3.6205889079738069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107</v>
      </c>
      <c r="DM48" s="13">
        <f>VLOOKUP(A48,'Données projet'!$A$165:$I$185,9,0)</f>
        <v>5.6</v>
      </c>
      <c r="DN48" s="13">
        <f t="array" ref="DN48">INDEX(DM:DM,MIN(IF(ISNUMBER(DM48:DM244),ROW(DM48:DM244),"")))</f>
        <v>5.6</v>
      </c>
      <c r="DO48" s="13">
        <f>IF('Données projet'!$A$166&gt;35,DO47+DN48-DW47,IF(A48&lt;'Données projet'!$A$166,$DL$205^A48,IF(A48='Données projet'!$A$166,'Données projet'!$B$166,DO47+DN48-DW47)))</f>
        <v>106.99999999999999</v>
      </c>
      <c r="DP48" s="18">
        <f>DO48*VLOOKUP('Données projet'!$B$14,Paramètres!$A$1:$I$88,3,0)*VLOOKUP('Données projet'!$B$14,Paramètres!$A$1:$I$88,5,0)</f>
        <v>103.49039999999998</v>
      </c>
      <c r="DQ48" s="14">
        <f t="shared" si="43"/>
        <v>27.791869560921153</v>
      </c>
      <c r="DR48" s="22">
        <f t="shared" si="16"/>
        <v>228.64995281860425</v>
      </c>
      <c r="DS48" s="62">
        <f t="shared" si="17"/>
        <v>480.27671036943838</v>
      </c>
      <c r="DT48" s="62">
        <f ca="1">AVERAGE(OFFSET($DS$3,0,0,'Données projet'!$E$14+1,1))-AVERAGE(OFFSET($H$3,0,0,'Données projet'!$E$14+1,1))</f>
        <v>290.89727102147953</v>
      </c>
      <c r="DU48" s="62">
        <f t="shared" si="44"/>
        <v>173.19148969173838</v>
      </c>
      <c r="DV48" s="16">
        <f>IF(ISNA(VLOOKUP(A48,'Données projet'!$A$165:$I$185,3,0)),0,VLOOKUP(A48,'Données projet'!$A$165:$I$185,3,0))</f>
        <v>6</v>
      </c>
      <c r="DW48" s="16">
        <f>IF(ISNA(VLOOKUP(A48,'Données projet'!$A$165:$I$185,4,0)),0,VLOOKUP(A48,'Données projet'!$A$165:$I$185,4,0))</f>
        <v>14</v>
      </c>
      <c r="DX48" s="17">
        <f>IF(ISNA(VLOOKUP(A48,'Données projet'!$A$165:$I$185,5,0)),0%,VLOOKUP(A48,'Données projet'!$A$165:$I$185,5,0)*VLOOKUP('Données projet'!$B$14,Paramètres!$A$1:$I$88,7,0))</f>
        <v>8.6000000000000007E-2</v>
      </c>
      <c r="DY48" s="17">
        <f>IF(ISNA(VLOOKUP(A48,'Données projet'!$A$165:$I$185,6,0)),0%,VLOOKUP(A48,'Données projet'!$A$165:$I$185,6,0)*VLOOKUP('Données projet'!$B$14,Paramètres!$A$1:$I$88,7,0))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projet'!$B$14,Paramètres!$A$1:$I$88,3,0)*0.475*44/12</f>
        <v>2.4532952163319779</v>
      </c>
      <c r="EB48" s="23">
        <f>EXP(-LN(2)/25)*EB47+(1-EXP(-LN(2)/25))/(LN(2)/25)*Calculateur!DW48*Calculateur!DY48*VLOOKUP('Données projet'!$B$14,Paramètres!$A$1:$I$88,3,0)*0.475*44/12</f>
        <v>0</v>
      </c>
      <c r="EC48" s="23">
        <f>EXP(-LN(2)/2)*EC47+(1-EXP(-LN(2)/2))/(LN(2)/2)*DW48*DZ48*VLOOKUP('Données projet'!$B$14,Paramètres!$A$1:$I$88,3,0)*0.475*44/12</f>
        <v>0</v>
      </c>
      <c r="ED48" s="24">
        <f t="shared" si="18"/>
        <v>2.4532952163319779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projet'!$B$15,Paramètres!$A$1:$I$88,3,0)*VLOOKUP('Données projet'!$B$15,Paramètres!$A$1:$I$88,5,0)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projet'!$B$15,Paramètres!$A$1:$I$88,7,0))</f>
        <v>0</v>
      </c>
      <c r="ET48" s="17">
        <f>IF(ISNA(VLOOKUP(A48,'Données projet'!$A$191:$I$211,6,0)),0%,VLOOKUP(A48,'Données projet'!$A$191:$I$211,6,0)*VLOOKUP('Données projet'!$B$15,Paramètres!$A$1:$I$88,7,0))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projet'!$B$15,Paramètres!$A$1:$I$88,3,0)*0.475*44/12</f>
        <v>#N/A</v>
      </c>
      <c r="EW48" s="23" t="e">
        <f>EXP(-LN(2)/25)*EW47+(1-EXP(-LN(2)/25))/(LN(2)/25)*Calculateur!ER48*Calculateur!ET48*VLOOKUP('Données projet'!$B$15,Paramètres!$A$1:$I$88,3,0)*0.475*44/12</f>
        <v>#N/A</v>
      </c>
      <c r="EX48" s="23" t="e">
        <f>EXP(-LN(2)/2)*EX47+(1-EXP(-LN(2)/2))/(LN(2)/2)*ER48*EU48*VLOOKUP('Données projet'!$B$15,Paramètres!$A$1:$I$88,3,0)*0.475*44/12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projet'!$B$16,Paramètres!$A$1:$I$88,3,0)*VLOOKUP('Données projet'!$B$16,Paramètres!$A$1:$I$88,5,0)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projet'!$B$16,Paramètres!$A$1:$I$88,7,0))</f>
        <v>0</v>
      </c>
      <c r="FO48" s="17">
        <f>IF(ISNA(VLOOKUP(A48,'Données projet'!$A$217:$I$237,6,0)),0%,VLOOKUP(A48,'Données projet'!$A$217:$I$237,6,0)*VLOOKUP('Données projet'!$B$16,Paramètres!$A$1:$I$88,7,0))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projet'!$B$16,Paramètres!$A$1:$I$88,3,0)*0.475*44/12</f>
        <v>#N/A</v>
      </c>
      <c r="FR48" s="23" t="e">
        <f>EXP(-LN(2)/25)*FR47+(1-EXP(-LN(2)/25))/(LN(2)/25)*Calculateur!FM48*Calculateur!FO48*VLOOKUP('Données projet'!$B$16,Paramètres!$A$1:$I$88,3,0)*0.475*44/12</f>
        <v>#N/A</v>
      </c>
      <c r="FS48" s="23" t="e">
        <f>EXP(-LN(2)/2)*FS47+(1-EXP(-LN(2)/2))/(LN(2)/2)*FM48*FP48*VLOOKUP('Données projet'!$B$16,Paramètres!$A$1:$I$88,3,0)*0.475*44/12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projet'!$B$17,Paramètres!$A$1:$I$88,3,0)*VLOOKUP('Données projet'!$B$17,Paramètres!$A$1:$I$88,5,0)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projet'!$B$17,Paramètres!$A$1:$I$88,7,0))</f>
        <v>0</v>
      </c>
      <c r="GJ48" s="17">
        <f>IF(ISNA(VLOOKUP(A48,'Données projet'!$A$243:$I$263,6,0)),0%,VLOOKUP(A48,'Données projet'!$A$243:$I$263,6,0)*VLOOKUP('Données projet'!$B$17,Paramètres!$A$1:$I$88,7,0))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projet'!$B$17,Paramètres!$A$1:$I$88,3,0)*0.475*44/12</f>
        <v>#N/A</v>
      </c>
      <c r="GM48" s="23" t="e">
        <f>EXP(-LN(2)/25)*GM47+(1-EXP(-LN(2)/25))/(LN(2)/25)*Calculateur!GH48*Calculateur!GJ48*VLOOKUP('Données projet'!$B$17,Paramètres!$A$1:$I$88,3,0)*0.475*44/12</f>
        <v>#N/A</v>
      </c>
      <c r="GN48" s="23" t="e">
        <f>EXP(-LN(2)/2)*GN47+(1-EXP(-LN(2)/2))/(LN(2)/2)*GH48*GK48*VLOOKUP('Données projet'!$B$17,Paramètres!$A$1:$I$88,3,0)*0.475*44/12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projet'!$B$18,Paramètres!$A$1:$I$88,3,0)*VLOOKUP('Données projet'!$B$18,Paramètres!$A$1:$I$88,5,0)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projet'!$B$18,Paramètres!$A$1:$I$88,3,0)*0.475*44/12</f>
        <v>#N/A</v>
      </c>
      <c r="HH48" s="23" t="e">
        <f>EXP(-LN(2)/25)*HH47+(1-EXP(-LN(2)/25))/(LN(2)/25)*Calculateur!HC48*Calculateur!HE48*VLOOKUP('Données projet'!$B$18,Paramètres!$A$1:$I$88,3,0)*0.475*44/12</f>
        <v>#N/A</v>
      </c>
      <c r="HI48" s="23" t="e">
        <f>EXP(-LN(2)/2)*HI47+(1-EXP(-LN(2)/2))/(LN(2)/2)*HC48*HF48*VLOOKUP('Données projet'!$B$18,Paramètres!$A$1:$I$88,3,0)*0.475*44/12</f>
        <v>#N/A</v>
      </c>
      <c r="HJ48" s="24" t="e">
        <f t="shared" si="30"/>
        <v>#N/A</v>
      </c>
    </row>
    <row r="49" spans="1:218" s="5" customFormat="1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18.2</v>
      </c>
      <c r="N49" s="14">
        <f>IF('Données projet'!$A$36&gt;35,N48+M49-V48,IF(A49&lt;'Données projet'!$A$36,$K$205^A49,IF(A49='Données projet'!$A$36,'Données projet'!$B$36,N48+M49-V48)))</f>
        <v>385.2000000000001</v>
      </c>
      <c r="O49" s="14">
        <f>N49*VLOOKUP('Données projet'!$B$9,Paramètres!$A$1:$I$88,3,0)*VLOOKUP('Données projet'!$B$9,Paramètres!$A$1:$I$88,5,0)</f>
        <v>230.34960000000009</v>
      </c>
      <c r="P49" s="14">
        <f t="shared" si="33"/>
        <v>56.35826654142631</v>
      </c>
      <c r="Q49" s="22">
        <f t="shared" si="53"/>
        <v>499.34953422631764</v>
      </c>
      <c r="R49" s="62">
        <f t="shared" si="0"/>
        <v>751.69980762504326</v>
      </c>
      <c r="S49" s="62">
        <f ca="1">AVERAGE(OFFSET($R$3,0,0,'Données projet'!$E$9+1,1))-AVERAGE(OFFSET($H$3,0,0,'Données projet'!$E$9+1,1))</f>
        <v>301.2688576786212</v>
      </c>
      <c r="T49" s="62">
        <f t="shared" si="34"/>
        <v>417.62172165132927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projet'!$B$9,Paramètres!$A$1:$I$88,7,0))</f>
        <v>0</v>
      </c>
      <c r="X49" s="17">
        <f>IF(ISNA(VLOOKUP(A49,'Données projet'!$A$35:$I$55,6,0)),0%,VLOOKUP(A49,'Données projet'!$A$35:$I$55,6,0)*VLOOKUP('Données projet'!$B$9,Paramètres!$A$1:$I$88,7,0))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21.655249400223838</v>
      </c>
      <c r="AA49" s="23">
        <f>EXP(-LN(2)/25)*AA48+(1-EXP(-LN(2)/25))/(LN(2)/25)*Calculateur!V49*Calculateur!X49*VLOOKUP('Données projet'!$B$9,Paramètres!$A$1:$I$88,3,0)*0.475*44/12</f>
        <v>35.569237804985541</v>
      </c>
      <c r="AB49" s="23">
        <f>EXP(-LN(2)/2)*AB48+(1-EXP(-LN(2)/2))/(LN(2)/2)*V49*Y49*VLOOKUP('Données projet'!$B$9,Paramètres!$A$1:$I$88,3,0)*0.475*44/12</f>
        <v>6.1750797373437649</v>
      </c>
      <c r="AC49" s="24">
        <f t="shared" si="3"/>
        <v>63.399566942553143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14</v>
      </c>
      <c r="AI49" s="14">
        <f>IF('Données projet'!$A$62&gt;35,AI48+AH49-AQ48,IF(A49&lt;'Données projet'!$A$62,$AF$205^A49,IF(A49='Données projet'!$A$62,'Données projet'!$B$62,AI48+AH49-AQ48)))</f>
        <v>264</v>
      </c>
      <c r="AJ49" s="14">
        <f>AI49*VLOOKUP('Données projet'!$B$10,Paramètres!$A$1:$I$88,3,0)*VLOOKUP('Données projet'!$B$10,Paramètres!$A$1:$I$88,5,0)</f>
        <v>123.55199999999999</v>
      </c>
      <c r="AK49" s="14">
        <f t="shared" si="35"/>
        <v>32.502033262579566</v>
      </c>
      <c r="AL49" s="22">
        <f t="shared" si="4"/>
        <v>271.79410793232609</v>
      </c>
      <c r="AM49" s="62">
        <f t="shared" si="5"/>
        <v>524.1443813310517</v>
      </c>
      <c r="AN49" s="62">
        <f ca="1">AVERAGE(OFFSET($AM$3,0,0,'Données projet'!$E$10+1,1))-AVERAGE(OFFSET($H$3,0,0,'Données projet'!$E$10+1,1))</f>
        <v>170.08673939431091</v>
      </c>
      <c r="AO49" s="62">
        <f t="shared" si="36"/>
        <v>252.97355497077106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projet'!$B$10,Paramètres!$A$1:$I$88,3,0)*0.475*44/12</f>
        <v>9.0179329153000953</v>
      </c>
      <c r="AV49" s="23">
        <f>EXP(-LN(2)/25)*AV48+(1-EXP(-LN(2)/25))/(LN(2)/25)*Calculateur!AQ49*Calculateur!AS49*VLOOKUP('Données projet'!$B$10,Paramètres!$A$1:$I$88,3,0)*0.475*44/12</f>
        <v>22.289038648351411</v>
      </c>
      <c r="AW49" s="23">
        <f>EXP(-LN(2)/2)*AW48+(1-EXP(-LN(2)/2))/(LN(2)/2)*AQ49*AT49*VLOOKUP('Données projet'!$B$10,Paramètres!$A$1:$I$88,3,0)*0.475*44/12</f>
        <v>1.6911291385582439</v>
      </c>
      <c r="AX49" s="23">
        <f t="shared" si="6"/>
        <v>32.998100702209754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8.1999999999999993</v>
      </c>
      <c r="BD49" s="13">
        <f>IF('Données projet'!$A$88&gt;35,BD48+BC49-BL48,IF(A49&lt;'Données projet'!$A$88,$BA$205^A49,IF(A49='Données projet'!$A$88,'Données projet'!$B$88,BD48+BC49-BL48)))</f>
        <v>145.20000000000005</v>
      </c>
      <c r="BE49" s="14">
        <f>BD49*VLOOKUP('Données projet'!$B$11,Paramètres!$A$1:$I$88,3,0)*VLOOKUP('Données projet'!$B$11,Paramètres!$A$1:$I$88,5,0)</f>
        <v>131.37696000000003</v>
      </c>
      <c r="BF49" s="14">
        <f t="shared" si="37"/>
        <v>34.314338988223334</v>
      </c>
      <c r="BG49" s="22">
        <f t="shared" si="7"/>
        <v>288.57901240448905</v>
      </c>
      <c r="BH49" s="62">
        <f t="shared" si="8"/>
        <v>540.92928580321473</v>
      </c>
      <c r="BI49" s="62">
        <f ca="1">AVERAGE(OFFSET($BH$3,0,0,'Données projet'!$E$11+1,1))-AVERAGE(OFFSET($H$3,0,0,'Données projet'!$E$11+1,1))</f>
        <v>362.63718589694594</v>
      </c>
      <c r="BJ49" s="62">
        <f t="shared" si="38"/>
        <v>250.47702091764884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projet'!$B$11,Paramètres!$A$1:$I$88,7,0))</f>
        <v>0</v>
      </c>
      <c r="BN49" s="17">
        <f>IF(ISNA(VLOOKUP(A49,'Données projet'!$A$87:$I$107,6,0)),0%,VLOOKUP(A49,'Données projet'!$A$87:$I$107,6,0)*VLOOKUP('Données projet'!$B$11,Paramètres!$A$1:$I$88,7,0))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projet'!$B$11,Paramètres!$A$1:$I$88,3,0)*0.475*44/12</f>
        <v>3.3750213005593088</v>
      </c>
      <c r="BQ49" s="23">
        <f>EXP(-LN(2)/25)*BQ48+(1-EXP(-LN(2)/25))/(LN(2)/25)*Calculateur!BL49*Calculateur!BN49*VLOOKUP('Données projet'!$B$11,Paramètres!$A$1:$I$88,3,0)*0.475*44/12</f>
        <v>0</v>
      </c>
      <c r="BR49" s="23">
        <f>EXP(-LN(2)/2)*BR48+(1-EXP(-LN(2)/2))/(LN(2)/2)*BL49*BO49*VLOOKUP('Données projet'!$B$11,Paramètres!$A$1:$I$88,3,0)*0.475*44/12</f>
        <v>0</v>
      </c>
      <c r="BS49" s="24">
        <f t="shared" si="9"/>
        <v>3.3750213005593088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8.1999999999999993</v>
      </c>
      <c r="BY49" s="13">
        <f>IF('Données projet'!$A$114&gt;35,BY48+BX49-CG48,IF(A49&lt;'Données projet'!$A$114,$BV$205^A49,IF(A49='Données projet'!$A$114,'Données projet'!$B$114,BY48+BX49-CG48)))</f>
        <v>145.20000000000005</v>
      </c>
      <c r="BZ49" s="14">
        <f>BY49*VLOOKUP('Données projet'!$B$12,Paramètres!$A$1:$I$88,3,0)*VLOOKUP('Données projet'!$B$12,Paramètres!$A$1:$I$88,5,0)</f>
        <v>147.23280000000005</v>
      </c>
      <c r="CA49" s="14">
        <f t="shared" si="39"/>
        <v>37.949049623906205</v>
      </c>
      <c r="CB49" s="22">
        <f t="shared" si="10"/>
        <v>322.52505476163668</v>
      </c>
      <c r="CC49" s="62">
        <f t="shared" si="11"/>
        <v>574.8753281603623</v>
      </c>
      <c r="CD49" s="62">
        <f ca="1">AVERAGE(OFFSET($CC$3,0,0,'Données projet'!$E$12+1,1))-AVERAGE(OFFSET($H$3,0,0,'Données projet'!$E$12+1,1))</f>
        <v>398.14524781940196</v>
      </c>
      <c r="CE49" s="62">
        <f t="shared" si="40"/>
        <v>273.35778700650792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projet'!$B$12,Paramètres!$A$1:$I$88,7,0))</f>
        <v>0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projet'!$B$12,Paramètres!$A$1:$I$88,3,0)*0.475*44/12</f>
        <v>3.7823514575233643</v>
      </c>
      <c r="CL49" s="23">
        <f>EXP(-LN(2)/25)*CL48+(1-EXP(-LN(2)/25))/(LN(2)/25)*Calculateur!CG49*Calculateur!CI49*VLOOKUP('Données projet'!$B$12,Paramètres!$A$1:$I$88,3,0)*0.475*44/12</f>
        <v>0</v>
      </c>
      <c r="CM49" s="23">
        <f>EXP(-LN(2)/2)*CM48+(1-EXP(-LN(2)/2))/(LN(2)/2)*CG49*CJ49*VLOOKUP('Données projet'!$B$12,Paramètres!$A$1:$I$88,3,0)*0.475*44/12</f>
        <v>0</v>
      </c>
      <c r="CN49" s="24">
        <f t="shared" si="12"/>
        <v>3.7823514575233643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9.6</v>
      </c>
      <c r="CT49" s="13">
        <f>IF('Données projet'!$A$140&gt;35,CT48+CS49-DB48,IF(A49&lt;'Données projet'!$A$140,$CQ$205^A49,IF(A49='Données projet'!$A$140,'Données projet'!$B$140,CT48+CS49-DB48)))</f>
        <v>178.59999999999994</v>
      </c>
      <c r="CU49" s="18">
        <f>CT49*VLOOKUP('Données projet'!$B$13,Paramètres!$A$1:$I$88,3,0)*VLOOKUP('Données projet'!$B$13,Paramètres!$A$1:$I$88,5,0)</f>
        <v>169.95575999999994</v>
      </c>
      <c r="CV49" s="14">
        <f t="shared" si="41"/>
        <v>43.080115146901917</v>
      </c>
      <c r="CW49" s="22">
        <f t="shared" si="13"/>
        <v>371.03748254752071</v>
      </c>
      <c r="CX49" s="62">
        <f t="shared" si="14"/>
        <v>623.38775594624633</v>
      </c>
      <c r="CY49" s="62">
        <f ca="1">AVERAGE(OFFSET($CX$3,0,0,'Données projet'!$E$13+1,1))-AVERAGE(OFFSET($H$3,0,0,'Données projet'!$E$13+1,1))</f>
        <v>470.0521927195926</v>
      </c>
      <c r="CZ49" s="62">
        <f t="shared" si="42"/>
        <v>299.27200854723435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projet'!$B$13,Paramètres!$A$1:$I$88,7,0))</f>
        <v>0</v>
      </c>
      <c r="DD49" s="17">
        <f>IF(ISNA(VLOOKUP(A49,'Données projet'!$A$139:$I$159,6,0)),0%,VLOOKUP(A49,'Données projet'!$A$139:$I$159,6,0)*VLOOKUP('Données projet'!$B$13,Paramètres!$A$1:$I$88,7,0))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projet'!$B$13,Paramètres!$A$1:$I$88,3,0)*0.475*44/12</f>
        <v>3.5495913678296187</v>
      </c>
      <c r="DG49" s="23">
        <f>EXP(-LN(2)/25)*DG48+(1-EXP(-LN(2)/25))/(LN(2)/25)*Calculateur!DB49*Calculateur!DD49*VLOOKUP('Données projet'!$B$13,Paramètres!$A$1:$I$88,3,0)*0.475*44/12</f>
        <v>0</v>
      </c>
      <c r="DH49" s="23">
        <f>EXP(-LN(2)/2)*DH48+(1-EXP(-LN(2)/2))/(LN(2)/2)*DB49*DE49*VLOOKUP('Données projet'!$B$13,Paramètres!$A$1:$I$88,3,0)*0.475*44/12</f>
        <v>0</v>
      </c>
      <c r="DI49" s="24">
        <f t="shared" si="15"/>
        <v>3.5495913678296187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5.6</v>
      </c>
      <c r="DO49" s="13">
        <f>IF('Données projet'!$A$166&gt;35,DO48+DN49-DW48,IF(A49&lt;'Données projet'!$A$166,$DL$205^A49,IF(A49='Données projet'!$A$166,'Données projet'!$B$166,DO48+DN49-DW48)))</f>
        <v>98.59999999999998</v>
      </c>
      <c r="DP49" s="18">
        <f>DO49*VLOOKUP('Données projet'!$B$14,Paramètres!$A$1:$I$88,3,0)*VLOOKUP('Données projet'!$B$14,Paramètres!$A$1:$I$88,5,0)</f>
        <v>95.365919999999974</v>
      </c>
      <c r="DQ49" s="14">
        <f t="shared" si="43"/>
        <v>25.854961705219438</v>
      </c>
      <c r="DR49" s="22">
        <f t="shared" si="16"/>
        <v>211.12636896992379</v>
      </c>
      <c r="DS49" s="62">
        <f t="shared" si="17"/>
        <v>463.47664236864944</v>
      </c>
      <c r="DT49" s="62">
        <f ca="1">AVERAGE(OFFSET($DS$3,0,0,'Données projet'!$E$14+1,1))-AVERAGE(OFFSET($H$3,0,0,'Données projet'!$E$14+1,1))</f>
        <v>290.89727102147953</v>
      </c>
      <c r="DU49" s="62">
        <f t="shared" si="44"/>
        <v>173.19148969173838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projet'!$B$14,Paramètres!$A$1:$I$88,3,0)*0.475*44/12</f>
        <v>2.4051875935020361</v>
      </c>
      <c r="EB49" s="23">
        <f>EXP(-LN(2)/25)*EB48+(1-EXP(-LN(2)/25))/(LN(2)/25)*Calculateur!DW49*Calculateur!DY49*VLOOKUP('Données projet'!$B$14,Paramètres!$A$1:$I$88,3,0)*0.475*44/12</f>
        <v>0</v>
      </c>
      <c r="EC49" s="23">
        <f>EXP(-LN(2)/2)*EC48+(1-EXP(-LN(2)/2))/(LN(2)/2)*DW49*DZ49*VLOOKUP('Données projet'!$B$14,Paramètres!$A$1:$I$88,3,0)*0.475*44/12</f>
        <v>0</v>
      </c>
      <c r="ED49" s="24">
        <f t="shared" si="18"/>
        <v>2.4051875935020361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projet'!$B$15,Paramètres!$A$1:$I$88,3,0)*VLOOKUP('Données projet'!$B$15,Paramètres!$A$1:$I$88,5,0)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projet'!$B$15,Paramètres!$A$1:$I$88,3,0)*0.475*44/12</f>
        <v>#N/A</v>
      </c>
      <c r="EW49" s="23" t="e">
        <f>EXP(-LN(2)/25)*EW48+(1-EXP(-LN(2)/25))/(LN(2)/25)*Calculateur!ER49*Calculateur!ET49*VLOOKUP('Données projet'!$B$15,Paramètres!$A$1:$I$88,3,0)*0.475*44/12</f>
        <v>#N/A</v>
      </c>
      <c r="EX49" s="23" t="e">
        <f>EXP(-LN(2)/2)*EX48+(1-EXP(-LN(2)/2))/(LN(2)/2)*ER49*EU49*VLOOKUP('Données projet'!$B$15,Paramètres!$A$1:$I$88,3,0)*0.475*44/12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projet'!$B$16,Paramètres!$A$1:$I$88,3,0)*VLOOKUP('Données projet'!$B$16,Paramètres!$A$1:$I$88,5,0)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projet'!$B$16,Paramètres!$A$1:$I$88,3,0)*0.475*44/12</f>
        <v>#N/A</v>
      </c>
      <c r="FR49" s="23" t="e">
        <f>EXP(-LN(2)/25)*FR48+(1-EXP(-LN(2)/25))/(LN(2)/25)*Calculateur!FM49*Calculateur!FO49*VLOOKUP('Données projet'!$B$16,Paramètres!$A$1:$I$88,3,0)*0.475*44/12</f>
        <v>#N/A</v>
      </c>
      <c r="FS49" s="23" t="e">
        <f>EXP(-LN(2)/2)*FS48+(1-EXP(-LN(2)/2))/(LN(2)/2)*FM49*FP49*VLOOKUP('Données projet'!$B$16,Paramètres!$A$1:$I$88,3,0)*0.475*44/12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projet'!$B$17,Paramètres!$A$1:$I$88,3,0)*VLOOKUP('Données projet'!$B$17,Paramètres!$A$1:$I$88,5,0)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projet'!$B$17,Paramètres!$A$1:$I$88,3,0)*0.475*44/12</f>
        <v>#N/A</v>
      </c>
      <c r="GM49" s="23" t="e">
        <f>EXP(-LN(2)/25)*GM48+(1-EXP(-LN(2)/25))/(LN(2)/25)*Calculateur!GH49*Calculateur!GJ49*VLOOKUP('Données projet'!$B$17,Paramètres!$A$1:$I$88,3,0)*0.475*44/12</f>
        <v>#N/A</v>
      </c>
      <c r="GN49" s="23" t="e">
        <f>EXP(-LN(2)/2)*GN48+(1-EXP(-LN(2)/2))/(LN(2)/2)*GH49*GK49*VLOOKUP('Données projet'!$B$17,Paramètres!$A$1:$I$88,3,0)*0.475*44/12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projet'!$B$18,Paramètres!$A$1:$I$88,3,0)*VLOOKUP('Données projet'!$B$18,Paramètres!$A$1:$I$88,5,0)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projet'!$B$18,Paramètres!$A$1:$I$88,3,0)*0.475*44/12</f>
        <v>#N/A</v>
      </c>
      <c r="HH49" s="23" t="e">
        <f>EXP(-LN(2)/25)*HH48+(1-EXP(-LN(2)/25))/(LN(2)/25)*Calculateur!HC49*Calculateur!HE49*VLOOKUP('Données projet'!$B$18,Paramètres!$A$1:$I$88,3,0)*0.475*44/12</f>
        <v>#N/A</v>
      </c>
      <c r="HI49" s="23" t="e">
        <f>EXP(-LN(2)/2)*HI48+(1-EXP(-LN(2)/2))/(LN(2)/2)*HC49*HF49*VLOOKUP('Données projet'!$B$18,Paramètres!$A$1:$I$88,3,0)*0.475*44/12</f>
        <v>#N/A</v>
      </c>
      <c r="HJ49" s="24" t="e">
        <f t="shared" si="30"/>
        <v>#N/A</v>
      </c>
    </row>
    <row r="50" spans="1:218" s="5" customFormat="1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18.2</v>
      </c>
      <c r="N50" s="14">
        <f>IF('Données projet'!$A$36&gt;35,N49+M50-V49,IF(A50&lt;'Données projet'!$A$36,$K$205^A50,IF(A50='Données projet'!$A$36,'Données projet'!$B$36,N49+M50-V49)))</f>
        <v>403.40000000000009</v>
      </c>
      <c r="O50" s="14">
        <f>N50*VLOOKUP('Données projet'!$B$9,Paramètres!$A$1:$I$88,3,0)*VLOOKUP('Données projet'!$B$9,Paramètres!$A$1:$I$88,5,0)</f>
        <v>241.23320000000007</v>
      </c>
      <c r="P50" s="14">
        <f t="shared" si="33"/>
        <v>58.704780274027783</v>
      </c>
      <c r="Q50" s="22">
        <f t="shared" si="53"/>
        <v>522.39198231059845</v>
      </c>
      <c r="R50" s="62">
        <f t="shared" si="0"/>
        <v>775.45322017479384</v>
      </c>
      <c r="S50" s="62">
        <f ca="1">AVERAGE(OFFSET($R$3,0,0,'Données projet'!$E$9+1,1))-AVERAGE(OFFSET($H$3,0,0,'Données projet'!$E$9+1,1))</f>
        <v>301.2688576786212</v>
      </c>
      <c r="T50" s="62">
        <f t="shared" si="34"/>
        <v>417.62172165132927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21.230603167883363</v>
      </c>
      <c r="AA50" s="23">
        <f>EXP(-LN(2)/25)*AA49+(1-EXP(-LN(2)/25))/(LN(2)/25)*Calculateur!V50*Calculateur!X50*VLOOKUP('Données projet'!$B$9,Paramètres!$A$1:$I$88,3,0)*0.475*44/12</f>
        <v>34.596595126703292</v>
      </c>
      <c r="AB50" s="23">
        <f>EXP(-LN(2)/2)*AB49+(1-EXP(-LN(2)/2))/(LN(2)/2)*V50*Y50*VLOOKUP('Données projet'!$B$9,Paramètres!$A$1:$I$88,3,0)*0.475*44/12</f>
        <v>4.3664407566434216</v>
      </c>
      <c r="AC50" s="24">
        <f t="shared" si="3"/>
        <v>60.193639051230072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14</v>
      </c>
      <c r="AI50" s="14">
        <f>IF('Données projet'!$A$62&gt;35,AI49+AH50-AQ49,IF(A50&lt;'Données projet'!$A$62,$AF$205^A50,IF(A50='Données projet'!$A$62,'Données projet'!$B$62,AI49+AH50-AQ49)))</f>
        <v>278</v>
      </c>
      <c r="AJ50" s="14">
        <f>AI50*VLOOKUP('Données projet'!$B$10,Paramètres!$A$1:$I$88,3,0)*VLOOKUP('Données projet'!$B$10,Paramètres!$A$1:$I$88,5,0)</f>
        <v>130.10400000000001</v>
      </c>
      <c r="AK50" s="14">
        <f t="shared" si="35"/>
        <v>34.020389560268086</v>
      </c>
      <c r="AL50" s="22">
        <f t="shared" si="4"/>
        <v>285.8499784841336</v>
      </c>
      <c r="AM50" s="62">
        <f t="shared" si="5"/>
        <v>538.91121634832894</v>
      </c>
      <c r="AN50" s="62">
        <f ca="1">AVERAGE(OFFSET($AM$3,0,0,'Données projet'!$E$10+1,1))-AVERAGE(OFFSET($H$3,0,0,'Données projet'!$E$10+1,1))</f>
        <v>170.08673939431091</v>
      </c>
      <c r="AO50" s="62">
        <f t="shared" si="36"/>
        <v>252.97355497077106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projet'!$B$10,Paramètres!$A$1:$I$88,3,0)*0.475*44/12</f>
        <v>8.8410967512270204</v>
      </c>
      <c r="AV50" s="23">
        <f>EXP(-LN(2)/25)*AV49+(1-EXP(-LN(2)/25))/(LN(2)/25)*Calculateur!AQ50*Calculateur!AS50*VLOOKUP('Données projet'!$B$10,Paramètres!$A$1:$I$88,3,0)*0.475*44/12</f>
        <v>21.679543714382643</v>
      </c>
      <c r="AW50" s="23">
        <f>EXP(-LN(2)/2)*AW49+(1-EXP(-LN(2)/2))/(LN(2)/2)*AQ50*AT50*VLOOKUP('Données projet'!$B$10,Paramètres!$A$1:$I$88,3,0)*0.475*44/12</f>
        <v>1.1958088817366987</v>
      </c>
      <c r="AX50" s="23">
        <f t="shared" si="6"/>
        <v>31.716449347346362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8.1999999999999993</v>
      </c>
      <c r="BD50" s="13">
        <f>IF('Données projet'!$A$88&gt;35,BD49+BC50-BL49,IF(A50&lt;'Données projet'!$A$88,$BA$205^A50,IF(A50='Données projet'!$A$88,'Données projet'!$B$88,BD49+BC50-BL49)))</f>
        <v>153.40000000000003</v>
      </c>
      <c r="BE50" s="14">
        <f>BD50*VLOOKUP('Données projet'!$B$11,Paramètres!$A$1:$I$88,3,0)*VLOOKUP('Données projet'!$B$11,Paramètres!$A$1:$I$88,5,0)</f>
        <v>138.79632000000001</v>
      </c>
      <c r="BF50" s="14">
        <f t="shared" si="37"/>
        <v>36.021120886354588</v>
      </c>
      <c r="BG50" s="22">
        <f t="shared" si="7"/>
        <v>304.47370954373423</v>
      </c>
      <c r="BH50" s="62">
        <f t="shared" si="8"/>
        <v>557.53494740792962</v>
      </c>
      <c r="BI50" s="62">
        <f ca="1">AVERAGE(OFFSET($BH$3,0,0,'Données projet'!$E$11+1,1))-AVERAGE(OFFSET($H$3,0,0,'Données projet'!$E$11+1,1))</f>
        <v>362.63718589694594</v>
      </c>
      <c r="BJ50" s="62">
        <f t="shared" si="38"/>
        <v>250.47702091764884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projet'!$B$11,Paramètres!$A$1:$I$88,3,0)*0.475*44/12</f>
        <v>3.3088391914150681</v>
      </c>
      <c r="BQ50" s="23">
        <f>EXP(-LN(2)/25)*BQ49+(1-EXP(-LN(2)/25))/(LN(2)/25)*Calculateur!BL50*Calculateur!BN50*VLOOKUP('Données projet'!$B$11,Paramètres!$A$1:$I$88,3,0)*0.475*44/12</f>
        <v>0</v>
      </c>
      <c r="BR50" s="23">
        <f>EXP(-LN(2)/2)*BR49+(1-EXP(-LN(2)/2))/(LN(2)/2)*BL50*BO50*VLOOKUP('Données projet'!$B$11,Paramètres!$A$1:$I$88,3,0)*0.475*44/12</f>
        <v>0</v>
      </c>
      <c r="BS50" s="24">
        <f t="shared" si="9"/>
        <v>3.3088391914150681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8.1999999999999993</v>
      </c>
      <c r="BY50" s="13">
        <f>IF('Données projet'!$A$114&gt;35,BY49+BX50-CG49,IF(A50&lt;'Données projet'!$A$114,$BV$205^A50,IF(A50='Données projet'!$A$114,'Données projet'!$B$114,BY49+BX50-CG49)))</f>
        <v>153.40000000000003</v>
      </c>
      <c r="BZ50" s="14">
        <f>BY50*VLOOKUP('Données projet'!$B$12,Paramètres!$A$1:$I$88,3,0)*VLOOKUP('Données projet'!$B$12,Paramètres!$A$1:$I$88,5,0)</f>
        <v>155.54760000000005</v>
      </c>
      <c r="CA50" s="14">
        <f t="shared" si="39"/>
        <v>39.836620617816237</v>
      </c>
      <c r="CB50" s="22">
        <f t="shared" si="10"/>
        <v>340.29418424269664</v>
      </c>
      <c r="CC50" s="62">
        <f t="shared" si="11"/>
        <v>593.35542210689209</v>
      </c>
      <c r="CD50" s="62">
        <f ca="1">AVERAGE(OFFSET($CC$3,0,0,'Données projet'!$E$12+1,1))-AVERAGE(OFFSET($H$3,0,0,'Données projet'!$E$12+1,1))</f>
        <v>398.14524781940196</v>
      </c>
      <c r="CE50" s="62">
        <f t="shared" si="40"/>
        <v>273.35778700650792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projet'!$B$12,Paramètres!$A$1:$I$88,3,0)*0.475*44/12</f>
        <v>3.7081818524479222</v>
      </c>
      <c r="CL50" s="23">
        <f>EXP(-LN(2)/25)*CL49+(1-EXP(-LN(2)/25))/(LN(2)/25)*Calculateur!CG50*Calculateur!CI50*VLOOKUP('Données projet'!$B$12,Paramètres!$A$1:$I$88,3,0)*0.475*44/12</f>
        <v>0</v>
      </c>
      <c r="CM50" s="23">
        <f>EXP(-LN(2)/2)*CM49+(1-EXP(-LN(2)/2))/(LN(2)/2)*CG50*CJ50*VLOOKUP('Données projet'!$B$12,Paramètres!$A$1:$I$88,3,0)*0.475*44/12</f>
        <v>0</v>
      </c>
      <c r="CN50" s="24">
        <f t="shared" si="12"/>
        <v>3.7081818524479222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9.6</v>
      </c>
      <c r="CT50" s="13">
        <f>IF('Données projet'!$A$140&gt;35,CT49+CS50-DB49,IF(A50&lt;'Données projet'!$A$140,$CQ$205^A50,IF(A50='Données projet'!$A$140,'Données projet'!$B$140,CT49+CS50-DB49)))</f>
        <v>188.19999999999993</v>
      </c>
      <c r="CU50" s="18">
        <f>CT50*VLOOKUP('Données projet'!$B$13,Paramètres!$A$1:$I$88,3,0)*VLOOKUP('Données projet'!$B$13,Paramètres!$A$1:$I$88,5,0)</f>
        <v>179.09111999999993</v>
      </c>
      <c r="CV50" s="14">
        <f t="shared" si="41"/>
        <v>45.119917576309462</v>
      </c>
      <c r="CW50" s="22">
        <f t="shared" si="13"/>
        <v>390.5008904454055</v>
      </c>
      <c r="CX50" s="62">
        <f t="shared" si="14"/>
        <v>643.56212830960089</v>
      </c>
      <c r="CY50" s="62">
        <f ca="1">AVERAGE(OFFSET($CX$3,0,0,'Données projet'!$E$13+1,1))-AVERAGE(OFFSET($H$3,0,0,'Données projet'!$E$13+1,1))</f>
        <v>470.0521927195926</v>
      </c>
      <c r="CZ50" s="62">
        <f t="shared" si="42"/>
        <v>299.27200854723435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projet'!$B$13,Paramètres!$A$1:$I$88,3,0)*0.475*44/12</f>
        <v>3.4799860461434347</v>
      </c>
      <c r="DG50" s="23">
        <f>EXP(-LN(2)/25)*DG49+(1-EXP(-LN(2)/25))/(LN(2)/25)*Calculateur!DB50*Calculateur!DD50*VLOOKUP('Données projet'!$B$13,Paramètres!$A$1:$I$88,3,0)*0.475*44/12</f>
        <v>0</v>
      </c>
      <c r="DH50" s="23">
        <f>EXP(-LN(2)/2)*DH49+(1-EXP(-LN(2)/2))/(LN(2)/2)*DB50*DE50*VLOOKUP('Données projet'!$B$13,Paramètres!$A$1:$I$88,3,0)*0.475*44/12</f>
        <v>0</v>
      </c>
      <c r="DI50" s="24">
        <f t="shared" si="15"/>
        <v>3.4799860461434347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5.6</v>
      </c>
      <c r="DO50" s="13">
        <f>IF('Données projet'!$A$166&gt;35,DO49+DN50-DW49,IF(A50&lt;'Données projet'!$A$166,$DL$205^A50,IF(A50='Données projet'!$A$166,'Données projet'!$B$166,DO49+DN50-DW49)))</f>
        <v>104.19999999999997</v>
      </c>
      <c r="DP50" s="18">
        <f>DO50*VLOOKUP('Données projet'!$B$14,Paramètres!$A$1:$I$88,3,0)*VLOOKUP('Données projet'!$B$14,Paramètres!$A$1:$I$88,5,0)</f>
        <v>100.78223999999997</v>
      </c>
      <c r="DQ50" s="14">
        <f t="shared" si="43"/>
        <v>27.148270845500655</v>
      </c>
      <c r="DR50" s="22">
        <f t="shared" si="16"/>
        <v>222.81230638924691</v>
      </c>
      <c r="DS50" s="62">
        <f t="shared" si="17"/>
        <v>475.87354425344233</v>
      </c>
      <c r="DT50" s="62">
        <f ca="1">AVERAGE(OFFSET($DS$3,0,0,'Données projet'!$E$14+1,1))-AVERAGE(OFFSET($H$3,0,0,'Données projet'!$E$14+1,1))</f>
        <v>290.89727102147953</v>
      </c>
      <c r="DU50" s="62">
        <f t="shared" si="44"/>
        <v>173.19148969173838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projet'!$B$14,Paramètres!$A$1:$I$88,3,0)*0.475*44/12</f>
        <v>2.3580233318130372</v>
      </c>
      <c r="EB50" s="23">
        <f>EXP(-LN(2)/25)*EB49+(1-EXP(-LN(2)/25))/(LN(2)/25)*Calculateur!DW50*Calculateur!DY50*VLOOKUP('Données projet'!$B$14,Paramètres!$A$1:$I$88,3,0)*0.475*44/12</f>
        <v>0</v>
      </c>
      <c r="EC50" s="23">
        <f>EXP(-LN(2)/2)*EC49+(1-EXP(-LN(2)/2))/(LN(2)/2)*DW50*DZ50*VLOOKUP('Données projet'!$B$14,Paramètres!$A$1:$I$88,3,0)*0.475*44/12</f>
        <v>0</v>
      </c>
      <c r="ED50" s="24">
        <f t="shared" si="18"/>
        <v>2.3580233318130372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projet'!$B$15,Paramètres!$A$1:$I$88,3,0)*VLOOKUP('Données projet'!$B$15,Paramètres!$A$1:$I$88,5,0)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projet'!$B$15,Paramètres!$A$1:$I$88,3,0)*0.475*44/12</f>
        <v>#N/A</v>
      </c>
      <c r="EW50" s="23" t="e">
        <f>EXP(-LN(2)/25)*EW49+(1-EXP(-LN(2)/25))/(LN(2)/25)*Calculateur!ER50*Calculateur!ET50*VLOOKUP('Données projet'!$B$15,Paramètres!$A$1:$I$88,3,0)*0.475*44/12</f>
        <v>#N/A</v>
      </c>
      <c r="EX50" s="23" t="e">
        <f>EXP(-LN(2)/2)*EX49+(1-EXP(-LN(2)/2))/(LN(2)/2)*ER50*EU50*VLOOKUP('Données projet'!$B$15,Paramètres!$A$1:$I$88,3,0)*0.475*44/12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projet'!$B$16,Paramètres!$A$1:$I$88,3,0)*VLOOKUP('Données projet'!$B$16,Paramètres!$A$1:$I$88,5,0)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projet'!$B$16,Paramètres!$A$1:$I$88,3,0)*0.475*44/12</f>
        <v>#N/A</v>
      </c>
      <c r="FR50" s="23" t="e">
        <f>EXP(-LN(2)/25)*FR49+(1-EXP(-LN(2)/25))/(LN(2)/25)*Calculateur!FM50*Calculateur!FO50*VLOOKUP('Données projet'!$B$16,Paramètres!$A$1:$I$88,3,0)*0.475*44/12</f>
        <v>#N/A</v>
      </c>
      <c r="FS50" s="23" t="e">
        <f>EXP(-LN(2)/2)*FS49+(1-EXP(-LN(2)/2))/(LN(2)/2)*FM50*FP50*VLOOKUP('Données projet'!$B$16,Paramètres!$A$1:$I$88,3,0)*0.475*44/12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projet'!$B$17,Paramètres!$A$1:$I$88,3,0)*VLOOKUP('Données projet'!$B$17,Paramètres!$A$1:$I$88,5,0)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projet'!$B$17,Paramètres!$A$1:$I$88,3,0)*0.475*44/12</f>
        <v>#N/A</v>
      </c>
      <c r="GM50" s="23" t="e">
        <f>EXP(-LN(2)/25)*GM49+(1-EXP(-LN(2)/25))/(LN(2)/25)*Calculateur!GH50*Calculateur!GJ50*VLOOKUP('Données projet'!$B$17,Paramètres!$A$1:$I$88,3,0)*0.475*44/12</f>
        <v>#N/A</v>
      </c>
      <c r="GN50" s="23" t="e">
        <f>EXP(-LN(2)/2)*GN49+(1-EXP(-LN(2)/2))/(LN(2)/2)*GH50*GK50*VLOOKUP('Données projet'!$B$17,Paramètres!$A$1:$I$88,3,0)*0.475*44/12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projet'!$B$18,Paramètres!$A$1:$I$88,3,0)*VLOOKUP('Données projet'!$B$18,Paramètres!$A$1:$I$88,5,0)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projet'!$B$18,Paramètres!$A$1:$I$88,3,0)*0.475*44/12</f>
        <v>#N/A</v>
      </c>
      <c r="HH50" s="23" t="e">
        <f>EXP(-LN(2)/25)*HH49+(1-EXP(-LN(2)/25))/(LN(2)/25)*Calculateur!HC50*Calculateur!HE50*VLOOKUP('Données projet'!$B$18,Paramètres!$A$1:$I$88,3,0)*0.475*44/12</f>
        <v>#N/A</v>
      </c>
      <c r="HI50" s="23" t="e">
        <f>EXP(-LN(2)/2)*HI49+(1-EXP(-LN(2)/2))/(LN(2)/2)*HC50*HF50*VLOOKUP('Données projet'!$B$18,Paramètres!$A$1:$I$88,3,0)*0.475*44/12</f>
        <v>#N/A</v>
      </c>
      <c r="HJ50" s="24" t="e">
        <f t="shared" si="30"/>
        <v>#N/A</v>
      </c>
    </row>
    <row r="51" spans="1:218" s="5" customFormat="1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18.2</v>
      </c>
      <c r="N51" s="14">
        <f>IF('Données projet'!$A$36&gt;35,N50+M51-V50,IF(A51&lt;'Données projet'!$A$36,$K$205^A51,IF(A51='Données projet'!$A$36,'Données projet'!$B$36,N50+M51-V50)))</f>
        <v>421.60000000000008</v>
      </c>
      <c r="O51" s="14">
        <f>N51*VLOOKUP('Données projet'!$B$9,Paramètres!$A$1:$I$88,3,0)*VLOOKUP('Données projet'!$B$9,Paramètres!$A$1:$I$88,5,0)</f>
        <v>252.11680000000007</v>
      </c>
      <c r="P51" s="14">
        <f t="shared" si="33"/>
        <v>61.038999041073623</v>
      </c>
      <c r="Q51" s="22">
        <f t="shared" si="53"/>
        <v>545.41301666320339</v>
      </c>
      <c r="R51" s="62">
        <f t="shared" si="0"/>
        <v>799.17288534887109</v>
      </c>
      <c r="S51" s="62">
        <f ca="1">AVERAGE(OFFSET($R$3,0,0,'Données projet'!$E$9+1,1))-AVERAGE(OFFSET($H$3,0,0,'Données projet'!$E$9+1,1))</f>
        <v>301.2688576786212</v>
      </c>
      <c r="T51" s="62">
        <f t="shared" si="34"/>
        <v>417.62172165132927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projet'!$B$9,Paramètres!$A$1:$I$88,7,0))</f>
        <v>0</v>
      </c>
      <c r="X51" s="17">
        <f>IF(ISNA(VLOOKUP(A51,'Données projet'!$A$35:$I$55,6,0)),0%,VLOOKUP(A51,'Données projet'!$A$35:$I$55,6,0)*VLOOKUP('Données projet'!$B$9,Paramètres!$A$1:$I$88,7,0))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20.814283989150457</v>
      </c>
      <c r="AA51" s="23">
        <f>EXP(-LN(2)/25)*AA50+(1-EXP(-LN(2)/25))/(LN(2)/25)*Calculateur!V51*Calculateur!X51*VLOOKUP('Données projet'!$B$9,Paramètres!$A$1:$I$88,3,0)*0.475*44/12</f>
        <v>33.650549413607727</v>
      </c>
      <c r="AB51" s="23">
        <f>EXP(-LN(2)/2)*AB50+(1-EXP(-LN(2)/2))/(LN(2)/2)*V51*Y51*VLOOKUP('Données projet'!$B$9,Paramètres!$A$1:$I$88,3,0)*0.475*44/12</f>
        <v>3.0875398686718829</v>
      </c>
      <c r="AC51" s="24">
        <f t="shared" si="3"/>
        <v>57.552373271430071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14</v>
      </c>
      <c r="AI51" s="14">
        <f>IF('Données projet'!$A$62&gt;35,AI50+AH51-AQ50,IF(A51&lt;'Données projet'!$A$62,$AF$205^A51,IF(A51='Données projet'!$A$62,'Données projet'!$B$62,AI50+AH51-AQ50)))</f>
        <v>292</v>
      </c>
      <c r="AJ51" s="14">
        <f>AI51*VLOOKUP('Données projet'!$B$10,Paramètres!$A$1:$I$88,3,0)*VLOOKUP('Données projet'!$B$10,Paramètres!$A$1:$I$88,5,0)</f>
        <v>136.65600000000001</v>
      </c>
      <c r="AK51" s="14">
        <f t="shared" si="35"/>
        <v>35.52986752364091</v>
      </c>
      <c r="AL51" s="22">
        <f t="shared" si="4"/>
        <v>299.89038593700792</v>
      </c>
      <c r="AM51" s="62">
        <f t="shared" si="5"/>
        <v>553.65025462267567</v>
      </c>
      <c r="AN51" s="62">
        <f ca="1">AVERAGE(OFFSET($AM$3,0,0,'Données projet'!$E$10+1,1))-AVERAGE(OFFSET($H$3,0,0,'Données projet'!$E$10+1,1))</f>
        <v>170.08673939431091</v>
      </c>
      <c r="AO51" s="62">
        <f t="shared" si="36"/>
        <v>252.97355497077106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projet'!$B$10,Paramètres!$A$1:$I$88,7,0))</f>
        <v>0</v>
      </c>
      <c r="AS51" s="17">
        <f>IF(ISNA(VLOOKUP(A51,'Données projet'!$A$61:$I$81,6,0)),0%,VLOOKUP(A51,'Données projet'!$A$61:$I$81,6,0)*VLOOKUP('Données projet'!$B$10,Paramètres!$A$1:$I$88,7,0))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projet'!$B$10,Paramètres!$A$1:$I$88,3,0)*0.475*44/12</f>
        <v>8.6677282364720085</v>
      </c>
      <c r="AV51" s="23">
        <f>EXP(-LN(2)/25)*AV50+(1-EXP(-LN(2)/25))/(LN(2)/25)*Calculateur!AQ51*Calculateur!AS51*VLOOKUP('Données projet'!$B$10,Paramètres!$A$1:$I$88,3,0)*0.475*44/12</f>
        <v>21.086715451435193</v>
      </c>
      <c r="AW51" s="23">
        <f>EXP(-LN(2)/2)*AW50+(1-EXP(-LN(2)/2))/(LN(2)/2)*AQ51*AT51*VLOOKUP('Données projet'!$B$10,Paramètres!$A$1:$I$88,3,0)*0.475*44/12</f>
        <v>0.84556456927912194</v>
      </c>
      <c r="AX51" s="23">
        <f t="shared" si="6"/>
        <v>30.600008257186325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8.1999999999999993</v>
      </c>
      <c r="BD51" s="13">
        <f>IF('Données projet'!$A$88&gt;35,BD50+BC51-BL50,IF(A51&lt;'Données projet'!$A$88,$BA$205^A51,IF(A51='Données projet'!$A$88,'Données projet'!$B$88,BD50+BC51-BL50)))</f>
        <v>161.60000000000002</v>
      </c>
      <c r="BE51" s="14">
        <f>BD51*VLOOKUP('Données projet'!$B$11,Paramètres!$A$1:$I$88,3,0)*VLOOKUP('Données projet'!$B$11,Paramètres!$A$1:$I$88,5,0)</f>
        <v>146.21568000000002</v>
      </c>
      <c r="BF51" s="14">
        <f t="shared" si="37"/>
        <v>37.717310552893402</v>
      </c>
      <c r="BG51" s="22">
        <f t="shared" si="7"/>
        <v>320.34995854628937</v>
      </c>
      <c r="BH51" s="62">
        <f t="shared" si="8"/>
        <v>574.10982723195707</v>
      </c>
      <c r="BI51" s="62">
        <f ca="1">AVERAGE(OFFSET($BH$3,0,0,'Données projet'!$E$11+1,1))-AVERAGE(OFFSET($H$3,0,0,'Données projet'!$E$11+1,1))</f>
        <v>362.63718589694594</v>
      </c>
      <c r="BJ51" s="62">
        <f t="shared" si="38"/>
        <v>250.47702091764884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projet'!$B$11,Paramètres!$A$1:$I$88,3,0)*0.475*44/12</f>
        <v>3.2439548730640455</v>
      </c>
      <c r="BQ51" s="23">
        <f>EXP(-LN(2)/25)*BQ50+(1-EXP(-LN(2)/25))/(LN(2)/25)*Calculateur!BL51*Calculateur!BN51*VLOOKUP('Données projet'!$B$11,Paramètres!$A$1:$I$88,3,0)*0.475*44/12</f>
        <v>0</v>
      </c>
      <c r="BR51" s="23">
        <f>EXP(-LN(2)/2)*BR50+(1-EXP(-LN(2)/2))/(LN(2)/2)*BL51*BO51*VLOOKUP('Données projet'!$B$11,Paramètres!$A$1:$I$88,3,0)*0.475*44/12</f>
        <v>0</v>
      </c>
      <c r="BS51" s="24">
        <f t="shared" si="9"/>
        <v>3.2439548730640455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8.1999999999999993</v>
      </c>
      <c r="BY51" s="13">
        <f>IF('Données projet'!$A$114&gt;35,BY50+BX51-CG50,IF(A51&lt;'Données projet'!$A$114,$BV$205^A51,IF(A51='Données projet'!$A$114,'Données projet'!$B$114,BY50+BX51-CG50)))</f>
        <v>161.60000000000002</v>
      </c>
      <c r="BZ51" s="14">
        <f>BY51*VLOOKUP('Données projet'!$B$12,Paramètres!$A$1:$I$88,3,0)*VLOOKUP('Données projet'!$B$12,Paramètres!$A$1:$I$88,5,0)</f>
        <v>163.86240000000004</v>
      </c>
      <c r="CA51" s="14">
        <f t="shared" si="39"/>
        <v>41.712477409029084</v>
      </c>
      <c r="CB51" s="22">
        <f t="shared" si="10"/>
        <v>358.0429114873923</v>
      </c>
      <c r="CC51" s="62">
        <f t="shared" si="11"/>
        <v>611.80278017306</v>
      </c>
      <c r="CD51" s="62">
        <f ca="1">AVERAGE(OFFSET($CC$3,0,0,'Données projet'!$E$12+1,1))-AVERAGE(OFFSET($H$3,0,0,'Données projet'!$E$12+1,1))</f>
        <v>398.14524781940196</v>
      </c>
      <c r="CE51" s="62">
        <f t="shared" si="40"/>
        <v>273.35778700650792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projet'!$B$12,Paramètres!$A$1:$I$88,3,0)*0.475*44/12</f>
        <v>3.6354666680890175</v>
      </c>
      <c r="CL51" s="23">
        <f>EXP(-LN(2)/25)*CL50+(1-EXP(-LN(2)/25))/(LN(2)/25)*Calculateur!CG51*Calculateur!CI51*VLOOKUP('Données projet'!$B$12,Paramètres!$A$1:$I$88,3,0)*0.475*44/12</f>
        <v>0</v>
      </c>
      <c r="CM51" s="23">
        <f>EXP(-LN(2)/2)*CM50+(1-EXP(-LN(2)/2))/(LN(2)/2)*CG51*CJ51*VLOOKUP('Données projet'!$B$12,Paramètres!$A$1:$I$88,3,0)*0.475*44/12</f>
        <v>0</v>
      </c>
      <c r="CN51" s="24">
        <f t="shared" si="12"/>
        <v>3.6354666680890175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9.6</v>
      </c>
      <c r="CT51" s="13">
        <f>IF('Données projet'!$A$140&gt;35,CT50+CS51-DB50,IF(A51&lt;'Données projet'!$A$140,$CQ$205^A51,IF(A51='Données projet'!$A$140,'Données projet'!$B$140,CT50+CS51-DB50)))</f>
        <v>197.79999999999993</v>
      </c>
      <c r="CU51" s="18">
        <f>CT51*VLOOKUP('Données projet'!$B$13,Paramètres!$A$1:$I$88,3,0)*VLOOKUP('Données projet'!$B$13,Paramètres!$A$1:$I$88,5,0)</f>
        <v>188.22647999999995</v>
      </c>
      <c r="CV51" s="14">
        <f t="shared" si="41"/>
        <v>47.147639005261546</v>
      </c>
      <c r="CW51" s="22">
        <f t="shared" si="13"/>
        <v>409.94325726749707</v>
      </c>
      <c r="CX51" s="62">
        <f t="shared" si="14"/>
        <v>663.70312595316477</v>
      </c>
      <c r="CY51" s="62">
        <f ca="1">AVERAGE(OFFSET($CX$3,0,0,'Données projet'!$E$13+1,1))-AVERAGE(OFFSET($H$3,0,0,'Données projet'!$E$13+1,1))</f>
        <v>470.0521927195926</v>
      </c>
      <c r="CZ51" s="62">
        <f t="shared" si="42"/>
        <v>299.27200854723435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projet'!$B$13,Paramètres!$A$1:$I$88,3,0)*0.475*44/12</f>
        <v>3.4117456423604624</v>
      </c>
      <c r="DG51" s="23">
        <f>EXP(-LN(2)/25)*DG50+(1-EXP(-LN(2)/25))/(LN(2)/25)*Calculateur!DB51*Calculateur!DD51*VLOOKUP('Données projet'!$B$13,Paramètres!$A$1:$I$88,3,0)*0.475*44/12</f>
        <v>0</v>
      </c>
      <c r="DH51" s="23">
        <f>EXP(-LN(2)/2)*DH50+(1-EXP(-LN(2)/2))/(LN(2)/2)*DB51*DE51*VLOOKUP('Données projet'!$B$13,Paramètres!$A$1:$I$88,3,0)*0.475*44/12</f>
        <v>0</v>
      </c>
      <c r="DI51" s="24">
        <f t="shared" si="15"/>
        <v>3.4117456423604624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5.6</v>
      </c>
      <c r="DO51" s="13">
        <f>IF('Données projet'!$A$166&gt;35,DO50+DN51-DW50,IF(A51&lt;'Données projet'!$A$166,$DL$205^A51,IF(A51='Données projet'!$A$166,'Données projet'!$B$166,DO50+DN51-DW50)))</f>
        <v>109.79999999999997</v>
      </c>
      <c r="DP51" s="18">
        <f>DO51*VLOOKUP('Données projet'!$B$14,Paramètres!$A$1:$I$88,3,0)*VLOOKUP('Données projet'!$B$14,Paramètres!$A$1:$I$88,5,0)</f>
        <v>106.19855999999997</v>
      </c>
      <c r="DQ51" s="14">
        <f t="shared" si="43"/>
        <v>28.433510633203252</v>
      </c>
      <c r="DR51" s="22">
        <f t="shared" si="16"/>
        <v>234.48418968616227</v>
      </c>
      <c r="DS51" s="62">
        <f t="shared" si="17"/>
        <v>488.24405837182996</v>
      </c>
      <c r="DT51" s="62">
        <f ca="1">AVERAGE(OFFSET($DS$3,0,0,'Données projet'!$E$14+1,1))-AVERAGE(OFFSET($H$3,0,0,'Données projet'!$E$14+1,1))</f>
        <v>290.89727102147953</v>
      </c>
      <c r="DU51" s="62">
        <f t="shared" si="44"/>
        <v>173.19148969173838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projet'!$B$14,Paramètres!$A$1:$I$88,3,0)*0.475*44/12</f>
        <v>2.3117839325284004</v>
      </c>
      <c r="EB51" s="23">
        <f>EXP(-LN(2)/25)*EB50+(1-EXP(-LN(2)/25))/(LN(2)/25)*Calculateur!DW51*Calculateur!DY51*VLOOKUP('Données projet'!$B$14,Paramètres!$A$1:$I$88,3,0)*0.475*44/12</f>
        <v>0</v>
      </c>
      <c r="EC51" s="23">
        <f>EXP(-LN(2)/2)*EC50+(1-EXP(-LN(2)/2))/(LN(2)/2)*DW51*DZ51*VLOOKUP('Données projet'!$B$14,Paramètres!$A$1:$I$88,3,0)*0.475*44/12</f>
        <v>0</v>
      </c>
      <c r="ED51" s="24">
        <f t="shared" si="18"/>
        <v>2.3117839325284004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projet'!$B$15,Paramètres!$A$1:$I$88,3,0)*VLOOKUP('Données projet'!$B$15,Paramètres!$A$1:$I$88,5,0)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projet'!$B$15,Paramètres!$A$1:$I$88,3,0)*0.475*44/12</f>
        <v>#N/A</v>
      </c>
      <c r="EW51" s="23" t="e">
        <f>EXP(-LN(2)/25)*EW50+(1-EXP(-LN(2)/25))/(LN(2)/25)*Calculateur!ER51*Calculateur!ET51*VLOOKUP('Données projet'!$B$15,Paramètres!$A$1:$I$88,3,0)*0.475*44/12</f>
        <v>#N/A</v>
      </c>
      <c r="EX51" s="23" t="e">
        <f>EXP(-LN(2)/2)*EX50+(1-EXP(-LN(2)/2))/(LN(2)/2)*ER51*EU51*VLOOKUP('Données projet'!$B$15,Paramètres!$A$1:$I$88,3,0)*0.475*44/12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projet'!$B$16,Paramètres!$A$1:$I$88,3,0)*VLOOKUP('Données projet'!$B$16,Paramètres!$A$1:$I$88,5,0)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projet'!$B$16,Paramètres!$A$1:$I$88,3,0)*0.475*44/12</f>
        <v>#N/A</v>
      </c>
      <c r="FR51" s="23" t="e">
        <f>EXP(-LN(2)/25)*FR50+(1-EXP(-LN(2)/25))/(LN(2)/25)*Calculateur!FM51*Calculateur!FO51*VLOOKUP('Données projet'!$B$16,Paramètres!$A$1:$I$88,3,0)*0.475*44/12</f>
        <v>#N/A</v>
      </c>
      <c r="FS51" s="23" t="e">
        <f>EXP(-LN(2)/2)*FS50+(1-EXP(-LN(2)/2))/(LN(2)/2)*FM51*FP51*VLOOKUP('Données projet'!$B$16,Paramètres!$A$1:$I$88,3,0)*0.475*44/12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projet'!$B$17,Paramètres!$A$1:$I$88,3,0)*VLOOKUP('Données projet'!$B$17,Paramètres!$A$1:$I$88,5,0)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projet'!$B$17,Paramètres!$A$1:$I$88,3,0)*0.475*44/12</f>
        <v>#N/A</v>
      </c>
      <c r="GM51" s="23" t="e">
        <f>EXP(-LN(2)/25)*GM50+(1-EXP(-LN(2)/25))/(LN(2)/25)*Calculateur!GH51*Calculateur!GJ51*VLOOKUP('Données projet'!$B$17,Paramètres!$A$1:$I$88,3,0)*0.475*44/12</f>
        <v>#N/A</v>
      </c>
      <c r="GN51" s="23" t="e">
        <f>EXP(-LN(2)/2)*GN50+(1-EXP(-LN(2)/2))/(LN(2)/2)*GH51*GK51*VLOOKUP('Données projet'!$B$17,Paramètres!$A$1:$I$88,3,0)*0.475*44/12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projet'!$B$18,Paramètres!$A$1:$I$88,3,0)*VLOOKUP('Données projet'!$B$18,Paramètres!$A$1:$I$88,5,0)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projet'!$B$18,Paramètres!$A$1:$I$88,3,0)*0.475*44/12</f>
        <v>#N/A</v>
      </c>
      <c r="HH51" s="23" t="e">
        <f>EXP(-LN(2)/25)*HH50+(1-EXP(-LN(2)/25))/(LN(2)/25)*Calculateur!HC51*Calculateur!HE51*VLOOKUP('Données projet'!$B$18,Paramètres!$A$1:$I$88,3,0)*0.475*44/12</f>
        <v>#N/A</v>
      </c>
      <c r="HI51" s="23" t="e">
        <f>EXP(-LN(2)/2)*HI50+(1-EXP(-LN(2)/2))/(LN(2)/2)*HC51*HF51*VLOOKUP('Données projet'!$B$18,Paramètres!$A$1:$I$88,3,0)*0.475*44/12</f>
        <v>#N/A</v>
      </c>
      <c r="HJ51" s="24" t="e">
        <f t="shared" si="30"/>
        <v>#N/A</v>
      </c>
    </row>
    <row r="52" spans="1:218" s="5" customFormat="1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18.2</v>
      </c>
      <c r="N52" s="14">
        <f>IF('Données projet'!$A$36&gt;35,N51+M52-V51,IF(A52&lt;'Données projet'!$A$36,$K$205^A52,IF(A52='Données projet'!$A$36,'Données projet'!$B$36,N51+M52-V51)))</f>
        <v>439.80000000000007</v>
      </c>
      <c r="O52" s="14">
        <f>N52*VLOOKUP('Données projet'!$B$9,Paramètres!$A$1:$I$88,3,0)*VLOOKUP('Données projet'!$B$9,Paramètres!$A$1:$I$88,5,0)</f>
        <v>263.00040000000007</v>
      </c>
      <c r="P52" s="14">
        <f t="shared" si="33"/>
        <v>63.36151427162276</v>
      </c>
      <c r="Q52" s="22">
        <f t="shared" si="53"/>
        <v>568.41366735640975</v>
      </c>
      <c r="R52" s="62">
        <f t="shared" si="0"/>
        <v>822.86004718070171</v>
      </c>
      <c r="S52" s="62">
        <f ca="1">AVERAGE(OFFSET($R$3,0,0,'Données projet'!$E$9+1,1))-AVERAGE(OFFSET($H$3,0,0,'Données projet'!$E$9+1,1))</f>
        <v>301.2688576786212</v>
      </c>
      <c r="T52" s="62">
        <f t="shared" si="34"/>
        <v>417.62172165132927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projet'!$B$9,Paramètres!$A$1:$I$88,7,0))</f>
        <v>0</v>
      </c>
      <c r="X52" s="17">
        <f>IF(ISNA(VLOOKUP(A52,'Données projet'!$A$35:$I$55,6,0)),0%,VLOOKUP(A52,'Données projet'!$A$35:$I$55,6,0)*VLOOKUP('Données projet'!$B$9,Paramètres!$A$1:$I$88,7,0))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20.406128575582876</v>
      </c>
      <c r="AA52" s="23">
        <f>EXP(-LN(2)/25)*AA51+(1-EXP(-LN(2)/25))/(LN(2)/25)*Calculateur!V52*Calculateur!X52*VLOOKUP('Données projet'!$B$9,Paramètres!$A$1:$I$88,3,0)*0.475*44/12</f>
        <v>32.73037337028714</v>
      </c>
      <c r="AB52" s="23">
        <f>EXP(-LN(2)/2)*AB51+(1-EXP(-LN(2)/2))/(LN(2)/2)*V52*Y52*VLOOKUP('Données projet'!$B$9,Paramètres!$A$1:$I$88,3,0)*0.475*44/12</f>
        <v>2.1832203783217108</v>
      </c>
      <c r="AC52" s="24">
        <f t="shared" si="3"/>
        <v>55.31972232419173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14</v>
      </c>
      <c r="AI52" s="14">
        <f>IF('Données projet'!$A$62&gt;35,AI51+AH52-AQ51,IF(A52&lt;'Données projet'!$A$62,$AF$205^A52,IF(A52='Données projet'!$A$62,'Données projet'!$B$62,AI51+AH52-AQ51)))</f>
        <v>306</v>
      </c>
      <c r="AJ52" s="14">
        <f>AI52*VLOOKUP('Données projet'!$B$10,Paramètres!$A$1:$I$88,3,0)*VLOOKUP('Données projet'!$B$10,Paramètres!$A$1:$I$88,5,0)</f>
        <v>143.208</v>
      </c>
      <c r="AK52" s="14">
        <f t="shared" si="35"/>
        <v>37.030941422835802</v>
      </c>
      <c r="AL52" s="22">
        <f t="shared" si="4"/>
        <v>313.91615631143901</v>
      </c>
      <c r="AM52" s="62">
        <f t="shared" si="5"/>
        <v>568.36253613573103</v>
      </c>
      <c r="AN52" s="62">
        <f ca="1">AVERAGE(OFFSET($AM$3,0,0,'Données projet'!$E$10+1,1))-AVERAGE(OFFSET($H$3,0,0,'Données projet'!$E$10+1,1))</f>
        <v>170.08673939431091</v>
      </c>
      <c r="AO52" s="62">
        <f t="shared" si="36"/>
        <v>252.97355497077106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projet'!$B$10,Paramètres!$A$1:$I$88,3,0)*0.475*44/12</f>
        <v>8.4977593725469891</v>
      </c>
      <c r="AV52" s="23">
        <f>EXP(-LN(2)/25)*AV51+(1-EXP(-LN(2)/25))/(LN(2)/25)*Calculateur!AQ52*Calculateur!AS52*VLOOKUP('Données projet'!$B$10,Paramètres!$A$1:$I$88,3,0)*0.475*44/12</f>
        <v>20.510098108513528</v>
      </c>
      <c r="AW52" s="23">
        <f>EXP(-LN(2)/2)*AW51+(1-EXP(-LN(2)/2))/(LN(2)/2)*AQ52*AT52*VLOOKUP('Données projet'!$B$10,Paramètres!$A$1:$I$88,3,0)*0.475*44/12</f>
        <v>0.59790444086834937</v>
      </c>
      <c r="AX52" s="23">
        <f t="shared" si="6"/>
        <v>29.605761921928867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8.1999999999999993</v>
      </c>
      <c r="BD52" s="13">
        <f>IF('Données projet'!$A$88&gt;35,BD51+BC52-BL51,IF(A52&lt;'Données projet'!$A$88,$BA$205^A52,IF(A52='Données projet'!$A$88,'Données projet'!$B$88,BD51+BC52-BL51)))</f>
        <v>169.8</v>
      </c>
      <c r="BE52" s="14">
        <f>BD52*VLOOKUP('Données projet'!$B$11,Paramètres!$A$1:$I$88,3,0)*VLOOKUP('Données projet'!$B$11,Paramètres!$A$1:$I$88,5,0)</f>
        <v>153.63504</v>
      </c>
      <c r="BF52" s="14">
        <f t="shared" si="37"/>
        <v>39.403506785222667</v>
      </c>
      <c r="BG52" s="22">
        <f t="shared" si="7"/>
        <v>336.20880231759617</v>
      </c>
      <c r="BH52" s="62">
        <f t="shared" si="8"/>
        <v>590.65518214188819</v>
      </c>
      <c r="BI52" s="62">
        <f ca="1">AVERAGE(OFFSET($BH$3,0,0,'Données projet'!$E$11+1,1))-AVERAGE(OFFSET($H$3,0,0,'Données projet'!$E$11+1,1))</f>
        <v>362.63718589694594</v>
      </c>
      <c r="BJ52" s="62">
        <f t="shared" si="38"/>
        <v>250.47702091764884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projet'!$B$11,Paramètres!$A$1:$I$88,3,0)*0.475*44/12</f>
        <v>3.1803428966203597</v>
      </c>
      <c r="BQ52" s="23">
        <f>EXP(-LN(2)/25)*BQ51+(1-EXP(-LN(2)/25))/(LN(2)/25)*Calculateur!BL52*Calculateur!BN52*VLOOKUP('Données projet'!$B$11,Paramètres!$A$1:$I$88,3,0)*0.475*44/12</f>
        <v>0</v>
      </c>
      <c r="BR52" s="23">
        <f>EXP(-LN(2)/2)*BR51+(1-EXP(-LN(2)/2))/(LN(2)/2)*BL52*BO52*VLOOKUP('Données projet'!$B$11,Paramètres!$A$1:$I$88,3,0)*0.475*44/12</f>
        <v>0</v>
      </c>
      <c r="BS52" s="24">
        <f t="shared" si="9"/>
        <v>3.1803428966203597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8.1999999999999993</v>
      </c>
      <c r="BY52" s="13">
        <f>IF('Données projet'!$A$114&gt;35,BY51+BX52-CG51,IF(A52&lt;'Données projet'!$A$114,$BV$205^A52,IF(A52='Données projet'!$A$114,'Données projet'!$B$114,BY51+BX52-CG51)))</f>
        <v>169.8</v>
      </c>
      <c r="BZ52" s="14">
        <f>BY52*VLOOKUP('Données projet'!$B$12,Paramètres!$A$1:$I$88,3,0)*VLOOKUP('Données projet'!$B$12,Paramètres!$A$1:$I$88,5,0)</f>
        <v>172.1772</v>
      </c>
      <c r="CA52" s="14">
        <f t="shared" si="39"/>
        <v>43.577282221917017</v>
      </c>
      <c r="CB52" s="22">
        <f t="shared" si="10"/>
        <v>375.77238986983883</v>
      </c>
      <c r="CC52" s="62">
        <f t="shared" si="11"/>
        <v>630.21876969413074</v>
      </c>
      <c r="CD52" s="62">
        <f ca="1">AVERAGE(OFFSET($CC$3,0,0,'Données projet'!$E$12+1,1))-AVERAGE(OFFSET($H$3,0,0,'Données projet'!$E$12+1,1))</f>
        <v>398.14524781940196</v>
      </c>
      <c r="CE52" s="62">
        <f t="shared" si="40"/>
        <v>273.35778700650792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projet'!$B$12,Paramètres!$A$1:$I$88,3,0)*0.475*44/12</f>
        <v>3.5641773841435076</v>
      </c>
      <c r="CL52" s="23">
        <f>EXP(-LN(2)/25)*CL51+(1-EXP(-LN(2)/25))/(LN(2)/25)*Calculateur!CG52*Calculateur!CI52*VLOOKUP('Données projet'!$B$12,Paramètres!$A$1:$I$88,3,0)*0.475*44/12</f>
        <v>0</v>
      </c>
      <c r="CM52" s="23">
        <f>EXP(-LN(2)/2)*CM51+(1-EXP(-LN(2)/2))/(LN(2)/2)*CG52*CJ52*VLOOKUP('Données projet'!$B$12,Paramètres!$A$1:$I$88,3,0)*0.475*44/12</f>
        <v>0</v>
      </c>
      <c r="CN52" s="24">
        <f t="shared" si="12"/>
        <v>3.5641773841435076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9.6</v>
      </c>
      <c r="CT52" s="13">
        <f>IF('Données projet'!$A$140&gt;35,CT51+CS52-DB51,IF(A52&lt;'Données projet'!$A$140,$CQ$205^A52,IF(A52='Données projet'!$A$140,'Données projet'!$B$140,CT51+CS52-DB51)))</f>
        <v>207.39999999999992</v>
      </c>
      <c r="CU52" s="18">
        <f>CT52*VLOOKUP('Données projet'!$B$13,Paramètres!$A$1:$I$88,3,0)*VLOOKUP('Données projet'!$B$13,Paramètres!$A$1:$I$88,5,0)</f>
        <v>197.36183999999994</v>
      </c>
      <c r="CV52" s="14">
        <f t="shared" si="41"/>
        <v>49.163932700585988</v>
      </c>
      <c r="CW52" s="22">
        <f t="shared" si="13"/>
        <v>429.36572078685384</v>
      </c>
      <c r="CX52" s="62">
        <f t="shared" si="14"/>
        <v>683.81210061114575</v>
      </c>
      <c r="CY52" s="62">
        <f ca="1">AVERAGE(OFFSET($CX$3,0,0,'Données projet'!$E$13+1,1))-AVERAGE(OFFSET($H$3,0,0,'Données projet'!$E$13+1,1))</f>
        <v>470.0521927195926</v>
      </c>
      <c r="CZ52" s="62">
        <f t="shared" si="42"/>
        <v>299.27200854723435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projet'!$B$13,Paramètres!$A$1:$I$88,3,0)*0.475*44/12</f>
        <v>3.3448433912731379</v>
      </c>
      <c r="DG52" s="23">
        <f>EXP(-LN(2)/25)*DG51+(1-EXP(-LN(2)/25))/(LN(2)/25)*Calculateur!DB52*Calculateur!DD52*VLOOKUP('Données projet'!$B$13,Paramètres!$A$1:$I$88,3,0)*0.475*44/12</f>
        <v>0</v>
      </c>
      <c r="DH52" s="23">
        <f>EXP(-LN(2)/2)*DH51+(1-EXP(-LN(2)/2))/(LN(2)/2)*DB52*DE52*VLOOKUP('Données projet'!$B$13,Paramètres!$A$1:$I$88,3,0)*0.475*44/12</f>
        <v>0</v>
      </c>
      <c r="DI52" s="24">
        <f t="shared" si="15"/>
        <v>3.3448433912731379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5.6</v>
      </c>
      <c r="DO52" s="13">
        <f>IF('Données projet'!$A$166&gt;35,DO51+DN52-DW51,IF(A52&lt;'Données projet'!$A$166,$DL$205^A52,IF(A52='Données projet'!$A$166,'Données projet'!$B$166,DO51+DN52-DW51)))</f>
        <v>115.39999999999996</v>
      </c>
      <c r="DP52" s="18">
        <f>DO52*VLOOKUP('Données projet'!$B$14,Paramètres!$A$1:$I$88,3,0)*VLOOKUP('Données projet'!$B$14,Paramètres!$A$1:$I$88,5,0)</f>
        <v>111.61487999999996</v>
      </c>
      <c r="DQ52" s="14">
        <f t="shared" si="43"/>
        <v>29.711139570849625</v>
      </c>
      <c r="DR52" s="22">
        <f t="shared" si="16"/>
        <v>246.14281741922969</v>
      </c>
      <c r="DS52" s="62">
        <f t="shared" si="17"/>
        <v>500.58919724352165</v>
      </c>
      <c r="DT52" s="62">
        <f ca="1">AVERAGE(OFFSET($DS$3,0,0,'Données projet'!$E$14+1,1))-AVERAGE(OFFSET($H$3,0,0,'Données projet'!$E$14+1,1))</f>
        <v>290.89727102147953</v>
      </c>
      <c r="DU52" s="62">
        <f t="shared" si="44"/>
        <v>173.19148969173838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projet'!$B$14,Paramètres!$A$1:$I$88,3,0)*0.475*44/12</f>
        <v>2.2664512596604864</v>
      </c>
      <c r="EB52" s="23">
        <f>EXP(-LN(2)/25)*EB51+(1-EXP(-LN(2)/25))/(LN(2)/25)*Calculateur!DW52*Calculateur!DY52*VLOOKUP('Données projet'!$B$14,Paramètres!$A$1:$I$88,3,0)*0.475*44/12</f>
        <v>0</v>
      </c>
      <c r="EC52" s="23">
        <f>EXP(-LN(2)/2)*EC51+(1-EXP(-LN(2)/2))/(LN(2)/2)*DW52*DZ52*VLOOKUP('Données projet'!$B$14,Paramètres!$A$1:$I$88,3,0)*0.475*44/12</f>
        <v>0</v>
      </c>
      <c r="ED52" s="24">
        <f t="shared" si="18"/>
        <v>2.2664512596604864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projet'!$B$15,Paramètres!$A$1:$I$88,3,0)*VLOOKUP('Données projet'!$B$15,Paramètres!$A$1:$I$88,5,0)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projet'!$B$15,Paramètres!$A$1:$I$88,3,0)*0.475*44/12</f>
        <v>#N/A</v>
      </c>
      <c r="EW52" s="23" t="e">
        <f>EXP(-LN(2)/25)*EW51+(1-EXP(-LN(2)/25))/(LN(2)/25)*Calculateur!ER52*Calculateur!ET52*VLOOKUP('Données projet'!$B$15,Paramètres!$A$1:$I$88,3,0)*0.475*44/12</f>
        <v>#N/A</v>
      </c>
      <c r="EX52" s="23" t="e">
        <f>EXP(-LN(2)/2)*EX51+(1-EXP(-LN(2)/2))/(LN(2)/2)*ER52*EU52*VLOOKUP('Données projet'!$B$15,Paramètres!$A$1:$I$88,3,0)*0.475*44/12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projet'!$B$16,Paramètres!$A$1:$I$88,3,0)*VLOOKUP('Données projet'!$B$16,Paramètres!$A$1:$I$88,5,0)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projet'!$B$16,Paramètres!$A$1:$I$88,3,0)*0.475*44/12</f>
        <v>#N/A</v>
      </c>
      <c r="FR52" s="23" t="e">
        <f>EXP(-LN(2)/25)*FR51+(1-EXP(-LN(2)/25))/(LN(2)/25)*Calculateur!FM52*Calculateur!FO52*VLOOKUP('Données projet'!$B$16,Paramètres!$A$1:$I$88,3,0)*0.475*44/12</f>
        <v>#N/A</v>
      </c>
      <c r="FS52" s="23" t="e">
        <f>EXP(-LN(2)/2)*FS51+(1-EXP(-LN(2)/2))/(LN(2)/2)*FM52*FP52*VLOOKUP('Données projet'!$B$16,Paramètres!$A$1:$I$88,3,0)*0.475*44/12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projet'!$B$17,Paramètres!$A$1:$I$88,3,0)*VLOOKUP('Données projet'!$B$17,Paramètres!$A$1:$I$88,5,0)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projet'!$B$17,Paramètres!$A$1:$I$88,3,0)*0.475*44/12</f>
        <v>#N/A</v>
      </c>
      <c r="GM52" s="23" t="e">
        <f>EXP(-LN(2)/25)*GM51+(1-EXP(-LN(2)/25))/(LN(2)/25)*Calculateur!GH52*Calculateur!GJ52*VLOOKUP('Données projet'!$B$17,Paramètres!$A$1:$I$88,3,0)*0.475*44/12</f>
        <v>#N/A</v>
      </c>
      <c r="GN52" s="23" t="e">
        <f>EXP(-LN(2)/2)*GN51+(1-EXP(-LN(2)/2))/(LN(2)/2)*GH52*GK52*VLOOKUP('Données projet'!$B$17,Paramètres!$A$1:$I$88,3,0)*0.475*44/12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projet'!$B$18,Paramètres!$A$1:$I$88,3,0)*VLOOKUP('Données projet'!$B$18,Paramètres!$A$1:$I$88,5,0)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projet'!$B$18,Paramètres!$A$1:$I$88,3,0)*0.475*44/12</f>
        <v>#N/A</v>
      </c>
      <c r="HH52" s="23" t="e">
        <f>EXP(-LN(2)/25)*HH51+(1-EXP(-LN(2)/25))/(LN(2)/25)*Calculateur!HC52*Calculateur!HE52*VLOOKUP('Données projet'!$B$18,Paramètres!$A$1:$I$88,3,0)*0.475*44/12</f>
        <v>#N/A</v>
      </c>
      <c r="HI52" s="23" t="e">
        <f>EXP(-LN(2)/2)*HI51+(1-EXP(-LN(2)/2))/(LN(2)/2)*HC52*HF52*VLOOKUP('Données projet'!$B$18,Paramètres!$A$1:$I$88,3,0)*0.475*44/12</f>
        <v>#N/A</v>
      </c>
      <c r="HJ52" s="24" t="e">
        <f t="shared" si="30"/>
        <v>#N/A</v>
      </c>
    </row>
    <row r="53" spans="1:218" s="5" customFormat="1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458</v>
      </c>
      <c r="L53" s="13">
        <f>VLOOKUP(A53,'Données projet'!$A$35:$I$55,9,0)</f>
        <v>18.2</v>
      </c>
      <c r="M53" s="13">
        <f t="array" ref="M53">INDEX(L:L,MIN(IF(ISNUMBER(L53:L249),ROW(L53:L249),"")))</f>
        <v>18.2</v>
      </c>
      <c r="N53" s="14">
        <f>IF('Données projet'!$A$36&gt;35,N52+M53-V52,IF(A53&lt;'Données projet'!$A$36,$K$205^A53,IF(A53='Données projet'!$A$36,'Données projet'!$B$36,N52+M53-V52)))</f>
        <v>458.00000000000006</v>
      </c>
      <c r="O53" s="14">
        <f>N53*VLOOKUP('Données projet'!$B$9,Paramètres!$A$1:$I$88,3,0)*VLOOKUP('Données projet'!$B$9,Paramètres!$A$1:$I$88,5,0)</f>
        <v>273.88400000000007</v>
      </c>
      <c r="P53" s="14">
        <f t="shared" si="33"/>
        <v>65.672865675587943</v>
      </c>
      <c r="Q53" s="22">
        <f t="shared" si="53"/>
        <v>591.39487438498247</v>
      </c>
      <c r="R53" s="62">
        <f t="shared" si="0"/>
        <v>846.51585591445257</v>
      </c>
      <c r="S53" s="62">
        <f ca="1">AVERAGE(OFFSET($R$3,0,0,'Données projet'!$E$9+1,1))-AVERAGE(OFFSET($H$3,0,0,'Données projet'!$E$9+1,1))</f>
        <v>301.2688576786212</v>
      </c>
      <c r="T53" s="62">
        <f t="shared" si="34"/>
        <v>417.62172165132927</v>
      </c>
      <c r="U53" s="16">
        <f>IF(ISNA(VLOOKUP(A53,'Données projet'!$A$35:$I$55,3,0)),0,VLOOKUP(A53,'Données projet'!$A$35:$I$55,3,0))</f>
        <v>8</v>
      </c>
      <c r="V53" s="16">
        <f>IF(ISNA(VLOOKUP(A53,'Données projet'!$A$35:$I$55,4,0)),0,VLOOKUP(A53,'Données projet'!$A$35:$I$55,4,0))</f>
        <v>458</v>
      </c>
      <c r="W53" s="17">
        <f>IF(ISNA(VLOOKUP(A53,'Données projet'!$A$35:$I$55,5,0)),0%,VLOOKUP(A53,'Données projet'!$A$35:$I$55,5,0)*VLOOKUP('Données projet'!$B$9,Paramètres!$A$1:$I$88,7,0))</f>
        <v>0.36000000000000004</v>
      </c>
      <c r="X53" s="17">
        <f>IF(ISNA(VLOOKUP(A53,'Données projet'!$A$35:$I$55,6,0)),0%,VLOOKUP(A53,'Données projet'!$A$35:$I$55,6,0)*VLOOKUP('Données projet'!$B$9,Paramètres!$A$1:$I$88,7,0))</f>
        <v>4.9500000000000002E-2</v>
      </c>
      <c r="Y53" s="17">
        <f>IF(ISNA(VLOOKUP(A53,'Données projet'!$A$35:$I$55,7,0)),0%,VLOOKUP(A53,'Données projet'!$A$35:$I$55,7,0))</f>
        <v>0.09</v>
      </c>
      <c r="Z53" s="23">
        <f>EXP(-LN(2)/35)*Z52+(1-EXP(-LN(2)/35))/(LN(2)/35)*V53*W53*VLOOKUP('Données projet'!$B$9,Paramètres!$A$1:$I$88,3,0)*0.475*44/12</f>
        <v>150.80289739362226</v>
      </c>
      <c r="AA53" s="23">
        <f>EXP(-LN(2)/25)*AA52+(1-EXP(-LN(2)/25))/(LN(2)/25)*Calculateur!V53*Calculateur!X53*VLOOKUP('Données projet'!$B$9,Paramètres!$A$1:$I$88,3,0)*0.475*44/12</f>
        <v>49.749124034643742</v>
      </c>
      <c r="AB53" s="23">
        <f>EXP(-LN(2)/2)*AB52+(1-EXP(-LN(2)/2))/(LN(2)/2)*V53*Y53*VLOOKUP('Données projet'!$B$9,Paramètres!$A$1:$I$88,3,0)*0.475*44/12</f>
        <v>29.452797886152414</v>
      </c>
      <c r="AC53" s="24">
        <f t="shared" si="3"/>
        <v>230.00481931441843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320</v>
      </c>
      <c r="AG53" s="13">
        <f>VLOOKUP(A53,'Données projet'!$A$61:$I$81,9,0)</f>
        <v>14</v>
      </c>
      <c r="AH53" s="13">
        <f t="array" ref="AH53">INDEX(AG:AG,MIN(IF(ISNUMBER(AG53:AG249),ROW(AG53:AG249),"")))</f>
        <v>14</v>
      </c>
      <c r="AI53" s="14">
        <f>IF('Données projet'!$A$62&gt;35,AI52+AH53-AQ52,IF(A53&lt;'Données projet'!$A$62,$AF$205^A53,IF(A53='Données projet'!$A$62,'Données projet'!$B$62,AI52+AH53-AQ52)))</f>
        <v>320</v>
      </c>
      <c r="AJ53" s="14">
        <f>AI53*VLOOKUP('Données projet'!$B$10,Paramètres!$A$1:$I$88,3,0)*VLOOKUP('Données projet'!$B$10,Paramètres!$A$1:$I$88,5,0)</f>
        <v>149.76</v>
      </c>
      <c r="AK53" s="14">
        <f t="shared" si="35"/>
        <v>38.524039677774802</v>
      </c>
      <c r="AL53" s="22">
        <f t="shared" si="4"/>
        <v>327.92803577212442</v>
      </c>
      <c r="AM53" s="62">
        <f t="shared" si="5"/>
        <v>583.04901730159452</v>
      </c>
      <c r="AN53" s="62">
        <f ca="1">AVERAGE(OFFSET($AM$3,0,0,'Données projet'!$E$10+1,1))-AVERAGE(OFFSET($H$3,0,0,'Données projet'!$E$10+1,1))</f>
        <v>170.08673939431091</v>
      </c>
      <c r="AO53" s="62">
        <f t="shared" si="36"/>
        <v>252.97355497077106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320</v>
      </c>
      <c r="AR53" s="17">
        <f>IF(ISNA(VLOOKUP(A53,'Données projet'!$A$61:$I$81,5,0)),0%,VLOOKUP(A53,'Données projet'!$A$61:$I$81,5,0)*VLOOKUP('Données projet'!$B$10,Paramètres!$A$1:$I$88,7,0))</f>
        <v>0.27500000000000002</v>
      </c>
      <c r="AS53" s="17">
        <f>IF(ISNA(VLOOKUP(A53,'Données projet'!$A$61:$I$81,6,0)),0%,VLOOKUP(A53,'Données projet'!$A$61:$I$81,6,0)*VLOOKUP('Données projet'!$B$10,Paramètres!$A$1:$I$88,7,0))</f>
        <v>0.15400000000000003</v>
      </c>
      <c r="AT53" s="17">
        <f>IF(ISNA(VLOOKUP(A53,'Données projet'!$A$61:$I$81,7,0)),0%,VLOOKUP(A53,'Données projet'!$A$61:$I$81,7,0))</f>
        <v>0.22</v>
      </c>
      <c r="AU53" s="23">
        <f>EXP(-LN(2)/35)*AU52+(1-EXP(-LN(2)/35))/(LN(2)/35)*AQ53*AR53*VLOOKUP('Données projet'!$B$10,Paramètres!$A$1:$I$88,3,0)*0.475*44/12</f>
        <v>62.964354027194787</v>
      </c>
      <c r="AV53" s="23">
        <f>EXP(-LN(2)/25)*AV52+(1-EXP(-LN(2)/25))/(LN(2)/25)*Calculateur!AQ53*Calculateur!AS53*VLOOKUP('Données projet'!$B$10,Paramètres!$A$1:$I$88,3,0)*0.475*44/12</f>
        <v>50.423394862057052</v>
      </c>
      <c r="AW53" s="23">
        <f>EXP(-LN(2)/2)*AW52+(1-EXP(-LN(2)/2))/(LN(2)/2)*AQ53*AT53*VLOOKUP('Données projet'!$B$10,Paramètres!$A$1:$I$88,3,0)*0.475*44/12</f>
        <v>37.726666237703533</v>
      </c>
      <c r="AX53" s="23">
        <f t="shared" si="6"/>
        <v>151.11441512695538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178</v>
      </c>
      <c r="BB53" s="13">
        <f>VLOOKUP(A53,'Données projet'!$A$87:$I$107,9,0)</f>
        <v>8.1999999999999993</v>
      </c>
      <c r="BC53" s="13">
        <f t="array" ref="BC53">INDEX(BB:BB,MIN(IF(ISNUMBER(BB53:BB249),ROW(BB53:BB249),"")))</f>
        <v>8.1999999999999993</v>
      </c>
      <c r="BD53" s="13">
        <f>IF('Données projet'!$A$88&gt;35,BD52+BC53-BL52,IF(A53&lt;'Données projet'!$A$88,$BA$205^A53,IF(A53='Données projet'!$A$88,'Données projet'!$B$88,BD52+BC53-BL52)))</f>
        <v>178</v>
      </c>
      <c r="BE53" s="14">
        <f>BD53*VLOOKUP('Données projet'!$B$11,Paramètres!$A$1:$I$88,3,0)*VLOOKUP('Données projet'!$B$11,Paramètres!$A$1:$I$88,5,0)</f>
        <v>161.05439999999999</v>
      </c>
      <c r="BF53" s="14">
        <f t="shared" si="37"/>
        <v>41.080247278685491</v>
      </c>
      <c r="BG53" s="22">
        <f t="shared" si="7"/>
        <v>352.05117734371055</v>
      </c>
      <c r="BH53" s="62">
        <f t="shared" si="8"/>
        <v>607.17215887318071</v>
      </c>
      <c r="BI53" s="62">
        <f ca="1">AVERAGE(OFFSET($BH$3,0,0,'Données projet'!$E$11+1,1))-AVERAGE(OFFSET($H$3,0,0,'Données projet'!$E$11+1,1))</f>
        <v>362.63718589694594</v>
      </c>
      <c r="BJ53" s="62">
        <f t="shared" si="38"/>
        <v>250.47702091764884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21</v>
      </c>
      <c r="BM53" s="17">
        <f>IF(ISNA(VLOOKUP(A53,'Données projet'!$A$87:$I$107,5,0)),0%,VLOOKUP(A53,'Données projet'!$A$87:$I$107,5,0)*VLOOKUP('Données projet'!$B$11,Paramètres!$A$1:$I$88,7,0))</f>
        <v>0.129</v>
      </c>
      <c r="BN53" s="17">
        <f>IF(ISNA(VLOOKUP(A53,'Données projet'!$A$87:$I$107,6,0)),0%,VLOOKUP(A53,'Données projet'!$A$87:$I$107,6,0)*VLOOKUP('Données projet'!$B$11,Paramètres!$A$1:$I$88,7,0))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projet'!$B$11,Paramètres!$A$1:$I$88,3,0)*0.475*44/12</f>
        <v>5.8276002970136886</v>
      </c>
      <c r="BQ53" s="23">
        <f>EXP(-LN(2)/25)*BQ52+(1-EXP(-LN(2)/25))/(LN(2)/25)*Calculateur!BL53*Calculateur!BN53*VLOOKUP('Données projet'!$B$11,Paramètres!$A$1:$I$88,3,0)*0.475*44/12</f>
        <v>0</v>
      </c>
      <c r="BR53" s="23">
        <f>EXP(-LN(2)/2)*BR52+(1-EXP(-LN(2)/2))/(LN(2)/2)*BL53*BO53*VLOOKUP('Données projet'!$B$11,Paramètres!$A$1:$I$88,3,0)*0.475*44/12</f>
        <v>0</v>
      </c>
      <c r="BS53" s="24">
        <f t="shared" si="9"/>
        <v>5.8276002970136886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178</v>
      </c>
      <c r="BW53" s="13">
        <f>VLOOKUP(A53,'Données projet'!$A$113:$I$133,9,0)</f>
        <v>8.1999999999999993</v>
      </c>
      <c r="BX53" s="13">
        <f t="array" ref="BX53">INDEX(BW:BW,MIN(IF(ISNUMBER(BW53:BW249),ROW(BW53:BW249),"")))</f>
        <v>8.1999999999999993</v>
      </c>
      <c r="BY53" s="13">
        <f>IF('Données projet'!$A$114&gt;35,BY52+BX53-CG52,IF(A53&lt;'Données projet'!$A$114,$BV$205^A53,IF(A53='Données projet'!$A$114,'Données projet'!$B$114,BY52+BX53-CG52)))</f>
        <v>178</v>
      </c>
      <c r="BZ53" s="14">
        <f>BY53*VLOOKUP('Données projet'!$B$12,Paramètres!$A$1:$I$88,3,0)*VLOOKUP('Données projet'!$B$12,Paramètres!$A$1:$I$88,5,0)</f>
        <v>180.49200000000002</v>
      </c>
      <c r="CA53" s="14">
        <f t="shared" si="39"/>
        <v>45.431629706642653</v>
      </c>
      <c r="CB53" s="22">
        <f t="shared" si="10"/>
        <v>393.4836550724026</v>
      </c>
      <c r="CC53" s="62">
        <f t="shared" si="11"/>
        <v>648.6046366018727</v>
      </c>
      <c r="CD53" s="62">
        <f ca="1">AVERAGE(OFFSET($CC$3,0,0,'Données projet'!$E$12+1,1))-AVERAGE(OFFSET($H$3,0,0,'Données projet'!$E$12+1,1))</f>
        <v>398.14524781940196</v>
      </c>
      <c r="CE53" s="62">
        <f t="shared" si="40"/>
        <v>273.35778700650792</v>
      </c>
      <c r="CF53" s="16">
        <f>IF(ISNA(VLOOKUP(A53,'Données projet'!$A$113:$I$133,3,0)),0,VLOOKUP(A53,'Données projet'!$A$113:$I$133,3,0))</f>
        <v>7</v>
      </c>
      <c r="CG53" s="16">
        <f>IF(ISNA(VLOOKUP(A53,'Données projet'!$A$113:$I$133,4,0)),0,VLOOKUP(A53,'Données projet'!$A$113:$I$133,4,0))</f>
        <v>21</v>
      </c>
      <c r="CH53" s="17">
        <f>IF(ISNA(VLOOKUP(A53,'Données projet'!$A$113:$I$133,5,0)),0%,VLOOKUP(A53,'Données projet'!$A$113:$I$133,5,0)*VLOOKUP('Données projet'!$B$12,Paramètres!$A$1:$I$88,7,0))</f>
        <v>0.129</v>
      </c>
      <c r="CI53" s="17">
        <f>IF(ISNA(VLOOKUP(A53,'Données projet'!$A$113:$I$133,6,0)),0%,VLOOKUP(A53,'Données projet'!$A$113:$I$133,6,0)*VLOOKUP('Données projet'!$B$12,Paramètres!$A$1:$I$88,7,0))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projet'!$B$12,Paramètres!$A$1:$I$88,3,0)*0.475*44/12</f>
        <v>6.5309313673429283</v>
      </c>
      <c r="CL53" s="23">
        <f>EXP(-LN(2)/25)*CL52+(1-EXP(-LN(2)/25))/(LN(2)/25)*Calculateur!CG53*Calculateur!CI53*VLOOKUP('Données projet'!$B$12,Paramètres!$A$1:$I$88,3,0)*0.475*44/12</f>
        <v>0</v>
      </c>
      <c r="CM53" s="23">
        <f>EXP(-LN(2)/2)*CM52+(1-EXP(-LN(2)/2))/(LN(2)/2)*CG53*CJ53*VLOOKUP('Données projet'!$B$12,Paramètres!$A$1:$I$88,3,0)*0.475*44/12</f>
        <v>0</v>
      </c>
      <c r="CN53" s="24">
        <f t="shared" si="12"/>
        <v>6.5309313673429283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217</v>
      </c>
      <c r="CR53" s="13">
        <f>VLOOKUP(A53,'Données projet'!$A$139:$I$159,9,0)</f>
        <v>9.6</v>
      </c>
      <c r="CS53" s="13">
        <f t="array" ref="CS53">INDEX(CR:CR,MIN(IF(ISNUMBER(CR53:CR249),ROW(CR53:CR249),"")))</f>
        <v>9.6</v>
      </c>
      <c r="CT53" s="13">
        <f>IF('Données projet'!$A$140&gt;35,CT52+CS53-DB52,IF(A53&lt;'Données projet'!$A$140,$CQ$205^A53,IF(A53='Données projet'!$A$140,'Données projet'!$B$140,CT52+CS53-DB52)))</f>
        <v>216.99999999999991</v>
      </c>
      <c r="CU53" s="18">
        <f>CT53*VLOOKUP('Données projet'!$B$13,Paramètres!$A$1:$I$88,3,0)*VLOOKUP('Données projet'!$B$13,Paramètres!$A$1:$I$88,5,0)</f>
        <v>206.49719999999994</v>
      </c>
      <c r="CV53" s="14">
        <f t="shared" si="41"/>
        <v>51.169388035144998</v>
      </c>
      <c r="CW53" s="22">
        <f t="shared" si="13"/>
        <v>448.76930749454397</v>
      </c>
      <c r="CX53" s="62">
        <f t="shared" si="14"/>
        <v>703.89028902401401</v>
      </c>
      <c r="CY53" s="62">
        <f ca="1">AVERAGE(OFFSET($CX$3,0,0,'Données projet'!$E$13+1,1))-AVERAGE(OFFSET($H$3,0,0,'Données projet'!$E$13+1,1))</f>
        <v>470.0521927195926</v>
      </c>
      <c r="CZ53" s="62">
        <f t="shared" si="42"/>
        <v>299.27200854723435</v>
      </c>
      <c r="DA53" s="16">
        <f>IF(ISNA(VLOOKUP(A53,'Données projet'!$A$139:$I$159,3,0)),0,VLOOKUP(A53,'Données projet'!$A$139:$I$159,3,0))</f>
        <v>7</v>
      </c>
      <c r="DB53" s="16">
        <f>IF(ISNA(VLOOKUP(A53,'Données projet'!$A$139:$I$159,4,0)),0,VLOOKUP(A53,'Données projet'!$A$139:$I$159,4,0))</f>
        <v>21</v>
      </c>
      <c r="DC53" s="17">
        <f>IF(ISNA(VLOOKUP(A53,'Données projet'!$A$139:$I$159,5,0)),0%,VLOOKUP(A53,'Données projet'!$A$139:$I$159,5,0)*VLOOKUP('Données projet'!$B$13,Paramètres!$A$1:$I$88,7,0))</f>
        <v>0.129</v>
      </c>
      <c r="DD53" s="17">
        <f>IF(ISNA(VLOOKUP(A53,'Données projet'!$A$139:$I$159,6,0)),0%,VLOOKUP(A53,'Données projet'!$A$139:$I$159,6,0)*VLOOKUP('Données projet'!$B$13,Paramètres!$A$1:$I$88,7,0))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projet'!$B$13,Paramètres!$A$1:$I$88,3,0)*0.475*44/12</f>
        <v>6.1290278985833631</v>
      </c>
      <c r="DG53" s="23">
        <f>EXP(-LN(2)/25)*DG52+(1-EXP(-LN(2)/25))/(LN(2)/25)*Calculateur!DB53*Calculateur!DD53*VLOOKUP('Données projet'!$B$13,Paramètres!$A$1:$I$88,3,0)*0.475*44/12</f>
        <v>0</v>
      </c>
      <c r="DH53" s="23">
        <f>EXP(-LN(2)/2)*DH52+(1-EXP(-LN(2)/2))/(LN(2)/2)*DB53*DE53*VLOOKUP('Données projet'!$B$13,Paramètres!$A$1:$I$88,3,0)*0.475*44/12</f>
        <v>0</v>
      </c>
      <c r="DI53" s="24">
        <f t="shared" si="15"/>
        <v>6.1290278985833631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121</v>
      </c>
      <c r="DM53" s="13">
        <f>VLOOKUP(A53,'Données projet'!$A$165:$I$185,9,0)</f>
        <v>5.6</v>
      </c>
      <c r="DN53" s="13">
        <f t="array" ref="DN53">INDEX(DM:DM,MIN(IF(ISNUMBER(DM53:DM249),ROW(DM53:DM249),"")))</f>
        <v>5.6</v>
      </c>
      <c r="DO53" s="13">
        <f>IF('Données projet'!$A$166&gt;35,DO52+DN53-DW52,IF(A53&lt;'Données projet'!$A$166,$DL$205^A53,IF(A53='Données projet'!$A$166,'Données projet'!$B$166,DO52+DN53-DW52)))</f>
        <v>120.99999999999996</v>
      </c>
      <c r="DP53" s="18">
        <f>DO53*VLOOKUP('Données projet'!$B$14,Paramètres!$A$1:$I$88,3,0)*VLOOKUP('Données projet'!$B$14,Paramètres!$A$1:$I$88,5,0)</f>
        <v>117.03119999999996</v>
      </c>
      <c r="DQ53" s="14">
        <f t="shared" si="43"/>
        <v>30.981569147428527</v>
      </c>
      <c r="DR53" s="22">
        <f t="shared" si="16"/>
        <v>257.78890626510457</v>
      </c>
      <c r="DS53" s="62">
        <f t="shared" si="17"/>
        <v>512.90988779457462</v>
      </c>
      <c r="DT53" s="62">
        <f ca="1">AVERAGE(OFFSET($DS$3,0,0,'Données projet'!$E$14+1,1))-AVERAGE(OFFSET($H$3,0,0,'Données projet'!$E$14+1,1))</f>
        <v>290.89727102147953</v>
      </c>
      <c r="DU53" s="62">
        <f t="shared" si="44"/>
        <v>173.19148969173838</v>
      </c>
      <c r="DV53" s="16">
        <f>IF(ISNA(VLOOKUP(A53,'Données projet'!$A$165:$I$185,3,0)),0,VLOOKUP(A53,'Données projet'!$A$165:$I$185,3,0))</f>
        <v>7</v>
      </c>
      <c r="DW53" s="16">
        <f>IF(ISNA(VLOOKUP(A53,'Données projet'!$A$165:$I$185,4,0)),0,VLOOKUP(A53,'Données projet'!$A$165:$I$185,4,0))</f>
        <v>14</v>
      </c>
      <c r="DX53" s="17">
        <f>IF(ISNA(VLOOKUP(A53,'Données projet'!$A$165:$I$185,5,0)),0%,VLOOKUP(A53,'Données projet'!$A$165:$I$185,5,0)*VLOOKUP('Données projet'!$B$14,Paramètres!$A$1:$I$88,7,0))</f>
        <v>0.129</v>
      </c>
      <c r="DY53" s="17">
        <f>IF(ISNA(VLOOKUP(A53,'Données projet'!$A$165:$I$185,6,0)),0%,VLOOKUP(A53,'Données projet'!$A$165:$I$185,6,0)*VLOOKUP('Données projet'!$B$14,Paramètres!$A$1:$I$88,7,0))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projet'!$B$14,Paramètres!$A$1:$I$88,3,0)*0.475*44/12</f>
        <v>4.1530025105155026</v>
      </c>
      <c r="EB53" s="23">
        <f>EXP(-LN(2)/25)*EB52+(1-EXP(-LN(2)/25))/(LN(2)/25)*Calculateur!DW53*Calculateur!DY53*VLOOKUP('Données projet'!$B$14,Paramètres!$A$1:$I$88,3,0)*0.475*44/12</f>
        <v>0</v>
      </c>
      <c r="EC53" s="23">
        <f>EXP(-LN(2)/2)*EC52+(1-EXP(-LN(2)/2))/(LN(2)/2)*DW53*DZ53*VLOOKUP('Données projet'!$B$14,Paramètres!$A$1:$I$88,3,0)*0.475*44/12</f>
        <v>0</v>
      </c>
      <c r="ED53" s="24">
        <f t="shared" si="18"/>
        <v>4.1530025105155026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projet'!$B$15,Paramètres!$A$1:$I$88,3,0)*VLOOKUP('Données projet'!$B$15,Paramètres!$A$1:$I$88,5,0)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projet'!$B$15,Paramètres!$A$1:$I$88,7,0))</f>
        <v>0</v>
      </c>
      <c r="ET53" s="17">
        <f>IF(ISNA(VLOOKUP(A53,'Données projet'!$A$191:$I$211,6,0)),0%,VLOOKUP(A53,'Données projet'!$A$191:$I$211,6,0)*VLOOKUP('Données projet'!$B$15,Paramètres!$A$1:$I$88,7,0))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projet'!$B$15,Paramètres!$A$1:$I$88,3,0)*0.475*44/12</f>
        <v>#N/A</v>
      </c>
      <c r="EW53" s="23" t="e">
        <f>EXP(-LN(2)/25)*EW52+(1-EXP(-LN(2)/25))/(LN(2)/25)*Calculateur!ER53*Calculateur!ET53*VLOOKUP('Données projet'!$B$15,Paramètres!$A$1:$I$88,3,0)*0.475*44/12</f>
        <v>#N/A</v>
      </c>
      <c r="EX53" s="23" t="e">
        <f>EXP(-LN(2)/2)*EX52+(1-EXP(-LN(2)/2))/(LN(2)/2)*ER53*EU53*VLOOKUP('Données projet'!$B$15,Paramètres!$A$1:$I$88,3,0)*0.475*44/12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projet'!$B$16,Paramètres!$A$1:$I$88,3,0)*VLOOKUP('Données projet'!$B$16,Paramètres!$A$1:$I$88,5,0)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projet'!$B$16,Paramètres!$A$1:$I$88,7,0))</f>
        <v>0</v>
      </c>
      <c r="FO53" s="17">
        <f>IF(ISNA(VLOOKUP(A53,'Données projet'!$A$217:$I$237,6,0)),0%,VLOOKUP(A53,'Données projet'!$A$217:$I$237,6,0)*VLOOKUP('Données projet'!$B$16,Paramètres!$A$1:$I$88,7,0))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projet'!$B$16,Paramètres!$A$1:$I$88,3,0)*0.475*44/12</f>
        <v>#N/A</v>
      </c>
      <c r="FR53" s="23" t="e">
        <f>EXP(-LN(2)/25)*FR52+(1-EXP(-LN(2)/25))/(LN(2)/25)*Calculateur!FM53*Calculateur!FO53*VLOOKUP('Données projet'!$B$16,Paramètres!$A$1:$I$88,3,0)*0.475*44/12</f>
        <v>#N/A</v>
      </c>
      <c r="FS53" s="23" t="e">
        <f>EXP(-LN(2)/2)*FS52+(1-EXP(-LN(2)/2))/(LN(2)/2)*FM53*FP53*VLOOKUP('Données projet'!$B$16,Paramètres!$A$1:$I$88,3,0)*0.475*44/12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projet'!$B$17,Paramètres!$A$1:$I$88,3,0)*VLOOKUP('Données projet'!$B$17,Paramètres!$A$1:$I$88,5,0)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projet'!$B$17,Paramètres!$A$1:$I$88,7,0))</f>
        <v>0</v>
      </c>
      <c r="GJ53" s="17">
        <f>IF(ISNA(VLOOKUP(A53,'Données projet'!$A$243:$I$263,6,0)),0%,VLOOKUP(A53,'Données projet'!$A$243:$I$263,6,0)*VLOOKUP('Données projet'!$B$17,Paramètres!$A$1:$I$88,7,0))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projet'!$B$17,Paramètres!$A$1:$I$88,3,0)*0.475*44/12</f>
        <v>#N/A</v>
      </c>
      <c r="GM53" s="23" t="e">
        <f>EXP(-LN(2)/25)*GM52+(1-EXP(-LN(2)/25))/(LN(2)/25)*Calculateur!GH53*Calculateur!GJ53*VLOOKUP('Données projet'!$B$17,Paramètres!$A$1:$I$88,3,0)*0.475*44/12</f>
        <v>#N/A</v>
      </c>
      <c r="GN53" s="23" t="e">
        <f>EXP(-LN(2)/2)*GN52+(1-EXP(-LN(2)/2))/(LN(2)/2)*GH53*GK53*VLOOKUP('Données projet'!$B$17,Paramètres!$A$1:$I$88,3,0)*0.475*44/12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projet'!$B$18,Paramètres!$A$1:$I$88,3,0)*VLOOKUP('Données projet'!$B$18,Paramètres!$A$1:$I$88,5,0)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projet'!$B$18,Paramètres!$A$1:$I$88,3,0)*0.475*44/12</f>
        <v>#N/A</v>
      </c>
      <c r="HH53" s="23" t="e">
        <f>EXP(-LN(2)/25)*HH52+(1-EXP(-LN(2)/25))/(LN(2)/25)*Calculateur!HC53*Calculateur!HE53*VLOOKUP('Données projet'!$B$18,Paramètres!$A$1:$I$88,3,0)*0.475*44/12</f>
        <v>#N/A</v>
      </c>
      <c r="HI53" s="23" t="e">
        <f>EXP(-LN(2)/2)*HI52+(1-EXP(-LN(2)/2))/(LN(2)/2)*HC53*HF53*VLOOKUP('Données projet'!$B$18,Paramètres!$A$1:$I$88,3,0)*0.475*44/12</f>
        <v>#N/A</v>
      </c>
      <c r="HJ53" s="24" t="e">
        <f t="shared" si="30"/>
        <v>#N/A</v>
      </c>
    </row>
    <row r="54" spans="1:218" s="5" customFormat="1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projet'!$B$9,Paramètres!$A$1:$I$88,3,0)*VLOOKUP('Données projet'!$B$9,Paramètres!$A$1:$I$88,5,0)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255.78388040324791</v>
      </c>
      <c r="S54" s="62">
        <f ca="1">AVERAGE(OFFSET($R$3,0,0,'Données projet'!$E$9+1,1))-AVERAGE(OFFSET($H$3,0,0,'Données projet'!$E$9+1,1))</f>
        <v>301.2688576786212</v>
      </c>
      <c r="T54" s="62">
        <f t="shared" si="34"/>
        <v>417.62172165132927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147.8457445564184</v>
      </c>
      <c r="AA54" s="23">
        <f>EXP(-LN(2)/25)*AA53+(1-EXP(-LN(2)/25))/(LN(2)/25)*Calculateur!V54*Calculateur!X54*VLOOKUP('Données projet'!$B$9,Paramètres!$A$1:$I$88,3,0)*0.475*44/12</f>
        <v>48.388731621723679</v>
      </c>
      <c r="AB54" s="23">
        <f>EXP(-LN(2)/2)*AB53+(1-EXP(-LN(2)/2))/(LN(2)/2)*V54*Y54*VLOOKUP('Données projet'!$B$9,Paramètres!$A$1:$I$88,3,0)*0.475*44/12</f>
        <v>20.826273110215187</v>
      </c>
      <c r="AC54" s="24">
        <f t="shared" si="3"/>
        <v>217.06074928835727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projet'!$B$10,Paramètres!$A$1:$I$88,3,0)*VLOOKUP('Données projet'!$B$10,Paramètres!$A$1:$I$88,5,0)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170.08673939431091</v>
      </c>
      <c r="AO54" s="62">
        <f t="shared" si="36"/>
        <v>252.97355497077106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projet'!$B$10,Paramètres!$A$1:$I$88,3,0)*0.475*44/12</f>
        <v>61.729661449185329</v>
      </c>
      <c r="AV54" s="23">
        <f>EXP(-LN(2)/25)*AV53+(1-EXP(-LN(2)/25))/(LN(2)/25)*Calculateur!AQ54*Calculateur!AS54*VLOOKUP('Données projet'!$B$10,Paramètres!$A$1:$I$88,3,0)*0.475*44/12</f>
        <v>49.044564477903009</v>
      </c>
      <c r="AW54" s="23">
        <f>EXP(-LN(2)/2)*AW53+(1-EXP(-LN(2)/2))/(LN(2)/2)*AQ54*AT54*VLOOKUP('Données projet'!$B$10,Paramètres!$A$1:$I$88,3,0)*0.475*44/12</f>
        <v>26.676781528241744</v>
      </c>
      <c r="AX54" s="23">
        <f t="shared" si="6"/>
        <v>137.45100745533009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</v>
      </c>
      <c r="BD54" s="13">
        <f>IF('Données projet'!$A$88&gt;35,BD53+BC54-BL53,IF(A54&lt;'Données projet'!$A$88,$BA$205^A54,IF(A54='Données projet'!$A$88,'Données projet'!$B$88,BD53+BC54-BL53)))</f>
        <v>165</v>
      </c>
      <c r="BE54" s="14">
        <f>BD54*VLOOKUP('Données projet'!$B$11,Paramètres!$A$1:$I$88,3,0)*VLOOKUP('Données projet'!$B$11,Paramètres!$A$1:$I$88,5,0)</f>
        <v>149.29199999999997</v>
      </c>
      <c r="BF54" s="14">
        <f t="shared" si="37"/>
        <v>38.417645803815411</v>
      </c>
      <c r="BG54" s="22">
        <f t="shared" si="7"/>
        <v>326.9276331083118</v>
      </c>
      <c r="BH54" s="62">
        <f t="shared" si="8"/>
        <v>582.71151351155868</v>
      </c>
      <c r="BI54" s="62">
        <f ca="1">AVERAGE(OFFSET($BH$3,0,0,'Données projet'!$E$11+1,1))-AVERAGE(OFFSET($H$3,0,0,'Données projet'!$E$11+1,1))</f>
        <v>362.63718589694594</v>
      </c>
      <c r="BJ54" s="62">
        <f t="shared" si="38"/>
        <v>250.47702091764884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projet'!$B$11,Paramètres!$A$1:$I$88,3,0)*0.475*44/12</f>
        <v>5.713324609674455</v>
      </c>
      <c r="BQ54" s="23">
        <f>EXP(-LN(2)/25)*BQ53+(1-EXP(-LN(2)/25))/(LN(2)/25)*Calculateur!BL54*Calculateur!BN54*VLOOKUP('Données projet'!$B$11,Paramètres!$A$1:$I$88,3,0)*0.475*44/12</f>
        <v>0</v>
      </c>
      <c r="BR54" s="23">
        <f>EXP(-LN(2)/2)*BR53+(1-EXP(-LN(2)/2))/(LN(2)/2)*BL54*BO54*VLOOKUP('Données projet'!$B$11,Paramètres!$A$1:$I$88,3,0)*0.475*44/12</f>
        <v>0</v>
      </c>
      <c r="BS54" s="24">
        <f t="shared" si="9"/>
        <v>5.713324609674455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8</v>
      </c>
      <c r="BY54" s="13">
        <f>IF('Données projet'!$A$114&gt;35,BY53+BX54-CG53,IF(A54&lt;'Données projet'!$A$114,$BV$205^A54,IF(A54='Données projet'!$A$114,'Données projet'!$B$114,BY53+BX54-CG53)))</f>
        <v>165</v>
      </c>
      <c r="BZ54" s="14">
        <f>BY54*VLOOKUP('Données projet'!$B$12,Paramètres!$A$1:$I$88,3,0)*VLOOKUP('Données projet'!$B$12,Paramètres!$A$1:$I$88,5,0)</f>
        <v>167.31</v>
      </c>
      <c r="CA54" s="14">
        <f t="shared" si="39"/>
        <v>42.486994942347515</v>
      </c>
      <c r="CB54" s="22">
        <f t="shared" si="10"/>
        <v>365.39643285792187</v>
      </c>
      <c r="CC54" s="62">
        <f t="shared" si="11"/>
        <v>621.18031326116875</v>
      </c>
      <c r="CD54" s="62">
        <f ca="1">AVERAGE(OFFSET($CC$3,0,0,'Données projet'!$E$12+1,1))-AVERAGE(OFFSET($H$3,0,0,'Données projet'!$E$12+1,1))</f>
        <v>398.14524781940196</v>
      </c>
      <c r="CE54" s="62">
        <f t="shared" si="40"/>
        <v>273.35778700650792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projet'!$B$12,Paramètres!$A$1:$I$88,3,0)*0.475*44/12</f>
        <v>6.402863786704132</v>
      </c>
      <c r="CL54" s="23">
        <f>EXP(-LN(2)/25)*CL53+(1-EXP(-LN(2)/25))/(LN(2)/25)*Calculateur!CG54*Calculateur!CI54*VLOOKUP('Données projet'!$B$12,Paramètres!$A$1:$I$88,3,0)*0.475*44/12</f>
        <v>0</v>
      </c>
      <c r="CM54" s="23">
        <f>EXP(-LN(2)/2)*CM53+(1-EXP(-LN(2)/2))/(LN(2)/2)*CG54*CJ54*VLOOKUP('Données projet'!$B$12,Paramètres!$A$1:$I$88,3,0)*0.475*44/12</f>
        <v>0</v>
      </c>
      <c r="CN54" s="24">
        <f t="shared" si="12"/>
        <v>6.402863786704132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9.6</v>
      </c>
      <c r="CT54" s="13">
        <f>IF('Données projet'!$A$140&gt;35,CT53+CS54-DB53,IF(A54&lt;'Données projet'!$A$140,$CQ$205^A54,IF(A54='Données projet'!$A$140,'Données projet'!$B$140,CT53+CS54-DB53)))</f>
        <v>205.59999999999991</v>
      </c>
      <c r="CU54" s="18">
        <f>CT54*VLOOKUP('Données projet'!$B$13,Paramètres!$A$1:$I$88,3,0)*VLOOKUP('Données projet'!$B$13,Paramètres!$A$1:$I$88,5,0)</f>
        <v>195.6489599999999</v>
      </c>
      <c r="CV54" s="14">
        <f t="shared" si="41"/>
        <v>48.786720180808118</v>
      </c>
      <c r="CW54" s="22">
        <f t="shared" si="13"/>
        <v>425.72547631490733</v>
      </c>
      <c r="CX54" s="62">
        <f t="shared" si="14"/>
        <v>681.50935671815409</v>
      </c>
      <c r="CY54" s="62">
        <f ca="1">AVERAGE(OFFSET($CX$3,0,0,'Données projet'!$E$13+1,1))-AVERAGE(OFFSET($H$3,0,0,'Données projet'!$E$13+1,1))</f>
        <v>470.0521927195926</v>
      </c>
      <c r="CZ54" s="62">
        <f t="shared" si="42"/>
        <v>299.27200854723435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projet'!$B$13,Paramètres!$A$1:$I$88,3,0)*0.475*44/12</f>
        <v>6.0088413998300316</v>
      </c>
      <c r="DG54" s="23">
        <f>EXP(-LN(2)/25)*DG53+(1-EXP(-LN(2)/25))/(LN(2)/25)*Calculateur!DB54*Calculateur!DD54*VLOOKUP('Données projet'!$B$13,Paramètres!$A$1:$I$88,3,0)*0.475*44/12</f>
        <v>0</v>
      </c>
      <c r="DH54" s="23">
        <f>EXP(-LN(2)/2)*DH53+(1-EXP(-LN(2)/2))/(LN(2)/2)*DB54*DE54*VLOOKUP('Données projet'!$B$13,Paramètres!$A$1:$I$88,3,0)*0.475*44/12</f>
        <v>0</v>
      </c>
      <c r="DI54" s="24">
        <f t="shared" si="15"/>
        <v>6.0088413998300316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5.6</v>
      </c>
      <c r="DO54" s="13">
        <f>IF('Données projet'!$A$166&gt;35,DO53+DN54-DW53,IF(A54&lt;'Données projet'!$A$166,$DL$205^A54,IF(A54='Données projet'!$A$166,'Données projet'!$B$166,DO53+DN54-DW53)))</f>
        <v>112.59999999999995</v>
      </c>
      <c r="DP54" s="18">
        <f>DO54*VLOOKUP('Données projet'!$B$14,Paramètres!$A$1:$I$88,3,0)*VLOOKUP('Données projet'!$B$14,Paramètres!$A$1:$I$88,5,0)</f>
        <v>108.90671999999995</v>
      </c>
      <c r="DQ54" s="14">
        <f t="shared" si="43"/>
        <v>29.073249724487347</v>
      </c>
      <c r="DR54" s="22">
        <f t="shared" si="16"/>
        <v>240.31511393681535</v>
      </c>
      <c r="DS54" s="62">
        <f t="shared" si="17"/>
        <v>496.09899434006218</v>
      </c>
      <c r="DT54" s="62">
        <f ca="1">AVERAGE(OFFSET($DS$3,0,0,'Données projet'!$E$14+1,1))-AVERAGE(OFFSET($H$3,0,0,'Données projet'!$E$14+1,1))</f>
        <v>290.89727102147953</v>
      </c>
      <c r="DU54" s="62">
        <f t="shared" si="44"/>
        <v>173.19148969173838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projet'!$B$14,Paramètres!$A$1:$I$88,3,0)*0.475*44/12</f>
        <v>4.0715646643657042</v>
      </c>
      <c r="EB54" s="23">
        <f>EXP(-LN(2)/25)*EB53+(1-EXP(-LN(2)/25))/(LN(2)/25)*Calculateur!DW54*Calculateur!DY54*VLOOKUP('Données projet'!$B$14,Paramètres!$A$1:$I$88,3,0)*0.475*44/12</f>
        <v>0</v>
      </c>
      <c r="EC54" s="23">
        <f>EXP(-LN(2)/2)*EC53+(1-EXP(-LN(2)/2))/(LN(2)/2)*DW54*DZ54*VLOOKUP('Données projet'!$B$14,Paramètres!$A$1:$I$88,3,0)*0.475*44/12</f>
        <v>0</v>
      </c>
      <c r="ED54" s="24">
        <f t="shared" si="18"/>
        <v>4.0715646643657042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projet'!$B$15,Paramètres!$A$1:$I$88,3,0)*VLOOKUP('Données projet'!$B$15,Paramètres!$A$1:$I$88,5,0)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projet'!$B$15,Paramètres!$A$1:$I$88,3,0)*0.475*44/12</f>
        <v>#N/A</v>
      </c>
      <c r="EW54" s="23" t="e">
        <f>EXP(-LN(2)/25)*EW53+(1-EXP(-LN(2)/25))/(LN(2)/25)*Calculateur!ER54*Calculateur!ET54*VLOOKUP('Données projet'!$B$15,Paramètres!$A$1:$I$88,3,0)*0.475*44/12</f>
        <v>#N/A</v>
      </c>
      <c r="EX54" s="23" t="e">
        <f>EXP(-LN(2)/2)*EX53+(1-EXP(-LN(2)/2))/(LN(2)/2)*ER54*EU54*VLOOKUP('Données projet'!$B$15,Paramètres!$A$1:$I$88,3,0)*0.475*44/12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projet'!$B$16,Paramètres!$A$1:$I$88,3,0)*VLOOKUP('Données projet'!$B$16,Paramètres!$A$1:$I$88,5,0)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projet'!$B$16,Paramètres!$A$1:$I$88,3,0)*0.475*44/12</f>
        <v>#N/A</v>
      </c>
      <c r="FR54" s="23" t="e">
        <f>EXP(-LN(2)/25)*FR53+(1-EXP(-LN(2)/25))/(LN(2)/25)*Calculateur!FM54*Calculateur!FO54*VLOOKUP('Données projet'!$B$16,Paramètres!$A$1:$I$88,3,0)*0.475*44/12</f>
        <v>#N/A</v>
      </c>
      <c r="FS54" s="23" t="e">
        <f>EXP(-LN(2)/2)*FS53+(1-EXP(-LN(2)/2))/(LN(2)/2)*FM54*FP54*VLOOKUP('Données projet'!$B$16,Paramètres!$A$1:$I$88,3,0)*0.475*44/12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projet'!$B$17,Paramètres!$A$1:$I$88,3,0)*VLOOKUP('Données projet'!$B$17,Paramètres!$A$1:$I$88,5,0)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projet'!$B$17,Paramètres!$A$1:$I$88,3,0)*0.475*44/12</f>
        <v>#N/A</v>
      </c>
      <c r="GM54" s="23" t="e">
        <f>EXP(-LN(2)/25)*GM53+(1-EXP(-LN(2)/25))/(LN(2)/25)*Calculateur!GH54*Calculateur!GJ54*VLOOKUP('Données projet'!$B$17,Paramètres!$A$1:$I$88,3,0)*0.475*44/12</f>
        <v>#N/A</v>
      </c>
      <c r="GN54" s="23" t="e">
        <f>EXP(-LN(2)/2)*GN53+(1-EXP(-LN(2)/2))/(LN(2)/2)*GH54*GK54*VLOOKUP('Données projet'!$B$17,Paramètres!$A$1:$I$88,3,0)*0.475*44/12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projet'!$B$18,Paramètres!$A$1:$I$88,3,0)*VLOOKUP('Données projet'!$B$18,Paramètres!$A$1:$I$88,5,0)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projet'!$B$18,Paramètres!$A$1:$I$88,3,0)*0.475*44/12</f>
        <v>#N/A</v>
      </c>
      <c r="HH54" s="23" t="e">
        <f>EXP(-LN(2)/25)*HH53+(1-EXP(-LN(2)/25))/(LN(2)/25)*Calculateur!HC54*Calculateur!HE54*VLOOKUP('Données projet'!$B$18,Paramètres!$A$1:$I$88,3,0)*0.475*44/12</f>
        <v>#N/A</v>
      </c>
      <c r="HI54" s="23" t="e">
        <f>EXP(-LN(2)/2)*HI53+(1-EXP(-LN(2)/2))/(LN(2)/2)*HC54*HF54*VLOOKUP('Données projet'!$B$18,Paramètres!$A$1:$I$88,3,0)*0.475*44/12</f>
        <v>#N/A</v>
      </c>
      <c r="HJ54" s="24" t="e">
        <f t="shared" si="30"/>
        <v>#N/A</v>
      </c>
    </row>
    <row r="55" spans="1:218" s="5" customFormat="1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projet'!$B$9,Paramètres!$A$1:$I$88,3,0)*VLOOKUP('Données projet'!$B$9,Paramètres!$A$1:$I$88,5,0)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256.43527946358444</v>
      </c>
      <c r="S55" s="62">
        <f ca="1">AVERAGE(OFFSET($R$3,0,0,'Données projet'!$E$9+1,1))-AVERAGE(OFFSET($H$3,0,0,'Données projet'!$E$9+1,1))</f>
        <v>301.2688576786212</v>
      </c>
      <c r="T55" s="62">
        <f t="shared" si="34"/>
        <v>417.62172165132927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144.94657968266696</v>
      </c>
      <c r="AA55" s="23">
        <f>EXP(-LN(2)/25)*AA54+(1-EXP(-LN(2)/25))/(LN(2)/25)*Calculateur!V55*Calculateur!X55*VLOOKUP('Données projet'!$B$9,Paramètres!$A$1:$I$88,3,0)*0.475*44/12</f>
        <v>47.065539210874846</v>
      </c>
      <c r="AB55" s="23">
        <f>EXP(-LN(2)/2)*AB54+(1-EXP(-LN(2)/2))/(LN(2)/2)*V55*Y55*VLOOKUP('Données projet'!$B$9,Paramètres!$A$1:$I$88,3,0)*0.475*44/12</f>
        <v>14.726398943076209</v>
      </c>
      <c r="AC55" s="24">
        <f t="shared" si="3"/>
        <v>206.73851783661803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projet'!$B$10,Paramètres!$A$1:$I$88,3,0)*VLOOKUP('Données projet'!$B$10,Paramètres!$A$1:$I$88,5,0)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170.08673939431091</v>
      </c>
      <c r="AO55" s="62">
        <f t="shared" si="36"/>
        <v>252.97355497077106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projet'!$B$10,Paramètres!$A$1:$I$88,3,0)*0.475*44/12</f>
        <v>60.519180439542524</v>
      </c>
      <c r="AV55" s="23">
        <f>EXP(-LN(2)/25)*AV54+(1-EXP(-LN(2)/25))/(LN(2)/25)*Calculateur!AQ55*Calculateur!AS55*VLOOKUP('Données projet'!$B$10,Paramètres!$A$1:$I$88,3,0)*0.475*44/12</f>
        <v>47.703438283113201</v>
      </c>
      <c r="AW55" s="23">
        <f>EXP(-LN(2)/2)*AW54+(1-EXP(-LN(2)/2))/(LN(2)/2)*AQ55*AT55*VLOOKUP('Données projet'!$B$10,Paramètres!$A$1:$I$88,3,0)*0.475*44/12</f>
        <v>18.86333311885177</v>
      </c>
      <c r="AX55" s="23">
        <f t="shared" si="6"/>
        <v>127.08595184150749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</v>
      </c>
      <c r="BD55" s="13">
        <f>IF('Données projet'!$A$88&gt;35,BD54+BC55-BL54,IF(A55&lt;'Données projet'!$A$88,$BA$205^A55,IF(A55='Données projet'!$A$88,'Données projet'!$B$88,BD54+BC55-BL54)))</f>
        <v>173</v>
      </c>
      <c r="BE55" s="14">
        <f>BD55*VLOOKUP('Données projet'!$B$11,Paramètres!$A$1:$I$88,3,0)*VLOOKUP('Données projet'!$B$11,Paramètres!$A$1:$I$88,5,0)</f>
        <v>156.53039999999999</v>
      </c>
      <c r="BF55" s="14">
        <f t="shared" si="37"/>
        <v>40.058941713182037</v>
      </c>
      <c r="BG55" s="22">
        <f t="shared" si="7"/>
        <v>342.393103483792</v>
      </c>
      <c r="BH55" s="62">
        <f t="shared" si="8"/>
        <v>598.8283829473753</v>
      </c>
      <c r="BI55" s="62">
        <f ca="1">AVERAGE(OFFSET($BH$3,0,0,'Données projet'!$E$11+1,1))-AVERAGE(OFFSET($H$3,0,0,'Données projet'!$E$11+1,1))</f>
        <v>362.63718589694594</v>
      </c>
      <c r="BJ55" s="62">
        <f t="shared" si="38"/>
        <v>250.47702091764884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projet'!$B$11,Paramètres!$A$1:$I$88,3,0)*0.475*44/12</f>
        <v>5.6012897988626573</v>
      </c>
      <c r="BQ55" s="23">
        <f>EXP(-LN(2)/25)*BQ54+(1-EXP(-LN(2)/25))/(LN(2)/25)*Calculateur!BL55*Calculateur!BN55*VLOOKUP('Données projet'!$B$11,Paramètres!$A$1:$I$88,3,0)*0.475*44/12</f>
        <v>0</v>
      </c>
      <c r="BR55" s="23">
        <f>EXP(-LN(2)/2)*BR54+(1-EXP(-LN(2)/2))/(LN(2)/2)*BL55*BO55*VLOOKUP('Données projet'!$B$11,Paramètres!$A$1:$I$88,3,0)*0.475*44/12</f>
        <v>0</v>
      </c>
      <c r="BS55" s="24">
        <f t="shared" si="9"/>
        <v>5.6012897988626573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8</v>
      </c>
      <c r="BY55" s="13">
        <f>IF('Données projet'!$A$114&gt;35,BY54+BX55-CG54,IF(A55&lt;'Données projet'!$A$114,$BV$205^A55,IF(A55='Données projet'!$A$114,'Données projet'!$B$114,BY54+BX55-CG54)))</f>
        <v>173</v>
      </c>
      <c r="BZ55" s="14">
        <f>BY55*VLOOKUP('Données projet'!$B$12,Paramètres!$A$1:$I$88,3,0)*VLOOKUP('Données projet'!$B$12,Paramètres!$A$1:$I$88,5,0)</f>
        <v>175.422</v>
      </c>
      <c r="CA55" s="14">
        <f t="shared" si="39"/>
        <v>44.302143412304737</v>
      </c>
      <c r="CB55" s="22">
        <f t="shared" si="10"/>
        <v>382.68621644309741</v>
      </c>
      <c r="CC55" s="62">
        <f t="shared" si="11"/>
        <v>639.12149590668082</v>
      </c>
      <c r="CD55" s="62">
        <f ca="1">AVERAGE(OFFSET($CC$3,0,0,'Données projet'!$E$12+1,1))-AVERAGE(OFFSET($H$3,0,0,'Données projet'!$E$12+1,1))</f>
        <v>398.14524781940196</v>
      </c>
      <c r="CE55" s="62">
        <f t="shared" si="40"/>
        <v>273.35778700650792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projet'!$B$12,Paramètres!$A$1:$I$88,3,0)*0.475*44/12</f>
        <v>6.2773075332081518</v>
      </c>
      <c r="CL55" s="23">
        <f>EXP(-LN(2)/25)*CL54+(1-EXP(-LN(2)/25))/(LN(2)/25)*Calculateur!CG55*Calculateur!CI55*VLOOKUP('Données projet'!$B$12,Paramètres!$A$1:$I$88,3,0)*0.475*44/12</f>
        <v>0</v>
      </c>
      <c r="CM55" s="23">
        <f>EXP(-LN(2)/2)*CM54+(1-EXP(-LN(2)/2))/(LN(2)/2)*CG55*CJ55*VLOOKUP('Données projet'!$B$12,Paramètres!$A$1:$I$88,3,0)*0.475*44/12</f>
        <v>0</v>
      </c>
      <c r="CN55" s="24">
        <f t="shared" si="12"/>
        <v>6.2773075332081518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9.6</v>
      </c>
      <c r="CT55" s="13">
        <f>IF('Données projet'!$A$140&gt;35,CT54+CS55-DB54,IF(A55&lt;'Données projet'!$A$140,$CQ$205^A55,IF(A55='Données projet'!$A$140,'Données projet'!$B$140,CT54+CS55-DB54)))</f>
        <v>215.1999999999999</v>
      </c>
      <c r="CU55" s="18">
        <f>CT55*VLOOKUP('Données projet'!$B$13,Paramètres!$A$1:$I$88,3,0)*VLOOKUP('Données projet'!$B$13,Paramètres!$A$1:$I$88,5,0)</f>
        <v>204.78431999999989</v>
      </c>
      <c r="CV55" s="14">
        <f t="shared" si="41"/>
        <v>50.794165457324191</v>
      </c>
      <c r="CW55" s="22">
        <f t="shared" si="13"/>
        <v>445.13252883817273</v>
      </c>
      <c r="CX55" s="62">
        <f t="shared" si="14"/>
        <v>701.56780830175603</v>
      </c>
      <c r="CY55" s="62">
        <f ca="1">AVERAGE(OFFSET($CX$3,0,0,'Données projet'!$E$13+1,1))-AVERAGE(OFFSET($H$3,0,0,'Données projet'!$E$13+1,1))</f>
        <v>470.0521927195926</v>
      </c>
      <c r="CZ55" s="62">
        <f t="shared" si="42"/>
        <v>299.27200854723435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projet'!$B$13,Paramètres!$A$1:$I$88,3,0)*0.475*44/12</f>
        <v>5.891011685010727</v>
      </c>
      <c r="DG55" s="23">
        <f>EXP(-LN(2)/25)*DG54+(1-EXP(-LN(2)/25))/(LN(2)/25)*Calculateur!DB55*Calculateur!DD55*VLOOKUP('Données projet'!$B$13,Paramètres!$A$1:$I$88,3,0)*0.475*44/12</f>
        <v>0</v>
      </c>
      <c r="DH55" s="23">
        <f>EXP(-LN(2)/2)*DH54+(1-EXP(-LN(2)/2))/(LN(2)/2)*DB55*DE55*VLOOKUP('Données projet'!$B$13,Paramètres!$A$1:$I$88,3,0)*0.475*44/12</f>
        <v>0</v>
      </c>
      <c r="DI55" s="24">
        <f t="shared" si="15"/>
        <v>5.891011685010727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5.6</v>
      </c>
      <c r="DO55" s="13">
        <f>IF('Données projet'!$A$166&gt;35,DO54+DN55-DW54,IF(A55&lt;'Données projet'!$A$166,$DL$205^A55,IF(A55='Données projet'!$A$166,'Données projet'!$B$166,DO54+DN55-DW54)))</f>
        <v>118.19999999999995</v>
      </c>
      <c r="DP55" s="18">
        <f>DO55*VLOOKUP('Données projet'!$B$14,Paramètres!$A$1:$I$88,3,0)*VLOOKUP('Données projet'!$B$14,Paramètres!$A$1:$I$88,5,0)</f>
        <v>114.32303999999995</v>
      </c>
      <c r="DQ55" s="14">
        <f t="shared" si="43"/>
        <v>30.347230203330305</v>
      </c>
      <c r="DR55" s="22">
        <f t="shared" si="16"/>
        <v>251.96738727080017</v>
      </c>
      <c r="DS55" s="62">
        <f t="shared" si="17"/>
        <v>508.4026667343835</v>
      </c>
      <c r="DT55" s="62">
        <f ca="1">AVERAGE(OFFSET($DS$3,0,0,'Données projet'!$E$14+1,1))-AVERAGE(OFFSET($H$3,0,0,'Données projet'!$E$14+1,1))</f>
        <v>290.89727102147953</v>
      </c>
      <c r="DU55" s="62">
        <f t="shared" si="44"/>
        <v>173.19148969173838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projet'!$B$14,Paramètres!$A$1:$I$88,3,0)*0.475*44/12</f>
        <v>3.9917237647067219</v>
      </c>
      <c r="EB55" s="23">
        <f>EXP(-LN(2)/25)*EB54+(1-EXP(-LN(2)/25))/(LN(2)/25)*Calculateur!DW55*Calculateur!DY55*VLOOKUP('Données projet'!$B$14,Paramètres!$A$1:$I$88,3,0)*0.475*44/12</f>
        <v>0</v>
      </c>
      <c r="EC55" s="23">
        <f>EXP(-LN(2)/2)*EC54+(1-EXP(-LN(2)/2))/(LN(2)/2)*DW55*DZ55*VLOOKUP('Données projet'!$B$14,Paramètres!$A$1:$I$88,3,0)*0.475*44/12</f>
        <v>0</v>
      </c>
      <c r="ED55" s="24">
        <f t="shared" si="18"/>
        <v>3.9917237647067219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projet'!$B$15,Paramètres!$A$1:$I$88,3,0)*VLOOKUP('Données projet'!$B$15,Paramètres!$A$1:$I$88,5,0)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projet'!$B$15,Paramètres!$A$1:$I$88,3,0)*0.475*44/12</f>
        <v>#N/A</v>
      </c>
      <c r="EW55" s="23" t="e">
        <f>EXP(-LN(2)/25)*EW54+(1-EXP(-LN(2)/25))/(LN(2)/25)*Calculateur!ER55*Calculateur!ET55*VLOOKUP('Données projet'!$B$15,Paramètres!$A$1:$I$88,3,0)*0.475*44/12</f>
        <v>#N/A</v>
      </c>
      <c r="EX55" s="23" t="e">
        <f>EXP(-LN(2)/2)*EX54+(1-EXP(-LN(2)/2))/(LN(2)/2)*ER55*EU55*VLOOKUP('Données projet'!$B$15,Paramètres!$A$1:$I$88,3,0)*0.475*44/12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projet'!$B$16,Paramètres!$A$1:$I$88,3,0)*VLOOKUP('Données projet'!$B$16,Paramètres!$A$1:$I$88,5,0)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projet'!$B$16,Paramètres!$A$1:$I$88,3,0)*0.475*44/12</f>
        <v>#N/A</v>
      </c>
      <c r="FR55" s="23" t="e">
        <f>EXP(-LN(2)/25)*FR54+(1-EXP(-LN(2)/25))/(LN(2)/25)*Calculateur!FM55*Calculateur!FO55*VLOOKUP('Données projet'!$B$16,Paramètres!$A$1:$I$88,3,0)*0.475*44/12</f>
        <v>#N/A</v>
      </c>
      <c r="FS55" s="23" t="e">
        <f>EXP(-LN(2)/2)*FS54+(1-EXP(-LN(2)/2))/(LN(2)/2)*FM55*FP55*VLOOKUP('Données projet'!$B$16,Paramètres!$A$1:$I$88,3,0)*0.475*44/12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projet'!$B$17,Paramètres!$A$1:$I$88,3,0)*VLOOKUP('Données projet'!$B$17,Paramètres!$A$1:$I$88,5,0)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projet'!$B$17,Paramètres!$A$1:$I$88,3,0)*0.475*44/12</f>
        <v>#N/A</v>
      </c>
      <c r="GM55" s="23" t="e">
        <f>EXP(-LN(2)/25)*GM54+(1-EXP(-LN(2)/25))/(LN(2)/25)*Calculateur!GH55*Calculateur!GJ55*VLOOKUP('Données projet'!$B$17,Paramètres!$A$1:$I$88,3,0)*0.475*44/12</f>
        <v>#N/A</v>
      </c>
      <c r="GN55" s="23" t="e">
        <f>EXP(-LN(2)/2)*GN54+(1-EXP(-LN(2)/2))/(LN(2)/2)*GH55*GK55*VLOOKUP('Données projet'!$B$17,Paramètres!$A$1:$I$88,3,0)*0.475*44/12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projet'!$B$18,Paramètres!$A$1:$I$88,3,0)*VLOOKUP('Données projet'!$B$18,Paramètres!$A$1:$I$88,5,0)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projet'!$B$18,Paramètres!$A$1:$I$88,3,0)*0.475*44/12</f>
        <v>#N/A</v>
      </c>
      <c r="HH55" s="23" t="e">
        <f>EXP(-LN(2)/25)*HH54+(1-EXP(-LN(2)/25))/(LN(2)/25)*Calculateur!HC55*Calculateur!HE55*VLOOKUP('Données projet'!$B$18,Paramètres!$A$1:$I$88,3,0)*0.475*44/12</f>
        <v>#N/A</v>
      </c>
      <c r="HI55" s="23" t="e">
        <f>EXP(-LN(2)/2)*HI54+(1-EXP(-LN(2)/2))/(LN(2)/2)*HC55*HF55*VLOOKUP('Données projet'!$B$18,Paramètres!$A$1:$I$88,3,0)*0.475*44/12</f>
        <v>#N/A</v>
      </c>
      <c r="HJ55" s="24" t="e">
        <f t="shared" si="30"/>
        <v>#N/A</v>
      </c>
    </row>
    <row r="56" spans="1:218" s="5" customFormat="1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projet'!$B$9,Paramètres!$A$1:$I$88,3,0)*VLOOKUP('Données projet'!$B$9,Paramètres!$A$1:$I$88,5,0)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257.07537820653431</v>
      </c>
      <c r="S56" s="62">
        <f ca="1">AVERAGE(OFFSET($R$3,0,0,'Données projet'!$E$9+1,1))-AVERAGE(OFFSET($H$3,0,0,'Données projet'!$E$9+1,1))</f>
        <v>301.2688576786212</v>
      </c>
      <c r="T56" s="62">
        <f t="shared" si="34"/>
        <v>417.62172165132927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projet'!$B$9,Paramètres!$A$1:$I$88,7,0))</f>
        <v>0</v>
      </c>
      <c r="X56" s="17">
        <f>IF(ISNA(VLOOKUP(A56,'Données projet'!$A$35:$I$55,6,0)),0%,VLOOKUP(A56,'Données projet'!$A$35:$I$55,6,0)*VLOOKUP('Données projet'!$B$9,Paramètres!$A$1:$I$88,7,0))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142.10426566377384</v>
      </c>
      <c r="AA56" s="23">
        <f>EXP(-LN(2)/25)*AA55+(1-EXP(-LN(2)/25))/(LN(2)/25)*Calculateur!V56*Calculateur!X56*VLOOKUP('Données projet'!$B$9,Paramètres!$A$1:$I$88,3,0)*0.475*44/12</f>
        <v>45.778529566084337</v>
      </c>
      <c r="AB56" s="23">
        <f>EXP(-LN(2)/2)*AB55+(1-EXP(-LN(2)/2))/(LN(2)/2)*V56*Y56*VLOOKUP('Données projet'!$B$9,Paramètres!$A$1:$I$88,3,0)*0.475*44/12</f>
        <v>10.413136555107593</v>
      </c>
      <c r="AC56" s="24">
        <f t="shared" si="3"/>
        <v>198.29593178496577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projet'!$B$10,Paramètres!$A$1:$I$88,3,0)*VLOOKUP('Données projet'!$B$10,Paramètres!$A$1:$I$88,5,0)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170.08673939431091</v>
      </c>
      <c r="AO56" s="62">
        <f t="shared" si="36"/>
        <v>252.97355497077106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projet'!$B$10,Paramètres!$A$1:$I$88,7,0))</f>
        <v>0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projet'!$B$10,Paramètres!$A$1:$I$88,3,0)*0.475*44/12</f>
        <v>59.332436224178302</v>
      </c>
      <c r="AV56" s="23">
        <f>EXP(-LN(2)/25)*AV55+(1-EXP(-LN(2)/25))/(LN(2)/25)*Calculateur!AQ56*Calculateur!AS56*VLOOKUP('Données projet'!$B$10,Paramètres!$A$1:$I$88,3,0)*0.475*44/12</f>
        <v>46.398985254646682</v>
      </c>
      <c r="AW56" s="23">
        <f>EXP(-LN(2)/2)*AW55+(1-EXP(-LN(2)/2))/(LN(2)/2)*AQ56*AT56*VLOOKUP('Données projet'!$B$10,Paramètres!$A$1:$I$88,3,0)*0.475*44/12</f>
        <v>13.338390764120875</v>
      </c>
      <c r="AX56" s="23">
        <f t="shared" si="6"/>
        <v>119.06981224294586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</v>
      </c>
      <c r="BD56" s="13">
        <f>IF('Données projet'!$A$88&gt;35,BD55+BC56-BL55,IF(A56&lt;'Données projet'!$A$88,$BA$205^A56,IF(A56='Données projet'!$A$88,'Données projet'!$B$88,BD55+BC56-BL55)))</f>
        <v>181</v>
      </c>
      <c r="BE56" s="14">
        <f>BD56*VLOOKUP('Données projet'!$B$11,Paramètres!$A$1:$I$88,3,0)*VLOOKUP('Données projet'!$B$11,Paramètres!$A$1:$I$88,5,0)</f>
        <v>163.7688</v>
      </c>
      <c r="BF56" s="14">
        <f t="shared" si="37"/>
        <v>41.691423503509803</v>
      </c>
      <c r="BG56" s="22">
        <f t="shared" si="7"/>
        <v>357.84322260194625</v>
      </c>
      <c r="BH56" s="62">
        <f t="shared" si="8"/>
        <v>614.91860080847948</v>
      </c>
      <c r="BI56" s="62">
        <f ca="1">AVERAGE(OFFSET($BH$3,0,0,'Données projet'!$E$11+1,1))-AVERAGE(OFFSET($H$3,0,0,'Données projet'!$E$11+1,1))</f>
        <v>362.63718589694594</v>
      </c>
      <c r="BJ56" s="62">
        <f t="shared" si="38"/>
        <v>250.47702091764884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projet'!$B$11,Paramètres!$A$1:$I$88,7,0))</f>
        <v>0</v>
      </c>
      <c r="BN56" s="17">
        <f>IF(ISNA(VLOOKUP(A56,'Données projet'!$A$87:$I$107,6,0)),0%,VLOOKUP(A56,'Données projet'!$A$87:$I$107,6,0)*VLOOKUP('Données projet'!$B$11,Paramètres!$A$1:$I$88,7,0))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projet'!$B$11,Paramètres!$A$1:$I$88,3,0)*0.475*44/12</f>
        <v>5.4914519223563918</v>
      </c>
      <c r="BQ56" s="23">
        <f>EXP(-LN(2)/25)*BQ55+(1-EXP(-LN(2)/25))/(LN(2)/25)*Calculateur!BL56*Calculateur!BN56*VLOOKUP('Données projet'!$B$11,Paramètres!$A$1:$I$88,3,0)*0.475*44/12</f>
        <v>0</v>
      </c>
      <c r="BR56" s="23">
        <f>EXP(-LN(2)/2)*BR55+(1-EXP(-LN(2)/2))/(LN(2)/2)*BL56*BO56*VLOOKUP('Données projet'!$B$11,Paramètres!$A$1:$I$88,3,0)*0.475*44/12</f>
        <v>0</v>
      </c>
      <c r="BS56" s="24">
        <f t="shared" si="9"/>
        <v>5.4914519223563918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8</v>
      </c>
      <c r="BY56" s="13">
        <f>IF('Données projet'!$A$114&gt;35,BY55+BX56-CG55,IF(A56&lt;'Données projet'!$A$114,$BV$205^A56,IF(A56='Données projet'!$A$114,'Données projet'!$B$114,BY55+BX56-CG55)))</f>
        <v>181</v>
      </c>
      <c r="BZ56" s="14">
        <f>BY56*VLOOKUP('Données projet'!$B$12,Paramètres!$A$1:$I$88,3,0)*VLOOKUP('Données projet'!$B$12,Paramètres!$A$1:$I$88,5,0)</f>
        <v>183.53400000000002</v>
      </c>
      <c r="CA56" s="14">
        <f t="shared" si="39"/>
        <v>46.107544136839593</v>
      </c>
      <c r="CB56" s="22">
        <f t="shared" si="10"/>
        <v>399.95902270499568</v>
      </c>
      <c r="CC56" s="62">
        <f t="shared" si="11"/>
        <v>657.03440091152891</v>
      </c>
      <c r="CD56" s="62">
        <f ca="1">AVERAGE(OFFSET($CC$3,0,0,'Données projet'!$E$12+1,1))-AVERAGE(OFFSET($H$3,0,0,'Données projet'!$E$12+1,1))</f>
        <v>398.14524781940196</v>
      </c>
      <c r="CE56" s="62">
        <f t="shared" si="40"/>
        <v>273.35778700650792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projet'!$B$12,Paramètres!$A$1:$I$88,3,0)*0.475*44/12</f>
        <v>6.1542133612614744</v>
      </c>
      <c r="CL56" s="23">
        <f>EXP(-LN(2)/25)*CL55+(1-EXP(-LN(2)/25))/(LN(2)/25)*Calculateur!CG56*Calculateur!CI56*VLOOKUP('Données projet'!$B$12,Paramètres!$A$1:$I$88,3,0)*0.475*44/12</f>
        <v>0</v>
      </c>
      <c r="CM56" s="23">
        <f>EXP(-LN(2)/2)*CM55+(1-EXP(-LN(2)/2))/(LN(2)/2)*CG56*CJ56*VLOOKUP('Données projet'!$B$12,Paramètres!$A$1:$I$88,3,0)*0.475*44/12</f>
        <v>0</v>
      </c>
      <c r="CN56" s="24">
        <f t="shared" si="12"/>
        <v>6.1542133612614744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9.6</v>
      </c>
      <c r="CT56" s="13">
        <f>IF('Données projet'!$A$140&gt;35,CT55+CS56-DB55,IF(A56&lt;'Données projet'!$A$140,$CQ$205^A56,IF(A56='Données projet'!$A$140,'Données projet'!$B$140,CT55+CS56-DB55)))</f>
        <v>224.7999999999999</v>
      </c>
      <c r="CU56" s="18">
        <f>CT56*VLOOKUP('Données projet'!$B$13,Paramètres!$A$1:$I$88,3,0)*VLOOKUP('Données projet'!$B$13,Paramètres!$A$1:$I$88,5,0)</f>
        <v>213.91967999999989</v>
      </c>
      <c r="CV56" s="14">
        <f t="shared" si="41"/>
        <v>52.791210317408535</v>
      </c>
      <c r="CW56" s="22">
        <f t="shared" si="13"/>
        <v>464.5214673028197</v>
      </c>
      <c r="CX56" s="62">
        <f t="shared" si="14"/>
        <v>721.59684550935299</v>
      </c>
      <c r="CY56" s="62">
        <f ca="1">AVERAGE(OFFSET($CX$3,0,0,'Données projet'!$E$13+1,1))-AVERAGE(OFFSET($H$3,0,0,'Données projet'!$E$13+1,1))</f>
        <v>470.0521927195926</v>
      </c>
      <c r="CZ56" s="62">
        <f t="shared" si="42"/>
        <v>299.27200854723435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projet'!$B$13,Paramètres!$A$1:$I$88,3,0)*0.475*44/12</f>
        <v>5.7754925390299992</v>
      </c>
      <c r="DG56" s="23">
        <f>EXP(-LN(2)/25)*DG55+(1-EXP(-LN(2)/25))/(LN(2)/25)*Calculateur!DB56*Calculateur!DD56*VLOOKUP('Données projet'!$B$13,Paramètres!$A$1:$I$88,3,0)*0.475*44/12</f>
        <v>0</v>
      </c>
      <c r="DH56" s="23">
        <f>EXP(-LN(2)/2)*DH55+(1-EXP(-LN(2)/2))/(LN(2)/2)*DB56*DE56*VLOOKUP('Données projet'!$B$13,Paramètres!$A$1:$I$88,3,0)*0.475*44/12</f>
        <v>0</v>
      </c>
      <c r="DI56" s="24">
        <f t="shared" si="15"/>
        <v>5.7754925390299992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5.6</v>
      </c>
      <c r="DO56" s="13">
        <f>IF('Données projet'!$A$166&gt;35,DO55+DN56-DW55,IF(A56&lt;'Données projet'!$A$166,$DL$205^A56,IF(A56='Données projet'!$A$166,'Données projet'!$B$166,DO55+DN56-DW55)))</f>
        <v>123.79999999999994</v>
      </c>
      <c r="DP56" s="18">
        <f>DO56*VLOOKUP('Données projet'!$B$14,Paramètres!$A$1:$I$88,3,0)*VLOOKUP('Données projet'!$B$14,Paramètres!$A$1:$I$88,5,0)</f>
        <v>119.73935999999993</v>
      </c>
      <c r="DQ56" s="14">
        <f t="shared" si="43"/>
        <v>31.614201603611228</v>
      </c>
      <c r="DR56" s="22">
        <f t="shared" si="16"/>
        <v>263.60745312628939</v>
      </c>
      <c r="DS56" s="62">
        <f t="shared" si="17"/>
        <v>520.68283133282262</v>
      </c>
      <c r="DT56" s="62">
        <f ca="1">AVERAGE(OFFSET($DS$3,0,0,'Données projet'!$E$14+1,1))-AVERAGE(OFFSET($H$3,0,0,'Données projet'!$E$14+1,1))</f>
        <v>290.89727102147953</v>
      </c>
      <c r="DU56" s="62">
        <f t="shared" si="44"/>
        <v>173.19148969173838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projet'!$B$14,Paramètres!$A$1:$I$88,3,0)*0.475*44/12</f>
        <v>3.9134484963919118</v>
      </c>
      <c r="EB56" s="23">
        <f>EXP(-LN(2)/25)*EB55+(1-EXP(-LN(2)/25))/(LN(2)/25)*Calculateur!DW56*Calculateur!DY56*VLOOKUP('Données projet'!$B$14,Paramètres!$A$1:$I$88,3,0)*0.475*44/12</f>
        <v>0</v>
      </c>
      <c r="EC56" s="23">
        <f>EXP(-LN(2)/2)*EC55+(1-EXP(-LN(2)/2))/(LN(2)/2)*DW56*DZ56*VLOOKUP('Données projet'!$B$14,Paramètres!$A$1:$I$88,3,0)*0.475*44/12</f>
        <v>0</v>
      </c>
      <c r="ED56" s="24">
        <f t="shared" si="18"/>
        <v>3.9134484963919118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projet'!$B$15,Paramètres!$A$1:$I$88,3,0)*VLOOKUP('Données projet'!$B$15,Paramètres!$A$1:$I$88,5,0)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projet'!$B$15,Paramètres!$A$1:$I$88,3,0)*0.475*44/12</f>
        <v>#N/A</v>
      </c>
      <c r="EW56" s="23" t="e">
        <f>EXP(-LN(2)/25)*EW55+(1-EXP(-LN(2)/25))/(LN(2)/25)*Calculateur!ER56*Calculateur!ET56*VLOOKUP('Données projet'!$B$15,Paramètres!$A$1:$I$88,3,0)*0.475*44/12</f>
        <v>#N/A</v>
      </c>
      <c r="EX56" s="23" t="e">
        <f>EXP(-LN(2)/2)*EX55+(1-EXP(-LN(2)/2))/(LN(2)/2)*ER56*EU56*VLOOKUP('Données projet'!$B$15,Paramètres!$A$1:$I$88,3,0)*0.475*44/12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projet'!$B$16,Paramètres!$A$1:$I$88,3,0)*VLOOKUP('Données projet'!$B$16,Paramètres!$A$1:$I$88,5,0)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projet'!$B$16,Paramètres!$A$1:$I$88,3,0)*0.475*44/12</f>
        <v>#N/A</v>
      </c>
      <c r="FR56" s="23" t="e">
        <f>EXP(-LN(2)/25)*FR55+(1-EXP(-LN(2)/25))/(LN(2)/25)*Calculateur!FM56*Calculateur!FO56*VLOOKUP('Données projet'!$B$16,Paramètres!$A$1:$I$88,3,0)*0.475*44/12</f>
        <v>#N/A</v>
      </c>
      <c r="FS56" s="23" t="e">
        <f>EXP(-LN(2)/2)*FS55+(1-EXP(-LN(2)/2))/(LN(2)/2)*FM56*FP56*VLOOKUP('Données projet'!$B$16,Paramètres!$A$1:$I$88,3,0)*0.475*44/12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projet'!$B$17,Paramètres!$A$1:$I$88,3,0)*VLOOKUP('Données projet'!$B$17,Paramètres!$A$1:$I$88,5,0)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projet'!$B$17,Paramètres!$A$1:$I$88,3,0)*0.475*44/12</f>
        <v>#N/A</v>
      </c>
      <c r="GM56" s="23" t="e">
        <f>EXP(-LN(2)/25)*GM55+(1-EXP(-LN(2)/25))/(LN(2)/25)*Calculateur!GH56*Calculateur!GJ56*VLOOKUP('Données projet'!$B$17,Paramètres!$A$1:$I$88,3,0)*0.475*44/12</f>
        <v>#N/A</v>
      </c>
      <c r="GN56" s="23" t="e">
        <f>EXP(-LN(2)/2)*GN55+(1-EXP(-LN(2)/2))/(LN(2)/2)*GH56*GK56*VLOOKUP('Données projet'!$B$17,Paramètres!$A$1:$I$88,3,0)*0.475*44/12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projet'!$B$18,Paramètres!$A$1:$I$88,3,0)*VLOOKUP('Données projet'!$B$18,Paramètres!$A$1:$I$88,5,0)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projet'!$B$18,Paramètres!$A$1:$I$88,3,0)*0.475*44/12</f>
        <v>#N/A</v>
      </c>
      <c r="HH56" s="23" t="e">
        <f>EXP(-LN(2)/25)*HH55+(1-EXP(-LN(2)/25))/(LN(2)/25)*Calculateur!HC56*Calculateur!HE56*VLOOKUP('Données projet'!$B$18,Paramètres!$A$1:$I$88,3,0)*0.475*44/12</f>
        <v>#N/A</v>
      </c>
      <c r="HI56" s="23" t="e">
        <f>EXP(-LN(2)/2)*HI55+(1-EXP(-LN(2)/2))/(LN(2)/2)*HC56*HF56*VLOOKUP('Données projet'!$B$18,Paramètres!$A$1:$I$88,3,0)*0.475*44/12</f>
        <v>#N/A</v>
      </c>
      <c r="HJ56" s="24" t="e">
        <f t="shared" si="30"/>
        <v>#N/A</v>
      </c>
    </row>
    <row r="57" spans="1:218" s="5" customFormat="1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projet'!$B$9,Paramètres!$A$1:$I$88,3,0)*VLOOKUP('Données projet'!$B$9,Paramètres!$A$1:$I$88,5,0)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257.70437266734041</v>
      </c>
      <c r="S57" s="62">
        <f ca="1">AVERAGE(OFFSET($R$3,0,0,'Données projet'!$E$9+1,1))-AVERAGE(OFFSET($H$3,0,0,'Données projet'!$E$9+1,1))</f>
        <v>301.2688576786212</v>
      </c>
      <c r="T57" s="62">
        <f t="shared" si="34"/>
        <v>417.62172165132927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projet'!$B$9,Paramètres!$A$1:$I$88,7,0))</f>
        <v>0</v>
      </c>
      <c r="X57" s="17">
        <f>IF(ISNA(VLOOKUP(A57,'Données projet'!$A$35:$I$55,6,0)),0%,VLOOKUP(A57,'Données projet'!$A$35:$I$55,6,0)*VLOOKUP('Données projet'!$B$9,Paramètres!$A$1:$I$88,7,0))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139.31768768915086</v>
      </c>
      <c r="AA57" s="23">
        <f>EXP(-LN(2)/25)*AA56+(1-EXP(-LN(2)/25))/(LN(2)/25)*Calculateur!V57*Calculateur!X57*VLOOKUP('Données projet'!$B$9,Paramètres!$A$1:$I$88,3,0)*0.475*44/12</f>
        <v>44.526713267711521</v>
      </c>
      <c r="AB57" s="23">
        <f>EXP(-LN(2)/2)*AB56+(1-EXP(-LN(2)/2))/(LN(2)/2)*V57*Y57*VLOOKUP('Données projet'!$B$9,Paramètres!$A$1:$I$88,3,0)*0.475*44/12</f>
        <v>7.3631994715381044</v>
      </c>
      <c r="AC57" s="24">
        <f t="shared" si="3"/>
        <v>191.2076004284005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projet'!$B$10,Paramètres!$A$1:$I$88,3,0)*VLOOKUP('Données projet'!$B$10,Paramètres!$A$1:$I$88,5,0)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170.08673939431091</v>
      </c>
      <c r="AO57" s="62">
        <f t="shared" si="36"/>
        <v>252.97355497077106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projet'!$B$10,Paramètres!$A$1:$I$88,7,0))</f>
        <v>0</v>
      </c>
      <c r="AS57" s="17">
        <f>IF(ISNA(VLOOKUP(A57,'Données projet'!$A$61:$I$81,6,0)),0%,VLOOKUP(A57,'Données projet'!$A$61:$I$81,6,0)*VLOOKUP('Données projet'!$B$10,Paramètres!$A$1:$I$88,7,0))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projet'!$B$10,Paramètres!$A$1:$I$88,3,0)*0.475*44/12</f>
        <v>58.168963339034875</v>
      </c>
      <c r="AV57" s="23">
        <f>EXP(-LN(2)/25)*AV56+(1-EXP(-LN(2)/25))/(LN(2)/25)*Calculateur!AQ57*Calculateur!AS57*VLOOKUP('Données projet'!$B$10,Paramètres!$A$1:$I$88,3,0)*0.475*44/12</f>
        <v>45.130202562841781</v>
      </c>
      <c r="AW57" s="23">
        <f>EXP(-LN(2)/2)*AW56+(1-EXP(-LN(2)/2))/(LN(2)/2)*AQ57*AT57*VLOOKUP('Données projet'!$B$10,Paramètres!$A$1:$I$88,3,0)*0.475*44/12</f>
        <v>9.4316665594258868</v>
      </c>
      <c r="AX57" s="23">
        <f t="shared" si="6"/>
        <v>112.73083246130254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</v>
      </c>
      <c r="BD57" s="13">
        <f>IF('Données projet'!$A$88&gt;35,BD56+BC57-BL56,IF(A57&lt;'Données projet'!$A$88,$BA$205^A57,IF(A57='Données projet'!$A$88,'Données projet'!$B$88,BD56+BC57-BL56)))</f>
        <v>189</v>
      </c>
      <c r="BE57" s="14">
        <f>BD57*VLOOKUP('Données projet'!$B$11,Paramètres!$A$1:$I$88,3,0)*VLOOKUP('Données projet'!$B$11,Paramètres!$A$1:$I$88,5,0)</f>
        <v>171.00719999999998</v>
      </c>
      <c r="BF57" s="14">
        <f t="shared" si="37"/>
        <v>43.315525267338089</v>
      </c>
      <c r="BG57" s="22">
        <f t="shared" si="7"/>
        <v>373.27874650728046</v>
      </c>
      <c r="BH57" s="62">
        <f t="shared" si="8"/>
        <v>630.98311917461979</v>
      </c>
      <c r="BI57" s="62">
        <f ca="1">AVERAGE(OFFSET($BH$3,0,0,'Données projet'!$E$11+1,1))-AVERAGE(OFFSET($H$3,0,0,'Données projet'!$E$11+1,1))</f>
        <v>362.63718589694594</v>
      </c>
      <c r="BJ57" s="62">
        <f t="shared" si="38"/>
        <v>250.47702091764884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projet'!$B$11,Paramètres!$A$1:$I$88,7,0))</f>
        <v>0</v>
      </c>
      <c r="BN57" s="17">
        <f>IF(ISNA(VLOOKUP(A57,'Données projet'!$A$87:$I$107,6,0)),0%,VLOOKUP(A57,'Données projet'!$A$87:$I$107,6,0)*VLOOKUP('Données projet'!$B$11,Paramètres!$A$1:$I$88,7,0))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projet'!$B$11,Paramètres!$A$1:$I$88,3,0)*0.475*44/12</f>
        <v>5.3837678996139244</v>
      </c>
      <c r="BQ57" s="23">
        <f>EXP(-LN(2)/25)*BQ56+(1-EXP(-LN(2)/25))/(LN(2)/25)*Calculateur!BL57*Calculateur!BN57*VLOOKUP('Données projet'!$B$11,Paramètres!$A$1:$I$88,3,0)*0.475*44/12</f>
        <v>0</v>
      </c>
      <c r="BR57" s="23">
        <f>EXP(-LN(2)/2)*BR56+(1-EXP(-LN(2)/2))/(LN(2)/2)*BL57*BO57*VLOOKUP('Données projet'!$B$11,Paramètres!$A$1:$I$88,3,0)*0.475*44/12</f>
        <v>0</v>
      </c>
      <c r="BS57" s="24">
        <f t="shared" si="9"/>
        <v>5.3837678996139244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8</v>
      </c>
      <c r="BY57" s="13">
        <f>IF('Données projet'!$A$114&gt;35,BY56+BX57-CG56,IF(A57&lt;'Données projet'!$A$114,$BV$205^A57,IF(A57='Données projet'!$A$114,'Données projet'!$B$114,BY56+BX57-CG56)))</f>
        <v>189</v>
      </c>
      <c r="BZ57" s="14">
        <f>BY57*VLOOKUP('Données projet'!$B$12,Paramètres!$A$1:$I$88,3,0)*VLOOKUP('Données projet'!$B$12,Paramètres!$A$1:$I$88,5,0)</f>
        <v>191.64600000000002</v>
      </c>
      <c r="CA57" s="14">
        <f t="shared" si="39"/>
        <v>47.903677189291635</v>
      </c>
      <c r="CB57" s="22">
        <f t="shared" si="10"/>
        <v>417.21568777134962</v>
      </c>
      <c r="CC57" s="62">
        <f t="shared" si="11"/>
        <v>674.92006043868901</v>
      </c>
      <c r="CD57" s="62">
        <f ca="1">AVERAGE(OFFSET($CC$3,0,0,'Données projet'!$E$12+1,1))-AVERAGE(OFFSET($H$3,0,0,'Données projet'!$E$12+1,1))</f>
        <v>398.14524781940196</v>
      </c>
      <c r="CE57" s="62">
        <f t="shared" si="40"/>
        <v>273.35778700650792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projet'!$B$12,Paramètres!$A$1:$I$88,7,0))</f>
        <v>0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projet'!$B$12,Paramètres!$A$1:$I$88,3,0)*0.475*44/12</f>
        <v>6.0335329909466404</v>
      </c>
      <c r="CL57" s="23">
        <f>EXP(-LN(2)/25)*CL56+(1-EXP(-LN(2)/25))/(LN(2)/25)*Calculateur!CG57*Calculateur!CI57*VLOOKUP('Données projet'!$B$12,Paramètres!$A$1:$I$88,3,0)*0.475*44/12</f>
        <v>0</v>
      </c>
      <c r="CM57" s="23">
        <f>EXP(-LN(2)/2)*CM56+(1-EXP(-LN(2)/2))/(LN(2)/2)*CG57*CJ57*VLOOKUP('Données projet'!$B$12,Paramètres!$A$1:$I$88,3,0)*0.475*44/12</f>
        <v>0</v>
      </c>
      <c r="CN57" s="24">
        <f t="shared" si="12"/>
        <v>6.0335329909466404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9.6</v>
      </c>
      <c r="CT57" s="13">
        <f>IF('Données projet'!$A$140&gt;35,CT56+CS57-DB56,IF(A57&lt;'Données projet'!$A$140,$CQ$205^A57,IF(A57='Données projet'!$A$140,'Données projet'!$B$140,CT56+CS57-DB56)))</f>
        <v>234.39999999999989</v>
      </c>
      <c r="CU57" s="18">
        <f>CT57*VLOOKUP('Données projet'!$B$13,Paramètres!$A$1:$I$88,3,0)*VLOOKUP('Données projet'!$B$13,Paramètres!$A$1:$I$88,5,0)</f>
        <v>223.05503999999988</v>
      </c>
      <c r="CV57" s="14">
        <f t="shared" si="41"/>
        <v>54.778349682173001</v>
      </c>
      <c r="CW57" s="22">
        <f t="shared" si="13"/>
        <v>483.89315369645107</v>
      </c>
      <c r="CX57" s="62">
        <f t="shared" si="14"/>
        <v>741.59752636379039</v>
      </c>
      <c r="CY57" s="62">
        <f ca="1">AVERAGE(OFFSET($CX$3,0,0,'Données projet'!$E$13+1,1))-AVERAGE(OFFSET($H$3,0,0,'Données projet'!$E$13+1,1))</f>
        <v>470.0521927195926</v>
      </c>
      <c r="CZ57" s="62">
        <f t="shared" si="42"/>
        <v>299.27200854723435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projet'!$B$13,Paramètres!$A$1:$I$88,7,0))</f>
        <v>0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projet'!$B$13,Paramètres!$A$1:$I$88,3,0)*0.475*44/12</f>
        <v>5.6622386530422313</v>
      </c>
      <c r="DG57" s="23">
        <f>EXP(-LN(2)/25)*DG56+(1-EXP(-LN(2)/25))/(LN(2)/25)*Calculateur!DB57*Calculateur!DD57*VLOOKUP('Données projet'!$B$13,Paramètres!$A$1:$I$88,3,0)*0.475*44/12</f>
        <v>0</v>
      </c>
      <c r="DH57" s="23">
        <f>EXP(-LN(2)/2)*DH56+(1-EXP(-LN(2)/2))/(LN(2)/2)*DB57*DE57*VLOOKUP('Données projet'!$B$13,Paramètres!$A$1:$I$88,3,0)*0.475*44/12</f>
        <v>0</v>
      </c>
      <c r="DI57" s="24">
        <f t="shared" si="15"/>
        <v>5.6622386530422313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5.6</v>
      </c>
      <c r="DO57" s="13">
        <f>IF('Données projet'!$A$166&gt;35,DO56+DN57-DW56,IF(A57&lt;'Données projet'!$A$166,$DL$205^A57,IF(A57='Données projet'!$A$166,'Données projet'!$B$166,DO56+DN57-DW56)))</f>
        <v>129.39999999999995</v>
      </c>
      <c r="DP57" s="18">
        <f>DO57*VLOOKUP('Données projet'!$B$14,Paramètres!$A$1:$I$88,3,0)*VLOOKUP('Données projet'!$B$14,Paramètres!$A$1:$I$88,5,0)</f>
        <v>125.15567999999995</v>
      </c>
      <c r="DQ57" s="14">
        <f t="shared" si="43"/>
        <v>32.874517196353331</v>
      </c>
      <c r="DR57" s="22">
        <f t="shared" si="16"/>
        <v>275.23592678364861</v>
      </c>
      <c r="DS57" s="62">
        <f t="shared" si="17"/>
        <v>532.94029945098794</v>
      </c>
      <c r="DT57" s="62">
        <f ca="1">AVERAGE(OFFSET($DS$3,0,0,'Données projet'!$E$14+1,1))-AVERAGE(OFFSET($H$3,0,0,'Données projet'!$E$14+1,1))</f>
        <v>290.89727102147953</v>
      </c>
      <c r="DU57" s="62">
        <f t="shared" si="44"/>
        <v>173.19148969173838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projet'!$B$14,Paramètres!$A$1:$I$88,3,0)*0.475*44/12</f>
        <v>3.8367081583455556</v>
      </c>
      <c r="EB57" s="23">
        <f>EXP(-LN(2)/25)*EB56+(1-EXP(-LN(2)/25))/(LN(2)/25)*Calculateur!DW57*Calculateur!DY57*VLOOKUP('Données projet'!$B$14,Paramètres!$A$1:$I$88,3,0)*0.475*44/12</f>
        <v>0</v>
      </c>
      <c r="EC57" s="23">
        <f>EXP(-LN(2)/2)*EC56+(1-EXP(-LN(2)/2))/(LN(2)/2)*DW57*DZ57*VLOOKUP('Données projet'!$B$14,Paramètres!$A$1:$I$88,3,0)*0.475*44/12</f>
        <v>0</v>
      </c>
      <c r="ED57" s="24">
        <f t="shared" si="18"/>
        <v>3.8367081583455556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projet'!$B$15,Paramètres!$A$1:$I$88,3,0)*VLOOKUP('Données projet'!$B$15,Paramètres!$A$1:$I$88,5,0)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projet'!$B$15,Paramètres!$A$1:$I$88,3,0)*0.475*44/12</f>
        <v>#N/A</v>
      </c>
      <c r="EW57" s="23" t="e">
        <f>EXP(-LN(2)/25)*EW56+(1-EXP(-LN(2)/25))/(LN(2)/25)*Calculateur!ER57*Calculateur!ET57*VLOOKUP('Données projet'!$B$15,Paramètres!$A$1:$I$88,3,0)*0.475*44/12</f>
        <v>#N/A</v>
      </c>
      <c r="EX57" s="23" t="e">
        <f>EXP(-LN(2)/2)*EX56+(1-EXP(-LN(2)/2))/(LN(2)/2)*ER57*EU57*VLOOKUP('Données projet'!$B$15,Paramètres!$A$1:$I$88,3,0)*0.475*44/12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projet'!$B$16,Paramètres!$A$1:$I$88,3,0)*VLOOKUP('Données projet'!$B$16,Paramètres!$A$1:$I$88,5,0)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projet'!$B$16,Paramètres!$A$1:$I$88,3,0)*0.475*44/12</f>
        <v>#N/A</v>
      </c>
      <c r="FR57" s="23" t="e">
        <f>EXP(-LN(2)/25)*FR56+(1-EXP(-LN(2)/25))/(LN(2)/25)*Calculateur!FM57*Calculateur!FO57*VLOOKUP('Données projet'!$B$16,Paramètres!$A$1:$I$88,3,0)*0.475*44/12</f>
        <v>#N/A</v>
      </c>
      <c r="FS57" s="23" t="e">
        <f>EXP(-LN(2)/2)*FS56+(1-EXP(-LN(2)/2))/(LN(2)/2)*FM57*FP57*VLOOKUP('Données projet'!$B$16,Paramètres!$A$1:$I$88,3,0)*0.475*44/12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projet'!$B$17,Paramètres!$A$1:$I$88,3,0)*VLOOKUP('Données projet'!$B$17,Paramètres!$A$1:$I$88,5,0)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projet'!$B$17,Paramètres!$A$1:$I$88,3,0)*0.475*44/12</f>
        <v>#N/A</v>
      </c>
      <c r="GM57" s="23" t="e">
        <f>EXP(-LN(2)/25)*GM56+(1-EXP(-LN(2)/25))/(LN(2)/25)*Calculateur!GH57*Calculateur!GJ57*VLOOKUP('Données projet'!$B$17,Paramètres!$A$1:$I$88,3,0)*0.475*44/12</f>
        <v>#N/A</v>
      </c>
      <c r="GN57" s="23" t="e">
        <f>EXP(-LN(2)/2)*GN56+(1-EXP(-LN(2)/2))/(LN(2)/2)*GH57*GK57*VLOOKUP('Données projet'!$B$17,Paramètres!$A$1:$I$88,3,0)*0.475*44/12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projet'!$B$18,Paramètres!$A$1:$I$88,3,0)*VLOOKUP('Données projet'!$B$18,Paramètres!$A$1:$I$88,5,0)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projet'!$B$18,Paramètres!$A$1:$I$88,3,0)*0.475*44/12</f>
        <v>#N/A</v>
      </c>
      <c r="HH57" s="23" t="e">
        <f>EXP(-LN(2)/25)*HH56+(1-EXP(-LN(2)/25))/(LN(2)/25)*Calculateur!HC57*Calculateur!HE57*VLOOKUP('Données projet'!$B$18,Paramètres!$A$1:$I$88,3,0)*0.475*44/12</f>
        <v>#N/A</v>
      </c>
      <c r="HI57" s="23" t="e">
        <f>EXP(-LN(2)/2)*HI56+(1-EXP(-LN(2)/2))/(LN(2)/2)*HC57*HF57*VLOOKUP('Données projet'!$B$18,Paramètres!$A$1:$I$88,3,0)*0.475*44/12</f>
        <v>#N/A</v>
      </c>
      <c r="HJ57" s="24" t="e">
        <f t="shared" si="30"/>
        <v>#N/A</v>
      </c>
    </row>
    <row r="58" spans="1:218" s="5" customFormat="1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projet'!$B$9,Paramètres!$A$1:$I$88,3,0)*VLOOKUP('Données projet'!$B$9,Paramètres!$A$1:$I$88,5,0)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258.32245548047246</v>
      </c>
      <c r="S58" s="62">
        <f ca="1">AVERAGE(OFFSET($R$3,0,0,'Données projet'!$E$9+1,1))-AVERAGE(OFFSET($H$3,0,0,'Données projet'!$E$9+1,1))</f>
        <v>301.2688576786212</v>
      </c>
      <c r="T58" s="62">
        <f t="shared" si="34"/>
        <v>417.62172165132927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projet'!$B$9,Paramètres!$A$1:$I$88,7,0))</f>
        <v>0</v>
      </c>
      <c r="X58" s="17">
        <f>IF(ISNA(VLOOKUP(A58,'Données projet'!$A$35:$I$55,6,0)),0%,VLOOKUP(A58,'Données projet'!$A$35:$I$55,6,0)*VLOOKUP('Données projet'!$B$9,Paramètres!$A$1:$I$88,7,0))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projet'!$B$9,Paramètres!$A$1:$I$88,3,0)*0.475*44/12</f>
        <v>136.58575280896548</v>
      </c>
      <c r="AA58" s="23">
        <f>EXP(-LN(2)/25)*AA57+(1-EXP(-LN(2)/25))/(LN(2)/25)*Calculateur!V58*Calculateur!X58*VLOOKUP('Données projet'!$B$9,Paramètres!$A$1:$I$88,3,0)*0.475*44/12</f>
        <v>43.309127951847863</v>
      </c>
      <c r="AB58" s="23">
        <f>EXP(-LN(2)/2)*AB57+(1-EXP(-LN(2)/2))/(LN(2)/2)*V58*Y58*VLOOKUP('Données projet'!$B$9,Paramètres!$A$1:$I$88,3,0)*0.475*44/12</f>
        <v>5.2065682775537967</v>
      </c>
      <c r="AC58" s="24">
        <f t="shared" si="3"/>
        <v>185.10144903836715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projet'!$B$10,Paramètres!$A$1:$I$88,3,0)*VLOOKUP('Données projet'!$B$10,Paramètres!$A$1:$I$88,5,0)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170.08673939431091</v>
      </c>
      <c r="AO58" s="62">
        <f t="shared" si="36"/>
        <v>252.97355497077106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projet'!$B$10,Paramètres!$A$1:$I$88,7,0))</f>
        <v>0</v>
      </c>
      <c r="AS58" s="17">
        <f>IF(ISNA(VLOOKUP(A58,'Données projet'!$A$61:$I$81,6,0)),0%,VLOOKUP(A58,'Données projet'!$A$61:$I$81,6,0)*VLOOKUP('Données projet'!$B$10,Paramètres!$A$1:$I$88,7,0))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projet'!$B$10,Paramètres!$A$1:$I$88,3,0)*0.475*44/12</f>
        <v>57.028305447520722</v>
      </c>
      <c r="AV58" s="23">
        <f>EXP(-LN(2)/25)*AV57+(1-EXP(-LN(2)/25))/(LN(2)/25)*Calculateur!AQ58*Calculateur!AS58*VLOOKUP('Données projet'!$B$10,Paramètres!$A$1:$I$88,3,0)*0.475*44/12</f>
        <v>43.896114800466663</v>
      </c>
      <c r="AW58" s="23">
        <f>EXP(-LN(2)/2)*AW57+(1-EXP(-LN(2)/2))/(LN(2)/2)*AQ58*AT58*VLOOKUP('Données projet'!$B$10,Paramètres!$A$1:$I$88,3,0)*0.475*44/12</f>
        <v>6.6691953820604386</v>
      </c>
      <c r="AX58" s="23">
        <f t="shared" si="6"/>
        <v>107.59361563004782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197</v>
      </c>
      <c r="BB58" s="13">
        <f>VLOOKUP(A58,'Données projet'!$A$87:$I$107,9,0)</f>
        <v>8</v>
      </c>
      <c r="BC58" s="13">
        <f t="array" ref="BC58">INDEX(BB:BB,MIN(IF(ISNUMBER(BB58:BB254),ROW(BB58:BB254),"")))</f>
        <v>8</v>
      </c>
      <c r="BD58" s="13">
        <f>IF('Données projet'!$A$88&gt;35,BD57+BC58-BL57,IF(A58&lt;'Données projet'!$A$88,$BA$205^A58,IF(A58='Données projet'!$A$88,'Données projet'!$B$88,BD57+BC58-BL57)))</f>
        <v>197</v>
      </c>
      <c r="BE58" s="14">
        <f>BD58*VLOOKUP('Données projet'!$B$11,Paramètres!$A$1:$I$88,3,0)*VLOOKUP('Données projet'!$B$11,Paramètres!$A$1:$I$88,5,0)</f>
        <v>178.2456</v>
      </c>
      <c r="BF58" s="14">
        <f t="shared" si="37"/>
        <v>44.931642269910427</v>
      </c>
      <c r="BG58" s="22">
        <f t="shared" si="7"/>
        <v>388.70036362009404</v>
      </c>
      <c r="BH58" s="62">
        <f t="shared" si="8"/>
        <v>647.02281910056536</v>
      </c>
      <c r="BI58" s="62">
        <f ca="1">AVERAGE(OFFSET($BH$3,0,0,'Données projet'!$E$11+1,1))-AVERAGE(OFFSET($H$3,0,0,'Données projet'!$E$11+1,1))</f>
        <v>362.63718589694594</v>
      </c>
      <c r="BJ58" s="62">
        <f t="shared" si="38"/>
        <v>250.47702091764884</v>
      </c>
      <c r="BK58" s="16">
        <f>IF(ISNA(VLOOKUP(A58,'Données projet'!$A$87:$I$107,3,0)),0,VLOOKUP(A58,'Données projet'!$A$87:$I$107,3,0))</f>
        <v>8</v>
      </c>
      <c r="BL58" s="16">
        <f>IF(ISNA(VLOOKUP(A58,'Données projet'!$A$87:$I$107,4,0)),0,VLOOKUP(A58,'Données projet'!$A$87:$I$107,4,0))</f>
        <v>21</v>
      </c>
      <c r="BM58" s="17">
        <f>IF(ISNA(VLOOKUP(A58,'Données projet'!$A$87:$I$107,5,0)),0%,VLOOKUP(A58,'Données projet'!$A$87:$I$107,5,0)*VLOOKUP('Données projet'!$B$11,Paramètres!$A$1:$I$88,7,0))</f>
        <v>0.129</v>
      </c>
      <c r="BN58" s="17">
        <f>IF(ISNA(VLOOKUP(A58,'Données projet'!$A$87:$I$107,6,0)),0%,VLOOKUP(A58,'Données projet'!$A$87:$I$107,6,0)*VLOOKUP('Données projet'!$B$11,Paramètres!$A$1:$I$88,7,0))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projet'!$B$11,Paramètres!$A$1:$I$88,3,0)*0.475*44/12</f>
        <v>7.9878174796550976</v>
      </c>
      <c r="BQ58" s="23">
        <f>EXP(-LN(2)/25)*BQ57+(1-EXP(-LN(2)/25))/(LN(2)/25)*Calculateur!BL58*Calculateur!BN58*VLOOKUP('Données projet'!$B$11,Paramètres!$A$1:$I$88,3,0)*0.475*44/12</f>
        <v>0</v>
      </c>
      <c r="BR58" s="23">
        <f>EXP(-LN(2)/2)*BR57+(1-EXP(-LN(2)/2))/(LN(2)/2)*BL58*BO58*VLOOKUP('Données projet'!$B$11,Paramètres!$A$1:$I$88,3,0)*0.475*44/12</f>
        <v>0</v>
      </c>
      <c r="BS58" s="24">
        <f t="shared" si="9"/>
        <v>7.9878174796550976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197</v>
      </c>
      <c r="BW58" s="13">
        <f>VLOOKUP(A58,'Données projet'!$A$113:$I$133,9,0)</f>
        <v>8</v>
      </c>
      <c r="BX58" s="13">
        <f t="array" ref="BX58">INDEX(BW:BW,MIN(IF(ISNUMBER(BW58:BW254),ROW(BW58:BW254),"")))</f>
        <v>8</v>
      </c>
      <c r="BY58" s="13">
        <f>IF('Données projet'!$A$114&gt;35,BY57+BX58-CG57,IF(A58&lt;'Données projet'!$A$114,$BV$205^A58,IF(A58='Données projet'!$A$114,'Données projet'!$B$114,BY57+BX58-CG57)))</f>
        <v>197</v>
      </c>
      <c r="BZ58" s="14">
        <f>BY58*VLOOKUP('Données projet'!$B$12,Paramètres!$A$1:$I$88,3,0)*VLOOKUP('Données projet'!$B$12,Paramètres!$A$1:$I$88,5,0)</f>
        <v>199.75800000000004</v>
      </c>
      <c r="CA58" s="14">
        <f t="shared" si="39"/>
        <v>49.690979702964015</v>
      </c>
      <c r="CB58" s="22">
        <f t="shared" si="10"/>
        <v>434.45697298266236</v>
      </c>
      <c r="CC58" s="62">
        <f t="shared" si="11"/>
        <v>692.77942846313374</v>
      </c>
      <c r="CD58" s="62">
        <f ca="1">AVERAGE(OFFSET($CC$3,0,0,'Données projet'!$E$12+1,1))-AVERAGE(OFFSET($H$3,0,0,'Données projet'!$E$12+1,1))</f>
        <v>398.14524781940196</v>
      </c>
      <c r="CE58" s="62">
        <f t="shared" si="40"/>
        <v>273.35778700650792</v>
      </c>
      <c r="CF58" s="16">
        <f>IF(ISNA(VLOOKUP(A58,'Données projet'!$A$113:$I$133,3,0)),0,VLOOKUP(A58,'Données projet'!$A$113:$I$133,3,0))</f>
        <v>8</v>
      </c>
      <c r="CG58" s="16">
        <f>IF(ISNA(VLOOKUP(A58,'Données projet'!$A$113:$I$133,4,0)),0,VLOOKUP(A58,'Données projet'!$A$113:$I$133,4,0))</f>
        <v>21</v>
      </c>
      <c r="CH58" s="17">
        <f>IF(ISNA(VLOOKUP(A58,'Données projet'!$A$113:$I$133,5,0)),0%,VLOOKUP(A58,'Données projet'!$A$113:$I$133,5,0)*VLOOKUP('Données projet'!$B$12,Paramètres!$A$1:$I$88,7,0))</f>
        <v>0.129</v>
      </c>
      <c r="CI58" s="17">
        <f>IF(ISNA(VLOOKUP(A58,'Données projet'!$A$113:$I$133,6,0)),0%,VLOOKUP(A58,'Données projet'!$A$113:$I$133,6,0)*VLOOKUP('Données projet'!$B$12,Paramètres!$A$1:$I$88,7,0))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projet'!$B$12,Paramètres!$A$1:$I$88,3,0)*0.475*44/12</f>
        <v>8.9518644168548498</v>
      </c>
      <c r="CL58" s="23">
        <f>EXP(-LN(2)/25)*CL57+(1-EXP(-LN(2)/25))/(LN(2)/25)*Calculateur!CG58*Calculateur!CI58*VLOOKUP('Données projet'!$B$12,Paramètres!$A$1:$I$88,3,0)*0.475*44/12</f>
        <v>0</v>
      </c>
      <c r="CM58" s="23">
        <f>EXP(-LN(2)/2)*CM57+(1-EXP(-LN(2)/2))/(LN(2)/2)*CG58*CJ58*VLOOKUP('Données projet'!$B$12,Paramètres!$A$1:$I$88,3,0)*0.475*44/12</f>
        <v>0</v>
      </c>
      <c r="CN58" s="24">
        <f t="shared" si="12"/>
        <v>8.9518644168548498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244</v>
      </c>
      <c r="CR58" s="13">
        <f>VLOOKUP(A58,'Données projet'!$A$139:$I$159,9,0)</f>
        <v>9.6</v>
      </c>
      <c r="CS58" s="13">
        <f t="array" ref="CS58">INDEX(CR:CR,MIN(IF(ISNUMBER(CR58:CR254),ROW(CR58:CR254),"")))</f>
        <v>9.6</v>
      </c>
      <c r="CT58" s="13">
        <f>IF('Données projet'!$A$140&gt;35,CT57+CS58-DB57,IF(A58&lt;'Données projet'!$A$140,$CQ$205^A58,IF(A58='Données projet'!$A$140,'Données projet'!$B$140,CT57+CS58-DB57)))</f>
        <v>243.99999999999989</v>
      </c>
      <c r="CU58" s="18">
        <f>CT58*VLOOKUP('Données projet'!$B$13,Paramètres!$A$1:$I$88,3,0)*VLOOKUP('Données projet'!$B$13,Paramètres!$A$1:$I$88,5,0)</f>
        <v>232.19039999999987</v>
      </c>
      <c r="CV58" s="14">
        <f t="shared" si="41"/>
        <v>56.756035639094556</v>
      </c>
      <c r="CW58" s="22">
        <f t="shared" si="13"/>
        <v>503.24837540475619</v>
      </c>
      <c r="CX58" s="62">
        <f t="shared" si="14"/>
        <v>761.57083088522756</v>
      </c>
      <c r="CY58" s="62">
        <f ca="1">AVERAGE(OFFSET($CX$3,0,0,'Données projet'!$E$13+1,1))-AVERAGE(OFFSET($H$3,0,0,'Données projet'!$E$13+1,1))</f>
        <v>470.0521927195926</v>
      </c>
      <c r="CZ58" s="62">
        <f t="shared" si="42"/>
        <v>299.27200854723435</v>
      </c>
      <c r="DA58" s="16">
        <f>IF(ISNA(VLOOKUP(A58,'Données projet'!$A$139:$I$159,3,0)),0,VLOOKUP(A58,'Données projet'!$A$139:$I$159,3,0))</f>
        <v>8</v>
      </c>
      <c r="DB58" s="16">
        <f>IF(ISNA(VLOOKUP(A58,'Données projet'!$A$139:$I$159,4,0)),0,VLOOKUP(A58,'Données projet'!$A$139:$I$159,4,0))</f>
        <v>21</v>
      </c>
      <c r="DC58" s="17">
        <f>IF(ISNA(VLOOKUP(A58,'Données projet'!$A$139:$I$159,5,0)),0%,VLOOKUP(A58,'Données projet'!$A$139:$I$159,5,0)*VLOOKUP('Données projet'!$B$13,Paramètres!$A$1:$I$88,7,0))</f>
        <v>0.129</v>
      </c>
      <c r="DD58" s="17">
        <f>IF(ISNA(VLOOKUP(A58,'Données projet'!$A$139:$I$159,6,0)),0%,VLOOKUP(A58,'Données projet'!$A$139:$I$159,6,0)*VLOOKUP('Données projet'!$B$13,Paramètres!$A$1:$I$88,7,0))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projet'!$B$13,Paramètres!$A$1:$I$88,3,0)*0.475*44/12</f>
        <v>8.4009804527407059</v>
      </c>
      <c r="DG58" s="23">
        <f>EXP(-LN(2)/25)*DG57+(1-EXP(-LN(2)/25))/(LN(2)/25)*Calculateur!DB58*Calculateur!DD58*VLOOKUP('Données projet'!$B$13,Paramètres!$A$1:$I$88,3,0)*0.475*44/12</f>
        <v>0</v>
      </c>
      <c r="DH58" s="23">
        <f>EXP(-LN(2)/2)*DH57+(1-EXP(-LN(2)/2))/(LN(2)/2)*DB58*DE58*VLOOKUP('Données projet'!$B$13,Paramètres!$A$1:$I$88,3,0)*0.475*44/12</f>
        <v>0</v>
      </c>
      <c r="DI58" s="24">
        <f t="shared" si="15"/>
        <v>8.4009804527407059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135</v>
      </c>
      <c r="DM58" s="13">
        <f>VLOOKUP(A58,'Données projet'!$A$165:$I$185,9,0)</f>
        <v>5.6</v>
      </c>
      <c r="DN58" s="13">
        <f t="array" ref="DN58">INDEX(DM:DM,MIN(IF(ISNUMBER(DM58:DM254),ROW(DM58:DM254),"")))</f>
        <v>5.6</v>
      </c>
      <c r="DO58" s="13">
        <f>IF('Données projet'!$A$166&gt;35,DO57+DN58-DW57,IF(A58&lt;'Données projet'!$A$166,$DL$205^A58,IF(A58='Données projet'!$A$166,'Données projet'!$B$166,DO57+DN58-DW57)))</f>
        <v>134.99999999999994</v>
      </c>
      <c r="DP58" s="18">
        <f>DO58*VLOOKUP('Données projet'!$B$14,Paramètres!$A$1:$I$88,3,0)*VLOOKUP('Données projet'!$B$14,Paramètres!$A$1:$I$88,5,0)</f>
        <v>130.57199999999995</v>
      </c>
      <c r="DQ58" s="14">
        <f t="shared" si="43"/>
        <v>34.12849794659828</v>
      </c>
      <c r="DR58" s="22">
        <f t="shared" si="16"/>
        <v>286.85336725699193</v>
      </c>
      <c r="DS58" s="62">
        <f t="shared" si="17"/>
        <v>545.17582273746325</v>
      </c>
      <c r="DT58" s="62">
        <f ca="1">AVERAGE(OFFSET($DS$3,0,0,'Données projet'!$E$14+1,1))-AVERAGE(OFFSET($H$3,0,0,'Données projet'!$E$14+1,1))</f>
        <v>290.89727102147953</v>
      </c>
      <c r="DU58" s="62">
        <f t="shared" si="44"/>
        <v>173.19148969173838</v>
      </c>
      <c r="DV58" s="16">
        <f>IF(ISNA(VLOOKUP(A58,'Données projet'!$A$165:$I$185,3,0)),0,VLOOKUP(A58,'Données projet'!$A$165:$I$185,3,0))</f>
        <v>8</v>
      </c>
      <c r="DW58" s="16">
        <f>IF(ISNA(VLOOKUP(A58,'Données projet'!$A$165:$I$185,4,0)),0,VLOOKUP(A58,'Données projet'!$A$165:$I$185,4,0))</f>
        <v>14</v>
      </c>
      <c r="DX58" s="17">
        <f>IF(ISNA(VLOOKUP(A58,'Données projet'!$A$165:$I$185,5,0)),0%,VLOOKUP(A58,'Données projet'!$A$165:$I$185,5,0)*VLOOKUP('Données projet'!$B$14,Paramètres!$A$1:$I$88,7,0))</f>
        <v>0.129</v>
      </c>
      <c r="DY58" s="17">
        <f>IF(ISNA(VLOOKUP(A58,'Données projet'!$A$165:$I$185,6,0)),0%,VLOOKUP(A58,'Données projet'!$A$165:$I$185,6,0)*VLOOKUP('Données projet'!$B$14,Paramètres!$A$1:$I$88,7,0))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projet'!$B$14,Paramètres!$A$1:$I$88,3,0)*0.475*44/12</f>
        <v>5.6924676291794949</v>
      </c>
      <c r="EB58" s="23">
        <f>EXP(-LN(2)/25)*EB57+(1-EXP(-LN(2)/25))/(LN(2)/25)*Calculateur!DW58*Calculateur!DY58*VLOOKUP('Données projet'!$B$14,Paramètres!$A$1:$I$88,3,0)*0.475*44/12</f>
        <v>0</v>
      </c>
      <c r="EC58" s="23">
        <f>EXP(-LN(2)/2)*EC57+(1-EXP(-LN(2)/2))/(LN(2)/2)*DW58*DZ58*VLOOKUP('Données projet'!$B$14,Paramètres!$A$1:$I$88,3,0)*0.475*44/12</f>
        <v>0</v>
      </c>
      <c r="ED58" s="24">
        <f t="shared" si="18"/>
        <v>5.6924676291794949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projet'!$B$15,Paramètres!$A$1:$I$88,3,0)*VLOOKUP('Données projet'!$B$15,Paramètres!$A$1:$I$88,5,0)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projet'!$B$15,Paramètres!$A$1:$I$88,7,0))</f>
        <v>0</v>
      </c>
      <c r="ET58" s="17">
        <f>IF(ISNA(VLOOKUP(A58,'Données projet'!$A$191:$I$211,6,0)),0%,VLOOKUP(A58,'Données projet'!$A$191:$I$211,6,0)*VLOOKUP('Données projet'!$B$15,Paramètres!$A$1:$I$88,7,0))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projet'!$B$15,Paramètres!$A$1:$I$88,3,0)*0.475*44/12</f>
        <v>#N/A</v>
      </c>
      <c r="EW58" s="23" t="e">
        <f>EXP(-LN(2)/25)*EW57+(1-EXP(-LN(2)/25))/(LN(2)/25)*Calculateur!ER58*Calculateur!ET58*VLOOKUP('Données projet'!$B$15,Paramètres!$A$1:$I$88,3,0)*0.475*44/12</f>
        <v>#N/A</v>
      </c>
      <c r="EX58" s="23" t="e">
        <f>EXP(-LN(2)/2)*EX57+(1-EXP(-LN(2)/2))/(LN(2)/2)*ER58*EU58*VLOOKUP('Données projet'!$B$15,Paramètres!$A$1:$I$88,3,0)*0.475*44/12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projet'!$B$16,Paramètres!$A$1:$I$88,3,0)*VLOOKUP('Données projet'!$B$16,Paramètres!$A$1:$I$88,5,0)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projet'!$B$16,Paramètres!$A$1:$I$88,7,0))</f>
        <v>0</v>
      </c>
      <c r="FO58" s="17">
        <f>IF(ISNA(VLOOKUP(A58,'Données projet'!$A$217:$I$237,6,0)),0%,VLOOKUP(A58,'Données projet'!$A$217:$I$237,6,0)*VLOOKUP('Données projet'!$B$16,Paramètres!$A$1:$I$88,7,0))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projet'!$B$16,Paramètres!$A$1:$I$88,3,0)*0.475*44/12</f>
        <v>#N/A</v>
      </c>
      <c r="FR58" s="23" t="e">
        <f>EXP(-LN(2)/25)*FR57+(1-EXP(-LN(2)/25))/(LN(2)/25)*Calculateur!FM58*Calculateur!FO58*VLOOKUP('Données projet'!$B$16,Paramètres!$A$1:$I$88,3,0)*0.475*44/12</f>
        <v>#N/A</v>
      </c>
      <c r="FS58" s="23" t="e">
        <f>EXP(-LN(2)/2)*FS57+(1-EXP(-LN(2)/2))/(LN(2)/2)*FM58*FP58*VLOOKUP('Données projet'!$B$16,Paramètres!$A$1:$I$88,3,0)*0.475*44/12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projet'!$B$17,Paramètres!$A$1:$I$88,3,0)*VLOOKUP('Données projet'!$B$17,Paramètres!$A$1:$I$88,5,0)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projet'!$B$17,Paramètres!$A$1:$I$88,7,0))</f>
        <v>0</v>
      </c>
      <c r="GJ58" s="17">
        <f>IF(ISNA(VLOOKUP(A58,'Données projet'!$A$243:$I$263,6,0)),0%,VLOOKUP(A58,'Données projet'!$A$243:$I$263,6,0)*VLOOKUP('Données projet'!$B$17,Paramètres!$A$1:$I$88,7,0))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projet'!$B$17,Paramètres!$A$1:$I$88,3,0)*0.475*44/12</f>
        <v>#N/A</v>
      </c>
      <c r="GM58" s="23" t="e">
        <f>EXP(-LN(2)/25)*GM57+(1-EXP(-LN(2)/25))/(LN(2)/25)*Calculateur!GH58*Calculateur!GJ58*VLOOKUP('Données projet'!$B$17,Paramètres!$A$1:$I$88,3,0)*0.475*44/12</f>
        <v>#N/A</v>
      </c>
      <c r="GN58" s="23" t="e">
        <f>EXP(-LN(2)/2)*GN57+(1-EXP(-LN(2)/2))/(LN(2)/2)*GH58*GK58*VLOOKUP('Données projet'!$B$17,Paramètres!$A$1:$I$88,3,0)*0.475*44/12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projet'!$B$18,Paramètres!$A$1:$I$88,3,0)*VLOOKUP('Données projet'!$B$18,Paramètres!$A$1:$I$88,5,0)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projet'!$B$18,Paramètres!$A$1:$I$88,3,0)*0.475*44/12</f>
        <v>#N/A</v>
      </c>
      <c r="HH58" s="23" t="e">
        <f>EXP(-LN(2)/25)*HH57+(1-EXP(-LN(2)/25))/(LN(2)/25)*Calculateur!HC58*Calculateur!HE58*VLOOKUP('Données projet'!$B$18,Paramètres!$A$1:$I$88,3,0)*0.475*44/12</f>
        <v>#N/A</v>
      </c>
      <c r="HI58" s="23" t="e">
        <f>EXP(-LN(2)/2)*HI57+(1-EXP(-LN(2)/2))/(LN(2)/2)*HC58*HF58*VLOOKUP('Données projet'!$B$18,Paramètres!$A$1:$I$88,3,0)*0.475*44/12</f>
        <v>#N/A</v>
      </c>
      <c r="HJ58" s="24" t="e">
        <f t="shared" si="30"/>
        <v>#N/A</v>
      </c>
    </row>
    <row r="59" spans="1:218" s="5" customFormat="1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projet'!$B$9,Paramètres!$A$1:$I$88,3,0)*VLOOKUP('Données projet'!$B$9,Paramètres!$A$1:$I$88,5,0)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258.92981593862282</v>
      </c>
      <c r="S59" s="62">
        <f ca="1">AVERAGE(OFFSET($R$3,0,0,'Données projet'!$E$9+1,1))-AVERAGE(OFFSET($H$3,0,0,'Données projet'!$E$9+1,1))</f>
        <v>301.2688576786212</v>
      </c>
      <c r="T59" s="62">
        <f t="shared" si="34"/>
        <v>417.62172165132927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projet'!$B$9,Paramètres!$A$1:$I$88,7,0))</f>
        <v>0</v>
      </c>
      <c r="X59" s="17">
        <f>IF(ISNA(VLOOKUP(A59,'Données projet'!$A$35:$I$55,6,0)),0%,VLOOKUP(A59,'Données projet'!$A$35:$I$55,6,0)*VLOOKUP('Données projet'!$B$9,Paramètres!$A$1:$I$88,7,0))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133.90738950546481</v>
      </c>
      <c r="AA59" s="23">
        <f>EXP(-LN(2)/25)*AA58+(1-EXP(-LN(2)/25))/(LN(2)/25)*Calculateur!V59*Calculateur!X59*VLOOKUP('Données projet'!$B$9,Paramètres!$A$1:$I$88,3,0)*0.475*44/12</f>
        <v>42.124837570476529</v>
      </c>
      <c r="AB59" s="23">
        <f>EXP(-LN(2)/2)*AB58+(1-EXP(-LN(2)/2))/(LN(2)/2)*V59*Y59*VLOOKUP('Données projet'!$B$9,Paramètres!$A$1:$I$88,3,0)*0.475*44/12</f>
        <v>3.6815997357690522</v>
      </c>
      <c r="AC59" s="24">
        <f t="shared" si="3"/>
        <v>179.71382681171039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projet'!$B$10,Paramètres!$A$1:$I$88,3,0)*VLOOKUP('Données projet'!$B$10,Paramètres!$A$1:$I$88,5,0)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170.08673939431091</v>
      </c>
      <c r="AO59" s="62">
        <f t="shared" si="36"/>
        <v>252.97355497077106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projet'!$B$10,Paramètres!$A$1:$I$88,3,0)*0.475*44/12</f>
        <v>55.910015161526545</v>
      </c>
      <c r="AV59" s="23">
        <f>EXP(-LN(2)/25)*AV58+(1-EXP(-LN(2)/25))/(LN(2)/25)*Calculateur!AQ59*Calculateur!AS59*VLOOKUP('Données projet'!$B$10,Paramètres!$A$1:$I$88,3,0)*0.475*44/12</f>
        <v>42.69577323285155</v>
      </c>
      <c r="AW59" s="23">
        <f>EXP(-LN(2)/2)*AW58+(1-EXP(-LN(2)/2))/(LN(2)/2)*AQ59*AT59*VLOOKUP('Données projet'!$B$10,Paramètres!$A$1:$I$88,3,0)*0.475*44/12</f>
        <v>4.7158332797129443</v>
      </c>
      <c r="AX59" s="23">
        <f t="shared" si="6"/>
        <v>103.32162167409103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7.6</v>
      </c>
      <c r="BD59" s="13">
        <f>IF('Données projet'!$A$88&gt;35,BD58+BC59-BL58,IF(A59&lt;'Données projet'!$A$88,$BA$205^A59,IF(A59='Données projet'!$A$88,'Données projet'!$B$88,BD58+BC59-BL58)))</f>
        <v>183.6</v>
      </c>
      <c r="BE59" s="14">
        <f>BD59*VLOOKUP('Données projet'!$B$11,Paramètres!$A$1:$I$88,3,0)*VLOOKUP('Données projet'!$B$11,Paramètres!$A$1:$I$88,5,0)</f>
        <v>166.12127999999998</v>
      </c>
      <c r="BF59" s="14">
        <f t="shared" si="37"/>
        <v>42.220155874487318</v>
      </c>
      <c r="BG59" s="22">
        <f t="shared" si="7"/>
        <v>362.8613341480654</v>
      </c>
      <c r="BH59" s="62">
        <f t="shared" si="8"/>
        <v>621.79115008668714</v>
      </c>
      <c r="BI59" s="62">
        <f ca="1">AVERAGE(OFFSET($BH$3,0,0,'Données projet'!$E$11+1,1))-AVERAGE(OFFSET($H$3,0,0,'Données projet'!$E$11+1,1))</f>
        <v>362.63718589694594</v>
      </c>
      <c r="BJ59" s="62">
        <f t="shared" si="38"/>
        <v>250.47702091764884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projet'!$B$11,Paramètres!$A$1:$I$88,7,0))</f>
        <v>0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projet'!$B$11,Paramètres!$A$1:$I$88,3,0)*0.475*44/12</f>
        <v>7.8311812509666447</v>
      </c>
      <c r="BQ59" s="23">
        <f>EXP(-LN(2)/25)*BQ58+(1-EXP(-LN(2)/25))/(LN(2)/25)*Calculateur!BL59*Calculateur!BN59*VLOOKUP('Données projet'!$B$11,Paramètres!$A$1:$I$88,3,0)*0.475*44/12</f>
        <v>0</v>
      </c>
      <c r="BR59" s="23">
        <f>EXP(-LN(2)/2)*BR58+(1-EXP(-LN(2)/2))/(LN(2)/2)*BL59*BO59*VLOOKUP('Données projet'!$B$11,Paramètres!$A$1:$I$88,3,0)*0.475*44/12</f>
        <v>0</v>
      </c>
      <c r="BS59" s="24">
        <f t="shared" si="9"/>
        <v>7.8311812509666447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7.6</v>
      </c>
      <c r="BY59" s="13">
        <f>IF('Données projet'!$A$114&gt;35,BY58+BX59-CG58,IF(A59&lt;'Données projet'!$A$114,$BV$205^A59,IF(A59='Données projet'!$A$114,'Données projet'!$B$114,BY58+BX59-CG58)))</f>
        <v>183.6</v>
      </c>
      <c r="BZ59" s="14">
        <f>BY59*VLOOKUP('Données projet'!$B$12,Paramètres!$A$1:$I$88,3,0)*VLOOKUP('Données projet'!$B$12,Paramètres!$A$1:$I$88,5,0)</f>
        <v>186.1704</v>
      </c>
      <c r="CA59" s="14">
        <f t="shared" si="39"/>
        <v>46.692281933796018</v>
      </c>
      <c r="CB59" s="22">
        <f t="shared" si="10"/>
        <v>405.56917103469476</v>
      </c>
      <c r="CC59" s="62">
        <f t="shared" si="11"/>
        <v>664.49898697331651</v>
      </c>
      <c r="CD59" s="62">
        <f ca="1">AVERAGE(OFFSET($CC$3,0,0,'Données projet'!$E$12+1,1))-AVERAGE(OFFSET($H$3,0,0,'Données projet'!$E$12+1,1))</f>
        <v>398.14524781940196</v>
      </c>
      <c r="CE59" s="62">
        <f t="shared" si="40"/>
        <v>273.35778700650792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projet'!$B$12,Paramètres!$A$1:$I$88,3,0)*0.475*44/12</f>
        <v>8.7763238157384809</v>
      </c>
      <c r="CL59" s="23">
        <f>EXP(-LN(2)/25)*CL58+(1-EXP(-LN(2)/25))/(LN(2)/25)*Calculateur!CG59*Calculateur!CI59*VLOOKUP('Données projet'!$B$12,Paramètres!$A$1:$I$88,3,0)*0.475*44/12</f>
        <v>0</v>
      </c>
      <c r="CM59" s="23">
        <f>EXP(-LN(2)/2)*CM58+(1-EXP(-LN(2)/2))/(LN(2)/2)*CG59*CJ59*VLOOKUP('Données projet'!$B$12,Paramètres!$A$1:$I$88,3,0)*0.475*44/12</f>
        <v>0</v>
      </c>
      <c r="CN59" s="24">
        <f t="shared" si="12"/>
        <v>8.7763238157384809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9.4</v>
      </c>
      <c r="CT59" s="13">
        <f>IF('Données projet'!$A$140&gt;35,CT58+CS59-DB58,IF(A59&lt;'Données projet'!$A$140,$CQ$205^A59,IF(A59='Données projet'!$A$140,'Données projet'!$B$140,CT58+CS59-DB58)))</f>
        <v>232.39999999999989</v>
      </c>
      <c r="CU59" s="18">
        <f>CT59*VLOOKUP('Données projet'!$B$13,Paramètres!$A$1:$I$88,3,0)*VLOOKUP('Données projet'!$B$13,Paramètres!$A$1:$I$88,5,0)</f>
        <v>221.15183999999988</v>
      </c>
      <c r="CV59" s="14">
        <f t="shared" si="41"/>
        <v>54.365156317632952</v>
      </c>
      <c r="CW59" s="22">
        <f t="shared" si="13"/>
        <v>479.85876858654387</v>
      </c>
      <c r="CX59" s="62">
        <f t="shared" si="14"/>
        <v>738.78858452516556</v>
      </c>
      <c r="CY59" s="62">
        <f ca="1">AVERAGE(OFFSET($CX$3,0,0,'Données projet'!$E$13+1,1))-AVERAGE(OFFSET($H$3,0,0,'Données projet'!$E$13+1,1))</f>
        <v>470.0521927195926</v>
      </c>
      <c r="CZ59" s="62">
        <f t="shared" si="42"/>
        <v>299.27200854723435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projet'!$B$13,Paramètres!$A$1:$I$88,3,0)*0.475*44/12</f>
        <v>8.2362423501545745</v>
      </c>
      <c r="DG59" s="23">
        <f>EXP(-LN(2)/25)*DG58+(1-EXP(-LN(2)/25))/(LN(2)/25)*Calculateur!DB59*Calculateur!DD59*VLOOKUP('Données projet'!$B$13,Paramètres!$A$1:$I$88,3,0)*0.475*44/12</f>
        <v>0</v>
      </c>
      <c r="DH59" s="23">
        <f>EXP(-LN(2)/2)*DH58+(1-EXP(-LN(2)/2))/(LN(2)/2)*DB59*DE59*VLOOKUP('Données projet'!$B$13,Paramètres!$A$1:$I$88,3,0)*0.475*44/12</f>
        <v>0</v>
      </c>
      <c r="DI59" s="24">
        <f t="shared" si="15"/>
        <v>8.2362423501545745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5.4</v>
      </c>
      <c r="DO59" s="13">
        <f>IF('Données projet'!$A$166&gt;35,DO58+DN59-DW58,IF(A59&lt;'Données projet'!$A$166,$DL$205^A59,IF(A59='Données projet'!$A$166,'Données projet'!$B$166,DO58+DN59-DW58)))</f>
        <v>126.39999999999995</v>
      </c>
      <c r="DP59" s="18">
        <f>DO59*VLOOKUP('Données projet'!$B$14,Paramètres!$A$1:$I$88,3,0)*VLOOKUP('Données projet'!$B$14,Paramètres!$A$1:$I$88,5,0)</f>
        <v>122.25407999999995</v>
      </c>
      <c r="DQ59" s="14">
        <f t="shared" si="43"/>
        <v>32.20015567592624</v>
      </c>
      <c r="DR59" s="22">
        <f t="shared" si="16"/>
        <v>269.0077938022381</v>
      </c>
      <c r="DS59" s="62">
        <f t="shared" si="17"/>
        <v>527.9376097408599</v>
      </c>
      <c r="DT59" s="62">
        <f ca="1">AVERAGE(OFFSET($DS$3,0,0,'Données projet'!$E$14+1,1))-AVERAGE(OFFSET($H$3,0,0,'Données projet'!$E$14+1,1))</f>
        <v>290.89727102147953</v>
      </c>
      <c r="DU59" s="62">
        <f t="shared" si="44"/>
        <v>173.19148969173838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projet'!$B$14,Paramètres!$A$1:$I$88,3,0)*0.475*44/12</f>
        <v>5.580841811033701</v>
      </c>
      <c r="EB59" s="23">
        <f>EXP(-LN(2)/25)*EB58+(1-EXP(-LN(2)/25))/(LN(2)/25)*Calculateur!DW59*Calculateur!DY59*VLOOKUP('Données projet'!$B$14,Paramètres!$A$1:$I$88,3,0)*0.475*44/12</f>
        <v>0</v>
      </c>
      <c r="EC59" s="23">
        <f>EXP(-LN(2)/2)*EC58+(1-EXP(-LN(2)/2))/(LN(2)/2)*DW59*DZ59*VLOOKUP('Données projet'!$B$14,Paramètres!$A$1:$I$88,3,0)*0.475*44/12</f>
        <v>0</v>
      </c>
      <c r="ED59" s="24">
        <f t="shared" si="18"/>
        <v>5.580841811033701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projet'!$B$15,Paramètres!$A$1:$I$88,3,0)*VLOOKUP('Données projet'!$B$15,Paramètres!$A$1:$I$88,5,0)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projet'!$B$15,Paramètres!$A$1:$I$88,3,0)*0.475*44/12</f>
        <v>#N/A</v>
      </c>
      <c r="EW59" s="23" t="e">
        <f>EXP(-LN(2)/25)*EW58+(1-EXP(-LN(2)/25))/(LN(2)/25)*Calculateur!ER59*Calculateur!ET59*VLOOKUP('Données projet'!$B$15,Paramètres!$A$1:$I$88,3,0)*0.475*44/12</f>
        <v>#N/A</v>
      </c>
      <c r="EX59" s="23" t="e">
        <f>EXP(-LN(2)/2)*EX58+(1-EXP(-LN(2)/2))/(LN(2)/2)*ER59*EU59*VLOOKUP('Données projet'!$B$15,Paramètres!$A$1:$I$88,3,0)*0.475*44/12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projet'!$B$16,Paramètres!$A$1:$I$88,3,0)*VLOOKUP('Données projet'!$B$16,Paramètres!$A$1:$I$88,5,0)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projet'!$B$16,Paramètres!$A$1:$I$88,3,0)*0.475*44/12</f>
        <v>#N/A</v>
      </c>
      <c r="FR59" s="23" t="e">
        <f>EXP(-LN(2)/25)*FR58+(1-EXP(-LN(2)/25))/(LN(2)/25)*Calculateur!FM59*Calculateur!FO59*VLOOKUP('Données projet'!$B$16,Paramètres!$A$1:$I$88,3,0)*0.475*44/12</f>
        <v>#N/A</v>
      </c>
      <c r="FS59" s="23" t="e">
        <f>EXP(-LN(2)/2)*FS58+(1-EXP(-LN(2)/2))/(LN(2)/2)*FM59*FP59*VLOOKUP('Données projet'!$B$16,Paramètres!$A$1:$I$88,3,0)*0.475*44/12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projet'!$B$17,Paramètres!$A$1:$I$88,3,0)*VLOOKUP('Données projet'!$B$17,Paramètres!$A$1:$I$88,5,0)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projet'!$B$17,Paramètres!$A$1:$I$88,3,0)*0.475*44/12</f>
        <v>#N/A</v>
      </c>
      <c r="GM59" s="23" t="e">
        <f>EXP(-LN(2)/25)*GM58+(1-EXP(-LN(2)/25))/(LN(2)/25)*Calculateur!GH59*Calculateur!GJ59*VLOOKUP('Données projet'!$B$17,Paramètres!$A$1:$I$88,3,0)*0.475*44/12</f>
        <v>#N/A</v>
      </c>
      <c r="GN59" s="23" t="e">
        <f>EXP(-LN(2)/2)*GN58+(1-EXP(-LN(2)/2))/(LN(2)/2)*GH59*GK59*VLOOKUP('Données projet'!$B$17,Paramètres!$A$1:$I$88,3,0)*0.475*44/12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projet'!$B$18,Paramètres!$A$1:$I$88,3,0)*VLOOKUP('Données projet'!$B$18,Paramètres!$A$1:$I$88,5,0)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projet'!$B$18,Paramètres!$A$1:$I$88,3,0)*0.475*44/12</f>
        <v>#N/A</v>
      </c>
      <c r="HH59" s="23" t="e">
        <f>EXP(-LN(2)/25)*HH58+(1-EXP(-LN(2)/25))/(LN(2)/25)*Calculateur!HC59*Calculateur!HE59*VLOOKUP('Données projet'!$B$18,Paramètres!$A$1:$I$88,3,0)*0.475*44/12</f>
        <v>#N/A</v>
      </c>
      <c r="HI59" s="23" t="e">
        <f>EXP(-LN(2)/2)*HI58+(1-EXP(-LN(2)/2))/(LN(2)/2)*HC59*HF59*VLOOKUP('Données projet'!$B$18,Paramètres!$A$1:$I$88,3,0)*0.475*44/12</f>
        <v>#N/A</v>
      </c>
      <c r="HJ59" s="24" t="e">
        <f t="shared" si="30"/>
        <v>#N/A</v>
      </c>
    </row>
    <row r="60" spans="1:218" s="5" customFormat="1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projet'!$B$9,Paramètres!$A$1:$I$88,3,0)*VLOOKUP('Données projet'!$B$9,Paramètres!$A$1:$I$88,5,0)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259.52664005067879</v>
      </c>
      <c r="S60" s="62">
        <f ca="1">AVERAGE(OFFSET($R$3,0,0,'Données projet'!$E$9+1,1))-AVERAGE(OFFSET($H$3,0,0,'Données projet'!$E$9+1,1))</f>
        <v>301.2688576786212</v>
      </c>
      <c r="T60" s="62">
        <f t="shared" si="34"/>
        <v>417.62172165132927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131.28154727270547</v>
      </c>
      <c r="AA60" s="23">
        <f>EXP(-LN(2)/25)*AA59+(1-EXP(-LN(2)/25))/(LN(2)/25)*Calculateur!V60*Calculateur!X60*VLOOKUP('Données projet'!$B$9,Paramètres!$A$1:$I$88,3,0)*0.475*44/12</f>
        <v>40.972931671862916</v>
      </c>
      <c r="AB60" s="23">
        <f>EXP(-LN(2)/2)*AB59+(1-EXP(-LN(2)/2))/(LN(2)/2)*V60*Y60*VLOOKUP('Données projet'!$B$9,Paramètres!$A$1:$I$88,3,0)*0.475*44/12</f>
        <v>2.6032841387768983</v>
      </c>
      <c r="AC60" s="24">
        <f t="shared" si="3"/>
        <v>174.85776308334528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projet'!$B$10,Paramètres!$A$1:$I$88,3,0)*VLOOKUP('Données projet'!$B$10,Paramètres!$A$1:$I$88,5,0)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170.08673939431091</v>
      </c>
      <c r="AO60" s="62">
        <f t="shared" si="36"/>
        <v>252.97355497077106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projet'!$B$10,Paramètres!$A$1:$I$88,3,0)*0.475*44/12</f>
        <v>54.81365386595099</v>
      </c>
      <c r="AV60" s="23">
        <f>EXP(-LN(2)/25)*AV59+(1-EXP(-LN(2)/25))/(LN(2)/25)*Calculateur!AQ60*Calculateur!AS60*VLOOKUP('Données projet'!$B$10,Paramètres!$A$1:$I$88,3,0)*0.475*44/12</f>
        <v>41.528255068526093</v>
      </c>
      <c r="AW60" s="23">
        <f>EXP(-LN(2)/2)*AW59+(1-EXP(-LN(2)/2))/(LN(2)/2)*AQ60*AT60*VLOOKUP('Données projet'!$B$10,Paramètres!$A$1:$I$88,3,0)*0.475*44/12</f>
        <v>3.3345976910302197</v>
      </c>
      <c r="AX60" s="23">
        <f t="shared" si="6"/>
        <v>99.676506625507315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7.6</v>
      </c>
      <c r="BD60" s="13">
        <f>IF('Données projet'!$A$88&gt;35,BD59+BC60-BL59,IF(A60&lt;'Données projet'!$A$88,$BA$205^A60,IF(A60='Données projet'!$A$88,'Données projet'!$B$88,BD59+BC60-BL59)))</f>
        <v>191.2</v>
      </c>
      <c r="BE60" s="14">
        <f>BD60*VLOOKUP('Données projet'!$B$11,Paramètres!$A$1:$I$88,3,0)*VLOOKUP('Données projet'!$B$11,Paramètres!$A$1:$I$88,5,0)</f>
        <v>172.99775999999997</v>
      </c>
      <c r="BF60" s="14">
        <f t="shared" si="37"/>
        <v>43.760737531919609</v>
      </c>
      <c r="BG60" s="22">
        <f t="shared" si="7"/>
        <v>377.52104986809326</v>
      </c>
      <c r="BH60" s="62">
        <f t="shared" si="8"/>
        <v>637.04768991877097</v>
      </c>
      <c r="BI60" s="62">
        <f ca="1">AVERAGE(OFFSET($BH$3,0,0,'Données projet'!$E$11+1,1))-AVERAGE(OFFSET($H$3,0,0,'Données projet'!$E$11+1,1))</f>
        <v>362.63718589694594</v>
      </c>
      <c r="BJ60" s="62">
        <f t="shared" si="38"/>
        <v>250.47702091764884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projet'!$B$11,Paramètres!$A$1:$I$88,3,0)*0.475*44/12</f>
        <v>7.6776165631841069</v>
      </c>
      <c r="BQ60" s="23">
        <f>EXP(-LN(2)/25)*BQ59+(1-EXP(-LN(2)/25))/(LN(2)/25)*Calculateur!BL60*Calculateur!BN60*VLOOKUP('Données projet'!$B$11,Paramètres!$A$1:$I$88,3,0)*0.475*44/12</f>
        <v>0</v>
      </c>
      <c r="BR60" s="23">
        <f>EXP(-LN(2)/2)*BR59+(1-EXP(-LN(2)/2))/(LN(2)/2)*BL60*BO60*VLOOKUP('Données projet'!$B$11,Paramètres!$A$1:$I$88,3,0)*0.475*44/12</f>
        <v>0</v>
      </c>
      <c r="BS60" s="24">
        <f t="shared" si="9"/>
        <v>7.6776165631841069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7.6</v>
      </c>
      <c r="BY60" s="13">
        <f>IF('Données projet'!$A$114&gt;35,BY59+BX60-CG59,IF(A60&lt;'Données projet'!$A$114,$BV$205^A60,IF(A60='Données projet'!$A$114,'Données projet'!$B$114,BY59+BX60-CG59)))</f>
        <v>191.2</v>
      </c>
      <c r="BZ60" s="14">
        <f>BY60*VLOOKUP('Données projet'!$B$12,Paramètres!$A$1:$I$88,3,0)*VLOOKUP('Données projet'!$B$12,Paramètres!$A$1:$I$88,5,0)</f>
        <v>193.8768</v>
      </c>
      <c r="CA60" s="14">
        <f t="shared" si="39"/>
        <v>48.396048099527611</v>
      </c>
      <c r="CB60" s="22">
        <f t="shared" si="10"/>
        <v>421.95854377334393</v>
      </c>
      <c r="CC60" s="62">
        <f t="shared" si="11"/>
        <v>681.48518382402165</v>
      </c>
      <c r="CD60" s="62">
        <f ca="1">AVERAGE(OFFSET($CC$3,0,0,'Données projet'!$E$12+1,1))-AVERAGE(OFFSET($H$3,0,0,'Données projet'!$E$12+1,1))</f>
        <v>398.14524781940196</v>
      </c>
      <c r="CE60" s="62">
        <f t="shared" si="40"/>
        <v>273.35778700650792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projet'!$B$12,Paramètres!$A$1:$I$88,3,0)*0.475*44/12</f>
        <v>8.6042254587408085</v>
      </c>
      <c r="CL60" s="23">
        <f>EXP(-LN(2)/25)*CL59+(1-EXP(-LN(2)/25))/(LN(2)/25)*Calculateur!CG60*Calculateur!CI60*VLOOKUP('Données projet'!$B$12,Paramètres!$A$1:$I$88,3,0)*0.475*44/12</f>
        <v>0</v>
      </c>
      <c r="CM60" s="23">
        <f>EXP(-LN(2)/2)*CM59+(1-EXP(-LN(2)/2))/(LN(2)/2)*CG60*CJ60*VLOOKUP('Données projet'!$B$12,Paramètres!$A$1:$I$88,3,0)*0.475*44/12</f>
        <v>0</v>
      </c>
      <c r="CN60" s="24">
        <f t="shared" si="12"/>
        <v>8.6042254587408085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9.4</v>
      </c>
      <c r="CT60" s="13">
        <f>IF('Données projet'!$A$140&gt;35,CT59+CS60-DB59,IF(A60&lt;'Données projet'!$A$140,$CQ$205^A60,IF(A60='Données projet'!$A$140,'Données projet'!$B$140,CT59+CS60-DB59)))</f>
        <v>241.7999999999999</v>
      </c>
      <c r="CU60" s="18">
        <f>CT60*VLOOKUP('Données projet'!$B$13,Paramètres!$A$1:$I$88,3,0)*VLOOKUP('Données projet'!$B$13,Paramètres!$A$1:$I$88,5,0)</f>
        <v>230.09687999999991</v>
      </c>
      <c r="CV60" s="14">
        <f t="shared" si="41"/>
        <v>56.303628738745964</v>
      </c>
      <c r="CW60" s="22">
        <f t="shared" si="13"/>
        <v>498.81421938664903</v>
      </c>
      <c r="CX60" s="62">
        <f t="shared" si="14"/>
        <v>758.3408594373268</v>
      </c>
      <c r="CY60" s="62">
        <f ca="1">AVERAGE(OFFSET($CX$3,0,0,'Données projet'!$E$13+1,1))-AVERAGE(OFFSET($H$3,0,0,'Données projet'!$E$13+1,1))</f>
        <v>470.0521927195926</v>
      </c>
      <c r="CZ60" s="62">
        <f t="shared" si="42"/>
        <v>299.27200854723435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projet'!$B$13,Paramètres!$A$1:$I$88,3,0)*0.475*44/12</f>
        <v>8.0747346612798356</v>
      </c>
      <c r="DG60" s="23">
        <f>EXP(-LN(2)/25)*DG59+(1-EXP(-LN(2)/25))/(LN(2)/25)*Calculateur!DB60*Calculateur!DD60*VLOOKUP('Données projet'!$B$13,Paramètres!$A$1:$I$88,3,0)*0.475*44/12</f>
        <v>0</v>
      </c>
      <c r="DH60" s="23">
        <f>EXP(-LN(2)/2)*DH59+(1-EXP(-LN(2)/2))/(LN(2)/2)*DB60*DE60*VLOOKUP('Données projet'!$B$13,Paramètres!$A$1:$I$88,3,0)*0.475*44/12</f>
        <v>0</v>
      </c>
      <c r="DI60" s="24">
        <f t="shared" si="15"/>
        <v>8.0747346612798356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5.4</v>
      </c>
      <c r="DO60" s="13">
        <f>IF('Données projet'!$A$166&gt;35,DO59+DN60-DW59,IF(A60&lt;'Données projet'!$A$166,$DL$205^A60,IF(A60='Données projet'!$A$166,'Données projet'!$B$166,DO59+DN60-DW59)))</f>
        <v>131.79999999999995</v>
      </c>
      <c r="DP60" s="18">
        <f>DO60*VLOOKUP('Données projet'!$B$14,Paramètres!$A$1:$I$88,3,0)*VLOOKUP('Données projet'!$B$14,Paramètres!$A$1:$I$88,5,0)</f>
        <v>127.47695999999995</v>
      </c>
      <c r="DQ60" s="14">
        <f t="shared" si="43"/>
        <v>33.412695535466739</v>
      </c>
      <c r="DR60" s="22">
        <f t="shared" si="16"/>
        <v>280.21615005760447</v>
      </c>
      <c r="DS60" s="62">
        <f t="shared" si="17"/>
        <v>539.74279010828218</v>
      </c>
      <c r="DT60" s="62">
        <f ca="1">AVERAGE(OFFSET($DS$3,0,0,'Données projet'!$E$14+1,1))-AVERAGE(OFFSET($H$3,0,0,'Données projet'!$E$14+1,1))</f>
        <v>290.89727102147953</v>
      </c>
      <c r="DU60" s="62">
        <f t="shared" si="44"/>
        <v>173.19148969173838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projet'!$B$14,Paramètres!$A$1:$I$88,3,0)*0.475*44/12</f>
        <v>5.4714049070967201</v>
      </c>
      <c r="EB60" s="23">
        <f>EXP(-LN(2)/25)*EB59+(1-EXP(-LN(2)/25))/(LN(2)/25)*Calculateur!DW60*Calculateur!DY60*VLOOKUP('Données projet'!$B$14,Paramètres!$A$1:$I$88,3,0)*0.475*44/12</f>
        <v>0</v>
      </c>
      <c r="EC60" s="23">
        <f>EXP(-LN(2)/2)*EC59+(1-EXP(-LN(2)/2))/(LN(2)/2)*DW60*DZ60*VLOOKUP('Données projet'!$B$14,Paramètres!$A$1:$I$88,3,0)*0.475*44/12</f>
        <v>0</v>
      </c>
      <c r="ED60" s="24">
        <f t="shared" si="18"/>
        <v>5.4714049070967201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projet'!$B$15,Paramètres!$A$1:$I$88,3,0)*VLOOKUP('Données projet'!$B$15,Paramètres!$A$1:$I$88,5,0)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projet'!$B$15,Paramètres!$A$1:$I$88,3,0)*0.475*44/12</f>
        <v>#N/A</v>
      </c>
      <c r="EW60" s="23" t="e">
        <f>EXP(-LN(2)/25)*EW59+(1-EXP(-LN(2)/25))/(LN(2)/25)*Calculateur!ER60*Calculateur!ET60*VLOOKUP('Données projet'!$B$15,Paramètres!$A$1:$I$88,3,0)*0.475*44/12</f>
        <v>#N/A</v>
      </c>
      <c r="EX60" s="23" t="e">
        <f>EXP(-LN(2)/2)*EX59+(1-EXP(-LN(2)/2))/(LN(2)/2)*ER60*EU60*VLOOKUP('Données projet'!$B$15,Paramètres!$A$1:$I$88,3,0)*0.475*44/12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projet'!$B$16,Paramètres!$A$1:$I$88,3,0)*VLOOKUP('Données projet'!$B$16,Paramètres!$A$1:$I$88,5,0)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projet'!$B$16,Paramètres!$A$1:$I$88,3,0)*0.475*44/12</f>
        <v>#N/A</v>
      </c>
      <c r="FR60" s="23" t="e">
        <f>EXP(-LN(2)/25)*FR59+(1-EXP(-LN(2)/25))/(LN(2)/25)*Calculateur!FM60*Calculateur!FO60*VLOOKUP('Données projet'!$B$16,Paramètres!$A$1:$I$88,3,0)*0.475*44/12</f>
        <v>#N/A</v>
      </c>
      <c r="FS60" s="23" t="e">
        <f>EXP(-LN(2)/2)*FS59+(1-EXP(-LN(2)/2))/(LN(2)/2)*FM60*FP60*VLOOKUP('Données projet'!$B$16,Paramètres!$A$1:$I$88,3,0)*0.475*44/12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projet'!$B$17,Paramètres!$A$1:$I$88,3,0)*VLOOKUP('Données projet'!$B$17,Paramètres!$A$1:$I$88,5,0)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projet'!$B$17,Paramètres!$A$1:$I$88,3,0)*0.475*44/12</f>
        <v>#N/A</v>
      </c>
      <c r="GM60" s="23" t="e">
        <f>EXP(-LN(2)/25)*GM59+(1-EXP(-LN(2)/25))/(LN(2)/25)*Calculateur!GH60*Calculateur!GJ60*VLOOKUP('Données projet'!$B$17,Paramètres!$A$1:$I$88,3,0)*0.475*44/12</f>
        <v>#N/A</v>
      </c>
      <c r="GN60" s="23" t="e">
        <f>EXP(-LN(2)/2)*GN59+(1-EXP(-LN(2)/2))/(LN(2)/2)*GH60*GK60*VLOOKUP('Données projet'!$B$17,Paramètres!$A$1:$I$88,3,0)*0.475*44/12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projet'!$B$18,Paramètres!$A$1:$I$88,3,0)*VLOOKUP('Données projet'!$B$18,Paramètres!$A$1:$I$88,5,0)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projet'!$B$18,Paramètres!$A$1:$I$88,3,0)*0.475*44/12</f>
        <v>#N/A</v>
      </c>
      <c r="HH60" s="23" t="e">
        <f>EXP(-LN(2)/25)*HH59+(1-EXP(-LN(2)/25))/(LN(2)/25)*Calculateur!HC60*Calculateur!HE60*VLOOKUP('Données projet'!$B$18,Paramètres!$A$1:$I$88,3,0)*0.475*44/12</f>
        <v>#N/A</v>
      </c>
      <c r="HI60" s="23" t="e">
        <f>EXP(-LN(2)/2)*HI59+(1-EXP(-LN(2)/2))/(LN(2)/2)*HC60*HF60*VLOOKUP('Données projet'!$B$18,Paramètres!$A$1:$I$88,3,0)*0.475*44/12</f>
        <v>#N/A</v>
      </c>
      <c r="HJ60" s="24" t="e">
        <f t="shared" si="30"/>
        <v>#N/A</v>
      </c>
    </row>
    <row r="61" spans="1:218" s="5" customFormat="1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projet'!$B$9,Paramètres!$A$1:$I$88,3,0)*VLOOKUP('Données projet'!$B$9,Paramètres!$A$1:$I$88,5,0)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260.1131105986895</v>
      </c>
      <c r="S61" s="62">
        <f ca="1">AVERAGE(OFFSET($R$3,0,0,'Données projet'!$E$9+1,1))-AVERAGE(OFFSET($H$3,0,0,'Données projet'!$E$9+1,1))</f>
        <v>301.2688576786212</v>
      </c>
      <c r="T61" s="62">
        <f t="shared" si="34"/>
        <v>417.62172165132927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projet'!$B$9,Paramètres!$A$1:$I$88,7,0))</f>
        <v>0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128.70719620452491</v>
      </c>
      <c r="AA61" s="23">
        <f>EXP(-LN(2)/25)*AA60+(1-EXP(-LN(2)/25))/(LN(2)/25)*Calculateur!V61*Calculateur!X61*VLOOKUP('Données projet'!$B$9,Paramètres!$A$1:$I$88,3,0)*0.475*44/12</f>
        <v>39.852524700622993</v>
      </c>
      <c r="AB61" s="23">
        <f>EXP(-LN(2)/2)*AB60+(1-EXP(-LN(2)/2))/(LN(2)/2)*V61*Y61*VLOOKUP('Données projet'!$B$9,Paramètres!$A$1:$I$88,3,0)*0.475*44/12</f>
        <v>1.8407998678845261</v>
      </c>
      <c r="AC61" s="24">
        <f t="shared" si="3"/>
        <v>170.40052077303244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projet'!$B$10,Paramètres!$A$1:$I$88,3,0)*VLOOKUP('Données projet'!$B$10,Paramètres!$A$1:$I$88,5,0)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170.08673939431091</v>
      </c>
      <c r="AO61" s="62">
        <f t="shared" si="36"/>
        <v>252.97355497077106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projet'!$B$10,Paramètres!$A$1:$I$88,7,0))</f>
        <v>0</v>
      </c>
      <c r="AS61" s="17">
        <f>IF(ISNA(VLOOKUP(A61,'Données projet'!$A$61:$I$81,6,0)),0%,VLOOKUP(A61,'Données projet'!$A$61:$I$81,6,0)*VLOOKUP('Données projet'!$B$10,Paramètres!$A$1:$I$88,7,0))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projet'!$B$10,Paramètres!$A$1:$I$88,3,0)*0.475*44/12</f>
        <v>53.738791546667315</v>
      </c>
      <c r="AV61" s="23">
        <f>EXP(-LN(2)/25)*AV60+(1-EXP(-LN(2)/25))/(LN(2)/25)*Calculateur!AQ61*Calculateur!AS61*VLOOKUP('Données projet'!$B$10,Paramètres!$A$1:$I$88,3,0)*0.475*44/12</f>
        <v>40.392662749801225</v>
      </c>
      <c r="AW61" s="23">
        <f>EXP(-LN(2)/2)*AW60+(1-EXP(-LN(2)/2))/(LN(2)/2)*AQ61*AT61*VLOOKUP('Données projet'!$B$10,Paramètres!$A$1:$I$88,3,0)*0.475*44/12</f>
        <v>2.3579166398564722</v>
      </c>
      <c r="AX61" s="23">
        <f t="shared" si="6"/>
        <v>96.489370936325017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7.6</v>
      </c>
      <c r="BD61" s="13">
        <f>IF('Données projet'!$A$88&gt;35,BD60+BC61-BL60,IF(A61&lt;'Données projet'!$A$88,$BA$205^A61,IF(A61='Données projet'!$A$88,'Données projet'!$B$88,BD60+BC61-BL60)))</f>
        <v>198.79999999999998</v>
      </c>
      <c r="BE61" s="14">
        <f>BD61*VLOOKUP('Données projet'!$B$11,Paramètres!$A$1:$I$88,3,0)*VLOOKUP('Données projet'!$B$11,Paramètres!$A$1:$I$88,5,0)</f>
        <v>179.87423999999999</v>
      </c>
      <c r="BF61" s="14">
        <f t="shared" si="37"/>
        <v>45.294205745553846</v>
      </c>
      <c r="BG61" s="22">
        <f t="shared" si="7"/>
        <v>392.16837634017293</v>
      </c>
      <c r="BH61" s="62">
        <f t="shared" si="8"/>
        <v>652.28148693886135</v>
      </c>
      <c r="BI61" s="62">
        <f ca="1">AVERAGE(OFFSET($BH$3,0,0,'Données projet'!$E$11+1,1))-AVERAGE(OFFSET($H$3,0,0,'Données projet'!$E$11+1,1))</f>
        <v>362.63718589694594</v>
      </c>
      <c r="BJ61" s="62">
        <f t="shared" si="38"/>
        <v>250.47702091764884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projet'!$B$11,Paramètres!$A$1:$I$88,7,0))</f>
        <v>0</v>
      </c>
      <c r="BN61" s="17">
        <f>IF(ISNA(VLOOKUP(A61,'Données projet'!$A$87:$I$107,6,0)),0%,VLOOKUP(A61,'Données projet'!$A$87:$I$107,6,0)*VLOOKUP('Données projet'!$B$11,Paramètres!$A$1:$I$88,7,0))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projet'!$B$11,Paramètres!$A$1:$I$88,3,0)*0.475*44/12</f>
        <v>7.5270631852637742</v>
      </c>
      <c r="BQ61" s="23">
        <f>EXP(-LN(2)/25)*BQ60+(1-EXP(-LN(2)/25))/(LN(2)/25)*Calculateur!BL61*Calculateur!BN61*VLOOKUP('Données projet'!$B$11,Paramètres!$A$1:$I$88,3,0)*0.475*44/12</f>
        <v>0</v>
      </c>
      <c r="BR61" s="23">
        <f>EXP(-LN(2)/2)*BR60+(1-EXP(-LN(2)/2))/(LN(2)/2)*BL61*BO61*VLOOKUP('Données projet'!$B$11,Paramètres!$A$1:$I$88,3,0)*0.475*44/12</f>
        <v>0</v>
      </c>
      <c r="BS61" s="24">
        <f t="shared" si="9"/>
        <v>7.5270631852637742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7.6</v>
      </c>
      <c r="BY61" s="13">
        <f>IF('Données projet'!$A$114&gt;35,BY60+BX61-CG60,IF(A61&lt;'Données projet'!$A$114,$BV$205^A61,IF(A61='Données projet'!$A$114,'Données projet'!$B$114,BY60+BX61-CG60)))</f>
        <v>198.79999999999998</v>
      </c>
      <c r="BZ61" s="14">
        <f>BY61*VLOOKUP('Données projet'!$B$12,Paramètres!$A$1:$I$88,3,0)*VLOOKUP('Données projet'!$B$12,Paramètres!$A$1:$I$88,5,0)</f>
        <v>201.58320000000001</v>
      </c>
      <c r="CA61" s="14">
        <f t="shared" si="39"/>
        <v>50.091947337331924</v>
      </c>
      <c r="CB61" s="22">
        <f t="shared" si="10"/>
        <v>438.33421494585309</v>
      </c>
      <c r="CC61" s="62">
        <f t="shared" si="11"/>
        <v>698.44732554454151</v>
      </c>
      <c r="CD61" s="62">
        <f ca="1">AVERAGE(OFFSET($CC$3,0,0,'Données projet'!$E$12+1,1))-AVERAGE(OFFSET($H$3,0,0,'Données projet'!$E$12+1,1))</f>
        <v>398.14524781940196</v>
      </c>
      <c r="CE61" s="62">
        <f t="shared" si="40"/>
        <v>273.35778700650792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projet'!$B$12,Paramètres!$A$1:$I$88,7,0))</f>
        <v>0</v>
      </c>
      <c r="CI61" s="17">
        <f>IF(ISNA(VLOOKUP(A61,'Données projet'!$A$113:$I$133,6,0)),0%,VLOOKUP(A61,'Données projet'!$A$113:$I$133,6,0)*VLOOKUP('Données projet'!$B$12,Paramètres!$A$1:$I$88,7,0))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projet'!$B$12,Paramètres!$A$1:$I$88,3,0)*0.475*44/12</f>
        <v>8.4355018455542279</v>
      </c>
      <c r="CL61" s="23">
        <f>EXP(-LN(2)/25)*CL60+(1-EXP(-LN(2)/25))/(LN(2)/25)*Calculateur!CG61*Calculateur!CI61*VLOOKUP('Données projet'!$B$12,Paramètres!$A$1:$I$88,3,0)*0.475*44/12</f>
        <v>0</v>
      </c>
      <c r="CM61" s="23">
        <f>EXP(-LN(2)/2)*CM60+(1-EXP(-LN(2)/2))/(LN(2)/2)*CG61*CJ61*VLOOKUP('Données projet'!$B$12,Paramètres!$A$1:$I$88,3,0)*0.475*44/12</f>
        <v>0</v>
      </c>
      <c r="CN61" s="24">
        <f t="shared" si="12"/>
        <v>8.4355018455542279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9.4</v>
      </c>
      <c r="CT61" s="13">
        <f>IF('Données projet'!$A$140&gt;35,CT60+CS61-DB60,IF(A61&lt;'Données projet'!$A$140,$CQ$205^A61,IF(A61='Données projet'!$A$140,'Données projet'!$B$140,CT60+CS61-DB60)))</f>
        <v>251.1999999999999</v>
      </c>
      <c r="CU61" s="18">
        <f>CT61*VLOOKUP('Données projet'!$B$13,Paramètres!$A$1:$I$88,3,0)*VLOOKUP('Données projet'!$B$13,Paramètres!$A$1:$I$88,5,0)</f>
        <v>239.04191999999992</v>
      </c>
      <c r="CV61" s="14">
        <f t="shared" si="41"/>
        <v>58.233346939347648</v>
      </c>
      <c r="CW61" s="22">
        <f t="shared" si="13"/>
        <v>517.75442325269694</v>
      </c>
      <c r="CX61" s="62">
        <f t="shared" si="14"/>
        <v>777.86753385138536</v>
      </c>
      <c r="CY61" s="62">
        <f ca="1">AVERAGE(OFFSET($CX$3,0,0,'Données projet'!$E$13+1,1))-AVERAGE(OFFSET($H$3,0,0,'Données projet'!$E$13+1,1))</f>
        <v>470.0521927195926</v>
      </c>
      <c r="CZ61" s="62">
        <f t="shared" si="42"/>
        <v>299.27200854723435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projet'!$B$13,Paramètres!$A$1:$I$88,7,0))</f>
        <v>0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projet'!$B$13,Paramètres!$A$1:$I$88,3,0)*0.475*44/12</f>
        <v>7.9163940396739676</v>
      </c>
      <c r="DG61" s="23">
        <f>EXP(-LN(2)/25)*DG60+(1-EXP(-LN(2)/25))/(LN(2)/25)*Calculateur!DB61*Calculateur!DD61*VLOOKUP('Données projet'!$B$13,Paramètres!$A$1:$I$88,3,0)*0.475*44/12</f>
        <v>0</v>
      </c>
      <c r="DH61" s="23">
        <f>EXP(-LN(2)/2)*DH60+(1-EXP(-LN(2)/2))/(LN(2)/2)*DB61*DE61*VLOOKUP('Données projet'!$B$13,Paramètres!$A$1:$I$88,3,0)*0.475*44/12</f>
        <v>0</v>
      </c>
      <c r="DI61" s="24">
        <f t="shared" si="15"/>
        <v>7.9163940396739676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5.4</v>
      </c>
      <c r="DO61" s="13">
        <f>IF('Données projet'!$A$166&gt;35,DO60+DN61-DW60,IF(A61&lt;'Données projet'!$A$166,$DL$205^A61,IF(A61='Données projet'!$A$166,'Données projet'!$B$166,DO60+DN61-DW60)))</f>
        <v>137.19999999999996</v>
      </c>
      <c r="DP61" s="18">
        <f>DO61*VLOOKUP('Données projet'!$B$14,Paramètres!$A$1:$I$88,3,0)*VLOOKUP('Données projet'!$B$14,Paramètres!$A$1:$I$88,5,0)</f>
        <v>132.69983999999997</v>
      </c>
      <c r="DQ61" s="14">
        <f t="shared" si="43"/>
        <v>34.619464800994599</v>
      </c>
      <c r="DR61" s="22">
        <f t="shared" si="16"/>
        <v>291.41445586173216</v>
      </c>
      <c r="DS61" s="62">
        <f t="shared" si="17"/>
        <v>551.52756646042053</v>
      </c>
      <c r="DT61" s="62">
        <f ca="1">AVERAGE(OFFSET($DS$3,0,0,'Données projet'!$E$14+1,1))-AVERAGE(OFFSET($H$3,0,0,'Données projet'!$E$14+1,1))</f>
        <v>290.89727102147953</v>
      </c>
      <c r="DU61" s="62">
        <f t="shared" si="44"/>
        <v>173.19148969173838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projet'!$B$14,Paramètres!$A$1:$I$88,3,0)*0.475*44/12</f>
        <v>5.364113994096023</v>
      </c>
      <c r="EB61" s="23">
        <f>EXP(-LN(2)/25)*EB60+(1-EXP(-LN(2)/25))/(LN(2)/25)*Calculateur!DW61*Calculateur!DY61*VLOOKUP('Données projet'!$B$14,Paramètres!$A$1:$I$88,3,0)*0.475*44/12</f>
        <v>0</v>
      </c>
      <c r="EC61" s="23">
        <f>EXP(-LN(2)/2)*EC60+(1-EXP(-LN(2)/2))/(LN(2)/2)*DW61*DZ61*VLOOKUP('Données projet'!$B$14,Paramètres!$A$1:$I$88,3,0)*0.475*44/12</f>
        <v>0</v>
      </c>
      <c r="ED61" s="24">
        <f t="shared" si="18"/>
        <v>5.364113994096023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projet'!$B$15,Paramètres!$A$1:$I$88,3,0)*VLOOKUP('Données projet'!$B$15,Paramètres!$A$1:$I$88,5,0)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projet'!$B$15,Paramètres!$A$1:$I$88,3,0)*0.475*44/12</f>
        <v>#N/A</v>
      </c>
      <c r="EW61" s="23" t="e">
        <f>EXP(-LN(2)/25)*EW60+(1-EXP(-LN(2)/25))/(LN(2)/25)*Calculateur!ER61*Calculateur!ET61*VLOOKUP('Données projet'!$B$15,Paramètres!$A$1:$I$88,3,0)*0.475*44/12</f>
        <v>#N/A</v>
      </c>
      <c r="EX61" s="23" t="e">
        <f>EXP(-LN(2)/2)*EX60+(1-EXP(-LN(2)/2))/(LN(2)/2)*ER61*EU61*VLOOKUP('Données projet'!$B$15,Paramètres!$A$1:$I$88,3,0)*0.475*44/12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projet'!$B$16,Paramètres!$A$1:$I$88,3,0)*VLOOKUP('Données projet'!$B$16,Paramètres!$A$1:$I$88,5,0)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projet'!$B$16,Paramètres!$A$1:$I$88,3,0)*0.475*44/12</f>
        <v>#N/A</v>
      </c>
      <c r="FR61" s="23" t="e">
        <f>EXP(-LN(2)/25)*FR60+(1-EXP(-LN(2)/25))/(LN(2)/25)*Calculateur!FM61*Calculateur!FO61*VLOOKUP('Données projet'!$B$16,Paramètres!$A$1:$I$88,3,0)*0.475*44/12</f>
        <v>#N/A</v>
      </c>
      <c r="FS61" s="23" t="e">
        <f>EXP(-LN(2)/2)*FS60+(1-EXP(-LN(2)/2))/(LN(2)/2)*FM61*FP61*VLOOKUP('Données projet'!$B$16,Paramètres!$A$1:$I$88,3,0)*0.475*44/12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projet'!$B$17,Paramètres!$A$1:$I$88,3,0)*VLOOKUP('Données projet'!$B$17,Paramètres!$A$1:$I$88,5,0)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projet'!$B$17,Paramètres!$A$1:$I$88,3,0)*0.475*44/12</f>
        <v>#N/A</v>
      </c>
      <c r="GM61" s="23" t="e">
        <f>EXP(-LN(2)/25)*GM60+(1-EXP(-LN(2)/25))/(LN(2)/25)*Calculateur!GH61*Calculateur!GJ61*VLOOKUP('Données projet'!$B$17,Paramètres!$A$1:$I$88,3,0)*0.475*44/12</f>
        <v>#N/A</v>
      </c>
      <c r="GN61" s="23" t="e">
        <f>EXP(-LN(2)/2)*GN60+(1-EXP(-LN(2)/2))/(LN(2)/2)*GH61*GK61*VLOOKUP('Données projet'!$B$17,Paramètres!$A$1:$I$88,3,0)*0.475*44/12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projet'!$B$18,Paramètres!$A$1:$I$88,3,0)*VLOOKUP('Données projet'!$B$18,Paramètres!$A$1:$I$88,5,0)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projet'!$B$18,Paramètres!$A$1:$I$88,3,0)*0.475*44/12</f>
        <v>#N/A</v>
      </c>
      <c r="HH61" s="23" t="e">
        <f>EXP(-LN(2)/25)*HH60+(1-EXP(-LN(2)/25))/(LN(2)/25)*Calculateur!HC61*Calculateur!HE61*VLOOKUP('Données projet'!$B$18,Paramètres!$A$1:$I$88,3,0)*0.475*44/12</f>
        <v>#N/A</v>
      </c>
      <c r="HI61" s="23" t="e">
        <f>EXP(-LN(2)/2)*HI60+(1-EXP(-LN(2)/2))/(LN(2)/2)*HC61*HF61*VLOOKUP('Données projet'!$B$18,Paramètres!$A$1:$I$88,3,0)*0.475*44/12</f>
        <v>#N/A</v>
      </c>
      <c r="HJ61" s="24" t="e">
        <f t="shared" si="30"/>
        <v>#N/A</v>
      </c>
    </row>
    <row r="62" spans="1:218" s="5" customFormat="1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projet'!$B$9,Paramètres!$A$1:$I$88,3,0)*VLOOKUP('Données projet'!$B$9,Paramètres!$A$1:$I$88,5,0)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260.68940719384386</v>
      </c>
      <c r="S62" s="62">
        <f ca="1">AVERAGE(OFFSET($R$3,0,0,'Données projet'!$E$9+1,1))-AVERAGE(OFFSET($H$3,0,0,'Données projet'!$E$9+1,1))</f>
        <v>301.2688576786212</v>
      </c>
      <c r="T62" s="62">
        <f t="shared" si="34"/>
        <v>417.62172165132927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126.18332659059227</v>
      </c>
      <c r="AA62" s="23">
        <f>EXP(-LN(2)/25)*AA61+(1-EXP(-LN(2)/25))/(LN(2)/25)*Calculateur!V62*Calculateur!X62*VLOOKUP('Données projet'!$B$9,Paramètres!$A$1:$I$88,3,0)*0.475*44/12</f>
        <v>38.762755316931269</v>
      </c>
      <c r="AB62" s="23">
        <f>EXP(-LN(2)/2)*AB61+(1-EXP(-LN(2)/2))/(LN(2)/2)*V62*Y62*VLOOKUP('Données projet'!$B$9,Paramètres!$A$1:$I$88,3,0)*0.475*44/12</f>
        <v>1.3016420693884492</v>
      </c>
      <c r="AC62" s="24">
        <f t="shared" si="3"/>
        <v>166.24772397691197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projet'!$B$10,Paramètres!$A$1:$I$88,3,0)*VLOOKUP('Données projet'!$B$10,Paramètres!$A$1:$I$88,5,0)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170.08673939431091</v>
      </c>
      <c r="AO62" s="62">
        <f t="shared" si="36"/>
        <v>252.97355497077106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projet'!$B$10,Paramètres!$A$1:$I$88,3,0)*0.475*44/12</f>
        <v>52.685006621863508</v>
      </c>
      <c r="AV62" s="23">
        <f>EXP(-LN(2)/25)*AV61+(1-EXP(-LN(2)/25))/(LN(2)/25)*Calculateur!AQ62*Calculateur!AS62*VLOOKUP('Données projet'!$B$10,Paramètres!$A$1:$I$88,3,0)*0.475*44/12</f>
        <v>39.288123262750098</v>
      </c>
      <c r="AW62" s="23">
        <f>EXP(-LN(2)/2)*AW61+(1-EXP(-LN(2)/2))/(LN(2)/2)*AQ62*AT62*VLOOKUP('Données projet'!$B$10,Paramètres!$A$1:$I$88,3,0)*0.475*44/12</f>
        <v>1.6672988455151099</v>
      </c>
      <c r="AX62" s="23">
        <f t="shared" si="6"/>
        <v>93.640428730128704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7.6</v>
      </c>
      <c r="BD62" s="13">
        <f>IF('Données projet'!$A$88&gt;35,BD61+BC62-BL61,IF(A62&lt;'Données projet'!$A$88,$BA$205^A62,IF(A62='Données projet'!$A$88,'Données projet'!$B$88,BD61+BC62-BL61)))</f>
        <v>206.39999999999998</v>
      </c>
      <c r="BE62" s="14">
        <f>BD62*VLOOKUP('Données projet'!$B$11,Paramètres!$A$1:$I$88,3,0)*VLOOKUP('Données projet'!$B$11,Paramètres!$A$1:$I$88,5,0)</f>
        <v>186.75071999999997</v>
      </c>
      <c r="BF62" s="14">
        <f t="shared" si="37"/>
        <v>46.820863587839391</v>
      </c>
      <c r="BG62" s="22">
        <f t="shared" si="7"/>
        <v>406.80384141548689</v>
      </c>
      <c r="BH62" s="62">
        <f t="shared" si="8"/>
        <v>667.49324860932961</v>
      </c>
      <c r="BI62" s="62">
        <f ca="1">AVERAGE(OFFSET($BH$3,0,0,'Données projet'!$E$11+1,1))-AVERAGE(OFFSET($H$3,0,0,'Données projet'!$E$11+1,1))</f>
        <v>362.63718589694594</v>
      </c>
      <c r="BJ62" s="62">
        <f t="shared" si="38"/>
        <v>250.47702091764884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projet'!$B$11,Paramètres!$A$1:$I$88,3,0)*0.475*44/12</f>
        <v>7.3794620672559654</v>
      </c>
      <c r="BQ62" s="23">
        <f>EXP(-LN(2)/25)*BQ61+(1-EXP(-LN(2)/25))/(LN(2)/25)*Calculateur!BL62*Calculateur!BN62*VLOOKUP('Données projet'!$B$11,Paramètres!$A$1:$I$88,3,0)*0.475*44/12</f>
        <v>0</v>
      </c>
      <c r="BR62" s="23">
        <f>EXP(-LN(2)/2)*BR61+(1-EXP(-LN(2)/2))/(LN(2)/2)*BL62*BO62*VLOOKUP('Données projet'!$B$11,Paramètres!$A$1:$I$88,3,0)*0.475*44/12</f>
        <v>0</v>
      </c>
      <c r="BS62" s="24">
        <f t="shared" si="9"/>
        <v>7.3794620672559654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7.6</v>
      </c>
      <c r="BY62" s="13">
        <f>IF('Données projet'!$A$114&gt;35,BY61+BX62-CG61,IF(A62&lt;'Données projet'!$A$114,$BV$205^A62,IF(A62='Données projet'!$A$114,'Données projet'!$B$114,BY61+BX62-CG61)))</f>
        <v>206.39999999999998</v>
      </c>
      <c r="BZ62" s="14">
        <f>BY62*VLOOKUP('Données projet'!$B$12,Paramètres!$A$1:$I$88,3,0)*VLOOKUP('Données projet'!$B$12,Paramètres!$A$1:$I$88,5,0)</f>
        <v>209.28960000000001</v>
      </c>
      <c r="CA62" s="14">
        <f t="shared" si="39"/>
        <v>51.780314822292169</v>
      </c>
      <c r="CB62" s="22">
        <f t="shared" si="10"/>
        <v>454.69676831549214</v>
      </c>
      <c r="CC62" s="62">
        <f t="shared" si="11"/>
        <v>715.38617550933486</v>
      </c>
      <c r="CD62" s="62">
        <f ca="1">AVERAGE(OFFSET($CC$3,0,0,'Données projet'!$E$12+1,1))-AVERAGE(OFFSET($H$3,0,0,'Données projet'!$E$12+1,1))</f>
        <v>398.14524781940196</v>
      </c>
      <c r="CE62" s="62">
        <f t="shared" si="40"/>
        <v>273.35778700650792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projet'!$B$12,Paramètres!$A$1:$I$88,3,0)*0.475*44/12</f>
        <v>8.2700867995109935</v>
      </c>
      <c r="CL62" s="23">
        <f>EXP(-LN(2)/25)*CL61+(1-EXP(-LN(2)/25))/(LN(2)/25)*Calculateur!CG62*Calculateur!CI62*VLOOKUP('Données projet'!$B$12,Paramètres!$A$1:$I$88,3,0)*0.475*44/12</f>
        <v>0</v>
      </c>
      <c r="CM62" s="23">
        <f>EXP(-LN(2)/2)*CM61+(1-EXP(-LN(2)/2))/(LN(2)/2)*CG62*CJ62*VLOOKUP('Données projet'!$B$12,Paramètres!$A$1:$I$88,3,0)*0.475*44/12</f>
        <v>0</v>
      </c>
      <c r="CN62" s="24">
        <f t="shared" si="12"/>
        <v>8.2700867995109935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9.4</v>
      </c>
      <c r="CT62" s="13">
        <f>IF('Données projet'!$A$140&gt;35,CT61+CS62-DB61,IF(A62&lt;'Données projet'!$A$140,$CQ$205^A62,IF(A62='Données projet'!$A$140,'Données projet'!$B$140,CT61+CS62-DB61)))</f>
        <v>260.59999999999991</v>
      </c>
      <c r="CU62" s="18">
        <f>CT62*VLOOKUP('Données projet'!$B$13,Paramètres!$A$1:$I$88,3,0)*VLOOKUP('Données projet'!$B$13,Paramètres!$A$1:$I$88,5,0)</f>
        <v>247.98695999999993</v>
      </c>
      <c r="CV62" s="14">
        <f t="shared" si="41"/>
        <v>60.154676014844824</v>
      </c>
      <c r="CW62" s="22">
        <f t="shared" si="13"/>
        <v>536.68001605918778</v>
      </c>
      <c r="CX62" s="62">
        <f t="shared" si="14"/>
        <v>797.36942325303062</v>
      </c>
      <c r="CY62" s="62">
        <f ca="1">AVERAGE(OFFSET($CX$3,0,0,'Données projet'!$E$13+1,1))-AVERAGE(OFFSET($H$3,0,0,'Données projet'!$E$13+1,1))</f>
        <v>470.0521927195926</v>
      </c>
      <c r="CZ62" s="62">
        <f t="shared" si="42"/>
        <v>299.27200854723435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projet'!$B$13,Paramètres!$A$1:$I$88,3,0)*0.475*44/12</f>
        <v>7.7611583810795484</v>
      </c>
      <c r="DG62" s="23">
        <f>EXP(-LN(2)/25)*DG61+(1-EXP(-LN(2)/25))/(LN(2)/25)*Calculateur!DB62*Calculateur!DD62*VLOOKUP('Données projet'!$B$13,Paramètres!$A$1:$I$88,3,0)*0.475*44/12</f>
        <v>0</v>
      </c>
      <c r="DH62" s="23">
        <f>EXP(-LN(2)/2)*DH61+(1-EXP(-LN(2)/2))/(LN(2)/2)*DB62*DE62*VLOOKUP('Données projet'!$B$13,Paramètres!$A$1:$I$88,3,0)*0.475*44/12</f>
        <v>0</v>
      </c>
      <c r="DI62" s="24">
        <f t="shared" si="15"/>
        <v>7.7611583810795484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5.4</v>
      </c>
      <c r="DO62" s="13">
        <f>IF('Données projet'!$A$166&gt;35,DO61+DN62-DW61,IF(A62&lt;'Données projet'!$A$166,$DL$205^A62,IF(A62='Données projet'!$A$166,'Données projet'!$B$166,DO61+DN62-DW61)))</f>
        <v>142.59999999999997</v>
      </c>
      <c r="DP62" s="18">
        <f>DO62*VLOOKUP('Données projet'!$B$14,Paramètres!$A$1:$I$88,3,0)*VLOOKUP('Données projet'!$B$14,Paramètres!$A$1:$I$88,5,0)</f>
        <v>137.92271999999997</v>
      </c>
      <c r="DQ62" s="14">
        <f t="shared" si="43"/>
        <v>35.82071658526872</v>
      </c>
      <c r="DR62" s="22">
        <f t="shared" si="16"/>
        <v>302.60315205267631</v>
      </c>
      <c r="DS62" s="62">
        <f t="shared" si="17"/>
        <v>563.29255924651909</v>
      </c>
      <c r="DT62" s="62">
        <f ca="1">AVERAGE(OFFSET($DS$3,0,0,'Données projet'!$E$14+1,1))-AVERAGE(OFFSET($H$3,0,0,'Données projet'!$E$14+1,1))</f>
        <v>290.89727102147953</v>
      </c>
      <c r="DU62" s="62">
        <f t="shared" si="44"/>
        <v>173.19148969173838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projet'!$B$14,Paramètres!$A$1:$I$88,3,0)*0.475*44/12</f>
        <v>5.2589269904582743</v>
      </c>
      <c r="EB62" s="23">
        <f>EXP(-LN(2)/25)*EB61+(1-EXP(-LN(2)/25))/(LN(2)/25)*Calculateur!DW62*Calculateur!DY62*VLOOKUP('Données projet'!$B$14,Paramètres!$A$1:$I$88,3,0)*0.475*44/12</f>
        <v>0</v>
      </c>
      <c r="EC62" s="23">
        <f>EXP(-LN(2)/2)*EC61+(1-EXP(-LN(2)/2))/(LN(2)/2)*DW62*DZ62*VLOOKUP('Données projet'!$B$14,Paramètres!$A$1:$I$88,3,0)*0.475*44/12</f>
        <v>0</v>
      </c>
      <c r="ED62" s="24">
        <f t="shared" si="18"/>
        <v>5.2589269904582743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projet'!$B$15,Paramètres!$A$1:$I$88,3,0)*VLOOKUP('Données projet'!$B$15,Paramètres!$A$1:$I$88,5,0)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projet'!$B$15,Paramètres!$A$1:$I$88,3,0)*0.475*44/12</f>
        <v>#N/A</v>
      </c>
      <c r="EW62" s="23" t="e">
        <f>EXP(-LN(2)/25)*EW61+(1-EXP(-LN(2)/25))/(LN(2)/25)*Calculateur!ER62*Calculateur!ET62*VLOOKUP('Données projet'!$B$15,Paramètres!$A$1:$I$88,3,0)*0.475*44/12</f>
        <v>#N/A</v>
      </c>
      <c r="EX62" s="23" t="e">
        <f>EXP(-LN(2)/2)*EX61+(1-EXP(-LN(2)/2))/(LN(2)/2)*ER62*EU62*VLOOKUP('Données projet'!$B$15,Paramètres!$A$1:$I$88,3,0)*0.475*44/12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projet'!$B$16,Paramètres!$A$1:$I$88,3,0)*VLOOKUP('Données projet'!$B$16,Paramètres!$A$1:$I$88,5,0)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projet'!$B$16,Paramètres!$A$1:$I$88,3,0)*0.475*44/12</f>
        <v>#N/A</v>
      </c>
      <c r="FR62" s="23" t="e">
        <f>EXP(-LN(2)/25)*FR61+(1-EXP(-LN(2)/25))/(LN(2)/25)*Calculateur!FM62*Calculateur!FO62*VLOOKUP('Données projet'!$B$16,Paramètres!$A$1:$I$88,3,0)*0.475*44/12</f>
        <v>#N/A</v>
      </c>
      <c r="FS62" s="23" t="e">
        <f>EXP(-LN(2)/2)*FS61+(1-EXP(-LN(2)/2))/(LN(2)/2)*FM62*FP62*VLOOKUP('Données projet'!$B$16,Paramètres!$A$1:$I$88,3,0)*0.475*44/12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projet'!$B$17,Paramètres!$A$1:$I$88,3,0)*VLOOKUP('Données projet'!$B$17,Paramètres!$A$1:$I$88,5,0)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projet'!$B$17,Paramètres!$A$1:$I$88,3,0)*0.475*44/12</f>
        <v>#N/A</v>
      </c>
      <c r="GM62" s="23" t="e">
        <f>EXP(-LN(2)/25)*GM61+(1-EXP(-LN(2)/25))/(LN(2)/25)*Calculateur!GH62*Calculateur!GJ62*VLOOKUP('Données projet'!$B$17,Paramètres!$A$1:$I$88,3,0)*0.475*44/12</f>
        <v>#N/A</v>
      </c>
      <c r="GN62" s="23" t="e">
        <f>EXP(-LN(2)/2)*GN61+(1-EXP(-LN(2)/2))/(LN(2)/2)*GH62*GK62*VLOOKUP('Données projet'!$B$17,Paramètres!$A$1:$I$88,3,0)*0.475*44/12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projet'!$B$18,Paramètres!$A$1:$I$88,3,0)*VLOOKUP('Données projet'!$B$18,Paramètres!$A$1:$I$88,5,0)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projet'!$B$18,Paramètres!$A$1:$I$88,3,0)*0.475*44/12</f>
        <v>#N/A</v>
      </c>
      <c r="HH62" s="23" t="e">
        <f>EXP(-LN(2)/25)*HH61+(1-EXP(-LN(2)/25))/(LN(2)/25)*Calculateur!HC62*Calculateur!HE62*VLOOKUP('Données projet'!$B$18,Paramètres!$A$1:$I$88,3,0)*0.475*44/12</f>
        <v>#N/A</v>
      </c>
      <c r="HI62" s="23" t="e">
        <f>EXP(-LN(2)/2)*HI61+(1-EXP(-LN(2)/2))/(LN(2)/2)*HC62*HF62*VLOOKUP('Données projet'!$B$18,Paramètres!$A$1:$I$88,3,0)*0.475*44/12</f>
        <v>#N/A</v>
      </c>
      <c r="HJ62" s="24" t="e">
        <f t="shared" si="30"/>
        <v>#N/A</v>
      </c>
    </row>
    <row r="63" spans="1:218" s="5" customFormat="1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projet'!$B$9,Paramètres!$A$1:$I$88,3,0)*VLOOKUP('Données projet'!$B$9,Paramètres!$A$1:$I$88,5,0)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261.25570633147856</v>
      </c>
      <c r="S63" s="62">
        <f ca="1">AVERAGE(OFFSET($R$3,0,0,'Données projet'!$E$9+1,1))-AVERAGE(OFFSET($H$3,0,0,'Données projet'!$E$9+1,1))</f>
        <v>301.2688576786212</v>
      </c>
      <c r="T63" s="62">
        <f t="shared" si="34"/>
        <v>417.62172165132927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projet'!$B$9,Paramètres!$A$1:$I$88,7,0))</f>
        <v>0</v>
      </c>
      <c r="X63" s="17">
        <f>IF(ISNA(VLOOKUP(A63,'Données projet'!$A$35:$I$55,6,0)),0%,VLOOKUP(A63,'Données projet'!$A$35:$I$55,6,0)*VLOOKUP('Données projet'!$B$9,Paramètres!$A$1:$I$88,7,0))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projet'!$B$9,Paramètres!$A$1:$I$88,3,0)*0.475*44/12</f>
        <v>123.70894852038039</v>
      </c>
      <c r="AA63" s="23">
        <f>EXP(-LN(2)/25)*AA62+(1-EXP(-LN(2)/25))/(LN(2)/25)*Calculateur!V63*Calculateur!X63*VLOOKUP('Données projet'!$B$9,Paramètres!$A$1:$I$88,3,0)*0.475*44/12</f>
        <v>37.702785734345078</v>
      </c>
      <c r="AB63" s="23">
        <f>EXP(-LN(2)/2)*AB62+(1-EXP(-LN(2)/2))/(LN(2)/2)*V63*Y63*VLOOKUP('Données projet'!$B$9,Paramètres!$A$1:$I$88,3,0)*0.475*44/12</f>
        <v>0.92039993394226305</v>
      </c>
      <c r="AC63" s="24">
        <f t="shared" si="3"/>
        <v>162.33213418866774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projet'!$B$10,Paramètres!$A$1:$I$88,3,0)*VLOOKUP('Données projet'!$B$10,Paramètres!$A$1:$I$88,5,0)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170.08673939431091</v>
      </c>
      <c r="AO63" s="62">
        <f t="shared" si="36"/>
        <v>252.97355497077106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projet'!$B$10,Paramètres!$A$1:$I$88,7,0))</f>
        <v>0</v>
      </c>
      <c r="AS63" s="17">
        <f>IF(ISNA(VLOOKUP(A63,'Données projet'!$A$61:$I$81,6,0)),0%,VLOOKUP(A63,'Données projet'!$A$61:$I$81,6,0)*VLOOKUP('Données projet'!$B$10,Paramètres!$A$1:$I$88,7,0))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projet'!$B$10,Paramètres!$A$1:$I$88,3,0)*0.475*44/12</f>
        <v>51.651885776689767</v>
      </c>
      <c r="AV63" s="23">
        <f>EXP(-LN(2)/25)*AV62+(1-EXP(-LN(2)/25))/(LN(2)/25)*Calculateur!AQ63*Calculateur!AS63*VLOOKUP('Données projet'!$B$10,Paramètres!$A$1:$I$88,3,0)*0.475*44/12</f>
        <v>38.213787466057589</v>
      </c>
      <c r="AW63" s="23">
        <f>EXP(-LN(2)/2)*AW62+(1-EXP(-LN(2)/2))/(LN(2)/2)*AQ63*AT63*VLOOKUP('Données projet'!$B$10,Paramètres!$A$1:$I$88,3,0)*0.475*44/12</f>
        <v>1.1789583199282361</v>
      </c>
      <c r="AX63" s="23">
        <f t="shared" si="6"/>
        <v>91.044631562675605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214</v>
      </c>
      <c r="BB63" s="13">
        <f>VLOOKUP(A63,'Données projet'!$A$87:$I$107,9,0)</f>
        <v>7.6</v>
      </c>
      <c r="BC63" s="13">
        <f t="array" ref="BC63">INDEX(BB:BB,MIN(IF(ISNUMBER(BB63:BB259),ROW(BB63:BB259),"")))</f>
        <v>7.6</v>
      </c>
      <c r="BD63" s="13">
        <f>IF('Données projet'!$A$88&gt;35,BD62+BC63-BL62,IF(A63&lt;'Données projet'!$A$88,$BA$205^A63,IF(A63='Données projet'!$A$88,'Données projet'!$B$88,BD62+BC63-BL62)))</f>
        <v>213.99999999999997</v>
      </c>
      <c r="BE63" s="14">
        <f>BD63*VLOOKUP('Données projet'!$B$11,Paramètres!$A$1:$I$88,3,0)*VLOOKUP('Données projet'!$B$11,Paramètres!$A$1:$I$88,5,0)</f>
        <v>193.62719999999996</v>
      </c>
      <c r="BF63" s="14">
        <f t="shared" si="37"/>
        <v>48.340990547231193</v>
      </c>
      <c r="BG63" s="22">
        <f t="shared" si="7"/>
        <v>421.42793186976087</v>
      </c>
      <c r="BH63" s="62">
        <f t="shared" si="8"/>
        <v>682.68363820123841</v>
      </c>
      <c r="BI63" s="62">
        <f ca="1">AVERAGE(OFFSET($BH$3,0,0,'Données projet'!$E$11+1,1))-AVERAGE(OFFSET($H$3,0,0,'Données projet'!$E$11+1,1))</f>
        <v>362.63718589694594</v>
      </c>
      <c r="BJ63" s="62">
        <f t="shared" si="38"/>
        <v>250.47702091764884</v>
      </c>
      <c r="BK63" s="16">
        <f>IF(ISNA(VLOOKUP(A63,'Données projet'!$A$87:$I$107,3,0)),0,VLOOKUP(A63,'Données projet'!$A$87:$I$107,3,0))</f>
        <v>9</v>
      </c>
      <c r="BL63" s="16">
        <f>IF(ISNA(VLOOKUP(A63,'Données projet'!$A$87:$I$107,4,0)),0,VLOOKUP(A63,'Données projet'!$A$87:$I$107,4,0))</f>
        <v>21</v>
      </c>
      <c r="BM63" s="17">
        <f>IF(ISNA(VLOOKUP(A63,'Données projet'!$A$87:$I$107,5,0)),0%,VLOOKUP(A63,'Données projet'!$A$87:$I$107,5,0)*VLOOKUP('Données projet'!$B$11,Paramètres!$A$1:$I$88,7,0))</f>
        <v>0.17200000000000001</v>
      </c>
      <c r="BN63" s="17">
        <f>IF(ISNA(VLOOKUP(A63,'Données projet'!$A$87:$I$107,6,0)),0%,VLOOKUP(A63,'Données projet'!$A$87:$I$107,6,0)*VLOOKUP('Données projet'!$B$11,Paramètres!$A$1:$I$88,7,0))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projet'!$B$11,Paramètres!$A$1:$I$88,3,0)*0.475*44/12</f>
        <v>10.847584630182402</v>
      </c>
      <c r="BQ63" s="23">
        <f>EXP(-LN(2)/25)*BQ62+(1-EXP(-LN(2)/25))/(LN(2)/25)*Calculateur!BL63*Calculateur!BN63*VLOOKUP('Données projet'!$B$11,Paramètres!$A$1:$I$88,3,0)*0.475*44/12</f>
        <v>0</v>
      </c>
      <c r="BR63" s="23">
        <f>EXP(-LN(2)/2)*BR62+(1-EXP(-LN(2)/2))/(LN(2)/2)*BL63*BO63*VLOOKUP('Données projet'!$B$11,Paramètres!$A$1:$I$88,3,0)*0.475*44/12</f>
        <v>0</v>
      </c>
      <c r="BS63" s="24">
        <f t="shared" si="9"/>
        <v>10.847584630182402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214</v>
      </c>
      <c r="BW63" s="13">
        <f>VLOOKUP(A63,'Données projet'!$A$113:$I$133,9,0)</f>
        <v>7.6</v>
      </c>
      <c r="BX63" s="13">
        <f t="array" ref="BX63">INDEX(BW:BW,MIN(IF(ISNUMBER(BW63:BW259),ROW(BW63:BW259),"")))</f>
        <v>7.6</v>
      </c>
      <c r="BY63" s="13">
        <f>IF('Données projet'!$A$114&gt;35,BY62+BX63-CG62,IF(A63&lt;'Données projet'!$A$114,$BV$205^A63,IF(A63='Données projet'!$A$114,'Données projet'!$B$114,BY62+BX63-CG62)))</f>
        <v>213.99999999999997</v>
      </c>
      <c r="BZ63" s="14">
        <f>BY63*VLOOKUP('Données projet'!$B$12,Paramètres!$A$1:$I$88,3,0)*VLOOKUP('Données projet'!$B$12,Paramètres!$A$1:$I$88,5,0)</f>
        <v>216.99600000000001</v>
      </c>
      <c r="CA63" s="14">
        <f t="shared" si="39"/>
        <v>53.461459647386917</v>
      </c>
      <c r="CB63" s="22">
        <f t="shared" si="10"/>
        <v>471.04674221919896</v>
      </c>
      <c r="CC63" s="62">
        <f t="shared" si="11"/>
        <v>732.30244855067644</v>
      </c>
      <c r="CD63" s="62">
        <f ca="1">AVERAGE(OFFSET($CC$3,0,0,'Données projet'!$E$12+1,1))-AVERAGE(OFFSET($H$3,0,0,'Données projet'!$E$12+1,1))</f>
        <v>398.14524781940196</v>
      </c>
      <c r="CE63" s="62">
        <f t="shared" si="40"/>
        <v>273.35778700650792</v>
      </c>
      <c r="CF63" s="16">
        <f>IF(ISNA(VLOOKUP(A63,'Données projet'!$A$113:$I$133,3,0)),0,VLOOKUP(A63,'Données projet'!$A$113:$I$133,3,0))</f>
        <v>9</v>
      </c>
      <c r="CG63" s="16">
        <f>IF(ISNA(VLOOKUP(A63,'Données projet'!$A$113:$I$133,4,0)),0,VLOOKUP(A63,'Données projet'!$A$113:$I$133,4,0))</f>
        <v>21</v>
      </c>
      <c r="CH63" s="17">
        <f>IF(ISNA(VLOOKUP(A63,'Données projet'!$A$113:$I$133,5,0)),0%,VLOOKUP(A63,'Données projet'!$A$113:$I$133,5,0)*VLOOKUP('Données projet'!$B$12,Paramètres!$A$1:$I$88,7,0))</f>
        <v>0.17200000000000001</v>
      </c>
      <c r="CI63" s="17">
        <f>IF(ISNA(VLOOKUP(A63,'Données projet'!$A$113:$I$133,6,0)),0%,VLOOKUP(A63,'Données projet'!$A$113:$I$133,6,0)*VLOOKUP('Données projet'!$B$12,Paramètres!$A$1:$I$88,7,0))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projet'!$B$12,Paramètres!$A$1:$I$88,3,0)*0.475*44/12</f>
        <v>12.156775878652692</v>
      </c>
      <c r="CL63" s="23">
        <f>EXP(-LN(2)/25)*CL62+(1-EXP(-LN(2)/25))/(LN(2)/25)*Calculateur!CG63*Calculateur!CI63*VLOOKUP('Données projet'!$B$12,Paramètres!$A$1:$I$88,3,0)*0.475*44/12</f>
        <v>0</v>
      </c>
      <c r="CM63" s="23">
        <f>EXP(-LN(2)/2)*CM62+(1-EXP(-LN(2)/2))/(LN(2)/2)*CG63*CJ63*VLOOKUP('Données projet'!$B$12,Paramètres!$A$1:$I$88,3,0)*0.475*44/12</f>
        <v>0</v>
      </c>
      <c r="CN63" s="24">
        <f t="shared" si="12"/>
        <v>12.156775878652692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270</v>
      </c>
      <c r="CR63" s="13">
        <f>VLOOKUP(A63,'Données projet'!$A$139:$I$159,9,0)</f>
        <v>9.4</v>
      </c>
      <c r="CS63" s="13">
        <f t="array" ref="CS63">INDEX(CR:CR,MIN(IF(ISNUMBER(CR63:CR259),ROW(CR63:CR259),"")))</f>
        <v>9.4</v>
      </c>
      <c r="CT63" s="13">
        <f>IF('Données projet'!$A$140&gt;35,CT62+CS63-DB62,IF(A63&lt;'Données projet'!$A$140,$CQ$205^A63,IF(A63='Données projet'!$A$140,'Données projet'!$B$140,CT62+CS63-DB62)))</f>
        <v>269.99999999999989</v>
      </c>
      <c r="CU63" s="18">
        <f>CT63*VLOOKUP('Données projet'!$B$13,Paramètres!$A$1:$I$88,3,0)*VLOOKUP('Données projet'!$B$13,Paramètres!$A$1:$I$88,5,0)</f>
        <v>256.9319999999999</v>
      </c>
      <c r="CV63" s="14">
        <f t="shared" si="41"/>
        <v>62.067953229346557</v>
      </c>
      <c r="CW63" s="22">
        <f t="shared" si="13"/>
        <v>555.59158520777839</v>
      </c>
      <c r="CX63" s="62">
        <f t="shared" si="14"/>
        <v>816.84729153925582</v>
      </c>
      <c r="CY63" s="62">
        <f ca="1">AVERAGE(OFFSET($CX$3,0,0,'Données projet'!$E$13+1,1))-AVERAGE(OFFSET($H$3,0,0,'Données projet'!$E$13+1,1))</f>
        <v>470.0521927195926</v>
      </c>
      <c r="CZ63" s="62">
        <f t="shared" si="42"/>
        <v>299.27200854723435</v>
      </c>
      <c r="DA63" s="16">
        <f>IF(ISNA(VLOOKUP(A63,'Données projet'!$A$139:$I$159,3,0)),0,VLOOKUP(A63,'Données projet'!$A$139:$I$159,3,0))</f>
        <v>9</v>
      </c>
      <c r="DB63" s="16">
        <f>IF(ISNA(VLOOKUP(A63,'Données projet'!$A$139:$I$159,4,0)),0,VLOOKUP(A63,'Données projet'!$A$139:$I$159,4,0))</f>
        <v>21</v>
      </c>
      <c r="DC63" s="17">
        <f>IF(ISNA(VLOOKUP(A63,'Données projet'!$A$139:$I$159,5,0)),0%,VLOOKUP(A63,'Données projet'!$A$139:$I$159,5,0)*VLOOKUP('Données projet'!$B$13,Paramètres!$A$1:$I$88,7,0))</f>
        <v>0.17200000000000001</v>
      </c>
      <c r="DD63" s="17">
        <f>IF(ISNA(VLOOKUP(A63,'Données projet'!$A$139:$I$159,6,0)),0%,VLOOKUP(A63,'Données projet'!$A$139:$I$159,6,0)*VLOOKUP('Données projet'!$B$13,Paramètres!$A$1:$I$88,7,0))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projet'!$B$13,Paramètres!$A$1:$I$88,3,0)*0.475*44/12</f>
        <v>11.408666593812526</v>
      </c>
      <c r="DG63" s="23">
        <f>EXP(-LN(2)/25)*DG62+(1-EXP(-LN(2)/25))/(LN(2)/25)*Calculateur!DB63*Calculateur!DD63*VLOOKUP('Données projet'!$B$13,Paramètres!$A$1:$I$88,3,0)*0.475*44/12</f>
        <v>0</v>
      </c>
      <c r="DH63" s="23">
        <f>EXP(-LN(2)/2)*DH62+(1-EXP(-LN(2)/2))/(LN(2)/2)*DB63*DE63*VLOOKUP('Données projet'!$B$13,Paramètres!$A$1:$I$88,3,0)*0.475*44/12</f>
        <v>0</v>
      </c>
      <c r="DI63" s="24">
        <f t="shared" si="15"/>
        <v>11.408666593812526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148</v>
      </c>
      <c r="DM63" s="13">
        <f>VLOOKUP(A63,'Données projet'!$A$165:$I$185,9,0)</f>
        <v>5.4</v>
      </c>
      <c r="DN63" s="13">
        <f t="array" ref="DN63">INDEX(DM:DM,MIN(IF(ISNUMBER(DM63:DM259),ROW(DM63:DM259),"")))</f>
        <v>5.4</v>
      </c>
      <c r="DO63" s="13">
        <f>IF('Données projet'!$A$166&gt;35,DO62+DN63-DW62,IF(A63&lt;'Données projet'!$A$166,$DL$205^A63,IF(A63='Données projet'!$A$166,'Données projet'!$B$166,DO62+DN63-DW62)))</f>
        <v>147.99999999999997</v>
      </c>
      <c r="DP63" s="18">
        <f>DO63*VLOOKUP('Données projet'!$B$14,Paramètres!$A$1:$I$88,3,0)*VLOOKUP('Données projet'!$B$14,Paramètres!$A$1:$I$88,5,0)</f>
        <v>143.14559999999997</v>
      </c>
      <c r="DQ63" s="14">
        <f t="shared" si="43"/>
        <v>37.01668374538415</v>
      </c>
      <c r="DR63" s="22">
        <f t="shared" si="16"/>
        <v>313.78264418987732</v>
      </c>
      <c r="DS63" s="62">
        <f t="shared" si="17"/>
        <v>575.0383505213548</v>
      </c>
      <c r="DT63" s="62">
        <f ca="1">AVERAGE(OFFSET($DS$3,0,0,'Données projet'!$E$14+1,1))-AVERAGE(OFFSET($H$3,0,0,'Données projet'!$E$14+1,1))</f>
        <v>290.89727102147953</v>
      </c>
      <c r="DU63" s="62">
        <f t="shared" si="44"/>
        <v>173.19148969173838</v>
      </c>
      <c r="DV63" s="16">
        <f>IF(ISNA(VLOOKUP(A63,'Données projet'!$A$165:$I$185,3,0)),0,VLOOKUP(A63,'Données projet'!$A$165:$I$185,3,0))</f>
        <v>9</v>
      </c>
      <c r="DW63" s="16">
        <f>IF(ISNA(VLOOKUP(A63,'Données projet'!$A$165:$I$185,4,0)),0,VLOOKUP(A63,'Données projet'!$A$165:$I$185,4,0))</f>
        <v>14</v>
      </c>
      <c r="DX63" s="17">
        <f>IF(ISNA(VLOOKUP(A63,'Données projet'!$A$165:$I$185,5,0)),0%,VLOOKUP(A63,'Données projet'!$A$165:$I$185,5,0)*VLOOKUP('Données projet'!$B$14,Paramètres!$A$1:$I$88,7,0))</f>
        <v>0.17200000000000001</v>
      </c>
      <c r="DY63" s="17">
        <f>IF(ISNA(VLOOKUP(A63,'Données projet'!$A$165:$I$185,6,0)),0%,VLOOKUP(A63,'Données projet'!$A$165:$I$185,6,0)*VLOOKUP('Données projet'!$B$14,Paramètres!$A$1:$I$88,7,0))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projet'!$B$14,Paramètres!$A$1:$I$88,3,0)*0.475*44/12</f>
        <v>7.7304626100150458</v>
      </c>
      <c r="EB63" s="23">
        <f>EXP(-LN(2)/25)*EB62+(1-EXP(-LN(2)/25))/(LN(2)/25)*Calculateur!DW63*Calculateur!DY63*VLOOKUP('Données projet'!$B$14,Paramètres!$A$1:$I$88,3,0)*0.475*44/12</f>
        <v>0</v>
      </c>
      <c r="EC63" s="23">
        <f>EXP(-LN(2)/2)*EC62+(1-EXP(-LN(2)/2))/(LN(2)/2)*DW63*DZ63*VLOOKUP('Données projet'!$B$14,Paramètres!$A$1:$I$88,3,0)*0.475*44/12</f>
        <v>0</v>
      </c>
      <c r="ED63" s="24">
        <f t="shared" si="18"/>
        <v>7.7304626100150458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projet'!$B$15,Paramètres!$A$1:$I$88,3,0)*VLOOKUP('Données projet'!$B$15,Paramètres!$A$1:$I$88,5,0)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projet'!$B$15,Paramètres!$A$1:$I$88,7,0))</f>
        <v>0</v>
      </c>
      <c r="ET63" s="17">
        <f>IF(ISNA(VLOOKUP(A63,'Données projet'!$A$191:$I$211,6,0)),0%,VLOOKUP(A63,'Données projet'!$A$191:$I$211,6,0)*VLOOKUP('Données projet'!$B$15,Paramètres!$A$1:$I$88,7,0))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projet'!$B$15,Paramètres!$A$1:$I$88,3,0)*0.475*44/12</f>
        <v>#N/A</v>
      </c>
      <c r="EW63" s="23" t="e">
        <f>EXP(-LN(2)/25)*EW62+(1-EXP(-LN(2)/25))/(LN(2)/25)*Calculateur!ER63*Calculateur!ET63*VLOOKUP('Données projet'!$B$15,Paramètres!$A$1:$I$88,3,0)*0.475*44/12</f>
        <v>#N/A</v>
      </c>
      <c r="EX63" s="23" t="e">
        <f>EXP(-LN(2)/2)*EX62+(1-EXP(-LN(2)/2))/(LN(2)/2)*ER63*EU63*VLOOKUP('Données projet'!$B$15,Paramètres!$A$1:$I$88,3,0)*0.475*44/12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projet'!$B$16,Paramètres!$A$1:$I$88,3,0)*VLOOKUP('Données projet'!$B$16,Paramètres!$A$1:$I$88,5,0)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projet'!$B$16,Paramètres!$A$1:$I$88,7,0))</f>
        <v>0</v>
      </c>
      <c r="FO63" s="17">
        <f>IF(ISNA(VLOOKUP(A63,'Données projet'!$A$217:$I$237,6,0)),0%,VLOOKUP(A63,'Données projet'!$A$217:$I$237,6,0)*VLOOKUP('Données projet'!$B$16,Paramètres!$A$1:$I$88,7,0))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projet'!$B$16,Paramètres!$A$1:$I$88,3,0)*0.475*44/12</f>
        <v>#N/A</v>
      </c>
      <c r="FR63" s="23" t="e">
        <f>EXP(-LN(2)/25)*FR62+(1-EXP(-LN(2)/25))/(LN(2)/25)*Calculateur!FM63*Calculateur!FO63*VLOOKUP('Données projet'!$B$16,Paramètres!$A$1:$I$88,3,0)*0.475*44/12</f>
        <v>#N/A</v>
      </c>
      <c r="FS63" s="23" t="e">
        <f>EXP(-LN(2)/2)*FS62+(1-EXP(-LN(2)/2))/(LN(2)/2)*FM63*FP63*VLOOKUP('Données projet'!$B$16,Paramètres!$A$1:$I$88,3,0)*0.475*44/12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projet'!$B$17,Paramètres!$A$1:$I$88,3,0)*VLOOKUP('Données projet'!$B$17,Paramètres!$A$1:$I$88,5,0)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projet'!$B$17,Paramètres!$A$1:$I$88,7,0))</f>
        <v>0</v>
      </c>
      <c r="GJ63" s="17">
        <f>IF(ISNA(VLOOKUP(A63,'Données projet'!$A$243:$I$263,6,0)),0%,VLOOKUP(A63,'Données projet'!$A$243:$I$263,6,0)*VLOOKUP('Données projet'!$B$17,Paramètres!$A$1:$I$88,7,0))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projet'!$B$17,Paramètres!$A$1:$I$88,3,0)*0.475*44/12</f>
        <v>#N/A</v>
      </c>
      <c r="GM63" s="23" t="e">
        <f>EXP(-LN(2)/25)*GM62+(1-EXP(-LN(2)/25))/(LN(2)/25)*Calculateur!GH63*Calculateur!GJ63*VLOOKUP('Données projet'!$B$17,Paramètres!$A$1:$I$88,3,0)*0.475*44/12</f>
        <v>#N/A</v>
      </c>
      <c r="GN63" s="23" t="e">
        <f>EXP(-LN(2)/2)*GN62+(1-EXP(-LN(2)/2))/(LN(2)/2)*GH63*GK63*VLOOKUP('Données projet'!$B$17,Paramètres!$A$1:$I$88,3,0)*0.475*44/12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projet'!$B$18,Paramètres!$A$1:$I$88,3,0)*VLOOKUP('Données projet'!$B$18,Paramètres!$A$1:$I$88,5,0)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projet'!$B$18,Paramètres!$A$1:$I$88,3,0)*0.475*44/12</f>
        <v>#N/A</v>
      </c>
      <c r="HH63" s="23" t="e">
        <f>EXP(-LN(2)/25)*HH62+(1-EXP(-LN(2)/25))/(LN(2)/25)*Calculateur!HC63*Calculateur!HE63*VLOOKUP('Données projet'!$B$18,Paramètres!$A$1:$I$88,3,0)*0.475*44/12</f>
        <v>#N/A</v>
      </c>
      <c r="HI63" s="23" t="e">
        <f>EXP(-LN(2)/2)*HI62+(1-EXP(-LN(2)/2))/(LN(2)/2)*HC63*HF63*VLOOKUP('Données projet'!$B$18,Paramètres!$A$1:$I$88,3,0)*0.475*44/12</f>
        <v>#N/A</v>
      </c>
      <c r="HJ63" s="24" t="e">
        <f t="shared" si="30"/>
        <v>#N/A</v>
      </c>
    </row>
    <row r="64" spans="1:218" s="5" customFormat="1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projet'!$B$9,Paramètres!$A$1:$I$88,3,0)*VLOOKUP('Données projet'!$B$9,Paramètres!$A$1:$I$88,5,0)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261.81218144513042</v>
      </c>
      <c r="S64" s="62">
        <f ca="1">AVERAGE(OFFSET($R$3,0,0,'Données projet'!$E$9+1,1))-AVERAGE(OFFSET($H$3,0,0,'Données projet'!$E$9+1,1))</f>
        <v>301.2688576786212</v>
      </c>
      <c r="T64" s="62">
        <f t="shared" si="34"/>
        <v>417.62172165132927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121.28309149490376</v>
      </c>
      <c r="AA64" s="23">
        <f>EXP(-LN(2)/25)*AA63+(1-EXP(-LN(2)/25))/(LN(2)/25)*Calculateur!V64*Calculateur!X64*VLOOKUP('Données projet'!$B$9,Paramètres!$A$1:$I$88,3,0)*0.475*44/12</f>
        <v>36.671801075736077</v>
      </c>
      <c r="AB64" s="23">
        <f>EXP(-LN(2)/2)*AB63+(1-EXP(-LN(2)/2))/(LN(2)/2)*V64*Y64*VLOOKUP('Données projet'!$B$9,Paramètres!$A$1:$I$88,3,0)*0.475*44/12</f>
        <v>0.65082103469422459</v>
      </c>
      <c r="AC64" s="24">
        <f t="shared" si="3"/>
        <v>158.60571360533405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projet'!$B$10,Paramètres!$A$1:$I$88,3,0)*VLOOKUP('Données projet'!$B$10,Paramètres!$A$1:$I$88,5,0)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170.08673939431091</v>
      </c>
      <c r="AO64" s="62">
        <f t="shared" si="36"/>
        <v>252.97355497077106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projet'!$B$10,Paramètres!$A$1:$I$88,7,0))</f>
        <v>0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projet'!$B$10,Paramètres!$A$1:$I$88,3,0)*0.475*44/12</f>
        <v>50.63902380114839</v>
      </c>
      <c r="AV64" s="23">
        <f>EXP(-LN(2)/25)*AV63+(1-EXP(-LN(2)/25))/(LN(2)/25)*Calculateur!AQ64*Calculateur!AS64*VLOOKUP('Données projet'!$B$10,Paramètres!$A$1:$I$88,3,0)*0.475*44/12</f>
        <v>37.168829438222502</v>
      </c>
      <c r="AW64" s="23">
        <f>EXP(-LN(2)/2)*AW63+(1-EXP(-LN(2)/2))/(LN(2)/2)*AQ64*AT64*VLOOKUP('Données projet'!$B$10,Paramètres!$A$1:$I$88,3,0)*0.475*44/12</f>
        <v>0.83364942275755494</v>
      </c>
      <c r="AX64" s="23">
        <f t="shared" si="6"/>
        <v>88.64150266212846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7.2</v>
      </c>
      <c r="BD64" s="13">
        <f>IF('Données projet'!$A$88&gt;35,BD63+BC64-BL63,IF(A64&lt;'Données projet'!$A$88,$BA$205^A64,IF(A64='Données projet'!$A$88,'Données projet'!$B$88,BD63+BC64-BL63)))</f>
        <v>200.19999999999996</v>
      </c>
      <c r="BE64" s="14">
        <f>BD64*VLOOKUP('Données projet'!$B$11,Paramètres!$A$1:$I$88,3,0)*VLOOKUP('Données projet'!$B$11,Paramètres!$A$1:$I$88,5,0)</f>
        <v>181.14095999999995</v>
      </c>
      <c r="BF64" s="14">
        <f t="shared" si="37"/>
        <v>45.575935320610945</v>
      </c>
      <c r="BG64" s="22">
        <f t="shared" si="7"/>
        <v>394.86525935006392</v>
      </c>
      <c r="BH64" s="62">
        <f t="shared" si="8"/>
        <v>656.67744079519321</v>
      </c>
      <c r="BI64" s="62">
        <f ca="1">AVERAGE(OFFSET($BH$3,0,0,'Données projet'!$E$11+1,1))-AVERAGE(OFFSET($H$3,0,0,'Données projet'!$E$11+1,1))</f>
        <v>362.63718589694594</v>
      </c>
      <c r="BJ64" s="62">
        <f t="shared" si="38"/>
        <v>250.47702091764884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projet'!$B$11,Paramètres!$A$1:$I$88,7,0))</f>
        <v>0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projet'!$B$11,Paramètres!$A$1:$I$88,3,0)*0.475*44/12</f>
        <v>10.634870111957836</v>
      </c>
      <c r="BQ64" s="23">
        <f>EXP(-LN(2)/25)*BQ63+(1-EXP(-LN(2)/25))/(LN(2)/25)*Calculateur!BL64*Calculateur!BN64*VLOOKUP('Données projet'!$B$11,Paramètres!$A$1:$I$88,3,0)*0.475*44/12</f>
        <v>0</v>
      </c>
      <c r="BR64" s="23">
        <f>EXP(-LN(2)/2)*BR63+(1-EXP(-LN(2)/2))/(LN(2)/2)*BL64*BO64*VLOOKUP('Données projet'!$B$11,Paramètres!$A$1:$I$88,3,0)*0.475*44/12</f>
        <v>0</v>
      </c>
      <c r="BS64" s="24">
        <f t="shared" si="9"/>
        <v>10.634870111957836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7.2</v>
      </c>
      <c r="BY64" s="13">
        <f>IF('Données projet'!$A$114&gt;35,BY63+BX64-CG63,IF(A64&lt;'Données projet'!$A$114,$BV$205^A64,IF(A64='Données projet'!$A$114,'Données projet'!$B$114,BY63+BX64-CG63)))</f>
        <v>200.19999999999996</v>
      </c>
      <c r="BZ64" s="14">
        <f>BY64*VLOOKUP('Données projet'!$B$12,Paramètres!$A$1:$I$88,3,0)*VLOOKUP('Données projet'!$B$12,Paramètres!$A$1:$I$88,5,0)</f>
        <v>203.00279999999995</v>
      </c>
      <c r="CA64" s="14">
        <f t="shared" si="39"/>
        <v>50.403518824343074</v>
      </c>
      <c r="CB64" s="22">
        <f t="shared" si="10"/>
        <v>441.3493386190641</v>
      </c>
      <c r="CC64" s="62">
        <f t="shared" si="11"/>
        <v>703.16152006419338</v>
      </c>
      <c r="CD64" s="62">
        <f ca="1">AVERAGE(OFFSET($CC$3,0,0,'Données projet'!$E$12+1,1))-AVERAGE(OFFSET($H$3,0,0,'Données projet'!$E$12+1,1))</f>
        <v>398.14524781940196</v>
      </c>
      <c r="CE64" s="62">
        <f t="shared" si="40"/>
        <v>273.35778700650792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projet'!$B$12,Paramètres!$A$1:$I$88,3,0)*0.475*44/12</f>
        <v>11.918388918573438</v>
      </c>
      <c r="CL64" s="23">
        <f>EXP(-LN(2)/25)*CL63+(1-EXP(-LN(2)/25))/(LN(2)/25)*Calculateur!CG64*Calculateur!CI64*VLOOKUP('Données projet'!$B$12,Paramètres!$A$1:$I$88,3,0)*0.475*44/12</f>
        <v>0</v>
      </c>
      <c r="CM64" s="23">
        <f>EXP(-LN(2)/2)*CM63+(1-EXP(-LN(2)/2))/(LN(2)/2)*CG64*CJ64*VLOOKUP('Données projet'!$B$12,Paramètres!$A$1:$I$88,3,0)*0.475*44/12</f>
        <v>0</v>
      </c>
      <c r="CN64" s="24">
        <f t="shared" si="12"/>
        <v>11.918388918573438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9</v>
      </c>
      <c r="CT64" s="13">
        <f>IF('Données projet'!$A$140&gt;35,CT63+CS64-DB63,IF(A64&lt;'Données projet'!$A$140,$CQ$205^A64,IF(A64='Données projet'!$A$140,'Données projet'!$B$140,CT63+CS64-DB63)))</f>
        <v>257.99999999999989</v>
      </c>
      <c r="CU64" s="18">
        <f>CT64*VLOOKUP('Données projet'!$B$13,Paramètres!$A$1:$I$88,3,0)*VLOOKUP('Données projet'!$B$13,Paramètres!$A$1:$I$88,5,0)</f>
        <v>245.51279999999991</v>
      </c>
      <c r="CV64" s="14">
        <f t="shared" si="41"/>
        <v>59.624063998553147</v>
      </c>
      <c r="CW64" s="22">
        <f t="shared" si="13"/>
        <v>531.44670479747981</v>
      </c>
      <c r="CX64" s="62">
        <f t="shared" si="14"/>
        <v>793.25888624260915</v>
      </c>
      <c r="CY64" s="62">
        <f ca="1">AVERAGE(OFFSET($CX$3,0,0,'Données projet'!$E$13+1,1))-AVERAGE(OFFSET($H$3,0,0,'Données projet'!$E$13+1,1))</f>
        <v>470.0521927195926</v>
      </c>
      <c r="CZ64" s="62">
        <f t="shared" si="42"/>
        <v>299.27200854723435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projet'!$B$13,Paramètres!$A$1:$I$88,3,0)*0.475*44/12</f>
        <v>11.18494960050738</v>
      </c>
      <c r="DG64" s="23">
        <f>EXP(-LN(2)/25)*DG63+(1-EXP(-LN(2)/25))/(LN(2)/25)*Calculateur!DB64*Calculateur!DD64*VLOOKUP('Données projet'!$B$13,Paramètres!$A$1:$I$88,3,0)*0.475*44/12</f>
        <v>0</v>
      </c>
      <c r="DH64" s="23">
        <f>EXP(-LN(2)/2)*DH63+(1-EXP(-LN(2)/2))/(LN(2)/2)*DB64*DE64*VLOOKUP('Données projet'!$B$13,Paramètres!$A$1:$I$88,3,0)*0.475*44/12</f>
        <v>0</v>
      </c>
      <c r="DI64" s="24">
        <f t="shared" si="15"/>
        <v>11.18494960050738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5.4</v>
      </c>
      <c r="DO64" s="13">
        <f>IF('Données projet'!$A$166&gt;35,DO63+DN64-DW63,IF(A64&lt;'Données projet'!$A$166,$DL$205^A64,IF(A64='Données projet'!$A$166,'Données projet'!$B$166,DO63+DN64-DW63)))</f>
        <v>139.39999999999998</v>
      </c>
      <c r="DP64" s="18">
        <f>DO64*VLOOKUP('Données projet'!$B$14,Paramètres!$A$1:$I$88,3,0)*VLOOKUP('Données projet'!$B$14,Paramètres!$A$1:$I$88,5,0)</f>
        <v>134.82767999999999</v>
      </c>
      <c r="DQ64" s="14">
        <f t="shared" si="43"/>
        <v>35.109516092536481</v>
      </c>
      <c r="DR64" s="22">
        <f t="shared" si="16"/>
        <v>295.97394986116763</v>
      </c>
      <c r="DS64" s="62">
        <f t="shared" si="17"/>
        <v>557.78613130629697</v>
      </c>
      <c r="DT64" s="62">
        <f ca="1">AVERAGE(OFFSET($DS$3,0,0,'Données projet'!$E$14+1,1))-AVERAGE(OFFSET($H$3,0,0,'Données projet'!$E$14+1,1))</f>
        <v>290.89727102147953</v>
      </c>
      <c r="DU64" s="62">
        <f t="shared" si="44"/>
        <v>173.19148969173838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projet'!$B$14,Paramètres!$A$1:$I$88,3,0)*0.475*44/12</f>
        <v>7.578872953349264</v>
      </c>
      <c r="EB64" s="23">
        <f>EXP(-LN(2)/25)*EB63+(1-EXP(-LN(2)/25))/(LN(2)/25)*Calculateur!DW64*Calculateur!DY64*VLOOKUP('Données projet'!$B$14,Paramètres!$A$1:$I$88,3,0)*0.475*44/12</f>
        <v>0</v>
      </c>
      <c r="EC64" s="23">
        <f>EXP(-LN(2)/2)*EC63+(1-EXP(-LN(2)/2))/(LN(2)/2)*DW64*DZ64*VLOOKUP('Données projet'!$B$14,Paramètres!$A$1:$I$88,3,0)*0.475*44/12</f>
        <v>0</v>
      </c>
      <c r="ED64" s="24">
        <f t="shared" si="18"/>
        <v>7.578872953349264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projet'!$B$15,Paramètres!$A$1:$I$88,3,0)*VLOOKUP('Données projet'!$B$15,Paramètres!$A$1:$I$88,5,0)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projet'!$B$15,Paramètres!$A$1:$I$88,3,0)*0.475*44/12</f>
        <v>#N/A</v>
      </c>
      <c r="EW64" s="23" t="e">
        <f>EXP(-LN(2)/25)*EW63+(1-EXP(-LN(2)/25))/(LN(2)/25)*Calculateur!ER64*Calculateur!ET64*VLOOKUP('Données projet'!$B$15,Paramètres!$A$1:$I$88,3,0)*0.475*44/12</f>
        <v>#N/A</v>
      </c>
      <c r="EX64" s="23" t="e">
        <f>EXP(-LN(2)/2)*EX63+(1-EXP(-LN(2)/2))/(LN(2)/2)*ER64*EU64*VLOOKUP('Données projet'!$B$15,Paramètres!$A$1:$I$88,3,0)*0.475*44/12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projet'!$B$16,Paramètres!$A$1:$I$88,3,0)*VLOOKUP('Données projet'!$B$16,Paramètres!$A$1:$I$88,5,0)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projet'!$B$16,Paramètres!$A$1:$I$88,3,0)*0.475*44/12</f>
        <v>#N/A</v>
      </c>
      <c r="FR64" s="23" t="e">
        <f>EXP(-LN(2)/25)*FR63+(1-EXP(-LN(2)/25))/(LN(2)/25)*Calculateur!FM64*Calculateur!FO64*VLOOKUP('Données projet'!$B$16,Paramètres!$A$1:$I$88,3,0)*0.475*44/12</f>
        <v>#N/A</v>
      </c>
      <c r="FS64" s="23" t="e">
        <f>EXP(-LN(2)/2)*FS63+(1-EXP(-LN(2)/2))/(LN(2)/2)*FM64*FP64*VLOOKUP('Données projet'!$B$16,Paramètres!$A$1:$I$88,3,0)*0.475*44/12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projet'!$B$17,Paramètres!$A$1:$I$88,3,0)*VLOOKUP('Données projet'!$B$17,Paramètres!$A$1:$I$88,5,0)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projet'!$B$17,Paramètres!$A$1:$I$88,3,0)*0.475*44/12</f>
        <v>#N/A</v>
      </c>
      <c r="GM64" s="23" t="e">
        <f>EXP(-LN(2)/25)*GM63+(1-EXP(-LN(2)/25))/(LN(2)/25)*Calculateur!GH64*Calculateur!GJ64*VLOOKUP('Données projet'!$B$17,Paramètres!$A$1:$I$88,3,0)*0.475*44/12</f>
        <v>#N/A</v>
      </c>
      <c r="GN64" s="23" t="e">
        <f>EXP(-LN(2)/2)*GN63+(1-EXP(-LN(2)/2))/(LN(2)/2)*GH64*GK64*VLOOKUP('Données projet'!$B$17,Paramètres!$A$1:$I$88,3,0)*0.475*44/12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projet'!$B$18,Paramètres!$A$1:$I$88,3,0)*VLOOKUP('Données projet'!$B$18,Paramètres!$A$1:$I$88,5,0)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projet'!$B$18,Paramètres!$A$1:$I$88,3,0)*0.475*44/12</f>
        <v>#N/A</v>
      </c>
      <c r="HH64" s="23" t="e">
        <f>EXP(-LN(2)/25)*HH63+(1-EXP(-LN(2)/25))/(LN(2)/25)*Calculateur!HC64*Calculateur!HE64*VLOOKUP('Données projet'!$B$18,Paramètres!$A$1:$I$88,3,0)*0.475*44/12</f>
        <v>#N/A</v>
      </c>
      <c r="HI64" s="23" t="e">
        <f>EXP(-LN(2)/2)*HI63+(1-EXP(-LN(2)/2))/(LN(2)/2)*HC64*HF64*VLOOKUP('Données projet'!$B$18,Paramètres!$A$1:$I$88,3,0)*0.475*44/12</f>
        <v>#N/A</v>
      </c>
      <c r="HJ64" s="24" t="e">
        <f t="shared" si="30"/>
        <v>#N/A</v>
      </c>
    </row>
    <row r="65" spans="1:218" s="5" customFormat="1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projet'!$B$9,Paramètres!$A$1:$I$88,3,0)*VLOOKUP('Données projet'!$B$9,Paramètres!$A$1:$I$88,5,0)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262.3590029596524</v>
      </c>
      <c r="S65" s="62">
        <f ca="1">AVERAGE(OFFSET($R$3,0,0,'Données projet'!$E$9+1,1))-AVERAGE(OFFSET($H$3,0,0,'Données projet'!$E$9+1,1))</f>
        <v>301.2688576786212</v>
      </c>
      <c r="T65" s="62">
        <f t="shared" si="34"/>
        <v>417.62172165132927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projet'!$B$9,Paramètres!$A$1:$I$88,7,0))</f>
        <v>0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118.90480404607004</v>
      </c>
      <c r="AA65" s="23">
        <f>EXP(-LN(2)/25)*AA64+(1-EXP(-LN(2)/25))/(LN(2)/25)*Calculateur!V65*Calculateur!X65*VLOOKUP('Données projet'!$B$9,Paramètres!$A$1:$I$88,3,0)*0.475*44/12</f>
        <v>35.669008746833867</v>
      </c>
      <c r="AB65" s="23">
        <f>EXP(-LN(2)/2)*AB64+(1-EXP(-LN(2)/2))/(LN(2)/2)*V65*Y65*VLOOKUP('Données projet'!$B$9,Paramètres!$A$1:$I$88,3,0)*0.475*44/12</f>
        <v>0.46019996697113152</v>
      </c>
      <c r="AC65" s="24">
        <f t="shared" si="3"/>
        <v>155.03401275987503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projet'!$B$10,Paramètres!$A$1:$I$88,3,0)*VLOOKUP('Données projet'!$B$10,Paramètres!$A$1:$I$88,5,0)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170.08673939431091</v>
      </c>
      <c r="AO65" s="62">
        <f t="shared" si="36"/>
        <v>252.97355497077106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projet'!$B$10,Paramètres!$A$1:$I$88,7,0))</f>
        <v>0</v>
      </c>
      <c r="AS65" s="17">
        <f>IF(ISNA(VLOOKUP(A65,'Données projet'!$A$61:$I$81,6,0)),0%,VLOOKUP(A65,'Données projet'!$A$61:$I$81,6,0)*VLOOKUP('Données projet'!$B$10,Paramètres!$A$1:$I$88,7,0))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projet'!$B$10,Paramètres!$A$1:$I$88,3,0)*0.475*44/12</f>
        <v>49.646023431162575</v>
      </c>
      <c r="AV65" s="23">
        <f>EXP(-LN(2)/25)*AV64+(1-EXP(-LN(2)/25))/(LN(2)/25)*Calculateur!AQ65*Calculateur!AS65*VLOOKUP('Données projet'!$B$10,Paramètres!$A$1:$I$88,3,0)*0.475*44/12</f>
        <v>36.152445842610518</v>
      </c>
      <c r="AW65" s="23">
        <f>EXP(-LN(2)/2)*AW64+(1-EXP(-LN(2)/2))/(LN(2)/2)*AQ65*AT65*VLOOKUP('Données projet'!$B$10,Paramètres!$A$1:$I$88,3,0)*0.475*44/12</f>
        <v>0.58947915996411804</v>
      </c>
      <c r="AX65" s="23">
        <f t="shared" si="6"/>
        <v>86.387948433737208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7.2</v>
      </c>
      <c r="BD65" s="13">
        <f>IF('Données projet'!$A$88&gt;35,BD64+BC65-BL64,IF(A65&lt;'Données projet'!$A$88,$BA$205^A65,IF(A65='Données projet'!$A$88,'Données projet'!$B$88,BD64+BC65-BL64)))</f>
        <v>207.39999999999995</v>
      </c>
      <c r="BE65" s="14">
        <f>BD65*VLOOKUP('Données projet'!$B$11,Paramètres!$A$1:$I$88,3,0)*VLOOKUP('Données projet'!$B$11,Paramètres!$A$1:$I$88,5,0)</f>
        <v>187.65551999999994</v>
      </c>
      <c r="BF65" s="14">
        <f t="shared" si="37"/>
        <v>47.021247649900147</v>
      </c>
      <c r="BG65" s="22">
        <f t="shared" si="7"/>
        <v>408.72870365690932</v>
      </c>
      <c r="BH65" s="62">
        <f t="shared" si="8"/>
        <v>671.08770661656058</v>
      </c>
      <c r="BI65" s="62">
        <f ca="1">AVERAGE(OFFSET($BH$3,0,0,'Données projet'!$E$11+1,1))-AVERAGE(OFFSET($H$3,0,0,'Données projet'!$E$11+1,1))</f>
        <v>362.63718589694594</v>
      </c>
      <c r="BJ65" s="62">
        <f t="shared" si="38"/>
        <v>250.47702091764884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projet'!$B$11,Paramètres!$A$1:$I$88,7,0))</f>
        <v>0</v>
      </c>
      <c r="BN65" s="17">
        <f>IF(ISNA(VLOOKUP(A65,'Données projet'!$A$87:$I$107,6,0)),0%,VLOOKUP(A65,'Données projet'!$A$87:$I$107,6,0)*VLOOKUP('Données projet'!$B$11,Paramètres!$A$1:$I$88,7,0))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projet'!$B$11,Paramètres!$A$1:$I$88,3,0)*0.475*44/12</f>
        <v>10.42632679569261</v>
      </c>
      <c r="BQ65" s="23">
        <f>EXP(-LN(2)/25)*BQ64+(1-EXP(-LN(2)/25))/(LN(2)/25)*Calculateur!BL65*Calculateur!BN65*VLOOKUP('Données projet'!$B$11,Paramètres!$A$1:$I$88,3,0)*0.475*44/12</f>
        <v>0</v>
      </c>
      <c r="BR65" s="23">
        <f>EXP(-LN(2)/2)*BR64+(1-EXP(-LN(2)/2))/(LN(2)/2)*BL65*BO65*VLOOKUP('Données projet'!$B$11,Paramètres!$A$1:$I$88,3,0)*0.475*44/12</f>
        <v>0</v>
      </c>
      <c r="BS65" s="24">
        <f t="shared" si="9"/>
        <v>10.42632679569261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7.2</v>
      </c>
      <c r="BY65" s="13">
        <f>IF('Données projet'!$A$114&gt;35,BY64+BX65-CG64,IF(A65&lt;'Données projet'!$A$114,$BV$205^A65,IF(A65='Données projet'!$A$114,'Données projet'!$B$114,BY64+BX65-CG64)))</f>
        <v>207.39999999999995</v>
      </c>
      <c r="BZ65" s="14">
        <f>BY65*VLOOKUP('Données projet'!$B$12,Paramètres!$A$1:$I$88,3,0)*VLOOKUP('Données projet'!$B$12,Paramètres!$A$1:$I$88,5,0)</f>
        <v>210.30359999999996</v>
      </c>
      <c r="CA65" s="14">
        <f t="shared" si="39"/>
        <v>52.001924357524459</v>
      </c>
      <c r="CB65" s="22">
        <f t="shared" si="10"/>
        <v>456.84878825602163</v>
      </c>
      <c r="CC65" s="62">
        <f t="shared" si="11"/>
        <v>719.20779121567296</v>
      </c>
      <c r="CD65" s="62">
        <f ca="1">AVERAGE(OFFSET($CC$3,0,0,'Données projet'!$E$12+1,1))-AVERAGE(OFFSET($H$3,0,0,'Données projet'!$E$12+1,1))</f>
        <v>398.14524781940196</v>
      </c>
      <c r="CE65" s="62">
        <f t="shared" si="40"/>
        <v>273.35778700650792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projet'!$B$12,Paramètres!$A$1:$I$88,7,0))</f>
        <v>0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projet'!$B$12,Paramètres!$A$1:$I$88,3,0)*0.475*44/12</f>
        <v>11.68467658137965</v>
      </c>
      <c r="CL65" s="23">
        <f>EXP(-LN(2)/25)*CL64+(1-EXP(-LN(2)/25))/(LN(2)/25)*Calculateur!CG65*Calculateur!CI65*VLOOKUP('Données projet'!$B$12,Paramètres!$A$1:$I$88,3,0)*0.475*44/12</f>
        <v>0</v>
      </c>
      <c r="CM65" s="23">
        <f>EXP(-LN(2)/2)*CM64+(1-EXP(-LN(2)/2))/(LN(2)/2)*CG65*CJ65*VLOOKUP('Données projet'!$B$12,Paramètres!$A$1:$I$88,3,0)*0.475*44/12</f>
        <v>0</v>
      </c>
      <c r="CN65" s="24">
        <f t="shared" si="12"/>
        <v>11.68467658137965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9</v>
      </c>
      <c r="CT65" s="13">
        <f>IF('Données projet'!$A$140&gt;35,CT64+CS65-DB64,IF(A65&lt;'Données projet'!$A$140,$CQ$205^A65,IF(A65='Données projet'!$A$140,'Données projet'!$B$140,CT64+CS65-DB64)))</f>
        <v>266.99999999999989</v>
      </c>
      <c r="CU65" s="18">
        <f>CT65*VLOOKUP('Données projet'!$B$13,Paramètres!$A$1:$I$88,3,0)*VLOOKUP('Données projet'!$B$13,Paramètres!$A$1:$I$88,5,0)</f>
        <v>254.07719999999989</v>
      </c>
      <c r="CV65" s="14">
        <f t="shared" si="41"/>
        <v>61.458188159552705</v>
      </c>
      <c r="CW65" s="22">
        <f t="shared" si="13"/>
        <v>549.55746771122074</v>
      </c>
      <c r="CX65" s="62">
        <f t="shared" si="14"/>
        <v>811.91647067087206</v>
      </c>
      <c r="CY65" s="62">
        <f ca="1">AVERAGE(OFFSET($CX$3,0,0,'Données projet'!$E$13+1,1))-AVERAGE(OFFSET($H$3,0,0,'Données projet'!$E$13+1,1))</f>
        <v>470.0521927195926</v>
      </c>
      <c r="CZ65" s="62">
        <f t="shared" si="42"/>
        <v>299.27200854723435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projet'!$B$13,Paramètres!$A$1:$I$88,7,0))</f>
        <v>0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projet'!$B$13,Paramètres!$A$1:$I$88,3,0)*0.475*44/12</f>
        <v>10.965619560987056</v>
      </c>
      <c r="DG65" s="23">
        <f>EXP(-LN(2)/25)*DG64+(1-EXP(-LN(2)/25))/(LN(2)/25)*Calculateur!DB65*Calculateur!DD65*VLOOKUP('Données projet'!$B$13,Paramètres!$A$1:$I$88,3,0)*0.475*44/12</f>
        <v>0</v>
      </c>
      <c r="DH65" s="23">
        <f>EXP(-LN(2)/2)*DH64+(1-EXP(-LN(2)/2))/(LN(2)/2)*DB65*DE65*VLOOKUP('Données projet'!$B$13,Paramètres!$A$1:$I$88,3,0)*0.475*44/12</f>
        <v>0</v>
      </c>
      <c r="DI65" s="24">
        <f t="shared" si="15"/>
        <v>10.965619560987056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5.4</v>
      </c>
      <c r="DO65" s="13">
        <f>IF('Données projet'!$A$166&gt;35,DO64+DN65-DW64,IF(A65&lt;'Données projet'!$A$166,$DL$205^A65,IF(A65='Données projet'!$A$166,'Données projet'!$B$166,DO64+DN65-DW64)))</f>
        <v>144.79999999999998</v>
      </c>
      <c r="DP65" s="18">
        <f>DO65*VLOOKUP('Données projet'!$B$14,Paramètres!$A$1:$I$88,3,0)*VLOOKUP('Données projet'!$B$14,Paramètres!$A$1:$I$88,5,0)</f>
        <v>140.05055999999999</v>
      </c>
      <c r="DQ65" s="14">
        <f t="shared" si="43"/>
        <v>36.308587837605089</v>
      </c>
      <c r="DR65" s="22">
        <f t="shared" si="16"/>
        <v>307.15884915049543</v>
      </c>
      <c r="DS65" s="62">
        <f t="shared" si="17"/>
        <v>569.5178521101468</v>
      </c>
      <c r="DT65" s="62">
        <f ca="1">AVERAGE(OFFSET($DS$3,0,0,'Données projet'!$E$14+1,1))-AVERAGE(OFFSET($H$3,0,0,'Données projet'!$E$14+1,1))</f>
        <v>290.89727102147953</v>
      </c>
      <c r="DU65" s="62">
        <f t="shared" si="44"/>
        <v>173.19148969173838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projet'!$B$14,Paramètres!$A$1:$I$88,3,0)*0.475*44/12</f>
        <v>7.4302558773901373</v>
      </c>
      <c r="EB65" s="23">
        <f>EXP(-LN(2)/25)*EB64+(1-EXP(-LN(2)/25))/(LN(2)/25)*Calculateur!DW65*Calculateur!DY65*VLOOKUP('Données projet'!$B$14,Paramètres!$A$1:$I$88,3,0)*0.475*44/12</f>
        <v>0</v>
      </c>
      <c r="EC65" s="23">
        <f>EXP(-LN(2)/2)*EC64+(1-EXP(-LN(2)/2))/(LN(2)/2)*DW65*DZ65*VLOOKUP('Données projet'!$B$14,Paramètres!$A$1:$I$88,3,0)*0.475*44/12</f>
        <v>0</v>
      </c>
      <c r="ED65" s="24">
        <f t="shared" si="18"/>
        <v>7.4302558773901373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projet'!$B$15,Paramètres!$A$1:$I$88,3,0)*VLOOKUP('Données projet'!$B$15,Paramètres!$A$1:$I$88,5,0)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projet'!$B$15,Paramètres!$A$1:$I$88,3,0)*0.475*44/12</f>
        <v>#N/A</v>
      </c>
      <c r="EW65" s="23" t="e">
        <f>EXP(-LN(2)/25)*EW64+(1-EXP(-LN(2)/25))/(LN(2)/25)*Calculateur!ER65*Calculateur!ET65*VLOOKUP('Données projet'!$B$15,Paramètres!$A$1:$I$88,3,0)*0.475*44/12</f>
        <v>#N/A</v>
      </c>
      <c r="EX65" s="23" t="e">
        <f>EXP(-LN(2)/2)*EX64+(1-EXP(-LN(2)/2))/(LN(2)/2)*ER65*EU65*VLOOKUP('Données projet'!$B$15,Paramètres!$A$1:$I$88,3,0)*0.475*44/12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projet'!$B$16,Paramètres!$A$1:$I$88,3,0)*VLOOKUP('Données projet'!$B$16,Paramètres!$A$1:$I$88,5,0)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projet'!$B$16,Paramètres!$A$1:$I$88,3,0)*0.475*44/12</f>
        <v>#N/A</v>
      </c>
      <c r="FR65" s="23" t="e">
        <f>EXP(-LN(2)/25)*FR64+(1-EXP(-LN(2)/25))/(LN(2)/25)*Calculateur!FM65*Calculateur!FO65*VLOOKUP('Données projet'!$B$16,Paramètres!$A$1:$I$88,3,0)*0.475*44/12</f>
        <v>#N/A</v>
      </c>
      <c r="FS65" s="23" t="e">
        <f>EXP(-LN(2)/2)*FS64+(1-EXP(-LN(2)/2))/(LN(2)/2)*FM65*FP65*VLOOKUP('Données projet'!$B$16,Paramètres!$A$1:$I$88,3,0)*0.475*44/12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projet'!$B$17,Paramètres!$A$1:$I$88,3,0)*VLOOKUP('Données projet'!$B$17,Paramètres!$A$1:$I$88,5,0)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projet'!$B$17,Paramètres!$A$1:$I$88,3,0)*0.475*44/12</f>
        <v>#N/A</v>
      </c>
      <c r="GM65" s="23" t="e">
        <f>EXP(-LN(2)/25)*GM64+(1-EXP(-LN(2)/25))/(LN(2)/25)*Calculateur!GH65*Calculateur!GJ65*VLOOKUP('Données projet'!$B$17,Paramètres!$A$1:$I$88,3,0)*0.475*44/12</f>
        <v>#N/A</v>
      </c>
      <c r="GN65" s="23" t="e">
        <f>EXP(-LN(2)/2)*GN64+(1-EXP(-LN(2)/2))/(LN(2)/2)*GH65*GK65*VLOOKUP('Données projet'!$B$17,Paramètres!$A$1:$I$88,3,0)*0.475*44/12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projet'!$B$18,Paramètres!$A$1:$I$88,3,0)*VLOOKUP('Données projet'!$B$18,Paramètres!$A$1:$I$88,5,0)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projet'!$B$18,Paramètres!$A$1:$I$88,3,0)*0.475*44/12</f>
        <v>#N/A</v>
      </c>
      <c r="HH65" s="23" t="e">
        <f>EXP(-LN(2)/25)*HH64+(1-EXP(-LN(2)/25))/(LN(2)/25)*Calculateur!HC65*Calculateur!HE65*VLOOKUP('Données projet'!$B$18,Paramètres!$A$1:$I$88,3,0)*0.475*44/12</f>
        <v>#N/A</v>
      </c>
      <c r="HI65" s="23" t="e">
        <f>EXP(-LN(2)/2)*HI64+(1-EXP(-LN(2)/2))/(LN(2)/2)*HC65*HF65*VLOOKUP('Données projet'!$B$18,Paramètres!$A$1:$I$88,3,0)*0.475*44/12</f>
        <v>#N/A</v>
      </c>
      <c r="HJ65" s="24" t="e">
        <f t="shared" si="30"/>
        <v>#N/A</v>
      </c>
    </row>
    <row r="66" spans="1:218" s="5" customFormat="1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projet'!$B$9,Paramètres!$A$1:$I$88,3,0)*VLOOKUP('Données projet'!$B$9,Paramètres!$A$1:$I$88,5,0)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262.89633834340719</v>
      </c>
      <c r="S66" s="62">
        <f ca="1">AVERAGE(OFFSET($R$3,0,0,'Données projet'!$E$9+1,1))-AVERAGE(OFFSET($H$3,0,0,'Données projet'!$E$9+1,1))</f>
        <v>301.2688576786212</v>
      </c>
      <c r="T66" s="62">
        <f t="shared" si="34"/>
        <v>417.62172165132927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projet'!$B$9,Paramètres!$A$1:$I$88,7,0))</f>
        <v>0</v>
      </c>
      <c r="X66" s="17">
        <f>IF(ISNA(VLOOKUP(A66,'Données projet'!$A$35:$I$55,6,0)),0%,VLOOKUP(A66,'Données projet'!$A$35:$I$55,6,0)*VLOOKUP('Données projet'!$B$9,Paramètres!$A$1:$I$88,7,0))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116.57315336349585</v>
      </c>
      <c r="AA66" s="23">
        <f>EXP(-LN(2)/25)*AA65+(1-EXP(-LN(2)/25))/(LN(2)/25)*Calculateur!V66*Calculateur!X66*VLOOKUP('Données projet'!$B$9,Paramètres!$A$1:$I$88,3,0)*0.475*44/12</f>
        <v>34.693637826900051</v>
      </c>
      <c r="AB66" s="23">
        <f>EXP(-LN(2)/2)*AB65+(1-EXP(-LN(2)/2))/(LN(2)/2)*V66*Y66*VLOOKUP('Données projet'!$B$9,Paramètres!$A$1:$I$88,3,0)*0.475*44/12</f>
        <v>0.32541051734711229</v>
      </c>
      <c r="AC66" s="24">
        <f t="shared" si="3"/>
        <v>151.59220170774302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projet'!$B$10,Paramètres!$A$1:$I$88,3,0)*VLOOKUP('Données projet'!$B$10,Paramètres!$A$1:$I$88,5,0)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170.08673939431091</v>
      </c>
      <c r="AO66" s="62">
        <f t="shared" si="36"/>
        <v>252.97355497077106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projet'!$B$10,Paramètres!$A$1:$I$88,3,0)*0.475*44/12</f>
        <v>48.672495192761758</v>
      </c>
      <c r="AV66" s="23">
        <f>EXP(-LN(2)/25)*AV65+(1-EXP(-LN(2)/25))/(LN(2)/25)*Calculateur!AQ66*Calculateur!AS66*VLOOKUP('Données projet'!$B$10,Paramètres!$A$1:$I$88,3,0)*0.475*44/12</f>
        <v>35.163855309869831</v>
      </c>
      <c r="AW66" s="23">
        <f>EXP(-LN(2)/2)*AW65+(1-EXP(-LN(2)/2))/(LN(2)/2)*AQ66*AT66*VLOOKUP('Données projet'!$B$10,Paramètres!$A$1:$I$88,3,0)*0.475*44/12</f>
        <v>0.41682471137877747</v>
      </c>
      <c r="AX66" s="23">
        <f t="shared" si="6"/>
        <v>84.253175214010369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7.2</v>
      </c>
      <c r="BD66" s="13">
        <f>IF('Données projet'!$A$88&gt;35,BD65+BC66-BL65,IF(A66&lt;'Données projet'!$A$88,$BA$205^A66,IF(A66='Données projet'!$A$88,'Données projet'!$B$88,BD65+BC66-BL65)))</f>
        <v>214.59999999999994</v>
      </c>
      <c r="BE66" s="14">
        <f>BD66*VLOOKUP('Données projet'!$B$11,Paramètres!$A$1:$I$88,3,0)*VLOOKUP('Données projet'!$B$11,Paramètres!$A$1:$I$88,5,0)</f>
        <v>194.17007999999996</v>
      </c>
      <c r="BF66" s="14">
        <f t="shared" si="37"/>
        <v>48.460730182351035</v>
      </c>
      <c r="BG66" s="22">
        <f t="shared" si="7"/>
        <v>422.5819944009279</v>
      </c>
      <c r="BH66" s="62">
        <f t="shared" si="8"/>
        <v>685.47833274433401</v>
      </c>
      <c r="BI66" s="62">
        <f ca="1">AVERAGE(OFFSET($BH$3,0,0,'Données projet'!$E$11+1,1))-AVERAGE(OFFSET($H$3,0,0,'Données projet'!$E$11+1,1))</f>
        <v>362.63718589694594</v>
      </c>
      <c r="BJ66" s="62">
        <f t="shared" si="38"/>
        <v>250.47702091764884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projet'!$B$11,Paramètres!$A$1:$I$88,3,0)*0.475*44/12</f>
        <v>10.221872886660481</v>
      </c>
      <c r="BQ66" s="23">
        <f>EXP(-LN(2)/25)*BQ65+(1-EXP(-LN(2)/25))/(LN(2)/25)*Calculateur!BL66*Calculateur!BN66*VLOOKUP('Données projet'!$B$11,Paramètres!$A$1:$I$88,3,0)*0.475*44/12</f>
        <v>0</v>
      </c>
      <c r="BR66" s="23">
        <f>EXP(-LN(2)/2)*BR65+(1-EXP(-LN(2)/2))/(LN(2)/2)*BL66*BO66*VLOOKUP('Données projet'!$B$11,Paramètres!$A$1:$I$88,3,0)*0.475*44/12</f>
        <v>0</v>
      </c>
      <c r="BS66" s="24">
        <f t="shared" si="9"/>
        <v>10.221872886660481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7.2</v>
      </c>
      <c r="BY66" s="13">
        <f>IF('Données projet'!$A$114&gt;35,BY65+BX66-CG65,IF(A66&lt;'Données projet'!$A$114,$BV$205^A66,IF(A66='Données projet'!$A$114,'Données projet'!$B$114,BY65+BX66-CG65)))</f>
        <v>214.59999999999994</v>
      </c>
      <c r="BZ66" s="14">
        <f>BY66*VLOOKUP('Données projet'!$B$12,Paramètres!$A$1:$I$88,3,0)*VLOOKUP('Données projet'!$B$12,Paramètres!$A$1:$I$88,5,0)</f>
        <v>217.60439999999994</v>
      </c>
      <c r="CA66" s="14">
        <f t="shared" si="39"/>
        <v>53.593882578706356</v>
      </c>
      <c r="CB66" s="22">
        <f t="shared" si="10"/>
        <v>472.33700882458015</v>
      </c>
      <c r="CC66" s="62">
        <f t="shared" si="11"/>
        <v>735.23334716798627</v>
      </c>
      <c r="CD66" s="62">
        <f ca="1">AVERAGE(OFFSET($CC$3,0,0,'Données projet'!$E$12+1,1))-AVERAGE(OFFSET($H$3,0,0,'Données projet'!$E$12+1,1))</f>
        <v>398.14524781940196</v>
      </c>
      <c r="CE66" s="62">
        <f t="shared" si="40"/>
        <v>273.35778700650792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projet'!$B$12,Paramètres!$A$1:$I$88,3,0)*0.475*44/12</f>
        <v>11.455547200567782</v>
      </c>
      <c r="CL66" s="23">
        <f>EXP(-LN(2)/25)*CL65+(1-EXP(-LN(2)/25))/(LN(2)/25)*Calculateur!CG66*Calculateur!CI66*VLOOKUP('Données projet'!$B$12,Paramètres!$A$1:$I$88,3,0)*0.475*44/12</f>
        <v>0</v>
      </c>
      <c r="CM66" s="23">
        <f>EXP(-LN(2)/2)*CM65+(1-EXP(-LN(2)/2))/(LN(2)/2)*CG66*CJ66*VLOOKUP('Données projet'!$B$12,Paramètres!$A$1:$I$88,3,0)*0.475*44/12</f>
        <v>0</v>
      </c>
      <c r="CN66" s="24">
        <f t="shared" si="12"/>
        <v>11.455547200567782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9</v>
      </c>
      <c r="CT66" s="13">
        <f>IF('Données projet'!$A$140&gt;35,CT65+CS66-DB65,IF(A66&lt;'Données projet'!$A$140,$CQ$205^A66,IF(A66='Données projet'!$A$140,'Données projet'!$B$140,CT65+CS66-DB65)))</f>
        <v>275.99999999999989</v>
      </c>
      <c r="CU66" s="18">
        <f>CT66*VLOOKUP('Données projet'!$B$13,Paramètres!$A$1:$I$88,3,0)*VLOOKUP('Données projet'!$B$13,Paramètres!$A$1:$I$88,5,0)</f>
        <v>262.64159999999987</v>
      </c>
      <c r="CV66" s="14">
        <f t="shared" si="41"/>
        <v>63.285128621471941</v>
      </c>
      <c r="CW66" s="22">
        <f t="shared" si="13"/>
        <v>567.65571901573003</v>
      </c>
      <c r="CX66" s="62">
        <f t="shared" si="14"/>
        <v>830.55205735913614</v>
      </c>
      <c r="CY66" s="62">
        <f ca="1">AVERAGE(OFFSET($CX$3,0,0,'Données projet'!$E$13+1,1))-AVERAGE(OFFSET($H$3,0,0,'Données projet'!$E$13+1,1))</f>
        <v>470.0521927195926</v>
      </c>
      <c r="CZ66" s="62">
        <f t="shared" si="42"/>
        <v>299.27200854723435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projet'!$B$13,Paramètres!$A$1:$I$88,3,0)*0.475*44/12</f>
        <v>10.75059044976361</v>
      </c>
      <c r="DG66" s="23">
        <f>EXP(-LN(2)/25)*DG65+(1-EXP(-LN(2)/25))/(LN(2)/25)*Calculateur!DB66*Calculateur!DD66*VLOOKUP('Données projet'!$B$13,Paramètres!$A$1:$I$88,3,0)*0.475*44/12</f>
        <v>0</v>
      </c>
      <c r="DH66" s="23">
        <f>EXP(-LN(2)/2)*DH65+(1-EXP(-LN(2)/2))/(LN(2)/2)*DB66*DE66*VLOOKUP('Données projet'!$B$13,Paramètres!$A$1:$I$88,3,0)*0.475*44/12</f>
        <v>0</v>
      </c>
      <c r="DI66" s="24">
        <f t="shared" si="15"/>
        <v>10.75059044976361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5.4</v>
      </c>
      <c r="DO66" s="13">
        <f>IF('Données projet'!$A$166&gt;35,DO65+DN66-DW65,IF(A66&lt;'Données projet'!$A$166,$DL$205^A66,IF(A66='Données projet'!$A$166,'Données projet'!$B$166,DO65+DN66-DW65)))</f>
        <v>150.19999999999999</v>
      </c>
      <c r="DP66" s="18">
        <f>DO66*VLOOKUP('Données projet'!$B$14,Paramètres!$A$1:$I$88,3,0)*VLOOKUP('Données projet'!$B$14,Paramètres!$A$1:$I$88,5,0)</f>
        <v>145.27343999999999</v>
      </c>
      <c r="DQ66" s="14">
        <f t="shared" si="43"/>
        <v>37.502464560322572</v>
      </c>
      <c r="DR66" s="22">
        <f t="shared" si="16"/>
        <v>318.33470044256177</v>
      </c>
      <c r="DS66" s="62">
        <f t="shared" si="17"/>
        <v>581.23103878596794</v>
      </c>
      <c r="DT66" s="62">
        <f ca="1">AVERAGE(OFFSET($DS$3,0,0,'Données projet'!$E$14+1,1))-AVERAGE(OFFSET($H$3,0,0,'Données projet'!$E$14+1,1))</f>
        <v>290.89727102147953</v>
      </c>
      <c r="DU66" s="62">
        <f t="shared" si="44"/>
        <v>173.19148969173838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projet'!$B$14,Paramètres!$A$1:$I$88,3,0)*0.475*44/12</f>
        <v>7.2845530916431036</v>
      </c>
      <c r="EB66" s="23">
        <f>EXP(-LN(2)/25)*EB65+(1-EXP(-LN(2)/25))/(LN(2)/25)*Calculateur!DW66*Calculateur!DY66*VLOOKUP('Données projet'!$B$14,Paramètres!$A$1:$I$88,3,0)*0.475*44/12</f>
        <v>0</v>
      </c>
      <c r="EC66" s="23">
        <f>EXP(-LN(2)/2)*EC65+(1-EXP(-LN(2)/2))/(LN(2)/2)*DW66*DZ66*VLOOKUP('Données projet'!$B$14,Paramètres!$A$1:$I$88,3,0)*0.475*44/12</f>
        <v>0</v>
      </c>
      <c r="ED66" s="24">
        <f t="shared" si="18"/>
        <v>7.2845530916431036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projet'!$B$15,Paramètres!$A$1:$I$88,3,0)*VLOOKUP('Données projet'!$B$15,Paramètres!$A$1:$I$88,5,0)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projet'!$B$15,Paramètres!$A$1:$I$88,3,0)*0.475*44/12</f>
        <v>#N/A</v>
      </c>
      <c r="EW66" s="23" t="e">
        <f>EXP(-LN(2)/25)*EW65+(1-EXP(-LN(2)/25))/(LN(2)/25)*Calculateur!ER66*Calculateur!ET66*VLOOKUP('Données projet'!$B$15,Paramètres!$A$1:$I$88,3,0)*0.475*44/12</f>
        <v>#N/A</v>
      </c>
      <c r="EX66" s="23" t="e">
        <f>EXP(-LN(2)/2)*EX65+(1-EXP(-LN(2)/2))/(LN(2)/2)*ER66*EU66*VLOOKUP('Données projet'!$B$15,Paramètres!$A$1:$I$88,3,0)*0.475*44/12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projet'!$B$16,Paramètres!$A$1:$I$88,3,0)*VLOOKUP('Données projet'!$B$16,Paramètres!$A$1:$I$88,5,0)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projet'!$B$16,Paramètres!$A$1:$I$88,3,0)*0.475*44/12</f>
        <v>#N/A</v>
      </c>
      <c r="FR66" s="23" t="e">
        <f>EXP(-LN(2)/25)*FR65+(1-EXP(-LN(2)/25))/(LN(2)/25)*Calculateur!FM66*Calculateur!FO66*VLOOKUP('Données projet'!$B$16,Paramètres!$A$1:$I$88,3,0)*0.475*44/12</f>
        <v>#N/A</v>
      </c>
      <c r="FS66" s="23" t="e">
        <f>EXP(-LN(2)/2)*FS65+(1-EXP(-LN(2)/2))/(LN(2)/2)*FM66*FP66*VLOOKUP('Données projet'!$B$16,Paramètres!$A$1:$I$88,3,0)*0.475*44/12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projet'!$B$17,Paramètres!$A$1:$I$88,3,0)*VLOOKUP('Données projet'!$B$17,Paramètres!$A$1:$I$88,5,0)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projet'!$B$17,Paramètres!$A$1:$I$88,3,0)*0.475*44/12</f>
        <v>#N/A</v>
      </c>
      <c r="GM66" s="23" t="e">
        <f>EXP(-LN(2)/25)*GM65+(1-EXP(-LN(2)/25))/(LN(2)/25)*Calculateur!GH66*Calculateur!GJ66*VLOOKUP('Données projet'!$B$17,Paramètres!$A$1:$I$88,3,0)*0.475*44/12</f>
        <v>#N/A</v>
      </c>
      <c r="GN66" s="23" t="e">
        <f>EXP(-LN(2)/2)*GN65+(1-EXP(-LN(2)/2))/(LN(2)/2)*GH66*GK66*VLOOKUP('Données projet'!$B$17,Paramètres!$A$1:$I$88,3,0)*0.475*44/12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projet'!$B$18,Paramètres!$A$1:$I$88,3,0)*VLOOKUP('Données projet'!$B$18,Paramètres!$A$1:$I$88,5,0)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projet'!$B$18,Paramètres!$A$1:$I$88,3,0)*0.475*44/12</f>
        <v>#N/A</v>
      </c>
      <c r="HH66" s="23" t="e">
        <f>EXP(-LN(2)/25)*HH65+(1-EXP(-LN(2)/25))/(LN(2)/25)*Calculateur!HC66*Calculateur!HE66*VLOOKUP('Données projet'!$B$18,Paramètres!$A$1:$I$88,3,0)*0.475*44/12</f>
        <v>#N/A</v>
      </c>
      <c r="HI66" s="23" t="e">
        <f>EXP(-LN(2)/2)*HI65+(1-EXP(-LN(2)/2))/(LN(2)/2)*HC66*HF66*VLOOKUP('Données projet'!$B$18,Paramètres!$A$1:$I$88,3,0)*0.475*44/12</f>
        <v>#N/A</v>
      </c>
      <c r="HJ66" s="24" t="e">
        <f t="shared" si="30"/>
        <v>#N/A</v>
      </c>
    </row>
    <row r="67" spans="1:218" s="5" customFormat="1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projet'!$B$9,Paramètres!$A$1:$I$88,3,0)*VLOOKUP('Données projet'!$B$9,Paramètres!$A$1:$I$88,5,0)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263.42435215955584</v>
      </c>
      <c r="S67" s="62">
        <f ca="1">AVERAGE(OFFSET($R$3,0,0,'Données projet'!$E$9+1,1))-AVERAGE(OFFSET($H$3,0,0,'Données projet'!$E$9+1,1))</f>
        <v>301.2688576786212</v>
      </c>
      <c r="T67" s="62">
        <f t="shared" si="34"/>
        <v>417.62172165132927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projet'!$B$9,Paramètres!$A$1:$I$88,7,0))</f>
        <v>0</v>
      </c>
      <c r="X67" s="17">
        <f>IF(ISNA(VLOOKUP(A67,'Données projet'!$A$35:$I$55,6,0)),0%,VLOOKUP(A67,'Données projet'!$A$35:$I$55,6,0)*VLOOKUP('Données projet'!$B$9,Paramètres!$A$1:$I$88,7,0))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114.28722492864044</v>
      </c>
      <c r="AA67" s="23">
        <f>EXP(-LN(2)/25)*AA66+(1-EXP(-LN(2)/25))/(LN(2)/25)*Calculateur!V67*Calculateur!X67*VLOOKUP('Données projet'!$B$9,Paramètres!$A$1:$I$88,3,0)*0.475*44/12</f>
        <v>33.744938476064348</v>
      </c>
      <c r="AB67" s="23">
        <f>EXP(-LN(2)/2)*AB66+(1-EXP(-LN(2)/2))/(LN(2)/2)*V67*Y67*VLOOKUP('Données projet'!$B$9,Paramètres!$A$1:$I$88,3,0)*0.475*44/12</f>
        <v>0.23009998348556576</v>
      </c>
      <c r="AC67" s="24">
        <f t="shared" si="3"/>
        <v>148.26226338819035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projet'!$B$10,Paramètres!$A$1:$I$88,3,0)*VLOOKUP('Données projet'!$B$10,Paramètres!$A$1:$I$88,5,0)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170.08673939431091</v>
      </c>
      <c r="AO67" s="62">
        <f t="shared" si="36"/>
        <v>252.97355497077106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projet'!$B$10,Paramètres!$A$1:$I$88,3,0)*0.475*44/12</f>
        <v>47.718057249322392</v>
      </c>
      <c r="AV67" s="23">
        <f>EXP(-LN(2)/25)*AV66+(1-EXP(-LN(2)/25))/(LN(2)/25)*Calculateur!AQ67*Calculateur!AS67*VLOOKUP('Données projet'!$B$10,Paramètres!$A$1:$I$88,3,0)*0.475*44/12</f>
        <v>34.20229783723466</v>
      </c>
      <c r="AW67" s="23">
        <f>EXP(-LN(2)/2)*AW66+(1-EXP(-LN(2)/2))/(LN(2)/2)*AQ67*AT67*VLOOKUP('Données projet'!$B$10,Paramètres!$A$1:$I$88,3,0)*0.475*44/12</f>
        <v>0.29473957998205902</v>
      </c>
      <c r="AX67" s="23">
        <f t="shared" si="6"/>
        <v>82.215094666539116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7.2</v>
      </c>
      <c r="BD67" s="13">
        <f>IF('Données projet'!$A$88&gt;35,BD66+BC67-BL66,IF(A67&lt;'Données projet'!$A$88,$BA$205^A67,IF(A67='Données projet'!$A$88,'Données projet'!$B$88,BD66+BC67-BL66)))</f>
        <v>221.79999999999993</v>
      </c>
      <c r="BE67" s="14">
        <f>BD67*VLOOKUP('Données projet'!$B$11,Paramètres!$A$1:$I$88,3,0)*VLOOKUP('Données projet'!$B$11,Paramètres!$A$1:$I$88,5,0)</f>
        <v>200.68463999999992</v>
      </c>
      <c r="BF67" s="14">
        <f t="shared" si="37"/>
        <v>49.894600936700193</v>
      </c>
      <c r="BG67" s="22">
        <f t="shared" si="7"/>
        <v>436.42551129808606</v>
      </c>
      <c r="BH67" s="62">
        <f t="shared" si="8"/>
        <v>699.84986345764082</v>
      </c>
      <c r="BI67" s="62">
        <f ca="1">AVERAGE(OFFSET($BH$3,0,0,'Données projet'!$E$11+1,1))-AVERAGE(OFFSET($H$3,0,0,'Données projet'!$E$11+1,1))</f>
        <v>362.63718589694594</v>
      </c>
      <c r="BJ67" s="62">
        <f t="shared" si="38"/>
        <v>250.47702091764884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projet'!$B$11,Paramètres!$A$1:$I$88,7,0))</f>
        <v>0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projet'!$B$11,Paramètres!$A$1:$I$88,3,0)*0.475*44/12</f>
        <v>10.021428194079903</v>
      </c>
      <c r="BQ67" s="23">
        <f>EXP(-LN(2)/25)*BQ66+(1-EXP(-LN(2)/25))/(LN(2)/25)*Calculateur!BL67*Calculateur!BN67*VLOOKUP('Données projet'!$B$11,Paramètres!$A$1:$I$88,3,0)*0.475*44/12</f>
        <v>0</v>
      </c>
      <c r="BR67" s="23">
        <f>EXP(-LN(2)/2)*BR66+(1-EXP(-LN(2)/2))/(LN(2)/2)*BL67*BO67*VLOOKUP('Données projet'!$B$11,Paramètres!$A$1:$I$88,3,0)*0.475*44/12</f>
        <v>0</v>
      </c>
      <c r="BS67" s="24">
        <f t="shared" si="9"/>
        <v>10.021428194079903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7.2</v>
      </c>
      <c r="BY67" s="13">
        <f>IF('Données projet'!$A$114&gt;35,BY66+BX67-CG66,IF(A67&lt;'Données projet'!$A$114,$BV$205^A67,IF(A67='Données projet'!$A$114,'Données projet'!$B$114,BY66+BX67-CG66)))</f>
        <v>221.79999999999993</v>
      </c>
      <c r="BZ67" s="14">
        <f>BY67*VLOOKUP('Données projet'!$B$12,Paramètres!$A$1:$I$88,3,0)*VLOOKUP('Données projet'!$B$12,Paramètres!$A$1:$I$88,5,0)</f>
        <v>224.90519999999995</v>
      </c>
      <c r="CA67" s="14">
        <f t="shared" si="39"/>
        <v>55.17963460003309</v>
      </c>
      <c r="CB67" s="22">
        <f t="shared" si="10"/>
        <v>487.81442026172425</v>
      </c>
      <c r="CC67" s="62">
        <f t="shared" si="11"/>
        <v>751.23877242127901</v>
      </c>
      <c r="CD67" s="62">
        <f ca="1">AVERAGE(OFFSET($CC$3,0,0,'Données projet'!$E$12+1,1))-AVERAGE(OFFSET($H$3,0,0,'Données projet'!$E$12+1,1))</f>
        <v>398.14524781940196</v>
      </c>
      <c r="CE67" s="62">
        <f t="shared" si="40"/>
        <v>273.35778700650792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projet'!$B$12,Paramètres!$A$1:$I$88,3,0)*0.475*44/12</f>
        <v>11.230910907158512</v>
      </c>
      <c r="CL67" s="23">
        <f>EXP(-LN(2)/25)*CL66+(1-EXP(-LN(2)/25))/(LN(2)/25)*Calculateur!CG67*Calculateur!CI67*VLOOKUP('Données projet'!$B$12,Paramètres!$A$1:$I$88,3,0)*0.475*44/12</f>
        <v>0</v>
      </c>
      <c r="CM67" s="23">
        <f>EXP(-LN(2)/2)*CM66+(1-EXP(-LN(2)/2))/(LN(2)/2)*CG67*CJ67*VLOOKUP('Données projet'!$B$12,Paramètres!$A$1:$I$88,3,0)*0.475*44/12</f>
        <v>0</v>
      </c>
      <c r="CN67" s="24">
        <f t="shared" si="12"/>
        <v>11.230910907158512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9</v>
      </c>
      <c r="CT67" s="13">
        <f>IF('Données projet'!$A$140&gt;35,CT66+CS67-DB66,IF(A67&lt;'Données projet'!$A$140,$CQ$205^A67,IF(A67='Données projet'!$A$140,'Données projet'!$B$140,CT66+CS67-DB66)))</f>
        <v>284.99999999999989</v>
      </c>
      <c r="CU67" s="18">
        <f>CT67*VLOOKUP('Données projet'!$B$13,Paramètres!$A$1:$I$88,3,0)*VLOOKUP('Données projet'!$B$13,Paramètres!$A$1:$I$88,5,0)</f>
        <v>271.2059999999999</v>
      </c>
      <c r="CV67" s="14">
        <f t="shared" si="41"/>
        <v>65.105146500461984</v>
      </c>
      <c r="CW67" s="22">
        <f t="shared" si="13"/>
        <v>585.74191348830436</v>
      </c>
      <c r="CX67" s="62">
        <f t="shared" si="14"/>
        <v>849.16626564785906</v>
      </c>
      <c r="CY67" s="62">
        <f ca="1">AVERAGE(OFFSET($CX$3,0,0,'Données projet'!$E$13+1,1))-AVERAGE(OFFSET($H$3,0,0,'Données projet'!$E$13+1,1))</f>
        <v>470.0521927195926</v>
      </c>
      <c r="CZ67" s="62">
        <f t="shared" si="42"/>
        <v>299.27200854723435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projet'!$B$13,Paramètres!$A$1:$I$88,3,0)*0.475*44/12</f>
        <v>10.539777928256449</v>
      </c>
      <c r="DG67" s="23">
        <f>EXP(-LN(2)/25)*DG66+(1-EXP(-LN(2)/25))/(LN(2)/25)*Calculateur!DB67*Calculateur!DD67*VLOOKUP('Données projet'!$B$13,Paramètres!$A$1:$I$88,3,0)*0.475*44/12</f>
        <v>0</v>
      </c>
      <c r="DH67" s="23">
        <f>EXP(-LN(2)/2)*DH66+(1-EXP(-LN(2)/2))/(LN(2)/2)*DB67*DE67*VLOOKUP('Données projet'!$B$13,Paramètres!$A$1:$I$88,3,0)*0.475*44/12</f>
        <v>0</v>
      </c>
      <c r="DI67" s="24">
        <f t="shared" si="15"/>
        <v>10.539777928256449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5.4</v>
      </c>
      <c r="DO67" s="13">
        <f>IF('Données projet'!$A$166&gt;35,DO66+DN67-DW66,IF(A67&lt;'Données projet'!$A$166,$DL$205^A67,IF(A67='Données projet'!$A$166,'Données projet'!$B$166,DO66+DN67-DW66)))</f>
        <v>155.6</v>
      </c>
      <c r="DP67" s="18">
        <f>DO67*VLOOKUP('Données projet'!$B$14,Paramètres!$A$1:$I$88,3,0)*VLOOKUP('Données projet'!$B$14,Paramètres!$A$1:$I$88,5,0)</f>
        <v>150.49632</v>
      </c>
      <c r="DQ67" s="14">
        <f t="shared" si="43"/>
        <v>38.691354428217871</v>
      </c>
      <c r="DR67" s="22">
        <f t="shared" si="16"/>
        <v>329.50186629581282</v>
      </c>
      <c r="DS67" s="62">
        <f t="shared" si="17"/>
        <v>592.92621845536758</v>
      </c>
      <c r="DT67" s="62">
        <f ca="1">AVERAGE(OFFSET($DS$3,0,0,'Données projet'!$E$14+1,1))-AVERAGE(OFFSET($H$3,0,0,'Données projet'!$E$14+1,1))</f>
        <v>290.89727102147953</v>
      </c>
      <c r="DU67" s="62">
        <f t="shared" si="44"/>
        <v>173.19148969173838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projet'!$B$14,Paramètres!$A$1:$I$88,3,0)*0.475*44/12</f>
        <v>7.1417074486546444</v>
      </c>
      <c r="EB67" s="23">
        <f>EXP(-LN(2)/25)*EB66+(1-EXP(-LN(2)/25))/(LN(2)/25)*Calculateur!DW67*Calculateur!DY67*VLOOKUP('Données projet'!$B$14,Paramètres!$A$1:$I$88,3,0)*0.475*44/12</f>
        <v>0</v>
      </c>
      <c r="EC67" s="23">
        <f>EXP(-LN(2)/2)*EC66+(1-EXP(-LN(2)/2))/(LN(2)/2)*DW67*DZ67*VLOOKUP('Données projet'!$B$14,Paramètres!$A$1:$I$88,3,0)*0.475*44/12</f>
        <v>0</v>
      </c>
      <c r="ED67" s="24">
        <f t="shared" si="18"/>
        <v>7.1417074486546444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projet'!$B$15,Paramètres!$A$1:$I$88,3,0)*VLOOKUP('Données projet'!$B$15,Paramètres!$A$1:$I$88,5,0)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projet'!$B$15,Paramètres!$A$1:$I$88,3,0)*0.475*44/12</f>
        <v>#N/A</v>
      </c>
      <c r="EW67" s="23" t="e">
        <f>EXP(-LN(2)/25)*EW66+(1-EXP(-LN(2)/25))/(LN(2)/25)*Calculateur!ER67*Calculateur!ET67*VLOOKUP('Données projet'!$B$15,Paramètres!$A$1:$I$88,3,0)*0.475*44/12</f>
        <v>#N/A</v>
      </c>
      <c r="EX67" s="23" t="e">
        <f>EXP(-LN(2)/2)*EX66+(1-EXP(-LN(2)/2))/(LN(2)/2)*ER67*EU67*VLOOKUP('Données projet'!$B$15,Paramètres!$A$1:$I$88,3,0)*0.475*44/12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projet'!$B$16,Paramètres!$A$1:$I$88,3,0)*VLOOKUP('Données projet'!$B$16,Paramètres!$A$1:$I$88,5,0)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projet'!$B$16,Paramètres!$A$1:$I$88,3,0)*0.475*44/12</f>
        <v>#N/A</v>
      </c>
      <c r="FR67" s="23" t="e">
        <f>EXP(-LN(2)/25)*FR66+(1-EXP(-LN(2)/25))/(LN(2)/25)*Calculateur!FM67*Calculateur!FO67*VLOOKUP('Données projet'!$B$16,Paramètres!$A$1:$I$88,3,0)*0.475*44/12</f>
        <v>#N/A</v>
      </c>
      <c r="FS67" s="23" t="e">
        <f>EXP(-LN(2)/2)*FS66+(1-EXP(-LN(2)/2))/(LN(2)/2)*FM67*FP67*VLOOKUP('Données projet'!$B$16,Paramètres!$A$1:$I$88,3,0)*0.475*44/12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projet'!$B$17,Paramètres!$A$1:$I$88,3,0)*VLOOKUP('Données projet'!$B$17,Paramètres!$A$1:$I$88,5,0)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projet'!$B$17,Paramètres!$A$1:$I$88,3,0)*0.475*44/12</f>
        <v>#N/A</v>
      </c>
      <c r="GM67" s="23" t="e">
        <f>EXP(-LN(2)/25)*GM66+(1-EXP(-LN(2)/25))/(LN(2)/25)*Calculateur!GH67*Calculateur!GJ67*VLOOKUP('Données projet'!$B$17,Paramètres!$A$1:$I$88,3,0)*0.475*44/12</f>
        <v>#N/A</v>
      </c>
      <c r="GN67" s="23" t="e">
        <f>EXP(-LN(2)/2)*GN66+(1-EXP(-LN(2)/2))/(LN(2)/2)*GH67*GK67*VLOOKUP('Données projet'!$B$17,Paramètres!$A$1:$I$88,3,0)*0.475*44/12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projet'!$B$18,Paramètres!$A$1:$I$88,3,0)*VLOOKUP('Données projet'!$B$18,Paramètres!$A$1:$I$88,5,0)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projet'!$B$18,Paramètres!$A$1:$I$88,3,0)*0.475*44/12</f>
        <v>#N/A</v>
      </c>
      <c r="HH67" s="23" t="e">
        <f>EXP(-LN(2)/25)*HH66+(1-EXP(-LN(2)/25))/(LN(2)/25)*Calculateur!HC67*Calculateur!HE67*VLOOKUP('Données projet'!$B$18,Paramètres!$A$1:$I$88,3,0)*0.475*44/12</f>
        <v>#N/A</v>
      </c>
      <c r="HI67" s="23" t="e">
        <f>EXP(-LN(2)/2)*HI66+(1-EXP(-LN(2)/2))/(LN(2)/2)*HC67*HF67*VLOOKUP('Données projet'!$B$18,Paramètres!$A$1:$I$88,3,0)*0.475*44/12</f>
        <v>#N/A</v>
      </c>
      <c r="HJ67" s="24" t="e">
        <f t="shared" si="30"/>
        <v>#N/A</v>
      </c>
    </row>
    <row r="68" spans="1:218" s="5" customFormat="1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projet'!$B$9,Paramètres!$A$1:$I$88,3,0)*VLOOKUP('Données projet'!$B$9,Paramètres!$A$1:$I$88,5,0)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263.94320611645628</v>
      </c>
      <c r="S68" s="62">
        <f ca="1">AVERAGE(OFFSET($R$3,0,0,'Données projet'!$E$9+1,1))-AVERAGE(OFFSET($H$3,0,0,'Données projet'!$E$9+1,1))</f>
        <v>301.2688576786212</v>
      </c>
      <c r="T68" s="62">
        <f t="shared" si="34"/>
        <v>417.62172165132927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projet'!$B$9,Paramètres!$A$1:$I$88,7,0))</f>
        <v>0</v>
      </c>
      <c r="X68" s="17">
        <f>IF(ISNA(VLOOKUP(A68,'Données projet'!$A$35:$I$55,6,0)),0%,VLOOKUP(A68,'Données projet'!$A$35:$I$55,6,0)*VLOOKUP('Données projet'!$B$9,Paramètres!$A$1:$I$88,7,0))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projet'!$B$9,Paramètres!$A$1:$I$88,3,0)*0.475*44/12</f>
        <v>112.04612215611388</v>
      </c>
      <c r="AA68" s="23">
        <f>EXP(-LN(2)/25)*AA67+(1-EXP(-LN(2)/25))/(LN(2)/25)*Calculateur!V68*Calculateur!X68*VLOOKUP('Données projet'!$B$9,Paramètres!$A$1:$I$88,3,0)*0.475*44/12</f>
        <v>32.822181358867176</v>
      </c>
      <c r="AB68" s="23">
        <f>EXP(-LN(2)/2)*AB67+(1-EXP(-LN(2)/2))/(LN(2)/2)*V68*Y68*VLOOKUP('Données projet'!$B$9,Paramètres!$A$1:$I$88,3,0)*0.475*44/12</f>
        <v>0.16270525867355615</v>
      </c>
      <c r="AC68" s="24">
        <f t="shared" ref="AC68:AC131" si="57">SUM(Z68:AB68)</f>
        <v>145.03100877365461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projet'!$B$10,Paramètres!$A$1:$I$88,3,0)*VLOOKUP('Données projet'!$B$10,Paramètres!$A$1:$I$88,5,0)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170.08673939431091</v>
      </c>
      <c r="AO68" s="62">
        <f t="shared" si="36"/>
        <v>252.97355497077106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projet'!$B$10,Paramètres!$A$1:$I$88,7,0))</f>
        <v>0</v>
      </c>
      <c r="AS68" s="17">
        <f>IF(ISNA(VLOOKUP(A68,'Données projet'!$A$61:$I$81,6,0)),0%,VLOOKUP(A68,'Données projet'!$A$61:$I$81,6,0)*VLOOKUP('Données projet'!$B$10,Paramètres!$A$1:$I$88,7,0))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projet'!$B$10,Paramètres!$A$1:$I$88,3,0)*0.475*44/12</f>
        <v>46.782335251804206</v>
      </c>
      <c r="AV68" s="23">
        <f>EXP(-LN(2)/25)*AV67+(1-EXP(-LN(2)/25))/(LN(2)/25)*Calculateur!AQ68*Calculateur!AS68*VLOOKUP('Données projet'!$B$10,Paramètres!$A$1:$I$88,3,0)*0.475*44/12</f>
        <v>33.267034204254806</v>
      </c>
      <c r="AW68" s="23">
        <f>EXP(-LN(2)/2)*AW67+(1-EXP(-LN(2)/2))/(LN(2)/2)*AQ68*AT68*VLOOKUP('Données projet'!$B$10,Paramètres!$A$1:$I$88,3,0)*0.475*44/12</f>
        <v>0.20841235568938873</v>
      </c>
      <c r="AX68" s="23">
        <f t="shared" ref="AX68:AX131" si="60">SUM(AU68:AW68)</f>
        <v>80.257781811748401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229</v>
      </c>
      <c r="BB68" s="13">
        <f>VLOOKUP(A68,'Données projet'!$A$87:$I$107,9,0)</f>
        <v>7.2</v>
      </c>
      <c r="BC68" s="13">
        <f t="array" ref="BC68">INDEX(BB:BB,MIN(IF(ISNUMBER(BB68:BB264),ROW(BB68:BB264),"")))</f>
        <v>7.2</v>
      </c>
      <c r="BD68" s="13">
        <f>IF('Données projet'!$A$88&gt;35,BD67+BC68-BL67,IF(A68&lt;'Données projet'!$A$88,$BA$205^A68,IF(A68='Données projet'!$A$88,'Données projet'!$B$88,BD67+BC68-BL67)))</f>
        <v>228.99999999999991</v>
      </c>
      <c r="BE68" s="14">
        <f>BD68*VLOOKUP('Données projet'!$B$11,Paramètres!$A$1:$I$88,3,0)*VLOOKUP('Données projet'!$B$11,Paramètres!$A$1:$I$88,5,0)</f>
        <v>207.19919999999991</v>
      </c>
      <c r="BF68" s="14">
        <f t="shared" si="37"/>
        <v>51.3230629736655</v>
      </c>
      <c r="BG68" s="22">
        <f t="shared" ref="BG68:BG131" si="61">(BE68+BF68)*0.475*44/12</f>
        <v>450.25960801246725</v>
      </c>
      <c r="BH68" s="62">
        <f t="shared" ref="BH68:BH131" si="62">BG68+(AY68+AZ68)*44/12</f>
        <v>714.20281412892245</v>
      </c>
      <c r="BI68" s="62">
        <f ca="1">AVERAGE(OFFSET($BH$3,0,0,'Données projet'!$E$11+1,1))-AVERAGE(OFFSET($H$3,0,0,'Données projet'!$E$11+1,1))</f>
        <v>362.63718589694594</v>
      </c>
      <c r="BJ68" s="62">
        <f t="shared" si="38"/>
        <v>250.47702091764884</v>
      </c>
      <c r="BK68" s="16">
        <f>IF(ISNA(VLOOKUP(A68,'Données projet'!$A$87:$I$107,3,0)),0,VLOOKUP(A68,'Données projet'!$A$87:$I$107,3,0))</f>
        <v>10</v>
      </c>
      <c r="BL68" s="16">
        <f>IF(ISNA(VLOOKUP(A68,'Données projet'!$A$87:$I$107,4,0)),0,VLOOKUP(A68,'Données projet'!$A$87:$I$107,4,0))</f>
        <v>21</v>
      </c>
      <c r="BM68" s="17">
        <f>IF(ISNA(VLOOKUP(A68,'Données projet'!$A$87:$I$107,5,0)),0%,VLOOKUP(A68,'Données projet'!$A$87:$I$107,5,0)*VLOOKUP('Données projet'!$B$11,Paramètres!$A$1:$I$88,7,0))</f>
        <v>0.17200000000000001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projet'!$B$11,Paramètres!$A$1:$I$88,3,0)*0.475*44/12</f>
        <v>13.437743412699543</v>
      </c>
      <c r="BQ68" s="23">
        <f>EXP(-LN(2)/25)*BQ67+(1-EXP(-LN(2)/25))/(LN(2)/25)*Calculateur!BL68*Calculateur!BN68*VLOOKUP('Données projet'!$B$11,Paramètres!$A$1:$I$88,3,0)*0.475*44/12</f>
        <v>0</v>
      </c>
      <c r="BR68" s="23">
        <f>EXP(-LN(2)/2)*BR67+(1-EXP(-LN(2)/2))/(LN(2)/2)*BL68*BO68*VLOOKUP('Données projet'!$B$11,Paramètres!$A$1:$I$88,3,0)*0.475*44/12</f>
        <v>0</v>
      </c>
      <c r="BS68" s="24">
        <f t="shared" ref="BS68:BS131" si="63">SUM(BP68:BR68)</f>
        <v>13.437743412699543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229</v>
      </c>
      <c r="BW68" s="13">
        <f>VLOOKUP(A68,'Données projet'!$A$113:$I$133,9,0)</f>
        <v>7.2</v>
      </c>
      <c r="BX68" s="13">
        <f t="array" ref="BX68">INDEX(BW:BW,MIN(IF(ISNUMBER(BW68:BW264),ROW(BW68:BW264),"")))</f>
        <v>7.2</v>
      </c>
      <c r="BY68" s="13">
        <f>IF('Données projet'!$A$114&gt;35,BY67+BX68-CG67,IF(A68&lt;'Données projet'!$A$114,$BV$205^A68,IF(A68='Données projet'!$A$114,'Données projet'!$B$114,BY67+BX68-CG67)))</f>
        <v>228.99999999999991</v>
      </c>
      <c r="BZ68" s="14">
        <f>BY68*VLOOKUP('Données projet'!$B$12,Paramètres!$A$1:$I$88,3,0)*VLOOKUP('Données projet'!$B$12,Paramètres!$A$1:$I$88,5,0)</f>
        <v>232.2059999999999</v>
      </c>
      <c r="CA68" s="14">
        <f t="shared" si="39"/>
        <v>56.759404991217522</v>
      </c>
      <c r="CB68" s="22">
        <f t="shared" ref="CB68:CB131" si="64">(BZ68+CA68)*0.475*44/12</f>
        <v>503.281413693037</v>
      </c>
      <c r="CC68" s="62">
        <f t="shared" ref="CC68:CC131" si="65">CB68+(BT68+BU68)*44/12</f>
        <v>767.2246198094922</v>
      </c>
      <c r="CD68" s="62">
        <f ca="1">AVERAGE(OFFSET($CC$3,0,0,'Données projet'!$E$12+1,1))-AVERAGE(OFFSET($H$3,0,0,'Données projet'!$E$12+1,1))</f>
        <v>398.14524781940196</v>
      </c>
      <c r="CE68" s="62">
        <f t="shared" si="40"/>
        <v>273.35778700650792</v>
      </c>
      <c r="CF68" s="16">
        <f>IF(ISNA(VLOOKUP(A68,'Données projet'!$A$113:$I$133,3,0)),0,VLOOKUP(A68,'Données projet'!$A$113:$I$133,3,0))</f>
        <v>10</v>
      </c>
      <c r="CG68" s="16">
        <f>IF(ISNA(VLOOKUP(A68,'Données projet'!$A$113:$I$133,4,0)),0,VLOOKUP(A68,'Données projet'!$A$113:$I$133,4,0))</f>
        <v>21</v>
      </c>
      <c r="CH68" s="17">
        <f>IF(ISNA(VLOOKUP(A68,'Données projet'!$A$113:$I$133,5,0)),0%,VLOOKUP(A68,'Données projet'!$A$113:$I$133,5,0)*VLOOKUP('Données projet'!$B$12,Paramètres!$A$1:$I$88,7,0))</f>
        <v>0.17200000000000001</v>
      </c>
      <c r="CI68" s="17">
        <f>IF(ISNA(VLOOKUP(A68,'Données projet'!$A$113:$I$133,6,0)),0%,VLOOKUP(A68,'Données projet'!$A$113:$I$133,6,0)*VLOOKUP('Données projet'!$B$12,Paramètres!$A$1:$I$88,7,0))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projet'!$B$12,Paramètres!$A$1:$I$88,3,0)*0.475*44/12</f>
        <v>15.059540031473627</v>
      </c>
      <c r="CL68" s="23">
        <f>EXP(-LN(2)/25)*CL67+(1-EXP(-LN(2)/25))/(LN(2)/25)*Calculateur!CG68*Calculateur!CI68*VLOOKUP('Données projet'!$B$12,Paramètres!$A$1:$I$88,3,0)*0.475*44/12</f>
        <v>0</v>
      </c>
      <c r="CM68" s="23">
        <f>EXP(-LN(2)/2)*CM67+(1-EXP(-LN(2)/2))/(LN(2)/2)*CG68*CJ68*VLOOKUP('Données projet'!$B$12,Paramètres!$A$1:$I$88,3,0)*0.475*44/12</f>
        <v>0</v>
      </c>
      <c r="CN68" s="24">
        <f t="shared" ref="CN68:CN131" si="66">SUM(CK68:CM68)</f>
        <v>15.059540031473627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294</v>
      </c>
      <c r="CR68" s="13">
        <f>VLOOKUP(A68,'Données projet'!$A$139:$I$159,9,0)</f>
        <v>9</v>
      </c>
      <c r="CS68" s="13">
        <f t="array" ref="CS68">INDEX(CR:CR,MIN(IF(ISNUMBER(CR68:CR264),ROW(CR68:CR264),"")))</f>
        <v>9</v>
      </c>
      <c r="CT68" s="13">
        <f>IF('Données projet'!$A$140&gt;35,CT67+CS68-DB67,IF(A68&lt;'Données projet'!$A$140,$CQ$205^A68,IF(A68='Données projet'!$A$140,'Données projet'!$B$140,CT67+CS68-DB67)))</f>
        <v>293.99999999999989</v>
      </c>
      <c r="CU68" s="18">
        <f>CT68*VLOOKUP('Données projet'!$B$13,Paramètres!$A$1:$I$88,3,0)*VLOOKUP('Données projet'!$B$13,Paramètres!$A$1:$I$88,5,0)</f>
        <v>279.77039999999988</v>
      </c>
      <c r="CV68" s="14">
        <f t="shared" si="41"/>
        <v>66.918485484562225</v>
      </c>
      <c r="CW68" s="22">
        <f t="shared" ref="CW68:CW131" si="67">(CU68+CV68)*0.475*44/12</f>
        <v>603.81647555227892</v>
      </c>
      <c r="CX68" s="62">
        <f t="shared" ref="CX68:CX131" si="68">CW68+(CO68+CP68)*44/12</f>
        <v>867.75968166873417</v>
      </c>
      <c r="CY68" s="62">
        <f ca="1">AVERAGE(OFFSET($CX$3,0,0,'Données projet'!$E$13+1,1))-AVERAGE(OFFSET($H$3,0,0,'Données projet'!$E$13+1,1))</f>
        <v>470.0521927195926</v>
      </c>
      <c r="CZ68" s="62">
        <f t="shared" si="42"/>
        <v>299.27200854723435</v>
      </c>
      <c r="DA68" s="16">
        <f>IF(ISNA(VLOOKUP(A68,'Données projet'!$A$139:$I$159,3,0)),0,VLOOKUP(A68,'Données projet'!$A$139:$I$159,3,0))</f>
        <v>10</v>
      </c>
      <c r="DB68" s="16">
        <f>IF(ISNA(VLOOKUP(A68,'Données projet'!$A$139:$I$159,4,0)),0,VLOOKUP(A68,'Données projet'!$A$139:$I$159,4,0))</f>
        <v>21</v>
      </c>
      <c r="DC68" s="17">
        <f>IF(ISNA(VLOOKUP(A68,'Données projet'!$A$139:$I$159,5,0)),0%,VLOOKUP(A68,'Données projet'!$A$139:$I$159,5,0)*VLOOKUP('Données projet'!$B$13,Paramètres!$A$1:$I$88,7,0))</f>
        <v>0.17200000000000001</v>
      </c>
      <c r="DD68" s="17">
        <f>IF(ISNA(VLOOKUP(A68,'Données projet'!$A$139:$I$159,6,0)),0%,VLOOKUP(A68,'Données projet'!$A$139:$I$159,6,0)*VLOOKUP('Données projet'!$B$13,Paramètres!$A$1:$I$88,7,0))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projet'!$B$13,Paramètres!$A$1:$I$88,3,0)*0.475*44/12</f>
        <v>14.132799106459863</v>
      </c>
      <c r="DG68" s="23">
        <f>EXP(-LN(2)/25)*DG67+(1-EXP(-LN(2)/25))/(LN(2)/25)*Calculateur!DB68*Calculateur!DD68*VLOOKUP('Données projet'!$B$13,Paramètres!$A$1:$I$88,3,0)*0.475*44/12</f>
        <v>0</v>
      </c>
      <c r="DH68" s="23">
        <f>EXP(-LN(2)/2)*DH67+(1-EXP(-LN(2)/2))/(LN(2)/2)*DB68*DE68*VLOOKUP('Données projet'!$B$13,Paramètres!$A$1:$I$88,3,0)*0.475*44/12</f>
        <v>0</v>
      </c>
      <c r="DI68" s="24">
        <f t="shared" ref="DI68:DI131" si="69">SUM(DF68:DH68)</f>
        <v>14.132799106459863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161</v>
      </c>
      <c r="DM68" s="13">
        <f>VLOOKUP(A68,'Données projet'!$A$165:$I$185,9,0)</f>
        <v>5.4</v>
      </c>
      <c r="DN68" s="13">
        <f t="array" ref="DN68">INDEX(DM:DM,MIN(IF(ISNUMBER(DM68:DM264),ROW(DM68:DM264),"")))</f>
        <v>5.4</v>
      </c>
      <c r="DO68" s="13">
        <f>IF('Données projet'!$A$166&gt;35,DO67+DN68-DW67,IF(A68&lt;'Données projet'!$A$166,$DL$205^A68,IF(A68='Données projet'!$A$166,'Données projet'!$B$166,DO67+DN68-DW67)))</f>
        <v>161</v>
      </c>
      <c r="DP68" s="18">
        <f>DO68*VLOOKUP('Données projet'!$B$14,Paramètres!$A$1:$I$88,3,0)*VLOOKUP('Données projet'!$B$14,Paramètres!$A$1:$I$88,5,0)</f>
        <v>155.7192</v>
      </c>
      <c r="DQ68" s="14">
        <f t="shared" si="43"/>
        <v>39.875450340770094</v>
      </c>
      <c r="DR68" s="22">
        <f t="shared" ref="DR68:DR131" si="70">(DP68+DQ68)*0.475*44/12</f>
        <v>340.66068267684119</v>
      </c>
      <c r="DS68" s="62">
        <f t="shared" ref="DS68:DS131" si="71">DR68+(DJ68+DK68)*44/12</f>
        <v>604.60388879329639</v>
      </c>
      <c r="DT68" s="62">
        <f ca="1">AVERAGE(OFFSET($DS$3,0,0,'Données projet'!$E$14+1,1))-AVERAGE(OFFSET($H$3,0,0,'Données projet'!$E$14+1,1))</f>
        <v>290.89727102147953</v>
      </c>
      <c r="DU68" s="62">
        <f t="shared" si="44"/>
        <v>173.19148969173838</v>
      </c>
      <c r="DV68" s="16">
        <f>IF(ISNA(VLOOKUP(A68,'Données projet'!$A$165:$I$185,3,0)),0,VLOOKUP(A68,'Données projet'!$A$165:$I$185,3,0))</f>
        <v>10</v>
      </c>
      <c r="DW68" s="16">
        <f>IF(ISNA(VLOOKUP(A68,'Données projet'!$A$165:$I$185,4,0)),0,VLOOKUP(A68,'Données projet'!$A$165:$I$185,4,0))</f>
        <v>14</v>
      </c>
      <c r="DX68" s="17">
        <f>IF(ISNA(VLOOKUP(A68,'Données projet'!$A$165:$I$185,5,0)),0%,VLOOKUP(A68,'Données projet'!$A$165:$I$185,5,0)*VLOOKUP('Données projet'!$B$14,Paramètres!$A$1:$I$88,7,0))</f>
        <v>0.17200000000000001</v>
      </c>
      <c r="DY68" s="17">
        <f>IF(ISNA(VLOOKUP(A68,'Données projet'!$A$165:$I$185,6,0)),0%,VLOOKUP(A68,'Données projet'!$A$165:$I$185,6,0)*VLOOKUP('Données projet'!$B$14,Paramètres!$A$1:$I$88,7,0))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projet'!$B$14,Paramètres!$A$1:$I$88,3,0)*0.475*44/12</f>
        <v>9.5763228918088714</v>
      </c>
      <c r="EB68" s="23">
        <f>EXP(-LN(2)/25)*EB67+(1-EXP(-LN(2)/25))/(LN(2)/25)*Calculateur!DW68*Calculateur!DY68*VLOOKUP('Données projet'!$B$14,Paramètres!$A$1:$I$88,3,0)*0.475*44/12</f>
        <v>0</v>
      </c>
      <c r="EC68" s="23">
        <f>EXP(-LN(2)/2)*EC67+(1-EXP(-LN(2)/2))/(LN(2)/2)*DW68*DZ68*VLOOKUP('Données projet'!$B$14,Paramètres!$A$1:$I$88,3,0)*0.475*44/12</f>
        <v>0</v>
      </c>
      <c r="ED68" s="24">
        <f t="shared" ref="ED68:ED131" si="72">SUM(EA68:EC68)</f>
        <v>9.5763228918088714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projet'!$B$15,Paramètres!$A$1:$I$88,3,0)*VLOOKUP('Données projet'!$B$15,Paramètres!$A$1:$I$88,5,0)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projet'!$B$15,Paramètres!$A$1:$I$88,7,0))</f>
        <v>0</v>
      </c>
      <c r="ET68" s="17">
        <f>IF(ISNA(VLOOKUP(A68,'Données projet'!$A$191:$I$211,6,0)),0%,VLOOKUP(A68,'Données projet'!$A$191:$I$211,6,0)*VLOOKUP('Données projet'!$B$15,Paramètres!$A$1:$I$88,7,0))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projet'!$B$15,Paramètres!$A$1:$I$88,3,0)*0.475*44/12</f>
        <v>#N/A</v>
      </c>
      <c r="EW68" s="23" t="e">
        <f>EXP(-LN(2)/25)*EW67+(1-EXP(-LN(2)/25))/(LN(2)/25)*Calculateur!ER68*Calculateur!ET68*VLOOKUP('Données projet'!$B$15,Paramètres!$A$1:$I$88,3,0)*0.475*44/12</f>
        <v>#N/A</v>
      </c>
      <c r="EX68" s="23" t="e">
        <f>EXP(-LN(2)/2)*EX67+(1-EXP(-LN(2)/2))/(LN(2)/2)*ER68*EU68*VLOOKUP('Données projet'!$B$15,Paramètres!$A$1:$I$88,3,0)*0.475*44/12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projet'!$B$16,Paramètres!$A$1:$I$88,3,0)*VLOOKUP('Données projet'!$B$16,Paramètres!$A$1:$I$88,5,0)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projet'!$B$16,Paramètres!$A$1:$I$88,7,0))</f>
        <v>0</v>
      </c>
      <c r="FO68" s="17">
        <f>IF(ISNA(VLOOKUP(A68,'Données projet'!$A$217:$I$237,6,0)),0%,VLOOKUP(A68,'Données projet'!$A$217:$I$237,6,0)*VLOOKUP('Données projet'!$B$16,Paramètres!$A$1:$I$88,7,0))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projet'!$B$16,Paramètres!$A$1:$I$88,3,0)*0.475*44/12</f>
        <v>#N/A</v>
      </c>
      <c r="FR68" s="23" t="e">
        <f>EXP(-LN(2)/25)*FR67+(1-EXP(-LN(2)/25))/(LN(2)/25)*Calculateur!FM68*Calculateur!FO68*VLOOKUP('Données projet'!$B$16,Paramètres!$A$1:$I$88,3,0)*0.475*44/12</f>
        <v>#N/A</v>
      </c>
      <c r="FS68" s="23" t="e">
        <f>EXP(-LN(2)/2)*FS67+(1-EXP(-LN(2)/2))/(LN(2)/2)*FM68*FP68*VLOOKUP('Données projet'!$B$16,Paramètres!$A$1:$I$88,3,0)*0.475*44/12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projet'!$B$17,Paramètres!$A$1:$I$88,3,0)*VLOOKUP('Données projet'!$B$17,Paramètres!$A$1:$I$88,5,0)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projet'!$B$17,Paramètres!$A$1:$I$88,7,0))</f>
        <v>0</v>
      </c>
      <c r="GJ68" s="17">
        <f>IF(ISNA(VLOOKUP(A68,'Données projet'!$A$243:$I$263,6,0)),0%,VLOOKUP(A68,'Données projet'!$A$243:$I$263,6,0)*VLOOKUP('Données projet'!$B$17,Paramètres!$A$1:$I$88,7,0))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projet'!$B$17,Paramètres!$A$1:$I$88,3,0)*0.475*44/12</f>
        <v>#N/A</v>
      </c>
      <c r="GM68" s="23" t="e">
        <f>EXP(-LN(2)/25)*GM67+(1-EXP(-LN(2)/25))/(LN(2)/25)*Calculateur!GH68*Calculateur!GJ68*VLOOKUP('Données projet'!$B$17,Paramètres!$A$1:$I$88,3,0)*0.475*44/12</f>
        <v>#N/A</v>
      </c>
      <c r="GN68" s="23" t="e">
        <f>EXP(-LN(2)/2)*GN67+(1-EXP(-LN(2)/2))/(LN(2)/2)*GH68*GK68*VLOOKUP('Données projet'!$B$17,Paramètres!$A$1:$I$88,3,0)*0.475*44/12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projet'!$B$18,Paramètres!$A$1:$I$88,3,0)*VLOOKUP('Données projet'!$B$18,Paramètres!$A$1:$I$88,5,0)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projet'!$B$18,Paramètres!$A$1:$I$88,3,0)*0.475*44/12</f>
        <v>#N/A</v>
      </c>
      <c r="HH68" s="23" t="e">
        <f>EXP(-LN(2)/25)*HH67+(1-EXP(-LN(2)/25))/(LN(2)/25)*Calculateur!HC68*Calculateur!HE68*VLOOKUP('Données projet'!$B$18,Paramètres!$A$1:$I$88,3,0)*0.475*44/12</f>
        <v>#N/A</v>
      </c>
      <c r="HI68" s="23" t="e">
        <f>EXP(-LN(2)/2)*HI67+(1-EXP(-LN(2)/2))/(LN(2)/2)*HC68*HF68*VLOOKUP('Données projet'!$B$18,Paramètres!$A$1:$I$88,3,0)*0.475*44/12</f>
        <v>#N/A</v>
      </c>
      <c r="HJ68" s="24" t="e">
        <f t="shared" ref="HJ68:HJ131" si="84">SUM(HG68:HI68)</f>
        <v>#N/A</v>
      </c>
    </row>
    <row r="69" spans="1:218" s="5" customFormat="1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projet'!$B$9,Paramètres!$A$1:$I$88,3,0)*VLOOKUP('Données projet'!$B$9,Paramètres!$A$1:$I$88,5,0)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264.45305911718816</v>
      </c>
      <c r="S69" s="62">
        <f ca="1">AVERAGE(OFFSET($R$3,0,0,'Données projet'!$E$9+1,1))-AVERAGE(OFFSET($H$3,0,0,'Données projet'!$E$9+1,1))</f>
        <v>301.2688576786212</v>
      </c>
      <c r="T69" s="62">
        <f t="shared" ref="T69:T132" si="88">$T$3</f>
        <v>417.62172165132927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projet'!$B$9,Paramètres!$A$1:$I$88,7,0))</f>
        <v>0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109.84896604201886</v>
      </c>
      <c r="AA69" s="23">
        <f>EXP(-LN(2)/25)*AA68+(1-EXP(-LN(2)/25))/(LN(2)/25)*Calculateur!V69*Calculateur!X69*VLOOKUP('Données projet'!$B$9,Paramètres!$A$1:$I$88,3,0)*0.475*44/12</f>
        <v>31.924657083565453</v>
      </c>
      <c r="AB69" s="23">
        <f>EXP(-LN(2)/2)*AB68+(1-EXP(-LN(2)/2))/(LN(2)/2)*V69*Y69*VLOOKUP('Données projet'!$B$9,Paramètres!$A$1:$I$88,3,0)*0.475*44/12</f>
        <v>0.11504999174278288</v>
      </c>
      <c r="AC69" s="24">
        <f t="shared" si="57"/>
        <v>141.8886731173271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projet'!$B$10,Paramètres!$A$1:$I$88,3,0)*VLOOKUP('Données projet'!$B$10,Paramètres!$A$1:$I$88,5,0)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170.08673939431091</v>
      </c>
      <c r="AO69" s="62">
        <f t="shared" ref="AO69:AO132" si="90">$AO$3</f>
        <v>252.97355497077106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projet'!$B$10,Paramètres!$A$1:$I$88,7,0))</f>
        <v>0</v>
      </c>
      <c r="AS69" s="17">
        <f>IF(ISNA(VLOOKUP(A69,'Données projet'!$A$61:$I$81,6,0)),0%,VLOOKUP(A69,'Données projet'!$A$61:$I$81,6,0)*VLOOKUP('Données projet'!$B$10,Paramètres!$A$1:$I$88,7,0))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projet'!$B$10,Paramètres!$A$1:$I$88,3,0)*0.475*44/12</f>
        <v>45.86496219192329</v>
      </c>
      <c r="AV69" s="23">
        <f>EXP(-LN(2)/25)*AV68+(1-EXP(-LN(2)/25))/(LN(2)/25)*Calculateur!AQ69*Calculateur!AS69*VLOOKUP('Données projet'!$B$10,Paramètres!$A$1:$I$88,3,0)*0.475*44/12</f>
        <v>32.357345404502162</v>
      </c>
      <c r="AW69" s="23">
        <f>EXP(-LN(2)/2)*AW68+(1-EXP(-LN(2)/2))/(LN(2)/2)*AQ69*AT69*VLOOKUP('Données projet'!$B$10,Paramètres!$A$1:$I$88,3,0)*0.475*44/12</f>
        <v>0.14736978999102951</v>
      </c>
      <c r="AX69" s="23">
        <f t="shared" si="60"/>
        <v>78.369677386416484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6.8</v>
      </c>
      <c r="BD69" s="13">
        <f>IF('Données projet'!$A$88&gt;35,BD68+BC69-BL68,IF(A69&lt;'Données projet'!$A$88,$BA$205^A69,IF(A69='Données projet'!$A$88,'Données projet'!$B$88,BD68+BC69-BL68)))</f>
        <v>214.79999999999993</v>
      </c>
      <c r="BE69" s="14">
        <f>BD69*VLOOKUP('Données projet'!$B$11,Paramètres!$A$1:$I$88,3,0)*VLOOKUP('Données projet'!$B$11,Paramètres!$A$1:$I$88,5,0)</f>
        <v>194.35103999999993</v>
      </c>
      <c r="BF69" s="14">
        <f t="shared" ref="BF69:BF132" si="91">EXP(-1.0587+0.8836*LN(BE69)+0.284)</f>
        <v>48.500634729810159</v>
      </c>
      <c r="BG69" s="22">
        <f t="shared" si="61"/>
        <v>422.96666682108594</v>
      </c>
      <c r="BH69" s="62">
        <f t="shared" si="62"/>
        <v>687.41972593827302</v>
      </c>
      <c r="BI69" s="62">
        <f ca="1">AVERAGE(OFFSET($BH$3,0,0,'Données projet'!$E$11+1,1))-AVERAGE(OFFSET($H$3,0,0,'Données projet'!$E$11+1,1))</f>
        <v>362.63718589694594</v>
      </c>
      <c r="BJ69" s="62">
        <f t="shared" ref="BJ69:BJ132" si="92">$BJ$3</f>
        <v>250.47702091764884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projet'!$B$11,Paramètres!$A$1:$I$88,7,0))</f>
        <v>0</v>
      </c>
      <c r="BN69" s="17">
        <f>IF(ISNA(VLOOKUP(A69,'Données projet'!$A$87:$I$107,6,0)),0%,VLOOKUP(A69,'Données projet'!$A$87:$I$107,6,0)*VLOOKUP('Données projet'!$B$11,Paramètres!$A$1:$I$88,7,0))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projet'!$B$11,Paramètres!$A$1:$I$88,3,0)*0.475*44/12</f>
        <v>13.174237460590678</v>
      </c>
      <c r="BQ69" s="23">
        <f>EXP(-LN(2)/25)*BQ68+(1-EXP(-LN(2)/25))/(LN(2)/25)*Calculateur!BL69*Calculateur!BN69*VLOOKUP('Données projet'!$B$11,Paramètres!$A$1:$I$88,3,0)*0.475*44/12</f>
        <v>0</v>
      </c>
      <c r="BR69" s="23">
        <f>EXP(-LN(2)/2)*BR68+(1-EXP(-LN(2)/2))/(LN(2)/2)*BL69*BO69*VLOOKUP('Données projet'!$B$11,Paramètres!$A$1:$I$88,3,0)*0.475*44/12</f>
        <v>0</v>
      </c>
      <c r="BS69" s="24">
        <f t="shared" si="63"/>
        <v>13.174237460590678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6.8</v>
      </c>
      <c r="BY69" s="13">
        <f>IF('Données projet'!$A$114&gt;35,BY68+BX69-CG68,IF(A69&lt;'Données projet'!$A$114,$BV$205^A69,IF(A69='Données projet'!$A$114,'Données projet'!$B$114,BY68+BX69-CG68)))</f>
        <v>214.79999999999993</v>
      </c>
      <c r="BZ69" s="14">
        <f>BY69*VLOOKUP('Données projet'!$B$12,Paramètres!$A$1:$I$88,3,0)*VLOOKUP('Données projet'!$B$12,Paramètres!$A$1:$I$88,5,0)</f>
        <v>217.80719999999994</v>
      </c>
      <c r="CA69" s="14">
        <f t="shared" ref="CA69:CA132" si="93">EXP(-1.0587+0.8836*LN(BZ69)+0.284)</f>
        <v>53.638013973813976</v>
      </c>
      <c r="CB69" s="22">
        <f t="shared" si="64"/>
        <v>472.76708100439259</v>
      </c>
      <c r="CC69" s="62">
        <f t="shared" si="65"/>
        <v>737.22014012157967</v>
      </c>
      <c r="CD69" s="62">
        <f ca="1">AVERAGE(OFFSET($CC$3,0,0,'Données projet'!$E$12+1,1))-AVERAGE(OFFSET($H$3,0,0,'Données projet'!$E$12+1,1))</f>
        <v>398.14524781940196</v>
      </c>
      <c r="CE69" s="62">
        <f t="shared" ref="CE69:CE132" si="94">$CE$3</f>
        <v>273.35778700650792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projet'!$B$12,Paramètres!$A$1:$I$88,7,0))</f>
        <v>0</v>
      </c>
      <c r="CI69" s="17">
        <f>IF(ISNA(VLOOKUP(A69,'Données projet'!$A$113:$I$133,6,0)),0%,VLOOKUP(A69,'Données projet'!$A$113:$I$133,6,0)*VLOOKUP('Données projet'!$B$12,Paramètres!$A$1:$I$88,7,0))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projet'!$B$12,Paramètres!$A$1:$I$88,3,0)*0.475*44/12</f>
        <v>14.764231636868864</v>
      </c>
      <c r="CL69" s="23">
        <f>EXP(-LN(2)/25)*CL68+(1-EXP(-LN(2)/25))/(LN(2)/25)*Calculateur!CG69*Calculateur!CI69*VLOOKUP('Données projet'!$B$12,Paramètres!$A$1:$I$88,3,0)*0.475*44/12</f>
        <v>0</v>
      </c>
      <c r="CM69" s="23">
        <f>EXP(-LN(2)/2)*CM68+(1-EXP(-LN(2)/2))/(LN(2)/2)*CG69*CJ69*VLOOKUP('Données projet'!$B$12,Paramètres!$A$1:$I$88,3,0)*0.475*44/12</f>
        <v>0</v>
      </c>
      <c r="CN69" s="24">
        <f t="shared" si="66"/>
        <v>14.764231636868864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8.6</v>
      </c>
      <c r="CT69" s="13">
        <f>IF('Données projet'!$A$140&gt;35,CT68+CS69-DB68,IF(A69&lt;'Données projet'!$A$140,$CQ$205^A69,IF(A69='Données projet'!$A$140,'Données projet'!$B$140,CT68+CS69-DB68)))</f>
        <v>281.59999999999991</v>
      </c>
      <c r="CU69" s="18">
        <f>CT69*VLOOKUP('Données projet'!$B$13,Paramètres!$A$1:$I$88,3,0)*VLOOKUP('Données projet'!$B$13,Paramètres!$A$1:$I$88,5,0)</f>
        <v>267.97055999999992</v>
      </c>
      <c r="CV69" s="14">
        <f t="shared" ref="CV69:CV132" si="95">EXP(-1.0587+0.8836*LN(CU69)+0.284)</f>
        <v>64.418381959040033</v>
      </c>
      <c r="CW69" s="22">
        <f t="shared" si="67"/>
        <v>578.91074057866115</v>
      </c>
      <c r="CX69" s="62">
        <f t="shared" si="68"/>
        <v>843.36379969584823</v>
      </c>
      <c r="CY69" s="62">
        <f ca="1">AVERAGE(OFFSET($CX$3,0,0,'Données projet'!$E$13+1,1))-AVERAGE(OFFSET($H$3,0,0,'Données projet'!$E$13+1,1))</f>
        <v>470.0521927195926</v>
      </c>
      <c r="CZ69" s="62">
        <f t="shared" ref="CZ69:CZ132" si="96">$CZ$3</f>
        <v>299.27200854723435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projet'!$B$13,Paramètres!$A$1:$I$88,7,0))</f>
        <v>0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projet'!$B$13,Paramètres!$A$1:$I$88,3,0)*0.475*44/12</f>
        <v>13.85566353613847</v>
      </c>
      <c r="DG69" s="23">
        <f>EXP(-LN(2)/25)*DG68+(1-EXP(-LN(2)/25))/(LN(2)/25)*Calculateur!DB69*Calculateur!DD69*VLOOKUP('Données projet'!$B$13,Paramètres!$A$1:$I$88,3,0)*0.475*44/12</f>
        <v>0</v>
      </c>
      <c r="DH69" s="23">
        <f>EXP(-LN(2)/2)*DH68+(1-EXP(-LN(2)/2))/(LN(2)/2)*DB69*DE69*VLOOKUP('Données projet'!$B$13,Paramètres!$A$1:$I$88,3,0)*0.475*44/12</f>
        <v>0</v>
      </c>
      <c r="DI69" s="24">
        <f t="shared" si="69"/>
        <v>13.85566353613847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5</v>
      </c>
      <c r="DO69" s="13">
        <f>IF('Données projet'!$A$166&gt;35,DO68+DN69-DW68,IF(A69&lt;'Données projet'!$A$166,$DL$205^A69,IF(A69='Données projet'!$A$166,'Données projet'!$B$166,DO68+DN69-DW68)))</f>
        <v>152</v>
      </c>
      <c r="DP69" s="18">
        <f>DO69*VLOOKUP('Données projet'!$B$14,Paramètres!$A$1:$I$88,3,0)*VLOOKUP('Données projet'!$B$14,Paramètres!$A$1:$I$88,5,0)</f>
        <v>147.01439999999999</v>
      </c>
      <c r="DQ69" s="14">
        <f t="shared" ref="DQ69:DQ132" si="97">EXP(-1.0587+0.8836*LN(DP69)+0.284)</f>
        <v>37.899305454176826</v>
      </c>
      <c r="DR69" s="22">
        <f t="shared" si="70"/>
        <v>322.05803699935797</v>
      </c>
      <c r="DS69" s="62">
        <f t="shared" si="71"/>
        <v>586.5110961165451</v>
      </c>
      <c r="DT69" s="62">
        <f ca="1">AVERAGE(OFFSET($DS$3,0,0,'Données projet'!$E$14+1,1))-AVERAGE(OFFSET($H$3,0,0,'Données projet'!$E$14+1,1))</f>
        <v>290.89727102147953</v>
      </c>
      <c r="DU69" s="62">
        <f t="shared" ref="DU69:DU132" si="98">$DU$3</f>
        <v>173.19148969173838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projet'!$B$14,Paramètres!$A$1:$I$88,3,0)*0.475*44/12</f>
        <v>9.3885370408807152</v>
      </c>
      <c r="EB69" s="23">
        <f>EXP(-LN(2)/25)*EB68+(1-EXP(-LN(2)/25))/(LN(2)/25)*Calculateur!DW69*Calculateur!DY69*VLOOKUP('Données projet'!$B$14,Paramètres!$A$1:$I$88,3,0)*0.475*44/12</f>
        <v>0</v>
      </c>
      <c r="EC69" s="23">
        <f>EXP(-LN(2)/2)*EC68+(1-EXP(-LN(2)/2))/(LN(2)/2)*DW69*DZ69*VLOOKUP('Données projet'!$B$14,Paramètres!$A$1:$I$88,3,0)*0.475*44/12</f>
        <v>0</v>
      </c>
      <c r="ED69" s="24">
        <f t="shared" si="72"/>
        <v>9.3885370408807152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projet'!$B$15,Paramètres!$A$1:$I$88,3,0)*VLOOKUP('Données projet'!$B$15,Paramètres!$A$1:$I$88,5,0)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projet'!$B$15,Paramètres!$A$1:$I$88,3,0)*0.475*44/12</f>
        <v>#N/A</v>
      </c>
      <c r="EW69" s="23" t="e">
        <f>EXP(-LN(2)/25)*EW68+(1-EXP(-LN(2)/25))/(LN(2)/25)*Calculateur!ER69*Calculateur!ET69*VLOOKUP('Données projet'!$B$15,Paramètres!$A$1:$I$88,3,0)*0.475*44/12</f>
        <v>#N/A</v>
      </c>
      <c r="EX69" s="23" t="e">
        <f>EXP(-LN(2)/2)*EX68+(1-EXP(-LN(2)/2))/(LN(2)/2)*ER69*EU69*VLOOKUP('Données projet'!$B$15,Paramètres!$A$1:$I$88,3,0)*0.475*44/12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projet'!$B$16,Paramètres!$A$1:$I$88,3,0)*VLOOKUP('Données projet'!$B$16,Paramètres!$A$1:$I$88,5,0)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projet'!$B$16,Paramètres!$A$1:$I$88,3,0)*0.475*44/12</f>
        <v>#N/A</v>
      </c>
      <c r="FR69" s="23" t="e">
        <f>EXP(-LN(2)/25)*FR68+(1-EXP(-LN(2)/25))/(LN(2)/25)*Calculateur!FM69*Calculateur!FO69*VLOOKUP('Données projet'!$B$16,Paramètres!$A$1:$I$88,3,0)*0.475*44/12</f>
        <v>#N/A</v>
      </c>
      <c r="FS69" s="23" t="e">
        <f>EXP(-LN(2)/2)*FS68+(1-EXP(-LN(2)/2))/(LN(2)/2)*FM69*FP69*VLOOKUP('Données projet'!$B$16,Paramètres!$A$1:$I$88,3,0)*0.475*44/12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projet'!$B$17,Paramètres!$A$1:$I$88,3,0)*VLOOKUP('Données projet'!$B$17,Paramètres!$A$1:$I$88,5,0)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projet'!$B$17,Paramètres!$A$1:$I$88,3,0)*0.475*44/12</f>
        <v>#N/A</v>
      </c>
      <c r="GM69" s="23" t="e">
        <f>EXP(-LN(2)/25)*GM68+(1-EXP(-LN(2)/25))/(LN(2)/25)*Calculateur!GH69*Calculateur!GJ69*VLOOKUP('Données projet'!$B$17,Paramètres!$A$1:$I$88,3,0)*0.475*44/12</f>
        <v>#N/A</v>
      </c>
      <c r="GN69" s="23" t="e">
        <f>EXP(-LN(2)/2)*GN68+(1-EXP(-LN(2)/2))/(LN(2)/2)*GH69*GK69*VLOOKUP('Données projet'!$B$17,Paramètres!$A$1:$I$88,3,0)*0.475*44/12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projet'!$B$18,Paramètres!$A$1:$I$88,3,0)*VLOOKUP('Données projet'!$B$18,Paramètres!$A$1:$I$88,5,0)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projet'!$B$18,Paramètres!$A$1:$I$88,3,0)*0.475*44/12</f>
        <v>#N/A</v>
      </c>
      <c r="HH69" s="23" t="e">
        <f>EXP(-LN(2)/25)*HH68+(1-EXP(-LN(2)/25))/(LN(2)/25)*Calculateur!HC69*Calculateur!HE69*VLOOKUP('Données projet'!$B$18,Paramètres!$A$1:$I$88,3,0)*0.475*44/12</f>
        <v>#N/A</v>
      </c>
      <c r="HI69" s="23" t="e">
        <f>EXP(-LN(2)/2)*HI68+(1-EXP(-LN(2)/2))/(LN(2)/2)*HC69*HF69*VLOOKUP('Données projet'!$B$18,Paramètres!$A$1:$I$88,3,0)*0.475*44/12</f>
        <v>#N/A</v>
      </c>
      <c r="HJ69" s="24" t="e">
        <f t="shared" si="84"/>
        <v>#N/A</v>
      </c>
    </row>
    <row r="70" spans="1:218" s="5" customFormat="1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projet'!$B$9,Paramètres!$A$1:$I$88,3,0)*VLOOKUP('Données projet'!$B$9,Paramètres!$A$1:$I$88,5,0)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264.95406730821799</v>
      </c>
      <c r="S70" s="62">
        <f ca="1">AVERAGE(OFFSET($R$3,0,0,'Données projet'!$E$9+1,1))-AVERAGE(OFFSET($H$3,0,0,'Données projet'!$E$9+1,1))</f>
        <v>301.2688576786212</v>
      </c>
      <c r="T70" s="62">
        <f t="shared" si="88"/>
        <v>417.62172165132927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projet'!$B$9,Paramètres!$A$1:$I$88,7,0))</f>
        <v>0</v>
      </c>
      <c r="X70" s="17">
        <f>IF(ISNA(VLOOKUP(A70,'Données projet'!$A$35:$I$55,6,0)),0%,VLOOKUP(A70,'Données projet'!$A$35:$I$55,6,0)*VLOOKUP('Données projet'!$B$9,Paramètres!$A$1:$I$88,7,0))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107.69489481918833</v>
      </c>
      <c r="AA70" s="23">
        <f>EXP(-LN(2)/25)*AA69+(1-EXP(-LN(2)/25))/(LN(2)/25)*Calculateur!V70*Calculateur!X70*VLOOKUP('Données projet'!$B$9,Paramètres!$A$1:$I$88,3,0)*0.475*44/12</f>
        <v>31.051675656770605</v>
      </c>
      <c r="AB70" s="23">
        <f>EXP(-LN(2)/2)*AB69+(1-EXP(-LN(2)/2))/(LN(2)/2)*V70*Y70*VLOOKUP('Données projet'!$B$9,Paramètres!$A$1:$I$88,3,0)*0.475*44/12</f>
        <v>8.1352629336778073E-2</v>
      </c>
      <c r="AC70" s="24">
        <f t="shared" si="57"/>
        <v>138.82792310529572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projet'!$B$10,Paramètres!$A$1:$I$88,3,0)*VLOOKUP('Données projet'!$B$10,Paramètres!$A$1:$I$88,5,0)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170.08673939431091</v>
      </c>
      <c r="AO70" s="62">
        <f t="shared" si="90"/>
        <v>252.97355497077106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projet'!$B$10,Paramètres!$A$1:$I$88,3,0)*0.475*44/12</f>
        <v>44.965578258204324</v>
      </c>
      <c r="AV70" s="23">
        <f>EXP(-LN(2)/25)*AV69+(1-EXP(-LN(2)/25))/(LN(2)/25)*Calculateur!AQ70*Calculateur!AS70*VLOOKUP('Données projet'!$B$10,Paramètres!$A$1:$I$88,3,0)*0.475*44/12</f>
        <v>31.472532092817211</v>
      </c>
      <c r="AW70" s="23">
        <f>EXP(-LN(2)/2)*AW69+(1-EXP(-LN(2)/2))/(LN(2)/2)*AQ70*AT70*VLOOKUP('Données projet'!$B$10,Paramètres!$A$1:$I$88,3,0)*0.475*44/12</f>
        <v>0.10420617784469437</v>
      </c>
      <c r="AX70" s="23">
        <f t="shared" si="60"/>
        <v>76.542316528866223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6.8</v>
      </c>
      <c r="BD70" s="13">
        <f>IF('Données projet'!$A$88&gt;35,BD69+BC70-BL69,IF(A70&lt;'Données projet'!$A$88,$BA$205^A70,IF(A70='Données projet'!$A$88,'Données projet'!$B$88,BD69+BC70-BL69)))</f>
        <v>221.59999999999994</v>
      </c>
      <c r="BE70" s="14">
        <f>BD70*VLOOKUP('Données projet'!$B$11,Paramètres!$A$1:$I$88,3,0)*VLOOKUP('Données projet'!$B$11,Paramètres!$A$1:$I$88,5,0)</f>
        <v>200.50367999999995</v>
      </c>
      <c r="BF70" s="14">
        <f t="shared" si="91"/>
        <v>49.854845135229887</v>
      </c>
      <c r="BG70" s="22">
        <f t="shared" si="61"/>
        <v>436.04109794385857</v>
      </c>
      <c r="BH70" s="62">
        <f t="shared" si="62"/>
        <v>700.99516525207548</v>
      </c>
      <c r="BI70" s="62">
        <f ca="1">AVERAGE(OFFSET($BH$3,0,0,'Données projet'!$E$11+1,1))-AVERAGE(OFFSET($H$3,0,0,'Données projet'!$E$11+1,1))</f>
        <v>362.63718589694594</v>
      </c>
      <c r="BJ70" s="62">
        <f t="shared" si="92"/>
        <v>250.47702091764884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projet'!$B$11,Paramètres!$A$1:$I$88,7,0))</f>
        <v>0</v>
      </c>
      <c r="BN70" s="17">
        <f>IF(ISNA(VLOOKUP(A70,'Données projet'!$A$87:$I$107,6,0)),0%,VLOOKUP(A70,'Données projet'!$A$87:$I$107,6,0)*VLOOKUP('Données projet'!$B$11,Paramètres!$A$1:$I$88,7,0))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projet'!$B$11,Paramètres!$A$1:$I$88,3,0)*0.475*44/12</f>
        <v>12.915898699479907</v>
      </c>
      <c r="BQ70" s="23">
        <f>EXP(-LN(2)/25)*BQ69+(1-EXP(-LN(2)/25))/(LN(2)/25)*Calculateur!BL70*Calculateur!BN70*VLOOKUP('Données projet'!$B$11,Paramètres!$A$1:$I$88,3,0)*0.475*44/12</f>
        <v>0</v>
      </c>
      <c r="BR70" s="23">
        <f>EXP(-LN(2)/2)*BR69+(1-EXP(-LN(2)/2))/(LN(2)/2)*BL70*BO70*VLOOKUP('Données projet'!$B$11,Paramètres!$A$1:$I$88,3,0)*0.475*44/12</f>
        <v>0</v>
      </c>
      <c r="BS70" s="24">
        <f t="shared" si="63"/>
        <v>12.915898699479907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6.8</v>
      </c>
      <c r="BY70" s="13">
        <f>IF('Données projet'!$A$114&gt;35,BY69+BX70-CG69,IF(A70&lt;'Données projet'!$A$114,$BV$205^A70,IF(A70='Données projet'!$A$114,'Données projet'!$B$114,BY69+BX70-CG69)))</f>
        <v>221.59999999999994</v>
      </c>
      <c r="BZ70" s="14">
        <f>BY70*VLOOKUP('Données projet'!$B$12,Paramètres!$A$1:$I$88,3,0)*VLOOKUP('Données projet'!$B$12,Paramètres!$A$1:$I$88,5,0)</f>
        <v>224.70239999999995</v>
      </c>
      <c r="CA70" s="14">
        <f t="shared" si="93"/>
        <v>55.135667706678262</v>
      </c>
      <c r="CB70" s="22">
        <f t="shared" si="64"/>
        <v>487.38463458913128</v>
      </c>
      <c r="CC70" s="62">
        <f t="shared" si="65"/>
        <v>752.33870189734819</v>
      </c>
      <c r="CD70" s="62">
        <f ca="1">AVERAGE(OFFSET($CC$3,0,0,'Données projet'!$E$12+1,1))-AVERAGE(OFFSET($H$3,0,0,'Données projet'!$E$12+1,1))</f>
        <v>398.14524781940196</v>
      </c>
      <c r="CE70" s="62">
        <f t="shared" si="94"/>
        <v>273.35778700650792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projet'!$B$12,Paramètres!$A$1:$I$88,3,0)*0.475*44/12</f>
        <v>14.474714059761965</v>
      </c>
      <c r="CL70" s="23">
        <f>EXP(-LN(2)/25)*CL69+(1-EXP(-LN(2)/25))/(LN(2)/25)*Calculateur!CG70*Calculateur!CI70*VLOOKUP('Données projet'!$B$12,Paramètres!$A$1:$I$88,3,0)*0.475*44/12</f>
        <v>0</v>
      </c>
      <c r="CM70" s="23">
        <f>EXP(-LN(2)/2)*CM69+(1-EXP(-LN(2)/2))/(LN(2)/2)*CG70*CJ70*VLOOKUP('Données projet'!$B$12,Paramètres!$A$1:$I$88,3,0)*0.475*44/12</f>
        <v>0</v>
      </c>
      <c r="CN70" s="24">
        <f t="shared" si="66"/>
        <v>14.474714059761965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8.6</v>
      </c>
      <c r="CT70" s="13">
        <f>IF('Données projet'!$A$140&gt;35,CT69+CS70-DB69,IF(A70&lt;'Données projet'!$A$140,$CQ$205^A70,IF(A70='Données projet'!$A$140,'Données projet'!$B$140,CT69+CS70-DB69)))</f>
        <v>290.19999999999993</v>
      </c>
      <c r="CU70" s="18">
        <f>CT70*VLOOKUP('Données projet'!$B$13,Paramètres!$A$1:$I$88,3,0)*VLOOKUP('Données projet'!$B$13,Paramètres!$A$1:$I$88,5,0)</f>
        <v>276.15431999999993</v>
      </c>
      <c r="CV70" s="14">
        <f t="shared" si="95"/>
        <v>66.153653166605238</v>
      </c>
      <c r="CW70" s="22">
        <f t="shared" si="67"/>
        <v>596.18638659850399</v>
      </c>
      <c r="CX70" s="62">
        <f t="shared" si="68"/>
        <v>861.14045390672095</v>
      </c>
      <c r="CY70" s="62">
        <f ca="1">AVERAGE(OFFSET($CX$3,0,0,'Données projet'!$E$13+1,1))-AVERAGE(OFFSET($H$3,0,0,'Données projet'!$E$13+1,1))</f>
        <v>470.0521927195926</v>
      </c>
      <c r="CZ70" s="62">
        <f t="shared" si="96"/>
        <v>299.27200854723435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projet'!$B$13,Paramètres!$A$1:$I$88,3,0)*0.475*44/12</f>
        <v>13.583962425315073</v>
      </c>
      <c r="DG70" s="23">
        <f>EXP(-LN(2)/25)*DG69+(1-EXP(-LN(2)/25))/(LN(2)/25)*Calculateur!DB70*Calculateur!DD70*VLOOKUP('Données projet'!$B$13,Paramètres!$A$1:$I$88,3,0)*0.475*44/12</f>
        <v>0</v>
      </c>
      <c r="DH70" s="23">
        <f>EXP(-LN(2)/2)*DH69+(1-EXP(-LN(2)/2))/(LN(2)/2)*DB70*DE70*VLOOKUP('Données projet'!$B$13,Paramètres!$A$1:$I$88,3,0)*0.475*44/12</f>
        <v>0</v>
      </c>
      <c r="DI70" s="24">
        <f t="shared" si="69"/>
        <v>13.583962425315073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5</v>
      </c>
      <c r="DO70" s="13">
        <f>IF('Données projet'!$A$166&gt;35,DO69+DN70-DW69,IF(A70&lt;'Données projet'!$A$166,$DL$205^A70,IF(A70='Données projet'!$A$166,'Données projet'!$B$166,DO69+DN70-DW69)))</f>
        <v>157</v>
      </c>
      <c r="DP70" s="18">
        <f>DO70*VLOOKUP('Données projet'!$B$14,Paramètres!$A$1:$I$88,3,0)*VLOOKUP('Données projet'!$B$14,Paramètres!$A$1:$I$88,5,0)</f>
        <v>151.85040000000001</v>
      </c>
      <c r="DQ70" s="14">
        <f t="shared" si="97"/>
        <v>38.998795130362446</v>
      </c>
      <c r="DR70" s="22">
        <f t="shared" si="70"/>
        <v>332.39568151871464</v>
      </c>
      <c r="DS70" s="62">
        <f t="shared" si="71"/>
        <v>597.34974882693155</v>
      </c>
      <c r="DT70" s="62">
        <f ca="1">AVERAGE(OFFSET($DS$3,0,0,'Données projet'!$E$14+1,1))-AVERAGE(OFFSET($H$3,0,0,'Données projet'!$E$14+1,1))</f>
        <v>290.89727102147953</v>
      </c>
      <c r="DU70" s="62">
        <f t="shared" si="98"/>
        <v>173.19148969173838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projet'!$B$14,Paramètres!$A$1:$I$88,3,0)*0.475*44/12</f>
        <v>9.2044335559511996</v>
      </c>
      <c r="EB70" s="23">
        <f>EXP(-LN(2)/25)*EB69+(1-EXP(-LN(2)/25))/(LN(2)/25)*Calculateur!DW70*Calculateur!DY70*VLOOKUP('Données projet'!$B$14,Paramètres!$A$1:$I$88,3,0)*0.475*44/12</f>
        <v>0</v>
      </c>
      <c r="EC70" s="23">
        <f>EXP(-LN(2)/2)*EC69+(1-EXP(-LN(2)/2))/(LN(2)/2)*DW70*DZ70*VLOOKUP('Données projet'!$B$14,Paramètres!$A$1:$I$88,3,0)*0.475*44/12</f>
        <v>0</v>
      </c>
      <c r="ED70" s="24">
        <f t="shared" si="72"/>
        <v>9.2044335559511996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projet'!$B$15,Paramètres!$A$1:$I$88,3,0)*VLOOKUP('Données projet'!$B$15,Paramètres!$A$1:$I$88,5,0)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projet'!$B$15,Paramètres!$A$1:$I$88,3,0)*0.475*44/12</f>
        <v>#N/A</v>
      </c>
      <c r="EW70" s="23" t="e">
        <f>EXP(-LN(2)/25)*EW69+(1-EXP(-LN(2)/25))/(LN(2)/25)*Calculateur!ER70*Calculateur!ET70*VLOOKUP('Données projet'!$B$15,Paramètres!$A$1:$I$88,3,0)*0.475*44/12</f>
        <v>#N/A</v>
      </c>
      <c r="EX70" s="23" t="e">
        <f>EXP(-LN(2)/2)*EX69+(1-EXP(-LN(2)/2))/(LN(2)/2)*ER70*EU70*VLOOKUP('Données projet'!$B$15,Paramètres!$A$1:$I$88,3,0)*0.475*44/12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projet'!$B$16,Paramètres!$A$1:$I$88,3,0)*VLOOKUP('Données projet'!$B$16,Paramètres!$A$1:$I$88,5,0)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projet'!$B$16,Paramètres!$A$1:$I$88,3,0)*0.475*44/12</f>
        <v>#N/A</v>
      </c>
      <c r="FR70" s="23" t="e">
        <f>EXP(-LN(2)/25)*FR69+(1-EXP(-LN(2)/25))/(LN(2)/25)*Calculateur!FM70*Calculateur!FO70*VLOOKUP('Données projet'!$B$16,Paramètres!$A$1:$I$88,3,0)*0.475*44/12</f>
        <v>#N/A</v>
      </c>
      <c r="FS70" s="23" t="e">
        <f>EXP(-LN(2)/2)*FS69+(1-EXP(-LN(2)/2))/(LN(2)/2)*FM70*FP70*VLOOKUP('Données projet'!$B$16,Paramètres!$A$1:$I$88,3,0)*0.475*44/12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projet'!$B$17,Paramètres!$A$1:$I$88,3,0)*VLOOKUP('Données projet'!$B$17,Paramètres!$A$1:$I$88,5,0)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projet'!$B$17,Paramètres!$A$1:$I$88,3,0)*0.475*44/12</f>
        <v>#N/A</v>
      </c>
      <c r="GM70" s="23" t="e">
        <f>EXP(-LN(2)/25)*GM69+(1-EXP(-LN(2)/25))/(LN(2)/25)*Calculateur!GH70*Calculateur!GJ70*VLOOKUP('Données projet'!$B$17,Paramètres!$A$1:$I$88,3,0)*0.475*44/12</f>
        <v>#N/A</v>
      </c>
      <c r="GN70" s="23" t="e">
        <f>EXP(-LN(2)/2)*GN69+(1-EXP(-LN(2)/2))/(LN(2)/2)*GH70*GK70*VLOOKUP('Données projet'!$B$17,Paramètres!$A$1:$I$88,3,0)*0.475*44/12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projet'!$B$18,Paramètres!$A$1:$I$88,3,0)*VLOOKUP('Données projet'!$B$18,Paramètres!$A$1:$I$88,5,0)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projet'!$B$18,Paramètres!$A$1:$I$88,3,0)*0.475*44/12</f>
        <v>#N/A</v>
      </c>
      <c r="HH70" s="23" t="e">
        <f>EXP(-LN(2)/25)*HH69+(1-EXP(-LN(2)/25))/(LN(2)/25)*Calculateur!HC70*Calculateur!HE70*VLOOKUP('Données projet'!$B$18,Paramètres!$A$1:$I$88,3,0)*0.475*44/12</f>
        <v>#N/A</v>
      </c>
      <c r="HI70" s="23" t="e">
        <f>EXP(-LN(2)/2)*HI69+(1-EXP(-LN(2)/2))/(LN(2)/2)*HC70*HF70*VLOOKUP('Données projet'!$B$18,Paramètres!$A$1:$I$88,3,0)*0.475*44/12</f>
        <v>#N/A</v>
      </c>
      <c r="HJ70" s="24" t="e">
        <f t="shared" si="84"/>
        <v>#N/A</v>
      </c>
    </row>
    <row r="71" spans="1:218" s="5" customFormat="1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projet'!$B$9,Paramètres!$A$1:$I$88,3,0)*VLOOKUP('Données projet'!$B$9,Paramètres!$A$1:$I$88,5,0)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265.44638412721991</v>
      </c>
      <c r="S71" s="62">
        <f ca="1">AVERAGE(OFFSET($R$3,0,0,'Données projet'!$E$9+1,1))-AVERAGE(OFFSET($H$3,0,0,'Données projet'!$E$9+1,1))</f>
        <v>301.2688576786212</v>
      </c>
      <c r="T71" s="62">
        <f t="shared" si="88"/>
        <v>417.62172165132927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105.5830636191838</v>
      </c>
      <c r="AA71" s="23">
        <f>EXP(-LN(2)/25)*AA70+(1-EXP(-LN(2)/25))/(LN(2)/25)*Calculateur!V71*Calculateur!X71*VLOOKUP('Données projet'!$B$9,Paramètres!$A$1:$I$88,3,0)*0.475*44/12</f>
        <v>30.20256595299956</v>
      </c>
      <c r="AB71" s="23">
        <f>EXP(-LN(2)/2)*AB70+(1-EXP(-LN(2)/2))/(LN(2)/2)*V71*Y71*VLOOKUP('Données projet'!$B$9,Paramètres!$A$1:$I$88,3,0)*0.475*44/12</f>
        <v>5.7524995871391441E-2</v>
      </c>
      <c r="AC71" s="24">
        <f t="shared" si="57"/>
        <v>135.84315456805476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projet'!$B$10,Paramètres!$A$1:$I$88,3,0)*VLOOKUP('Données projet'!$B$10,Paramètres!$A$1:$I$88,5,0)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170.08673939431091</v>
      </c>
      <c r="AO71" s="62">
        <f t="shared" si="90"/>
        <v>252.97355497077106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projet'!$B$10,Paramètres!$A$1:$I$88,3,0)*0.475*44/12</f>
        <v>44.083830694855557</v>
      </c>
      <c r="AV71" s="23">
        <f>EXP(-LN(2)/25)*AV70+(1-EXP(-LN(2)/25))/(LN(2)/25)*Calculateur!AQ71*Calculateur!AS71*VLOOKUP('Données projet'!$B$10,Paramètres!$A$1:$I$88,3,0)*0.475*44/12</f>
        <v>30.611914047670592</v>
      </c>
      <c r="AW71" s="23">
        <f>EXP(-LN(2)/2)*AW70+(1-EXP(-LN(2)/2))/(LN(2)/2)*AQ71*AT71*VLOOKUP('Données projet'!$B$10,Paramètres!$A$1:$I$88,3,0)*0.475*44/12</f>
        <v>7.3684894995514755E-2</v>
      </c>
      <c r="AX71" s="23">
        <f t="shared" si="60"/>
        <v>74.769429637521654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6.8</v>
      </c>
      <c r="BD71" s="13">
        <f>IF('Données projet'!$A$88&gt;35,BD70+BC71-BL70,IF(A71&lt;'Données projet'!$A$88,$BA$205^A71,IF(A71='Données projet'!$A$88,'Données projet'!$B$88,BD70+BC71-BL70)))</f>
        <v>228.39999999999995</v>
      </c>
      <c r="BE71" s="14">
        <f>BD71*VLOOKUP('Données projet'!$B$11,Paramètres!$A$1:$I$88,3,0)*VLOOKUP('Données projet'!$B$11,Paramètres!$A$1:$I$88,5,0)</f>
        <v>206.65631999999994</v>
      </c>
      <c r="BF71" s="14">
        <f t="shared" si="91"/>
        <v>51.20422634371338</v>
      </c>
      <c r="BG71" s="22">
        <f t="shared" si="61"/>
        <v>449.10711821530072</v>
      </c>
      <c r="BH71" s="62">
        <f t="shared" si="62"/>
        <v>714.55350234251955</v>
      </c>
      <c r="BI71" s="62">
        <f ca="1">AVERAGE(OFFSET($BH$3,0,0,'Données projet'!$E$11+1,1))-AVERAGE(OFFSET($H$3,0,0,'Données projet'!$E$11+1,1))</f>
        <v>362.63718589694594</v>
      </c>
      <c r="BJ71" s="62">
        <f t="shared" si="92"/>
        <v>250.47702091764884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projet'!$B$11,Paramètres!$A$1:$I$88,3,0)*0.475*44/12</f>
        <v>12.662625803903433</v>
      </c>
      <c r="BQ71" s="23">
        <f>EXP(-LN(2)/25)*BQ70+(1-EXP(-LN(2)/25))/(LN(2)/25)*Calculateur!BL71*Calculateur!BN71*VLOOKUP('Données projet'!$B$11,Paramètres!$A$1:$I$88,3,0)*0.475*44/12</f>
        <v>0</v>
      </c>
      <c r="BR71" s="23">
        <f>EXP(-LN(2)/2)*BR70+(1-EXP(-LN(2)/2))/(LN(2)/2)*BL71*BO71*VLOOKUP('Données projet'!$B$11,Paramètres!$A$1:$I$88,3,0)*0.475*44/12</f>
        <v>0</v>
      </c>
      <c r="BS71" s="24">
        <f t="shared" si="63"/>
        <v>12.662625803903433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6.8</v>
      </c>
      <c r="BY71" s="13">
        <f>IF('Données projet'!$A$114&gt;35,BY70+BX71-CG70,IF(A71&lt;'Données projet'!$A$114,$BV$205^A71,IF(A71='Données projet'!$A$114,'Données projet'!$B$114,BY70+BX71-CG70)))</f>
        <v>228.39999999999995</v>
      </c>
      <c r="BZ71" s="14">
        <f>BY71*VLOOKUP('Données projet'!$B$12,Paramètres!$A$1:$I$88,3,0)*VLOOKUP('Données projet'!$B$12,Paramètres!$A$1:$I$88,5,0)</f>
        <v>231.59759999999997</v>
      </c>
      <c r="CA71" s="14">
        <f t="shared" si="93"/>
        <v>56.627980714948151</v>
      </c>
      <c r="CB71" s="22">
        <f t="shared" si="64"/>
        <v>501.99288641186791</v>
      </c>
      <c r="CC71" s="62">
        <f t="shared" si="65"/>
        <v>767.43927053908669</v>
      </c>
      <c r="CD71" s="62">
        <f ca="1">AVERAGE(OFFSET($CC$3,0,0,'Données projet'!$E$12+1,1))-AVERAGE(OFFSET($H$3,0,0,'Données projet'!$E$12+1,1))</f>
        <v>398.14524781940196</v>
      </c>
      <c r="CE71" s="62">
        <f t="shared" si="94"/>
        <v>273.35778700650792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projet'!$B$12,Paramètres!$A$1:$I$88,3,0)*0.475*44/12</f>
        <v>14.190873745753848</v>
      </c>
      <c r="CL71" s="23">
        <f>EXP(-LN(2)/25)*CL70+(1-EXP(-LN(2)/25))/(LN(2)/25)*Calculateur!CG71*Calculateur!CI71*VLOOKUP('Données projet'!$B$12,Paramètres!$A$1:$I$88,3,0)*0.475*44/12</f>
        <v>0</v>
      </c>
      <c r="CM71" s="23">
        <f>EXP(-LN(2)/2)*CM70+(1-EXP(-LN(2)/2))/(LN(2)/2)*CG71*CJ71*VLOOKUP('Données projet'!$B$12,Paramètres!$A$1:$I$88,3,0)*0.475*44/12</f>
        <v>0</v>
      </c>
      <c r="CN71" s="24">
        <f t="shared" si="66"/>
        <v>14.190873745753848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8.6</v>
      </c>
      <c r="CT71" s="13">
        <f>IF('Données projet'!$A$140&gt;35,CT70+CS71-DB70,IF(A71&lt;'Données projet'!$A$140,$CQ$205^A71,IF(A71='Données projet'!$A$140,'Données projet'!$B$140,CT70+CS71-DB70)))</f>
        <v>298.79999999999995</v>
      </c>
      <c r="CU71" s="18">
        <f>CT71*VLOOKUP('Données projet'!$B$13,Paramètres!$A$1:$I$88,3,0)*VLOOKUP('Données projet'!$B$13,Paramètres!$A$1:$I$88,5,0)</f>
        <v>284.33807999999999</v>
      </c>
      <c r="CV71" s="14">
        <f t="shared" si="95"/>
        <v>67.882947973242224</v>
      </c>
      <c r="CW71" s="22">
        <f t="shared" si="67"/>
        <v>613.45162372006337</v>
      </c>
      <c r="CX71" s="62">
        <f t="shared" si="68"/>
        <v>878.8980078472822</v>
      </c>
      <c r="CY71" s="62">
        <f ca="1">AVERAGE(OFFSET($CX$3,0,0,'Données projet'!$E$13+1,1))-AVERAGE(OFFSET($H$3,0,0,'Données projet'!$E$13+1,1))</f>
        <v>470.0521927195926</v>
      </c>
      <c r="CZ71" s="62">
        <f t="shared" si="96"/>
        <v>299.27200854723435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projet'!$B$13,Paramètres!$A$1:$I$88,3,0)*0.475*44/12</f>
        <v>13.31758920755361</v>
      </c>
      <c r="DG71" s="23">
        <f>EXP(-LN(2)/25)*DG70+(1-EXP(-LN(2)/25))/(LN(2)/25)*Calculateur!DB71*Calculateur!DD71*VLOOKUP('Données projet'!$B$13,Paramètres!$A$1:$I$88,3,0)*0.475*44/12</f>
        <v>0</v>
      </c>
      <c r="DH71" s="23">
        <f>EXP(-LN(2)/2)*DH70+(1-EXP(-LN(2)/2))/(LN(2)/2)*DB71*DE71*VLOOKUP('Données projet'!$B$13,Paramètres!$A$1:$I$88,3,0)*0.475*44/12</f>
        <v>0</v>
      </c>
      <c r="DI71" s="24">
        <f t="shared" si="69"/>
        <v>13.31758920755361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5</v>
      </c>
      <c r="DO71" s="13">
        <f>IF('Données projet'!$A$166&gt;35,DO70+DN71-DW70,IF(A71&lt;'Données projet'!$A$166,$DL$205^A71,IF(A71='Données projet'!$A$166,'Données projet'!$B$166,DO70+DN71-DW70)))</f>
        <v>162</v>
      </c>
      <c r="DP71" s="18">
        <f>DO71*VLOOKUP('Données projet'!$B$14,Paramètres!$A$1:$I$88,3,0)*VLOOKUP('Données projet'!$B$14,Paramètres!$A$1:$I$88,5,0)</f>
        <v>156.68639999999999</v>
      </c>
      <c r="DQ71" s="14">
        <f t="shared" si="97"/>
        <v>40.094215809840712</v>
      </c>
      <c r="DR71" s="22">
        <f t="shared" si="70"/>
        <v>342.7262392021392</v>
      </c>
      <c r="DS71" s="62">
        <f t="shared" si="71"/>
        <v>608.17262332935798</v>
      </c>
      <c r="DT71" s="62">
        <f ca="1">AVERAGE(OFFSET($DS$3,0,0,'Données projet'!$E$14+1,1))-AVERAGE(OFFSET($H$3,0,0,'Données projet'!$E$14+1,1))</f>
        <v>290.89727102147953</v>
      </c>
      <c r="DU71" s="62">
        <f t="shared" si="98"/>
        <v>173.19148969173838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projet'!$B$14,Paramètres!$A$1:$I$88,3,0)*0.475*44/12</f>
        <v>9.0239402280691152</v>
      </c>
      <c r="EB71" s="23">
        <f>EXP(-LN(2)/25)*EB70+(1-EXP(-LN(2)/25))/(LN(2)/25)*Calculateur!DW71*Calculateur!DY71*VLOOKUP('Données projet'!$B$14,Paramètres!$A$1:$I$88,3,0)*0.475*44/12</f>
        <v>0</v>
      </c>
      <c r="EC71" s="23">
        <f>EXP(-LN(2)/2)*EC70+(1-EXP(-LN(2)/2))/(LN(2)/2)*DW71*DZ71*VLOOKUP('Données projet'!$B$14,Paramètres!$A$1:$I$88,3,0)*0.475*44/12</f>
        <v>0</v>
      </c>
      <c r="ED71" s="24">
        <f t="shared" si="72"/>
        <v>9.0239402280691152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projet'!$B$15,Paramètres!$A$1:$I$88,3,0)*VLOOKUP('Données projet'!$B$15,Paramètres!$A$1:$I$88,5,0)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projet'!$B$15,Paramètres!$A$1:$I$88,3,0)*0.475*44/12</f>
        <v>#N/A</v>
      </c>
      <c r="EW71" s="23" t="e">
        <f>EXP(-LN(2)/25)*EW70+(1-EXP(-LN(2)/25))/(LN(2)/25)*Calculateur!ER71*Calculateur!ET71*VLOOKUP('Données projet'!$B$15,Paramètres!$A$1:$I$88,3,0)*0.475*44/12</f>
        <v>#N/A</v>
      </c>
      <c r="EX71" s="23" t="e">
        <f>EXP(-LN(2)/2)*EX70+(1-EXP(-LN(2)/2))/(LN(2)/2)*ER71*EU71*VLOOKUP('Données projet'!$B$15,Paramètres!$A$1:$I$88,3,0)*0.475*44/12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projet'!$B$16,Paramètres!$A$1:$I$88,3,0)*VLOOKUP('Données projet'!$B$16,Paramètres!$A$1:$I$88,5,0)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projet'!$B$16,Paramètres!$A$1:$I$88,3,0)*0.475*44/12</f>
        <v>#N/A</v>
      </c>
      <c r="FR71" s="23" t="e">
        <f>EXP(-LN(2)/25)*FR70+(1-EXP(-LN(2)/25))/(LN(2)/25)*Calculateur!FM71*Calculateur!FO71*VLOOKUP('Données projet'!$B$16,Paramètres!$A$1:$I$88,3,0)*0.475*44/12</f>
        <v>#N/A</v>
      </c>
      <c r="FS71" s="23" t="e">
        <f>EXP(-LN(2)/2)*FS70+(1-EXP(-LN(2)/2))/(LN(2)/2)*FM71*FP71*VLOOKUP('Données projet'!$B$16,Paramètres!$A$1:$I$88,3,0)*0.475*44/12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projet'!$B$17,Paramètres!$A$1:$I$88,3,0)*VLOOKUP('Données projet'!$B$17,Paramètres!$A$1:$I$88,5,0)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projet'!$B$17,Paramètres!$A$1:$I$88,3,0)*0.475*44/12</f>
        <v>#N/A</v>
      </c>
      <c r="GM71" s="23" t="e">
        <f>EXP(-LN(2)/25)*GM70+(1-EXP(-LN(2)/25))/(LN(2)/25)*Calculateur!GH71*Calculateur!GJ71*VLOOKUP('Données projet'!$B$17,Paramètres!$A$1:$I$88,3,0)*0.475*44/12</f>
        <v>#N/A</v>
      </c>
      <c r="GN71" s="23" t="e">
        <f>EXP(-LN(2)/2)*GN70+(1-EXP(-LN(2)/2))/(LN(2)/2)*GH71*GK71*VLOOKUP('Données projet'!$B$17,Paramètres!$A$1:$I$88,3,0)*0.475*44/12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projet'!$B$18,Paramètres!$A$1:$I$88,3,0)*VLOOKUP('Données projet'!$B$18,Paramètres!$A$1:$I$88,5,0)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projet'!$B$18,Paramètres!$A$1:$I$88,3,0)*0.475*44/12</f>
        <v>#N/A</v>
      </c>
      <c r="HH71" s="23" t="e">
        <f>EXP(-LN(2)/25)*HH70+(1-EXP(-LN(2)/25))/(LN(2)/25)*Calculateur!HC71*Calculateur!HE71*VLOOKUP('Données projet'!$B$18,Paramètres!$A$1:$I$88,3,0)*0.475*44/12</f>
        <v>#N/A</v>
      </c>
      <c r="HI71" s="23" t="e">
        <f>EXP(-LN(2)/2)*HI70+(1-EXP(-LN(2)/2))/(LN(2)/2)*HC71*HF71*VLOOKUP('Données projet'!$B$18,Paramètres!$A$1:$I$88,3,0)*0.475*44/12</f>
        <v>#N/A</v>
      </c>
      <c r="HJ71" s="24" t="e">
        <f t="shared" si="84"/>
        <v>#N/A</v>
      </c>
    </row>
    <row r="72" spans="1:218" s="5" customFormat="1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projet'!$B$9,Paramètres!$A$1:$I$88,3,0)*VLOOKUP('Données projet'!$B$9,Paramètres!$A$1:$I$88,5,0)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265.93016035006764</v>
      </c>
      <c r="S72" s="62">
        <f ca="1">AVERAGE(OFFSET($R$3,0,0,'Données projet'!$E$9+1,1))-AVERAGE(OFFSET($H$3,0,0,'Données projet'!$E$9+1,1))</f>
        <v>301.2688576786212</v>
      </c>
      <c r="T72" s="62">
        <f t="shared" si="88"/>
        <v>417.62172165132927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103.51264414092151</v>
      </c>
      <c r="AA72" s="23">
        <f>EXP(-LN(2)/25)*AA71+(1-EXP(-LN(2)/25))/(LN(2)/25)*Calculateur!V72*Calculateur!X72*VLOOKUP('Données projet'!$B$9,Paramètres!$A$1:$I$88,3,0)*0.475*44/12</f>
        <v>29.376675198730872</v>
      </c>
      <c r="AB72" s="23">
        <f>EXP(-LN(2)/2)*AB71+(1-EXP(-LN(2)/2))/(LN(2)/2)*V72*Y72*VLOOKUP('Données projet'!$B$9,Paramètres!$A$1:$I$88,3,0)*0.475*44/12</f>
        <v>4.0676314668389037E-2</v>
      </c>
      <c r="AC72" s="24">
        <f t="shared" si="57"/>
        <v>132.92999565432078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projet'!$B$10,Paramètres!$A$1:$I$88,3,0)*VLOOKUP('Données projet'!$B$10,Paramètres!$A$1:$I$88,5,0)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170.08673939431091</v>
      </c>
      <c r="AO72" s="62">
        <f t="shared" si="90"/>
        <v>252.97355497077106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projet'!$B$10,Paramètres!$A$1:$I$88,7,0))</f>
        <v>0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projet'!$B$10,Paramètres!$A$1:$I$88,3,0)*0.475*44/12</f>
        <v>43.219373663411147</v>
      </c>
      <c r="AV72" s="23">
        <f>EXP(-LN(2)/25)*AV71+(1-EXP(-LN(2)/25))/(LN(2)/25)*Calculateur!AQ72*Calculateur!AS72*VLOOKUP('Données projet'!$B$10,Paramètres!$A$1:$I$88,3,0)*0.475*44/12</f>
        <v>29.774829648226444</v>
      </c>
      <c r="AW72" s="23">
        <f>EXP(-LN(2)/2)*AW71+(1-EXP(-LN(2)/2))/(LN(2)/2)*AQ72*AT72*VLOOKUP('Données projet'!$B$10,Paramètres!$A$1:$I$88,3,0)*0.475*44/12</f>
        <v>5.2103088922347184E-2</v>
      </c>
      <c r="AX72" s="23">
        <f t="shared" si="60"/>
        <v>73.046306400559942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6.8</v>
      </c>
      <c r="BD72" s="13">
        <f>IF('Données projet'!$A$88&gt;35,BD71+BC72-BL71,IF(A72&lt;'Données projet'!$A$88,$BA$205^A72,IF(A72='Données projet'!$A$88,'Données projet'!$B$88,BD71+BC72-BL71)))</f>
        <v>235.19999999999996</v>
      </c>
      <c r="BE72" s="14">
        <f>BD72*VLOOKUP('Données projet'!$B$11,Paramètres!$A$1:$I$88,3,0)*VLOOKUP('Données projet'!$B$11,Paramètres!$A$1:$I$88,5,0)</f>
        <v>212.80895999999996</v>
      </c>
      <c r="BF72" s="14">
        <f t="shared" si="91"/>
        <v>52.548938637485847</v>
      </c>
      <c r="BG72" s="22">
        <f t="shared" si="61"/>
        <v>462.16500679362099</v>
      </c>
      <c r="BH72" s="62">
        <f t="shared" si="62"/>
        <v>728.0951671436876</v>
      </c>
      <c r="BI72" s="62">
        <f ca="1">AVERAGE(OFFSET($BH$3,0,0,'Données projet'!$E$11+1,1))-AVERAGE(OFFSET($H$3,0,0,'Données projet'!$E$11+1,1))</f>
        <v>362.63718589694594</v>
      </c>
      <c r="BJ72" s="62">
        <f t="shared" si="92"/>
        <v>250.47702091764884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projet'!$B$11,Paramètres!$A$1:$I$88,7,0))</f>
        <v>0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projet'!$B$11,Paramètres!$A$1:$I$88,3,0)*0.475*44/12</f>
        <v>12.414319435328</v>
      </c>
      <c r="BQ72" s="23">
        <f>EXP(-LN(2)/25)*BQ71+(1-EXP(-LN(2)/25))/(LN(2)/25)*Calculateur!BL72*Calculateur!BN72*VLOOKUP('Données projet'!$B$11,Paramètres!$A$1:$I$88,3,0)*0.475*44/12</f>
        <v>0</v>
      </c>
      <c r="BR72" s="23">
        <f>EXP(-LN(2)/2)*BR71+(1-EXP(-LN(2)/2))/(LN(2)/2)*BL72*BO72*VLOOKUP('Données projet'!$B$11,Paramètres!$A$1:$I$88,3,0)*0.475*44/12</f>
        <v>0</v>
      </c>
      <c r="BS72" s="24">
        <f t="shared" si="63"/>
        <v>12.414319435328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6.8</v>
      </c>
      <c r="BY72" s="13">
        <f>IF('Données projet'!$A$114&gt;35,BY71+BX72-CG71,IF(A72&lt;'Données projet'!$A$114,$BV$205^A72,IF(A72='Données projet'!$A$114,'Données projet'!$B$114,BY71+BX72-CG71)))</f>
        <v>235.19999999999996</v>
      </c>
      <c r="BZ72" s="14">
        <f>BY72*VLOOKUP('Données projet'!$B$12,Paramètres!$A$1:$I$88,3,0)*VLOOKUP('Données projet'!$B$12,Paramètres!$A$1:$I$88,5,0)</f>
        <v>238.49279999999996</v>
      </c>
      <c r="CA72" s="14">
        <f t="shared" si="93"/>
        <v>58.115130258576542</v>
      </c>
      <c r="CB72" s="22">
        <f t="shared" si="64"/>
        <v>516.59214520035414</v>
      </c>
      <c r="CC72" s="62">
        <f t="shared" si="65"/>
        <v>782.5223055504207</v>
      </c>
      <c r="CD72" s="62">
        <f ca="1">AVERAGE(OFFSET($CC$3,0,0,'Données projet'!$E$12+1,1))-AVERAGE(OFFSET($H$3,0,0,'Données projet'!$E$12+1,1))</f>
        <v>398.14524781940196</v>
      </c>
      <c r="CE72" s="62">
        <f t="shared" si="94"/>
        <v>273.35778700650792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projet'!$B$12,Paramètres!$A$1:$I$88,3,0)*0.475*44/12</f>
        <v>13.912599367177933</v>
      </c>
      <c r="CL72" s="23">
        <f>EXP(-LN(2)/25)*CL71+(1-EXP(-LN(2)/25))/(LN(2)/25)*Calculateur!CG72*Calculateur!CI72*VLOOKUP('Données projet'!$B$12,Paramètres!$A$1:$I$88,3,0)*0.475*44/12</f>
        <v>0</v>
      </c>
      <c r="CM72" s="23">
        <f>EXP(-LN(2)/2)*CM71+(1-EXP(-LN(2)/2))/(LN(2)/2)*CG72*CJ72*VLOOKUP('Données projet'!$B$12,Paramètres!$A$1:$I$88,3,0)*0.475*44/12</f>
        <v>0</v>
      </c>
      <c r="CN72" s="24">
        <f t="shared" si="66"/>
        <v>13.912599367177933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8.6</v>
      </c>
      <c r="CT72" s="13">
        <f>IF('Données projet'!$A$140&gt;35,CT71+CS72-DB71,IF(A72&lt;'Données projet'!$A$140,$CQ$205^A72,IF(A72='Données projet'!$A$140,'Données projet'!$B$140,CT71+CS72-DB71)))</f>
        <v>307.39999999999998</v>
      </c>
      <c r="CU72" s="18">
        <f>CT72*VLOOKUP('Données projet'!$B$13,Paramètres!$A$1:$I$88,3,0)*VLOOKUP('Données projet'!$B$13,Paramètres!$A$1:$I$88,5,0)</f>
        <v>292.52184</v>
      </c>
      <c r="CV72" s="14">
        <f t="shared" si="95"/>
        <v>69.606458144975704</v>
      </c>
      <c r="CW72" s="22">
        <f t="shared" si="67"/>
        <v>630.70678593583273</v>
      </c>
      <c r="CX72" s="62">
        <f t="shared" si="68"/>
        <v>896.63694628589928</v>
      </c>
      <c r="CY72" s="62">
        <f ca="1">AVERAGE(OFFSET($CX$3,0,0,'Données projet'!$E$13+1,1))-AVERAGE(OFFSET($H$3,0,0,'Données projet'!$E$13+1,1))</f>
        <v>470.0521927195926</v>
      </c>
      <c r="CZ72" s="62">
        <f t="shared" si="96"/>
        <v>299.27200854723435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projet'!$B$13,Paramètres!$A$1:$I$88,3,0)*0.475*44/12</f>
        <v>13.056439406120827</v>
      </c>
      <c r="DG72" s="23">
        <f>EXP(-LN(2)/25)*DG71+(1-EXP(-LN(2)/25))/(LN(2)/25)*Calculateur!DB72*Calculateur!DD72*VLOOKUP('Données projet'!$B$13,Paramètres!$A$1:$I$88,3,0)*0.475*44/12</f>
        <v>0</v>
      </c>
      <c r="DH72" s="23">
        <f>EXP(-LN(2)/2)*DH71+(1-EXP(-LN(2)/2))/(LN(2)/2)*DB72*DE72*VLOOKUP('Données projet'!$B$13,Paramètres!$A$1:$I$88,3,0)*0.475*44/12</f>
        <v>0</v>
      </c>
      <c r="DI72" s="24">
        <f t="shared" si="69"/>
        <v>13.056439406120827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5</v>
      </c>
      <c r="DO72" s="13">
        <f>IF('Données projet'!$A$166&gt;35,DO71+DN72-DW71,IF(A72&lt;'Données projet'!$A$166,$DL$205^A72,IF(A72='Données projet'!$A$166,'Données projet'!$B$166,DO71+DN72-DW71)))</f>
        <v>167</v>
      </c>
      <c r="DP72" s="18">
        <f>DO72*VLOOKUP('Données projet'!$B$14,Paramètres!$A$1:$I$88,3,0)*VLOOKUP('Données projet'!$B$14,Paramètres!$A$1:$I$88,5,0)</f>
        <v>161.5224</v>
      </c>
      <c r="DQ72" s="14">
        <f t="shared" si="97"/>
        <v>41.185707490721896</v>
      </c>
      <c r="DR72" s="22">
        <f t="shared" si="70"/>
        <v>353.04995387967392</v>
      </c>
      <c r="DS72" s="62">
        <f t="shared" si="71"/>
        <v>618.98011422974048</v>
      </c>
      <c r="DT72" s="62">
        <f ca="1">AVERAGE(OFFSET($DS$3,0,0,'Données projet'!$E$14+1,1))-AVERAGE(OFFSET($H$3,0,0,'Données projet'!$E$14+1,1))</f>
        <v>290.89727102147953</v>
      </c>
      <c r="DU72" s="62">
        <f t="shared" si="98"/>
        <v>173.19148969173838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projet'!$B$14,Paramètres!$A$1:$I$88,3,0)*0.475*44/12</f>
        <v>8.8469862642567385</v>
      </c>
      <c r="EB72" s="23">
        <f>EXP(-LN(2)/25)*EB71+(1-EXP(-LN(2)/25))/(LN(2)/25)*Calculateur!DW72*Calculateur!DY72*VLOOKUP('Données projet'!$B$14,Paramètres!$A$1:$I$88,3,0)*0.475*44/12</f>
        <v>0</v>
      </c>
      <c r="EC72" s="23">
        <f>EXP(-LN(2)/2)*EC71+(1-EXP(-LN(2)/2))/(LN(2)/2)*DW72*DZ72*VLOOKUP('Données projet'!$B$14,Paramètres!$A$1:$I$88,3,0)*0.475*44/12</f>
        <v>0</v>
      </c>
      <c r="ED72" s="24">
        <f t="shared" si="72"/>
        <v>8.8469862642567385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projet'!$B$15,Paramètres!$A$1:$I$88,3,0)*VLOOKUP('Données projet'!$B$15,Paramètres!$A$1:$I$88,5,0)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projet'!$B$15,Paramètres!$A$1:$I$88,3,0)*0.475*44/12</f>
        <v>#N/A</v>
      </c>
      <c r="EW72" s="23" t="e">
        <f>EXP(-LN(2)/25)*EW71+(1-EXP(-LN(2)/25))/(LN(2)/25)*Calculateur!ER72*Calculateur!ET72*VLOOKUP('Données projet'!$B$15,Paramètres!$A$1:$I$88,3,0)*0.475*44/12</f>
        <v>#N/A</v>
      </c>
      <c r="EX72" s="23" t="e">
        <f>EXP(-LN(2)/2)*EX71+(1-EXP(-LN(2)/2))/(LN(2)/2)*ER72*EU72*VLOOKUP('Données projet'!$B$15,Paramètres!$A$1:$I$88,3,0)*0.475*44/12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projet'!$B$16,Paramètres!$A$1:$I$88,3,0)*VLOOKUP('Données projet'!$B$16,Paramètres!$A$1:$I$88,5,0)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projet'!$B$16,Paramètres!$A$1:$I$88,3,0)*0.475*44/12</f>
        <v>#N/A</v>
      </c>
      <c r="FR72" s="23" t="e">
        <f>EXP(-LN(2)/25)*FR71+(1-EXP(-LN(2)/25))/(LN(2)/25)*Calculateur!FM72*Calculateur!FO72*VLOOKUP('Données projet'!$B$16,Paramètres!$A$1:$I$88,3,0)*0.475*44/12</f>
        <v>#N/A</v>
      </c>
      <c r="FS72" s="23" t="e">
        <f>EXP(-LN(2)/2)*FS71+(1-EXP(-LN(2)/2))/(LN(2)/2)*FM72*FP72*VLOOKUP('Données projet'!$B$16,Paramètres!$A$1:$I$88,3,0)*0.475*44/12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projet'!$B$17,Paramètres!$A$1:$I$88,3,0)*VLOOKUP('Données projet'!$B$17,Paramètres!$A$1:$I$88,5,0)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projet'!$B$17,Paramètres!$A$1:$I$88,3,0)*0.475*44/12</f>
        <v>#N/A</v>
      </c>
      <c r="GM72" s="23" t="e">
        <f>EXP(-LN(2)/25)*GM71+(1-EXP(-LN(2)/25))/(LN(2)/25)*Calculateur!GH72*Calculateur!GJ72*VLOOKUP('Données projet'!$B$17,Paramètres!$A$1:$I$88,3,0)*0.475*44/12</f>
        <v>#N/A</v>
      </c>
      <c r="GN72" s="23" t="e">
        <f>EXP(-LN(2)/2)*GN71+(1-EXP(-LN(2)/2))/(LN(2)/2)*GH72*GK72*VLOOKUP('Données projet'!$B$17,Paramètres!$A$1:$I$88,3,0)*0.475*44/12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projet'!$B$18,Paramètres!$A$1:$I$88,3,0)*VLOOKUP('Données projet'!$B$18,Paramètres!$A$1:$I$88,5,0)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projet'!$B$18,Paramètres!$A$1:$I$88,3,0)*0.475*44/12</f>
        <v>#N/A</v>
      </c>
      <c r="HH72" s="23" t="e">
        <f>EXP(-LN(2)/25)*HH71+(1-EXP(-LN(2)/25))/(LN(2)/25)*Calculateur!HC72*Calculateur!HE72*VLOOKUP('Données projet'!$B$18,Paramètres!$A$1:$I$88,3,0)*0.475*44/12</f>
        <v>#N/A</v>
      </c>
      <c r="HI72" s="23" t="e">
        <f>EXP(-LN(2)/2)*HI71+(1-EXP(-LN(2)/2))/(LN(2)/2)*HC72*HF72*VLOOKUP('Données projet'!$B$18,Paramètres!$A$1:$I$88,3,0)*0.475*44/12</f>
        <v>#N/A</v>
      </c>
      <c r="HJ72" s="24" t="e">
        <f t="shared" si="84"/>
        <v>#N/A</v>
      </c>
    </row>
    <row r="73" spans="1:218" s="5" customFormat="1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projet'!$B$9,Paramètres!$A$1:$I$88,3,0)*VLOOKUP('Données projet'!$B$9,Paramètres!$A$1:$I$88,5,0)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266.40554413701057</v>
      </c>
      <c r="S73" s="62">
        <f ca="1">AVERAGE(OFFSET($R$3,0,0,'Données projet'!$E$9+1,1))-AVERAGE(OFFSET($H$3,0,0,'Données projet'!$E$9+1,1))</f>
        <v>301.2688576786212</v>
      </c>
      <c r="T73" s="62">
        <f t="shared" si="88"/>
        <v>417.62172165132927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projet'!$B$9,Paramètres!$A$1:$I$88,7,0))</f>
        <v>0</v>
      </c>
      <c r="X73" s="17">
        <f>IF(ISNA(VLOOKUP(A73,'Données projet'!$A$35:$I$55,6,0)),0%,VLOOKUP(A73,'Données projet'!$A$35:$I$55,6,0)*VLOOKUP('Données projet'!$B$9,Paramètres!$A$1:$I$88,7,0))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projet'!$B$9,Paramètres!$A$1:$I$88,3,0)*0.475*44/12</f>
        <v>101.48282432579676</v>
      </c>
      <c r="AA73" s="23">
        <f>EXP(-LN(2)/25)*AA72+(1-EXP(-LN(2)/25))/(LN(2)/25)*Calculateur!V73*Calculateur!X73*VLOOKUP('Données projet'!$B$9,Paramètres!$A$1:$I$88,3,0)*0.475*44/12</f>
        <v>28.57336847056937</v>
      </c>
      <c r="AB73" s="23">
        <f>EXP(-LN(2)/2)*AB72+(1-EXP(-LN(2)/2))/(LN(2)/2)*V73*Y73*VLOOKUP('Données projet'!$B$9,Paramètres!$A$1:$I$88,3,0)*0.475*44/12</f>
        <v>2.876249793569572E-2</v>
      </c>
      <c r="AC73" s="24">
        <f t="shared" si="57"/>
        <v>130.08495529430184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projet'!$B$10,Paramètres!$A$1:$I$88,3,0)*VLOOKUP('Données projet'!$B$10,Paramètres!$A$1:$I$88,5,0)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170.08673939431091</v>
      </c>
      <c r="AO73" s="62">
        <f t="shared" si="90"/>
        <v>252.97355497077106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projet'!$B$10,Paramètres!$A$1:$I$88,7,0))</f>
        <v>0</v>
      </c>
      <c r="AS73" s="17">
        <f>IF(ISNA(VLOOKUP(A73,'Données projet'!$A$61:$I$81,6,0)),0%,VLOOKUP(A73,'Données projet'!$A$61:$I$81,6,0)*VLOOKUP('Données projet'!$B$10,Paramètres!$A$1:$I$88,7,0))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projet'!$B$10,Paramètres!$A$1:$I$88,3,0)*0.475*44/12</f>
        <v>42.371868107086634</v>
      </c>
      <c r="AV73" s="23">
        <f>EXP(-LN(2)/25)*AV72+(1-EXP(-LN(2)/25))/(LN(2)/25)*Calculateur!AQ73*Calculateur!AS73*VLOOKUP('Données projet'!$B$10,Paramètres!$A$1:$I$88,3,0)*0.475*44/12</f>
        <v>28.960635365705453</v>
      </c>
      <c r="AW73" s="23">
        <f>EXP(-LN(2)/2)*AW72+(1-EXP(-LN(2)/2))/(LN(2)/2)*AQ73*AT73*VLOOKUP('Données projet'!$B$10,Paramètres!$A$1:$I$88,3,0)*0.475*44/12</f>
        <v>3.6842447497757377E-2</v>
      </c>
      <c r="AX73" s="23">
        <f t="shared" si="60"/>
        <v>71.369345920289845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242</v>
      </c>
      <c r="BB73" s="13">
        <f>VLOOKUP(A73,'Données projet'!$A$87:$I$107,9,0)</f>
        <v>6.8</v>
      </c>
      <c r="BC73" s="13">
        <f t="array" ref="BC73">INDEX(BB:BB,MIN(IF(ISNUMBER(BB73:BB269),ROW(BB73:BB269),"")))</f>
        <v>6.8</v>
      </c>
      <c r="BD73" s="13">
        <f>IF('Données projet'!$A$88&gt;35,BD72+BC73-BL72,IF(A73&lt;'Données projet'!$A$88,$BA$205^A73,IF(A73='Données projet'!$A$88,'Données projet'!$B$88,BD72+BC73-BL72)))</f>
        <v>241.99999999999997</v>
      </c>
      <c r="BE73" s="14">
        <f>BD73*VLOOKUP('Données projet'!$B$11,Paramètres!$A$1:$I$88,3,0)*VLOOKUP('Données projet'!$B$11,Paramètres!$A$1:$I$88,5,0)</f>
        <v>218.96159999999998</v>
      </c>
      <c r="BF73" s="14">
        <f t="shared" si="91"/>
        <v>53.88913250370743</v>
      </c>
      <c r="BG73" s="22">
        <f t="shared" si="61"/>
        <v>475.21502577729035</v>
      </c>
      <c r="BH73" s="62">
        <f t="shared" si="62"/>
        <v>741.62056991429984</v>
      </c>
      <c r="BI73" s="62">
        <f ca="1">AVERAGE(OFFSET($BH$3,0,0,'Données projet'!$E$11+1,1))-AVERAGE(OFFSET($H$3,0,0,'Données projet'!$E$11+1,1))</f>
        <v>362.63718589694594</v>
      </c>
      <c r="BJ73" s="62">
        <f t="shared" si="92"/>
        <v>250.47702091764884</v>
      </c>
      <c r="BK73" s="16">
        <f>IF(ISNA(VLOOKUP(A73,'Données projet'!$A$87:$I$107,3,0)),0,VLOOKUP(A73,'Données projet'!$A$87:$I$107,3,0))</f>
        <v>11</v>
      </c>
      <c r="BL73" s="16">
        <f>IF(ISNA(VLOOKUP(A73,'Données projet'!$A$87:$I$107,4,0)),0,VLOOKUP(A73,'Données projet'!$A$87:$I$107,4,0))</f>
        <v>21</v>
      </c>
      <c r="BM73" s="17">
        <f>IF(ISNA(VLOOKUP(A73,'Données projet'!$A$87:$I$107,5,0)),0%,VLOOKUP(A73,'Données projet'!$A$87:$I$107,5,0)*VLOOKUP('Données projet'!$B$11,Paramètres!$A$1:$I$88,7,0))</f>
        <v>0.215</v>
      </c>
      <c r="BN73" s="17">
        <f>IF(ISNA(VLOOKUP(A73,'Données projet'!$A$87:$I$107,6,0)),0%,VLOOKUP(A73,'Données projet'!$A$87:$I$107,6,0)*VLOOKUP('Données projet'!$B$11,Paramètres!$A$1:$I$88,7,0))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projet'!$B$11,Paramètres!$A$1:$I$88,3,0)*0.475*44/12</f>
        <v>16.686918844485781</v>
      </c>
      <c r="BQ73" s="23">
        <f>EXP(-LN(2)/25)*BQ72+(1-EXP(-LN(2)/25))/(LN(2)/25)*Calculateur!BL73*Calculateur!BN73*VLOOKUP('Données projet'!$B$11,Paramètres!$A$1:$I$88,3,0)*0.475*44/12</f>
        <v>0</v>
      </c>
      <c r="BR73" s="23">
        <f>EXP(-LN(2)/2)*BR72+(1-EXP(-LN(2)/2))/(LN(2)/2)*BL73*BO73*VLOOKUP('Données projet'!$B$11,Paramètres!$A$1:$I$88,3,0)*0.475*44/12</f>
        <v>0</v>
      </c>
      <c r="BS73" s="24">
        <f t="shared" si="63"/>
        <v>16.686918844485781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242</v>
      </c>
      <c r="BW73" s="13">
        <f>VLOOKUP(A73,'Données projet'!$A$113:$I$133,9,0)</f>
        <v>6.8</v>
      </c>
      <c r="BX73" s="13">
        <f t="array" ref="BX73">INDEX(BW:BW,MIN(IF(ISNUMBER(BW73:BW269),ROW(BW73:BW269),"")))</f>
        <v>6.8</v>
      </c>
      <c r="BY73" s="13">
        <f>IF('Données projet'!$A$114&gt;35,BY72+BX73-CG72,IF(A73&lt;'Données projet'!$A$114,$BV$205^A73,IF(A73='Données projet'!$A$114,'Données projet'!$B$114,BY72+BX73-CG72)))</f>
        <v>241.99999999999997</v>
      </c>
      <c r="BZ73" s="14">
        <f>BY73*VLOOKUP('Données projet'!$B$12,Paramètres!$A$1:$I$88,3,0)*VLOOKUP('Données projet'!$B$12,Paramètres!$A$1:$I$88,5,0)</f>
        <v>245.38799999999998</v>
      </c>
      <c r="CA73" s="14">
        <f t="shared" si="93"/>
        <v>59.597282764919569</v>
      </c>
      <c r="CB73" s="22">
        <f t="shared" si="64"/>
        <v>531.18270081556818</v>
      </c>
      <c r="CC73" s="62">
        <f t="shared" si="65"/>
        <v>797.58824495257772</v>
      </c>
      <c r="CD73" s="62">
        <f ca="1">AVERAGE(OFFSET($CC$3,0,0,'Données projet'!$E$12+1,1))-AVERAGE(OFFSET($H$3,0,0,'Données projet'!$E$12+1,1))</f>
        <v>398.14524781940196</v>
      </c>
      <c r="CE73" s="62">
        <f t="shared" si="94"/>
        <v>273.35778700650792</v>
      </c>
      <c r="CF73" s="16">
        <f>IF(ISNA(VLOOKUP(A73,'Données projet'!$A$113:$I$133,3,0)),0,VLOOKUP(A73,'Données projet'!$A$113:$I$133,3,0))</f>
        <v>11</v>
      </c>
      <c r="CG73" s="16">
        <f>IF(ISNA(VLOOKUP(A73,'Données projet'!$A$113:$I$133,4,0)),0,VLOOKUP(A73,'Données projet'!$A$113:$I$133,4,0))</f>
        <v>21</v>
      </c>
      <c r="CH73" s="17">
        <f>IF(ISNA(VLOOKUP(A73,'Données projet'!$A$113:$I$133,5,0)),0%,VLOOKUP(A73,'Données projet'!$A$113:$I$133,5,0)*VLOOKUP('Données projet'!$B$12,Paramètres!$A$1:$I$88,7,0))</f>
        <v>0.215</v>
      </c>
      <c r="CI73" s="17">
        <f>IF(ISNA(VLOOKUP(A73,'Données projet'!$A$113:$I$133,6,0)),0%,VLOOKUP(A73,'Données projet'!$A$113:$I$133,6,0)*VLOOKUP('Données projet'!$B$12,Paramètres!$A$1:$I$88,7,0))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projet'!$B$12,Paramètres!$A$1:$I$88,3,0)*0.475*44/12</f>
        <v>18.700857325716829</v>
      </c>
      <c r="CL73" s="23">
        <f>EXP(-LN(2)/25)*CL72+(1-EXP(-LN(2)/25))/(LN(2)/25)*Calculateur!CG73*Calculateur!CI73*VLOOKUP('Données projet'!$B$12,Paramètres!$A$1:$I$88,3,0)*0.475*44/12</f>
        <v>0</v>
      </c>
      <c r="CM73" s="23">
        <f>EXP(-LN(2)/2)*CM72+(1-EXP(-LN(2)/2))/(LN(2)/2)*CG73*CJ73*VLOOKUP('Données projet'!$B$12,Paramètres!$A$1:$I$88,3,0)*0.475*44/12</f>
        <v>0</v>
      </c>
      <c r="CN73" s="24">
        <f t="shared" si="66"/>
        <v>18.700857325716829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316</v>
      </c>
      <c r="CR73" s="13">
        <f>VLOOKUP(A73,'Données projet'!$A$139:$I$159,9,0)</f>
        <v>8.6</v>
      </c>
      <c r="CS73" s="13">
        <f t="array" ref="CS73">INDEX(CR:CR,MIN(IF(ISNUMBER(CR73:CR269),ROW(CR73:CR269),"")))</f>
        <v>8.6</v>
      </c>
      <c r="CT73" s="13">
        <f>IF('Données projet'!$A$140&gt;35,CT72+CS73-DB72,IF(A73&lt;'Données projet'!$A$140,$CQ$205^A73,IF(A73='Données projet'!$A$140,'Données projet'!$B$140,CT72+CS73-DB72)))</f>
        <v>316</v>
      </c>
      <c r="CU73" s="18">
        <f>CT73*VLOOKUP('Données projet'!$B$13,Paramètres!$A$1:$I$88,3,0)*VLOOKUP('Données projet'!$B$13,Paramètres!$A$1:$I$88,5,0)</f>
        <v>300.7056</v>
      </c>
      <c r="CV73" s="14">
        <f t="shared" si="95"/>
        <v>71.32436410742946</v>
      </c>
      <c r="CW73" s="22">
        <f t="shared" si="67"/>
        <v>647.95218748710624</v>
      </c>
      <c r="CX73" s="62">
        <f t="shared" si="68"/>
        <v>914.35773162411579</v>
      </c>
      <c r="CY73" s="62">
        <f ca="1">AVERAGE(OFFSET($CX$3,0,0,'Données projet'!$E$13+1,1))-AVERAGE(OFFSET($H$3,0,0,'Données projet'!$E$13+1,1))</f>
        <v>470.0521927195926</v>
      </c>
      <c r="CZ73" s="62">
        <f t="shared" si="96"/>
        <v>299.27200854723435</v>
      </c>
      <c r="DA73" s="16">
        <f>IF(ISNA(VLOOKUP(A73,'Données projet'!$A$139:$I$159,3,0)),0,VLOOKUP(A73,'Données projet'!$A$139:$I$159,3,0))</f>
        <v>11</v>
      </c>
      <c r="DB73" s="16">
        <f>IF(ISNA(VLOOKUP(A73,'Données projet'!$A$139:$I$159,4,0)),0,VLOOKUP(A73,'Données projet'!$A$139:$I$159,4,0))</f>
        <v>21</v>
      </c>
      <c r="DC73" s="17">
        <f>IF(ISNA(VLOOKUP(A73,'Données projet'!$A$139:$I$159,5,0)),0%,VLOOKUP(A73,'Données projet'!$A$139:$I$159,5,0)*VLOOKUP('Données projet'!$B$13,Paramètres!$A$1:$I$88,7,0))</f>
        <v>0.215</v>
      </c>
      <c r="DD73" s="17">
        <f>IF(ISNA(VLOOKUP(A73,'Données projet'!$A$139:$I$159,6,0)),0%,VLOOKUP(A73,'Données projet'!$A$139:$I$159,6,0)*VLOOKUP('Données projet'!$B$13,Paramètres!$A$1:$I$88,7,0))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projet'!$B$13,Paramètres!$A$1:$I$88,3,0)*0.475*44/12</f>
        <v>17.550035336441944</v>
      </c>
      <c r="DG73" s="23">
        <f>EXP(-LN(2)/25)*DG72+(1-EXP(-LN(2)/25))/(LN(2)/25)*Calculateur!DB73*Calculateur!DD73*VLOOKUP('Données projet'!$B$13,Paramètres!$A$1:$I$88,3,0)*0.475*44/12</f>
        <v>0</v>
      </c>
      <c r="DH73" s="23">
        <f>EXP(-LN(2)/2)*DH72+(1-EXP(-LN(2)/2))/(LN(2)/2)*DB73*DE73*VLOOKUP('Données projet'!$B$13,Paramètres!$A$1:$I$88,3,0)*0.475*44/12</f>
        <v>0</v>
      </c>
      <c r="DI73" s="24">
        <f t="shared" si="69"/>
        <v>17.550035336441944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172</v>
      </c>
      <c r="DM73" s="13">
        <f>VLOOKUP(A73,'Données projet'!$A$165:$I$185,9,0)</f>
        <v>5</v>
      </c>
      <c r="DN73" s="13">
        <f t="array" ref="DN73">INDEX(DM:DM,MIN(IF(ISNUMBER(DM73:DM269),ROW(DM73:DM269),"")))</f>
        <v>5</v>
      </c>
      <c r="DO73" s="13">
        <f>IF('Données projet'!$A$166&gt;35,DO72+DN73-DW72,IF(A73&lt;'Données projet'!$A$166,$DL$205^A73,IF(A73='Données projet'!$A$166,'Données projet'!$B$166,DO72+DN73-DW72)))</f>
        <v>172</v>
      </c>
      <c r="DP73" s="18">
        <f>DO73*VLOOKUP('Données projet'!$B$14,Paramètres!$A$1:$I$88,3,0)*VLOOKUP('Données projet'!$B$14,Paramètres!$A$1:$I$88,5,0)</f>
        <v>166.35840000000002</v>
      </c>
      <c r="DQ73" s="14">
        <f t="shared" si="97"/>
        <v>42.27340131152765</v>
      </c>
      <c r="DR73" s="22">
        <f t="shared" si="70"/>
        <v>363.3670539509107</v>
      </c>
      <c r="DS73" s="62">
        <f t="shared" si="71"/>
        <v>629.77259808792019</v>
      </c>
      <c r="DT73" s="62">
        <f ca="1">AVERAGE(OFFSET($DS$3,0,0,'Données projet'!$E$14+1,1))-AVERAGE(OFFSET($H$3,0,0,'Données projet'!$E$14+1,1))</f>
        <v>290.89727102147953</v>
      </c>
      <c r="DU73" s="62">
        <f t="shared" si="98"/>
        <v>173.19148969173838</v>
      </c>
      <c r="DV73" s="16">
        <f>IF(ISNA(VLOOKUP(A73,'Données projet'!$A$165:$I$185,3,0)),0,VLOOKUP(A73,'Données projet'!$A$165:$I$185,3,0))</f>
        <v>11</v>
      </c>
      <c r="DW73" s="16">
        <f>IF(ISNA(VLOOKUP(A73,'Données projet'!$A$165:$I$185,4,0)),0,VLOOKUP(A73,'Données projet'!$A$165:$I$185,4,0))</f>
        <v>14</v>
      </c>
      <c r="DX73" s="17">
        <f>IF(ISNA(VLOOKUP(A73,'Données projet'!$A$165:$I$185,5,0)),0%,VLOOKUP(A73,'Données projet'!$A$165:$I$185,5,0)*VLOOKUP('Données projet'!$B$14,Paramètres!$A$1:$I$88,7,0))</f>
        <v>0.215</v>
      </c>
      <c r="DY73" s="17">
        <f>IF(ISNA(VLOOKUP(A73,'Données projet'!$A$165:$I$185,6,0)),0%,VLOOKUP(A73,'Données projet'!$A$165:$I$185,6,0)*VLOOKUP('Données projet'!$B$14,Paramètres!$A$1:$I$88,7,0))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projet'!$B$14,Paramètres!$A$1:$I$88,3,0)*0.475*44/12</f>
        <v>11.891827222507112</v>
      </c>
      <c r="EB73" s="23">
        <f>EXP(-LN(2)/25)*EB72+(1-EXP(-LN(2)/25))/(LN(2)/25)*Calculateur!DW73*Calculateur!DY73*VLOOKUP('Données projet'!$B$14,Paramètres!$A$1:$I$88,3,0)*0.475*44/12</f>
        <v>0</v>
      </c>
      <c r="EC73" s="23">
        <f>EXP(-LN(2)/2)*EC72+(1-EXP(-LN(2)/2))/(LN(2)/2)*DW73*DZ73*VLOOKUP('Données projet'!$B$14,Paramètres!$A$1:$I$88,3,0)*0.475*44/12</f>
        <v>0</v>
      </c>
      <c r="ED73" s="24">
        <f t="shared" si="72"/>
        <v>11.891827222507112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projet'!$B$15,Paramètres!$A$1:$I$88,3,0)*VLOOKUP('Données projet'!$B$15,Paramètres!$A$1:$I$88,5,0)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projet'!$B$15,Paramètres!$A$1:$I$88,7,0))</f>
        <v>0</v>
      </c>
      <c r="ET73" s="17">
        <f>IF(ISNA(VLOOKUP(A73,'Données projet'!$A$191:$I$211,6,0)),0%,VLOOKUP(A73,'Données projet'!$A$191:$I$211,6,0)*VLOOKUP('Données projet'!$B$15,Paramètres!$A$1:$I$88,7,0))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projet'!$B$15,Paramètres!$A$1:$I$88,3,0)*0.475*44/12</f>
        <v>#N/A</v>
      </c>
      <c r="EW73" s="23" t="e">
        <f>EXP(-LN(2)/25)*EW72+(1-EXP(-LN(2)/25))/(LN(2)/25)*Calculateur!ER73*Calculateur!ET73*VLOOKUP('Données projet'!$B$15,Paramètres!$A$1:$I$88,3,0)*0.475*44/12</f>
        <v>#N/A</v>
      </c>
      <c r="EX73" s="23" t="e">
        <f>EXP(-LN(2)/2)*EX72+(1-EXP(-LN(2)/2))/(LN(2)/2)*ER73*EU73*VLOOKUP('Données projet'!$B$15,Paramètres!$A$1:$I$88,3,0)*0.475*44/12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projet'!$B$16,Paramètres!$A$1:$I$88,3,0)*VLOOKUP('Données projet'!$B$16,Paramètres!$A$1:$I$88,5,0)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projet'!$B$16,Paramètres!$A$1:$I$88,7,0))</f>
        <v>0</v>
      </c>
      <c r="FO73" s="17">
        <f>IF(ISNA(VLOOKUP(A73,'Données projet'!$A$217:$I$237,6,0)),0%,VLOOKUP(A73,'Données projet'!$A$217:$I$237,6,0)*VLOOKUP('Données projet'!$B$16,Paramètres!$A$1:$I$88,7,0))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projet'!$B$16,Paramètres!$A$1:$I$88,3,0)*0.475*44/12</f>
        <v>#N/A</v>
      </c>
      <c r="FR73" s="23" t="e">
        <f>EXP(-LN(2)/25)*FR72+(1-EXP(-LN(2)/25))/(LN(2)/25)*Calculateur!FM73*Calculateur!FO73*VLOOKUP('Données projet'!$B$16,Paramètres!$A$1:$I$88,3,0)*0.475*44/12</f>
        <v>#N/A</v>
      </c>
      <c r="FS73" s="23" t="e">
        <f>EXP(-LN(2)/2)*FS72+(1-EXP(-LN(2)/2))/(LN(2)/2)*FM73*FP73*VLOOKUP('Données projet'!$B$16,Paramètres!$A$1:$I$88,3,0)*0.475*44/12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projet'!$B$17,Paramètres!$A$1:$I$88,3,0)*VLOOKUP('Données projet'!$B$17,Paramètres!$A$1:$I$88,5,0)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projet'!$B$17,Paramètres!$A$1:$I$88,7,0))</f>
        <v>0</v>
      </c>
      <c r="GJ73" s="17">
        <f>IF(ISNA(VLOOKUP(A73,'Données projet'!$A$243:$I$263,6,0)),0%,VLOOKUP(A73,'Données projet'!$A$243:$I$263,6,0)*VLOOKUP('Données projet'!$B$17,Paramètres!$A$1:$I$88,7,0))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projet'!$B$17,Paramètres!$A$1:$I$88,3,0)*0.475*44/12</f>
        <v>#N/A</v>
      </c>
      <c r="GM73" s="23" t="e">
        <f>EXP(-LN(2)/25)*GM72+(1-EXP(-LN(2)/25))/(LN(2)/25)*Calculateur!GH73*Calculateur!GJ73*VLOOKUP('Données projet'!$B$17,Paramètres!$A$1:$I$88,3,0)*0.475*44/12</f>
        <v>#N/A</v>
      </c>
      <c r="GN73" s="23" t="e">
        <f>EXP(-LN(2)/2)*GN72+(1-EXP(-LN(2)/2))/(LN(2)/2)*GH73*GK73*VLOOKUP('Données projet'!$B$17,Paramètres!$A$1:$I$88,3,0)*0.475*44/12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projet'!$B$18,Paramètres!$A$1:$I$88,3,0)*VLOOKUP('Données projet'!$B$18,Paramètres!$A$1:$I$88,5,0)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projet'!$B$18,Paramètres!$A$1:$I$88,3,0)*0.475*44/12</f>
        <v>#N/A</v>
      </c>
      <c r="HH73" s="23" t="e">
        <f>EXP(-LN(2)/25)*HH72+(1-EXP(-LN(2)/25))/(LN(2)/25)*Calculateur!HC73*Calculateur!HE73*VLOOKUP('Données projet'!$B$18,Paramètres!$A$1:$I$88,3,0)*0.475*44/12</f>
        <v>#N/A</v>
      </c>
      <c r="HI73" s="23" t="e">
        <f>EXP(-LN(2)/2)*HI72+(1-EXP(-LN(2)/2))/(LN(2)/2)*HC73*HF73*VLOOKUP('Données projet'!$B$18,Paramètres!$A$1:$I$88,3,0)*0.475*44/12</f>
        <v>#N/A</v>
      </c>
      <c r="HJ73" s="24" t="e">
        <f t="shared" si="84"/>
        <v>#N/A</v>
      </c>
    </row>
    <row r="74" spans="1:218" s="5" customFormat="1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projet'!$B$9,Paramètres!$A$1:$I$88,3,0)*VLOOKUP('Données projet'!$B$9,Paramètres!$A$1:$I$88,5,0)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266.87268107804903</v>
      </c>
      <c r="S74" s="62">
        <f ca="1">AVERAGE(OFFSET($R$3,0,0,'Données projet'!$E$9+1,1))-AVERAGE(OFFSET($H$3,0,0,'Données projet'!$E$9+1,1))</f>
        <v>301.2688576786212</v>
      </c>
      <c r="T74" s="62">
        <f t="shared" si="88"/>
        <v>417.62172165132927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99.492808039178755</v>
      </c>
      <c r="AA74" s="23">
        <f>EXP(-LN(2)/25)*AA73+(1-EXP(-LN(2)/25))/(LN(2)/25)*Calculateur!V74*Calculateur!X74*VLOOKUP('Données projet'!$B$9,Paramètres!$A$1:$I$88,3,0)*0.475*44/12</f>
        <v>27.792028207133509</v>
      </c>
      <c r="AB74" s="23">
        <f>EXP(-LN(2)/2)*AB73+(1-EXP(-LN(2)/2))/(LN(2)/2)*V74*Y74*VLOOKUP('Données projet'!$B$9,Paramètres!$A$1:$I$88,3,0)*0.475*44/12</f>
        <v>2.0338157334194518E-2</v>
      </c>
      <c r="AC74" s="24">
        <f t="shared" si="57"/>
        <v>127.30517440364646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projet'!$B$10,Paramètres!$A$1:$I$88,3,0)*VLOOKUP('Données projet'!$B$10,Paramètres!$A$1:$I$88,5,0)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170.08673939431091</v>
      </c>
      <c r="AO74" s="62">
        <f t="shared" si="90"/>
        <v>252.97355497077106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projet'!$B$10,Paramètres!$A$1:$I$88,3,0)*0.475*44/12</f>
        <v>41.540981617794301</v>
      </c>
      <c r="AV74" s="23">
        <f>EXP(-LN(2)/25)*AV73+(1-EXP(-LN(2)/25))/(LN(2)/25)*Calculateur!AQ74*Calculateur!AS74*VLOOKUP('Données projet'!$B$10,Paramètres!$A$1:$I$88,3,0)*0.475*44/12</f>
        <v>28.168705268656613</v>
      </c>
      <c r="AW74" s="23">
        <f>EXP(-LN(2)/2)*AW73+(1-EXP(-LN(2)/2))/(LN(2)/2)*AQ74*AT74*VLOOKUP('Données projet'!$B$10,Paramètres!$A$1:$I$88,3,0)*0.475*44/12</f>
        <v>2.6051544461173592E-2</v>
      </c>
      <c r="AX74" s="23">
        <f t="shared" si="60"/>
        <v>69.735738430912079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6.2</v>
      </c>
      <c r="BD74" s="13">
        <f>IF('Données projet'!$A$88&gt;35,BD73+BC74-BL73,IF(A74&lt;'Données projet'!$A$88,$BA$205^A74,IF(A74='Données projet'!$A$88,'Données projet'!$B$88,BD73+BC74-BL73)))</f>
        <v>227.19999999999996</v>
      </c>
      <c r="BE74" s="14">
        <f>BD74*VLOOKUP('Données projet'!$B$11,Paramètres!$A$1:$I$88,3,0)*VLOOKUP('Données projet'!$B$11,Paramètres!$A$1:$I$88,5,0)</f>
        <v>205.57055999999997</v>
      </c>
      <c r="BF74" s="14">
        <f t="shared" si="91"/>
        <v>50.966443946767392</v>
      </c>
      <c r="BG74" s="22">
        <f t="shared" si="61"/>
        <v>446.80194854061978</v>
      </c>
      <c r="BH74" s="62">
        <f t="shared" si="62"/>
        <v>713.67462961866772</v>
      </c>
      <c r="BI74" s="62">
        <f ca="1">AVERAGE(OFFSET($BH$3,0,0,'Données projet'!$E$11+1,1))-AVERAGE(OFFSET($H$3,0,0,'Données projet'!$E$11+1,1))</f>
        <v>362.63718589694594</v>
      </c>
      <c r="BJ74" s="62">
        <f t="shared" si="92"/>
        <v>250.47702091764884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projet'!$B$11,Paramètres!$A$1:$I$88,3,0)*0.475*44/12</f>
        <v>16.359698543960913</v>
      </c>
      <c r="BQ74" s="23">
        <f>EXP(-LN(2)/25)*BQ73+(1-EXP(-LN(2)/25))/(LN(2)/25)*Calculateur!BL74*Calculateur!BN74*VLOOKUP('Données projet'!$B$11,Paramètres!$A$1:$I$88,3,0)*0.475*44/12</f>
        <v>0</v>
      </c>
      <c r="BR74" s="23">
        <f>EXP(-LN(2)/2)*BR73+(1-EXP(-LN(2)/2))/(LN(2)/2)*BL74*BO74*VLOOKUP('Données projet'!$B$11,Paramètres!$A$1:$I$88,3,0)*0.475*44/12</f>
        <v>0</v>
      </c>
      <c r="BS74" s="24">
        <f t="shared" si="63"/>
        <v>16.359698543960913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6.2</v>
      </c>
      <c r="BY74" s="13">
        <f>IF('Données projet'!$A$114&gt;35,BY73+BX74-CG73,IF(A74&lt;'Données projet'!$A$114,$BV$205^A74,IF(A74='Données projet'!$A$114,'Données projet'!$B$114,BY73+BX74-CG73)))</f>
        <v>227.19999999999996</v>
      </c>
      <c r="BZ74" s="14">
        <f>BY74*VLOOKUP('Données projet'!$B$12,Paramètres!$A$1:$I$88,3,0)*VLOOKUP('Données projet'!$B$12,Paramètres!$A$1:$I$88,5,0)</f>
        <v>230.38079999999997</v>
      </c>
      <c r="CA74" s="14">
        <f t="shared" si="93"/>
        <v>56.365011465139979</v>
      </c>
      <c r="CB74" s="22">
        <f t="shared" si="64"/>
        <v>499.41562163511867</v>
      </c>
      <c r="CC74" s="62">
        <f t="shared" si="65"/>
        <v>766.28830271316656</v>
      </c>
      <c r="CD74" s="62">
        <f ca="1">AVERAGE(OFFSET($CC$3,0,0,'Données projet'!$E$12+1,1))-AVERAGE(OFFSET($H$3,0,0,'Données projet'!$E$12+1,1))</f>
        <v>398.14524781940196</v>
      </c>
      <c r="CE74" s="62">
        <f t="shared" si="94"/>
        <v>273.35778700650792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projet'!$B$12,Paramètres!$A$1:$I$88,3,0)*0.475*44/12</f>
        <v>18.334144919956202</v>
      </c>
      <c r="CL74" s="23">
        <f>EXP(-LN(2)/25)*CL73+(1-EXP(-LN(2)/25))/(LN(2)/25)*Calculateur!CG74*Calculateur!CI74*VLOOKUP('Données projet'!$B$12,Paramètres!$A$1:$I$88,3,0)*0.475*44/12</f>
        <v>0</v>
      </c>
      <c r="CM74" s="23">
        <f>EXP(-LN(2)/2)*CM73+(1-EXP(-LN(2)/2))/(LN(2)/2)*CG74*CJ74*VLOOKUP('Données projet'!$B$12,Paramètres!$A$1:$I$88,3,0)*0.475*44/12</f>
        <v>0</v>
      </c>
      <c r="CN74" s="24">
        <f t="shared" si="66"/>
        <v>18.334144919956202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8</v>
      </c>
      <c r="CT74" s="13">
        <f>IF('Données projet'!$A$140&gt;35,CT73+CS74-DB73,IF(A74&lt;'Données projet'!$A$140,$CQ$205^A74,IF(A74='Données projet'!$A$140,'Données projet'!$B$140,CT73+CS74-DB73)))</f>
        <v>303</v>
      </c>
      <c r="CU74" s="18">
        <f>CT74*VLOOKUP('Données projet'!$B$13,Paramètres!$A$1:$I$88,3,0)*VLOOKUP('Données projet'!$B$13,Paramètres!$A$1:$I$88,5,0)</f>
        <v>288.33479999999997</v>
      </c>
      <c r="CV74" s="14">
        <f t="shared" si="95"/>
        <v>68.725373494438912</v>
      </c>
      <c r="CW74" s="22">
        <f t="shared" si="67"/>
        <v>621.8798021694812</v>
      </c>
      <c r="CX74" s="62">
        <f t="shared" si="68"/>
        <v>888.7524832475292</v>
      </c>
      <c r="CY74" s="62">
        <f ca="1">AVERAGE(OFFSET($CX$3,0,0,'Données projet'!$E$13+1,1))-AVERAGE(OFFSET($H$3,0,0,'Données projet'!$E$13+1,1))</f>
        <v>470.0521927195926</v>
      </c>
      <c r="CZ74" s="62">
        <f t="shared" si="96"/>
        <v>299.27200854723435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projet'!$B$13,Paramètres!$A$1:$I$88,3,0)*0.475*44/12</f>
        <v>17.205889847958893</v>
      </c>
      <c r="DG74" s="23">
        <f>EXP(-LN(2)/25)*DG73+(1-EXP(-LN(2)/25))/(LN(2)/25)*Calculateur!DB74*Calculateur!DD74*VLOOKUP('Données projet'!$B$13,Paramètres!$A$1:$I$88,3,0)*0.475*44/12</f>
        <v>0</v>
      </c>
      <c r="DH74" s="23">
        <f>EXP(-LN(2)/2)*DH73+(1-EXP(-LN(2)/2))/(LN(2)/2)*DB74*DE74*VLOOKUP('Données projet'!$B$13,Paramètres!$A$1:$I$88,3,0)*0.475*44/12</f>
        <v>0</v>
      </c>
      <c r="DI74" s="24">
        <f t="shared" si="69"/>
        <v>17.205889847958893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5</v>
      </c>
      <c r="DO74" s="13">
        <f>IF('Données projet'!$A$166&gt;35,DO73+DN74-DW73,IF(A74&lt;'Données projet'!$A$166,$DL$205^A74,IF(A74='Données projet'!$A$166,'Données projet'!$B$166,DO73+DN74-DW73)))</f>
        <v>163</v>
      </c>
      <c r="DP74" s="18">
        <f>DO74*VLOOKUP('Données projet'!$B$14,Paramètres!$A$1:$I$88,3,0)*VLOOKUP('Données projet'!$B$14,Paramètres!$A$1:$I$88,5,0)</f>
        <v>157.65360000000001</v>
      </c>
      <c r="DQ74" s="14">
        <f t="shared" si="97"/>
        <v>40.31282414727238</v>
      </c>
      <c r="DR74" s="22">
        <f t="shared" si="70"/>
        <v>344.79152205649939</v>
      </c>
      <c r="DS74" s="62">
        <f t="shared" si="71"/>
        <v>611.66420313454728</v>
      </c>
      <c r="DT74" s="62">
        <f ca="1">AVERAGE(OFFSET($DS$3,0,0,'Données projet'!$E$14+1,1))-AVERAGE(OFFSET($H$3,0,0,'Données projet'!$E$14+1,1))</f>
        <v>290.89727102147953</v>
      </c>
      <c r="DU74" s="62">
        <f t="shared" si="98"/>
        <v>173.19148969173838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projet'!$B$14,Paramètres!$A$1:$I$88,3,0)*0.475*44/12</f>
        <v>11.65863574397215</v>
      </c>
      <c r="EB74" s="23">
        <f>EXP(-LN(2)/25)*EB73+(1-EXP(-LN(2)/25))/(LN(2)/25)*Calculateur!DW74*Calculateur!DY74*VLOOKUP('Données projet'!$B$14,Paramètres!$A$1:$I$88,3,0)*0.475*44/12</f>
        <v>0</v>
      </c>
      <c r="EC74" s="23">
        <f>EXP(-LN(2)/2)*EC73+(1-EXP(-LN(2)/2))/(LN(2)/2)*DW74*DZ74*VLOOKUP('Données projet'!$B$14,Paramètres!$A$1:$I$88,3,0)*0.475*44/12</f>
        <v>0</v>
      </c>
      <c r="ED74" s="24">
        <f t="shared" si="72"/>
        <v>11.65863574397215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projet'!$B$15,Paramètres!$A$1:$I$88,3,0)*VLOOKUP('Données projet'!$B$15,Paramètres!$A$1:$I$88,5,0)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projet'!$B$15,Paramètres!$A$1:$I$88,3,0)*0.475*44/12</f>
        <v>#N/A</v>
      </c>
      <c r="EW74" s="23" t="e">
        <f>EXP(-LN(2)/25)*EW73+(1-EXP(-LN(2)/25))/(LN(2)/25)*Calculateur!ER74*Calculateur!ET74*VLOOKUP('Données projet'!$B$15,Paramètres!$A$1:$I$88,3,0)*0.475*44/12</f>
        <v>#N/A</v>
      </c>
      <c r="EX74" s="23" t="e">
        <f>EXP(-LN(2)/2)*EX73+(1-EXP(-LN(2)/2))/(LN(2)/2)*ER74*EU74*VLOOKUP('Données projet'!$B$15,Paramètres!$A$1:$I$88,3,0)*0.475*44/12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projet'!$B$16,Paramètres!$A$1:$I$88,3,0)*VLOOKUP('Données projet'!$B$16,Paramètres!$A$1:$I$88,5,0)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projet'!$B$16,Paramètres!$A$1:$I$88,3,0)*0.475*44/12</f>
        <v>#N/A</v>
      </c>
      <c r="FR74" s="23" t="e">
        <f>EXP(-LN(2)/25)*FR73+(1-EXP(-LN(2)/25))/(LN(2)/25)*Calculateur!FM74*Calculateur!FO74*VLOOKUP('Données projet'!$B$16,Paramètres!$A$1:$I$88,3,0)*0.475*44/12</f>
        <v>#N/A</v>
      </c>
      <c r="FS74" s="23" t="e">
        <f>EXP(-LN(2)/2)*FS73+(1-EXP(-LN(2)/2))/(LN(2)/2)*FM74*FP74*VLOOKUP('Données projet'!$B$16,Paramètres!$A$1:$I$88,3,0)*0.475*44/12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projet'!$B$17,Paramètres!$A$1:$I$88,3,0)*VLOOKUP('Données projet'!$B$17,Paramètres!$A$1:$I$88,5,0)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projet'!$B$17,Paramètres!$A$1:$I$88,3,0)*0.475*44/12</f>
        <v>#N/A</v>
      </c>
      <c r="GM74" s="23" t="e">
        <f>EXP(-LN(2)/25)*GM73+(1-EXP(-LN(2)/25))/(LN(2)/25)*Calculateur!GH74*Calculateur!GJ74*VLOOKUP('Données projet'!$B$17,Paramètres!$A$1:$I$88,3,0)*0.475*44/12</f>
        <v>#N/A</v>
      </c>
      <c r="GN74" s="23" t="e">
        <f>EXP(-LN(2)/2)*GN73+(1-EXP(-LN(2)/2))/(LN(2)/2)*GH74*GK74*VLOOKUP('Données projet'!$B$17,Paramètres!$A$1:$I$88,3,0)*0.475*44/12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projet'!$B$18,Paramètres!$A$1:$I$88,3,0)*VLOOKUP('Données projet'!$B$18,Paramètres!$A$1:$I$88,5,0)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projet'!$B$18,Paramètres!$A$1:$I$88,3,0)*0.475*44/12</f>
        <v>#N/A</v>
      </c>
      <c r="HH74" s="23" t="e">
        <f>EXP(-LN(2)/25)*HH73+(1-EXP(-LN(2)/25))/(LN(2)/25)*Calculateur!HC74*Calculateur!HE74*VLOOKUP('Données projet'!$B$18,Paramètres!$A$1:$I$88,3,0)*0.475*44/12</f>
        <v>#N/A</v>
      </c>
      <c r="HI74" s="23" t="e">
        <f>EXP(-LN(2)/2)*HI73+(1-EXP(-LN(2)/2))/(LN(2)/2)*HC74*HF74*VLOOKUP('Données projet'!$B$18,Paramètres!$A$1:$I$88,3,0)*0.475*44/12</f>
        <v>#N/A</v>
      </c>
      <c r="HJ74" s="24" t="e">
        <f t="shared" si="84"/>
        <v>#N/A</v>
      </c>
    </row>
    <row r="75" spans="1:218" s="5" customFormat="1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projet'!$B$9,Paramètres!$A$1:$I$88,3,0)*VLOOKUP('Données projet'!$B$9,Paramètres!$A$1:$I$88,5,0)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267.33171423752219</v>
      </c>
      <c r="S75" s="62">
        <f ca="1">AVERAGE(OFFSET($R$3,0,0,'Données projet'!$E$9+1,1))-AVERAGE(OFFSET($H$3,0,0,'Données projet'!$E$9+1,1))</f>
        <v>301.2688576786212</v>
      </c>
      <c r="T75" s="62">
        <f t="shared" si="88"/>
        <v>417.62172165132927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projet'!$B$9,Paramètres!$A$1:$I$88,7,0))</f>
        <v>0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97.541814758151261</v>
      </c>
      <c r="AA75" s="23">
        <f>EXP(-LN(2)/25)*AA74+(1-EXP(-LN(2)/25))/(LN(2)/25)*Calculateur!V75*Calculateur!X75*VLOOKUP('Données projet'!$B$9,Paramètres!$A$1:$I$88,3,0)*0.475*44/12</f>
        <v>27.032053734290198</v>
      </c>
      <c r="AB75" s="23">
        <f>EXP(-LN(2)/2)*AB74+(1-EXP(-LN(2)/2))/(LN(2)/2)*V75*Y75*VLOOKUP('Données projet'!$B$9,Paramètres!$A$1:$I$88,3,0)*0.475*44/12</f>
        <v>1.438124896784786E-2</v>
      </c>
      <c r="AC75" s="24">
        <f t="shared" si="57"/>
        <v>124.58824974140931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projet'!$B$10,Paramètres!$A$1:$I$88,3,0)*VLOOKUP('Données projet'!$B$10,Paramètres!$A$1:$I$88,5,0)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170.08673939431091</v>
      </c>
      <c r="AO75" s="62">
        <f t="shared" si="90"/>
        <v>252.97355497077106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projet'!$B$10,Paramètres!$A$1:$I$88,7,0))</f>
        <v>0</v>
      </c>
      <c r="AS75" s="17">
        <f>IF(ISNA(VLOOKUP(A75,'Données projet'!$A$61:$I$81,6,0)),0%,VLOOKUP(A75,'Données projet'!$A$61:$I$81,6,0)*VLOOKUP('Données projet'!$B$10,Paramètres!$A$1:$I$88,7,0))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projet'!$B$10,Paramètres!$A$1:$I$88,3,0)*0.475*44/12</f>
        <v>40.726388305766271</v>
      </c>
      <c r="AV75" s="23">
        <f>EXP(-LN(2)/25)*AV74+(1-EXP(-LN(2)/25))/(LN(2)/25)*Calculateur!AQ75*Calculateur!AS75*VLOOKUP('Données projet'!$B$10,Paramètres!$A$1:$I$88,3,0)*0.475*44/12</f>
        <v>27.398430541757367</v>
      </c>
      <c r="AW75" s="23">
        <f>EXP(-LN(2)/2)*AW74+(1-EXP(-LN(2)/2))/(LN(2)/2)*AQ75*AT75*VLOOKUP('Données projet'!$B$10,Paramètres!$A$1:$I$88,3,0)*0.475*44/12</f>
        <v>1.8421223748878689E-2</v>
      </c>
      <c r="AX75" s="23">
        <f t="shared" si="60"/>
        <v>68.143240071272515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6.2</v>
      </c>
      <c r="BD75" s="13">
        <f>IF('Données projet'!$A$88&gt;35,BD74+BC75-BL74,IF(A75&lt;'Données projet'!$A$88,$BA$205^A75,IF(A75='Données projet'!$A$88,'Données projet'!$B$88,BD74+BC75-BL74)))</f>
        <v>233.39999999999995</v>
      </c>
      <c r="BE75" s="14">
        <f>BD75*VLOOKUP('Données projet'!$B$11,Paramètres!$A$1:$I$88,3,0)*VLOOKUP('Données projet'!$B$11,Paramètres!$A$1:$I$88,5,0)</f>
        <v>211.18031999999994</v>
      </c>
      <c r="BF75" s="14">
        <f t="shared" si="91"/>
        <v>52.193431117443019</v>
      </c>
      <c r="BG75" s="22">
        <f t="shared" si="61"/>
        <v>458.70928319621316</v>
      </c>
      <c r="BH75" s="62">
        <f t="shared" si="62"/>
        <v>726.04099743373422</v>
      </c>
      <c r="BI75" s="62">
        <f ca="1">AVERAGE(OFFSET($BH$3,0,0,'Données projet'!$E$11+1,1))-AVERAGE(OFFSET($H$3,0,0,'Données projet'!$E$11+1,1))</f>
        <v>362.63718589694594</v>
      </c>
      <c r="BJ75" s="62">
        <f t="shared" si="92"/>
        <v>250.47702091764884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projet'!$B$11,Paramètres!$A$1:$I$88,7,0))</f>
        <v>0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projet'!$B$11,Paramètres!$A$1:$I$88,3,0)*0.475*44/12</f>
        <v>16.038894833944664</v>
      </c>
      <c r="BQ75" s="23">
        <f>EXP(-LN(2)/25)*BQ74+(1-EXP(-LN(2)/25))/(LN(2)/25)*Calculateur!BL75*Calculateur!BN75*VLOOKUP('Données projet'!$B$11,Paramètres!$A$1:$I$88,3,0)*0.475*44/12</f>
        <v>0</v>
      </c>
      <c r="BR75" s="23">
        <f>EXP(-LN(2)/2)*BR74+(1-EXP(-LN(2)/2))/(LN(2)/2)*BL75*BO75*VLOOKUP('Données projet'!$B$11,Paramètres!$A$1:$I$88,3,0)*0.475*44/12</f>
        <v>0</v>
      </c>
      <c r="BS75" s="24">
        <f t="shared" si="63"/>
        <v>16.038894833944664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6.2</v>
      </c>
      <c r="BY75" s="13">
        <f>IF('Données projet'!$A$114&gt;35,BY74+BX75-CG74,IF(A75&lt;'Données projet'!$A$114,$BV$205^A75,IF(A75='Données projet'!$A$114,'Données projet'!$B$114,BY74+BX75-CG74)))</f>
        <v>233.39999999999995</v>
      </c>
      <c r="BZ75" s="14">
        <f>BY75*VLOOKUP('Données projet'!$B$12,Paramètres!$A$1:$I$88,3,0)*VLOOKUP('Données projet'!$B$12,Paramètres!$A$1:$I$88,5,0)</f>
        <v>236.66759999999996</v>
      </c>
      <c r="CA75" s="14">
        <f t="shared" si="93"/>
        <v>57.721965974560838</v>
      </c>
      <c r="CB75" s="22">
        <f t="shared" si="64"/>
        <v>512.72849407236004</v>
      </c>
      <c r="CC75" s="62">
        <f t="shared" si="65"/>
        <v>780.06020830988109</v>
      </c>
      <c r="CD75" s="62">
        <f ca="1">AVERAGE(OFFSET($CC$3,0,0,'Données projet'!$E$12+1,1))-AVERAGE(OFFSET($H$3,0,0,'Données projet'!$E$12+1,1))</f>
        <v>398.14524781940196</v>
      </c>
      <c r="CE75" s="62">
        <f t="shared" si="94"/>
        <v>273.35778700650792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projet'!$B$12,Paramètres!$A$1:$I$88,3,0)*0.475*44/12</f>
        <v>17.974623520800058</v>
      </c>
      <c r="CL75" s="23">
        <f>EXP(-LN(2)/25)*CL74+(1-EXP(-LN(2)/25))/(LN(2)/25)*Calculateur!CG75*Calculateur!CI75*VLOOKUP('Données projet'!$B$12,Paramètres!$A$1:$I$88,3,0)*0.475*44/12</f>
        <v>0</v>
      </c>
      <c r="CM75" s="23">
        <f>EXP(-LN(2)/2)*CM74+(1-EXP(-LN(2)/2))/(LN(2)/2)*CG75*CJ75*VLOOKUP('Données projet'!$B$12,Paramètres!$A$1:$I$88,3,0)*0.475*44/12</f>
        <v>0</v>
      </c>
      <c r="CN75" s="24">
        <f t="shared" si="66"/>
        <v>17.974623520800058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8</v>
      </c>
      <c r="CT75" s="13">
        <f>IF('Données projet'!$A$140&gt;35,CT74+CS75-DB74,IF(A75&lt;'Données projet'!$A$140,$CQ$205^A75,IF(A75='Données projet'!$A$140,'Données projet'!$B$140,CT74+CS75-DB74)))</f>
        <v>311</v>
      </c>
      <c r="CU75" s="18">
        <f>CT75*VLOOKUP('Données projet'!$B$13,Paramètres!$A$1:$I$88,3,0)*VLOOKUP('Données projet'!$B$13,Paramètres!$A$1:$I$88,5,0)</f>
        <v>295.94760000000002</v>
      </c>
      <c r="CV75" s="14">
        <f t="shared" si="95"/>
        <v>70.326253521716808</v>
      </c>
      <c r="CW75" s="22">
        <f t="shared" si="67"/>
        <v>637.92696155032343</v>
      </c>
      <c r="CX75" s="62">
        <f t="shared" si="68"/>
        <v>905.2586757878446</v>
      </c>
      <c r="CY75" s="62">
        <f ca="1">AVERAGE(OFFSET($CX$3,0,0,'Données projet'!$E$13+1,1))-AVERAGE(OFFSET($H$3,0,0,'Données projet'!$E$13+1,1))</f>
        <v>470.0521927195926</v>
      </c>
      <c r="CZ75" s="62">
        <f t="shared" si="96"/>
        <v>299.27200854723435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projet'!$B$13,Paramètres!$A$1:$I$88,3,0)*0.475*44/12</f>
        <v>16.868492842596975</v>
      </c>
      <c r="DG75" s="23">
        <f>EXP(-LN(2)/25)*DG74+(1-EXP(-LN(2)/25))/(LN(2)/25)*Calculateur!DB75*Calculateur!DD75*VLOOKUP('Données projet'!$B$13,Paramètres!$A$1:$I$88,3,0)*0.475*44/12</f>
        <v>0</v>
      </c>
      <c r="DH75" s="23">
        <f>EXP(-LN(2)/2)*DH74+(1-EXP(-LN(2)/2))/(LN(2)/2)*DB75*DE75*VLOOKUP('Données projet'!$B$13,Paramètres!$A$1:$I$88,3,0)*0.475*44/12</f>
        <v>0</v>
      </c>
      <c r="DI75" s="24">
        <f t="shared" si="69"/>
        <v>16.868492842596975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5</v>
      </c>
      <c r="DO75" s="13">
        <f>IF('Données projet'!$A$166&gt;35,DO74+DN75-DW74,IF(A75&lt;'Données projet'!$A$166,$DL$205^A75,IF(A75='Données projet'!$A$166,'Données projet'!$B$166,DO74+DN75-DW74)))</f>
        <v>168</v>
      </c>
      <c r="DP75" s="18">
        <f>DO75*VLOOKUP('Données projet'!$B$14,Paramètres!$A$1:$I$88,3,0)*VLOOKUP('Données projet'!$B$14,Paramètres!$A$1:$I$88,5,0)</f>
        <v>162.4896</v>
      </c>
      <c r="DQ75" s="14">
        <f t="shared" si="97"/>
        <v>41.403546033820696</v>
      </c>
      <c r="DR75" s="22">
        <f t="shared" si="70"/>
        <v>355.11389600890431</v>
      </c>
      <c r="DS75" s="62">
        <f t="shared" si="71"/>
        <v>622.44561024642542</v>
      </c>
      <c r="DT75" s="62">
        <f ca="1">AVERAGE(OFFSET($DS$3,0,0,'Données projet'!$E$14+1,1))-AVERAGE(OFFSET($H$3,0,0,'Données projet'!$E$14+1,1))</f>
        <v>290.89727102147953</v>
      </c>
      <c r="DU75" s="62">
        <f t="shared" si="98"/>
        <v>173.19148969173838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projet'!$B$14,Paramètres!$A$1:$I$88,3,0)*0.475*44/12</f>
        <v>11.430017008098501</v>
      </c>
      <c r="EB75" s="23">
        <f>EXP(-LN(2)/25)*EB74+(1-EXP(-LN(2)/25))/(LN(2)/25)*Calculateur!DW75*Calculateur!DY75*VLOOKUP('Données projet'!$B$14,Paramètres!$A$1:$I$88,3,0)*0.475*44/12</f>
        <v>0</v>
      </c>
      <c r="EC75" s="23">
        <f>EXP(-LN(2)/2)*EC74+(1-EXP(-LN(2)/2))/(LN(2)/2)*DW75*DZ75*VLOOKUP('Données projet'!$B$14,Paramètres!$A$1:$I$88,3,0)*0.475*44/12</f>
        <v>0</v>
      </c>
      <c r="ED75" s="24">
        <f t="shared" si="72"/>
        <v>11.430017008098501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projet'!$B$15,Paramètres!$A$1:$I$88,3,0)*VLOOKUP('Données projet'!$B$15,Paramètres!$A$1:$I$88,5,0)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projet'!$B$15,Paramètres!$A$1:$I$88,3,0)*0.475*44/12</f>
        <v>#N/A</v>
      </c>
      <c r="EW75" s="23" t="e">
        <f>EXP(-LN(2)/25)*EW74+(1-EXP(-LN(2)/25))/(LN(2)/25)*Calculateur!ER75*Calculateur!ET75*VLOOKUP('Données projet'!$B$15,Paramètres!$A$1:$I$88,3,0)*0.475*44/12</f>
        <v>#N/A</v>
      </c>
      <c r="EX75" s="23" t="e">
        <f>EXP(-LN(2)/2)*EX74+(1-EXP(-LN(2)/2))/(LN(2)/2)*ER75*EU75*VLOOKUP('Données projet'!$B$15,Paramètres!$A$1:$I$88,3,0)*0.475*44/12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projet'!$B$16,Paramètres!$A$1:$I$88,3,0)*VLOOKUP('Données projet'!$B$16,Paramètres!$A$1:$I$88,5,0)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projet'!$B$16,Paramètres!$A$1:$I$88,3,0)*0.475*44/12</f>
        <v>#N/A</v>
      </c>
      <c r="FR75" s="23" t="e">
        <f>EXP(-LN(2)/25)*FR74+(1-EXP(-LN(2)/25))/(LN(2)/25)*Calculateur!FM75*Calculateur!FO75*VLOOKUP('Données projet'!$B$16,Paramètres!$A$1:$I$88,3,0)*0.475*44/12</f>
        <v>#N/A</v>
      </c>
      <c r="FS75" s="23" t="e">
        <f>EXP(-LN(2)/2)*FS74+(1-EXP(-LN(2)/2))/(LN(2)/2)*FM75*FP75*VLOOKUP('Données projet'!$B$16,Paramètres!$A$1:$I$88,3,0)*0.475*44/12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projet'!$B$17,Paramètres!$A$1:$I$88,3,0)*VLOOKUP('Données projet'!$B$17,Paramètres!$A$1:$I$88,5,0)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projet'!$B$17,Paramètres!$A$1:$I$88,3,0)*0.475*44/12</f>
        <v>#N/A</v>
      </c>
      <c r="GM75" s="23" t="e">
        <f>EXP(-LN(2)/25)*GM74+(1-EXP(-LN(2)/25))/(LN(2)/25)*Calculateur!GH75*Calculateur!GJ75*VLOOKUP('Données projet'!$B$17,Paramètres!$A$1:$I$88,3,0)*0.475*44/12</f>
        <v>#N/A</v>
      </c>
      <c r="GN75" s="23" t="e">
        <f>EXP(-LN(2)/2)*GN74+(1-EXP(-LN(2)/2))/(LN(2)/2)*GH75*GK75*VLOOKUP('Données projet'!$B$17,Paramètres!$A$1:$I$88,3,0)*0.475*44/12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projet'!$B$18,Paramètres!$A$1:$I$88,3,0)*VLOOKUP('Données projet'!$B$18,Paramètres!$A$1:$I$88,5,0)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projet'!$B$18,Paramètres!$A$1:$I$88,3,0)*0.475*44/12</f>
        <v>#N/A</v>
      </c>
      <c r="HH75" s="23" t="e">
        <f>EXP(-LN(2)/25)*HH74+(1-EXP(-LN(2)/25))/(LN(2)/25)*Calculateur!HC75*Calculateur!HE75*VLOOKUP('Données projet'!$B$18,Paramètres!$A$1:$I$88,3,0)*0.475*44/12</f>
        <v>#N/A</v>
      </c>
      <c r="HI75" s="23" t="e">
        <f>EXP(-LN(2)/2)*HI74+(1-EXP(-LN(2)/2))/(LN(2)/2)*HC75*HF75*VLOOKUP('Données projet'!$B$18,Paramètres!$A$1:$I$88,3,0)*0.475*44/12</f>
        <v>#N/A</v>
      </c>
      <c r="HJ75" s="24" t="e">
        <f t="shared" si="84"/>
        <v>#N/A</v>
      </c>
    </row>
    <row r="76" spans="1:218" s="5" customFormat="1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projet'!$B$9,Paramètres!$A$1:$I$88,3,0)*VLOOKUP('Données projet'!$B$9,Paramètres!$A$1:$I$88,5,0)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267.78278419792287</v>
      </c>
      <c r="S76" s="62">
        <f ca="1">AVERAGE(OFFSET($R$3,0,0,'Données projet'!$E$9+1,1))-AVERAGE(OFFSET($H$3,0,0,'Données projet'!$E$9+1,1))</f>
        <v>301.2688576786212</v>
      </c>
      <c r="T76" s="62">
        <f t="shared" si="88"/>
        <v>417.62172165132927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95.629079265376305</v>
      </c>
      <c r="AA76" s="23">
        <f>EXP(-LN(2)/25)*AA75+(1-EXP(-LN(2)/25))/(LN(2)/25)*Calculateur!V76*Calculateur!X76*VLOOKUP('Données projet'!$B$9,Paramètres!$A$1:$I$88,3,0)*0.475*44/12</f>
        <v>26.292860803372108</v>
      </c>
      <c r="AB76" s="23">
        <f>EXP(-LN(2)/2)*AB75+(1-EXP(-LN(2)/2))/(LN(2)/2)*V76*Y76*VLOOKUP('Données projet'!$B$9,Paramètres!$A$1:$I$88,3,0)*0.475*44/12</f>
        <v>1.0169078667097259E-2</v>
      </c>
      <c r="AC76" s="24">
        <f t="shared" si="57"/>
        <v>121.93210914741552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projet'!$B$10,Paramètres!$A$1:$I$88,3,0)*VLOOKUP('Données projet'!$B$10,Paramètres!$A$1:$I$88,5,0)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170.08673939431091</v>
      </c>
      <c r="AO76" s="62">
        <f t="shared" si="90"/>
        <v>252.97355497077106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projet'!$B$10,Paramètres!$A$1:$I$88,3,0)*0.475*44/12</f>
        <v>39.927768671734249</v>
      </c>
      <c r="AV76" s="23">
        <f>EXP(-LN(2)/25)*AV75+(1-EXP(-LN(2)/25))/(LN(2)/25)*Calculateur!AQ76*Calculateur!AS76*VLOOKUP('Données projet'!$B$10,Paramètres!$A$1:$I$88,3,0)*0.475*44/12</f>
        <v>26.649219017772168</v>
      </c>
      <c r="AW76" s="23">
        <f>EXP(-LN(2)/2)*AW75+(1-EXP(-LN(2)/2))/(LN(2)/2)*AQ76*AT76*VLOOKUP('Données projet'!$B$10,Paramètres!$A$1:$I$88,3,0)*0.475*44/12</f>
        <v>1.3025772230586796E-2</v>
      </c>
      <c r="AX76" s="23">
        <f t="shared" si="60"/>
        <v>66.590013461737001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6.2</v>
      </c>
      <c r="BD76" s="13">
        <f>IF('Données projet'!$A$88&gt;35,BD75+BC76-BL75,IF(A76&lt;'Données projet'!$A$88,$BA$205^A76,IF(A76='Données projet'!$A$88,'Données projet'!$B$88,BD75+BC76-BL75)))</f>
        <v>239.59999999999994</v>
      </c>
      <c r="BE76" s="14">
        <f>BD76*VLOOKUP('Données projet'!$B$11,Paramètres!$A$1:$I$88,3,0)*VLOOKUP('Données projet'!$B$11,Paramètres!$A$1:$I$88,5,0)</f>
        <v>216.79007999999996</v>
      </c>
      <c r="BF76" s="14">
        <f t="shared" si="91"/>
        <v>53.416629794462551</v>
      </c>
      <c r="BG76" s="22">
        <f t="shared" si="61"/>
        <v>470.61001955868886</v>
      </c>
      <c r="BH76" s="62">
        <f t="shared" si="62"/>
        <v>738.39280375661065</v>
      </c>
      <c r="BI76" s="62">
        <f ca="1">AVERAGE(OFFSET($BH$3,0,0,'Données projet'!$E$11+1,1))-AVERAGE(OFFSET($H$3,0,0,'Données projet'!$E$11+1,1))</f>
        <v>362.63718589694594</v>
      </c>
      <c r="BJ76" s="62">
        <f t="shared" si="92"/>
        <v>250.47702091764884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projet'!$B$11,Paramètres!$A$1:$I$88,3,0)*0.475*44/12</f>
        <v>15.724381889010891</v>
      </c>
      <c r="BQ76" s="23">
        <f>EXP(-LN(2)/25)*BQ75+(1-EXP(-LN(2)/25))/(LN(2)/25)*Calculateur!BL76*Calculateur!BN76*VLOOKUP('Données projet'!$B$11,Paramètres!$A$1:$I$88,3,0)*0.475*44/12</f>
        <v>0</v>
      </c>
      <c r="BR76" s="23">
        <f>EXP(-LN(2)/2)*BR75+(1-EXP(-LN(2)/2))/(LN(2)/2)*BL76*BO76*VLOOKUP('Données projet'!$B$11,Paramètres!$A$1:$I$88,3,0)*0.475*44/12</f>
        <v>0</v>
      </c>
      <c r="BS76" s="24">
        <f t="shared" si="63"/>
        <v>15.724381889010891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6.2</v>
      </c>
      <c r="BY76" s="13">
        <f>IF('Données projet'!$A$114&gt;35,BY75+BX76-CG75,IF(A76&lt;'Données projet'!$A$114,$BV$205^A76,IF(A76='Données projet'!$A$114,'Données projet'!$B$114,BY75+BX76-CG75)))</f>
        <v>239.59999999999994</v>
      </c>
      <c r="BZ76" s="14">
        <f>BY76*VLOOKUP('Données projet'!$B$12,Paramètres!$A$1:$I$88,3,0)*VLOOKUP('Données projet'!$B$12,Paramètres!$A$1:$I$88,5,0)</f>
        <v>242.95439999999994</v>
      </c>
      <c r="CA76" s="14">
        <f t="shared" si="93"/>
        <v>59.074730698078945</v>
      </c>
      <c r="CB76" s="22">
        <f t="shared" si="64"/>
        <v>526.034069299154</v>
      </c>
      <c r="CC76" s="62">
        <f t="shared" si="65"/>
        <v>793.81685349707573</v>
      </c>
      <c r="CD76" s="62">
        <f ca="1">AVERAGE(OFFSET($CC$3,0,0,'Données projet'!$E$12+1,1))-AVERAGE(OFFSET($H$3,0,0,'Données projet'!$E$12+1,1))</f>
        <v>398.14524781940196</v>
      </c>
      <c r="CE76" s="62">
        <f t="shared" si="94"/>
        <v>273.35778700650792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projet'!$B$12,Paramètres!$A$1:$I$88,3,0)*0.475*44/12</f>
        <v>17.622152116994968</v>
      </c>
      <c r="CL76" s="23">
        <f>EXP(-LN(2)/25)*CL75+(1-EXP(-LN(2)/25))/(LN(2)/25)*Calculateur!CG76*Calculateur!CI76*VLOOKUP('Données projet'!$B$12,Paramètres!$A$1:$I$88,3,0)*0.475*44/12</f>
        <v>0</v>
      </c>
      <c r="CM76" s="23">
        <f>EXP(-LN(2)/2)*CM75+(1-EXP(-LN(2)/2))/(LN(2)/2)*CG76*CJ76*VLOOKUP('Données projet'!$B$12,Paramètres!$A$1:$I$88,3,0)*0.475*44/12</f>
        <v>0</v>
      </c>
      <c r="CN76" s="24">
        <f t="shared" si="66"/>
        <v>17.622152116994968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8</v>
      </c>
      <c r="CT76" s="13">
        <f>IF('Données projet'!$A$140&gt;35,CT75+CS76-DB75,IF(A76&lt;'Données projet'!$A$140,$CQ$205^A76,IF(A76='Données projet'!$A$140,'Données projet'!$B$140,CT75+CS76-DB75)))</f>
        <v>319</v>
      </c>
      <c r="CU76" s="18">
        <f>CT76*VLOOKUP('Données projet'!$B$13,Paramètres!$A$1:$I$88,3,0)*VLOOKUP('Données projet'!$B$13,Paramètres!$A$1:$I$88,5,0)</f>
        <v>303.56040000000002</v>
      </c>
      <c r="CV76" s="14">
        <f t="shared" si="95"/>
        <v>71.922346785614735</v>
      </c>
      <c r="CW76" s="22">
        <f t="shared" si="67"/>
        <v>653.96578398494569</v>
      </c>
      <c r="CX76" s="62">
        <f t="shared" si="68"/>
        <v>921.74856818286753</v>
      </c>
      <c r="CY76" s="62">
        <f ca="1">AVERAGE(OFFSET($CX$3,0,0,'Données projet'!$E$13+1,1))-AVERAGE(OFFSET($H$3,0,0,'Données projet'!$E$13+1,1))</f>
        <v>470.0521927195926</v>
      </c>
      <c r="CZ76" s="62">
        <f t="shared" si="96"/>
        <v>299.27200854723435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projet'!$B$13,Paramètres!$A$1:$I$88,3,0)*0.475*44/12</f>
        <v>16.53771198671835</v>
      </c>
      <c r="DG76" s="23">
        <f>EXP(-LN(2)/25)*DG75+(1-EXP(-LN(2)/25))/(LN(2)/25)*Calculateur!DB76*Calculateur!DD76*VLOOKUP('Données projet'!$B$13,Paramètres!$A$1:$I$88,3,0)*0.475*44/12</f>
        <v>0</v>
      </c>
      <c r="DH76" s="23">
        <f>EXP(-LN(2)/2)*DH75+(1-EXP(-LN(2)/2))/(LN(2)/2)*DB76*DE76*VLOOKUP('Données projet'!$B$13,Paramètres!$A$1:$I$88,3,0)*0.475*44/12</f>
        <v>0</v>
      </c>
      <c r="DI76" s="24">
        <f t="shared" si="69"/>
        <v>16.53771198671835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5</v>
      </c>
      <c r="DO76" s="13">
        <f>IF('Données projet'!$A$166&gt;35,DO75+DN76-DW75,IF(A76&lt;'Données projet'!$A$166,$DL$205^A76,IF(A76='Données projet'!$A$166,'Données projet'!$B$166,DO75+DN76-DW75)))</f>
        <v>173</v>
      </c>
      <c r="DP76" s="18">
        <f>DO76*VLOOKUP('Données projet'!$B$14,Paramètres!$A$1:$I$88,3,0)*VLOOKUP('Données projet'!$B$14,Paramètres!$A$1:$I$88,5,0)</f>
        <v>167.32560000000001</v>
      </c>
      <c r="DQ76" s="14">
        <f t="shared" si="97"/>
        <v>42.490495297127609</v>
      </c>
      <c r="DR76" s="22">
        <f t="shared" si="70"/>
        <v>365.42969930916388</v>
      </c>
      <c r="DS76" s="62">
        <f t="shared" si="71"/>
        <v>633.21248350708561</v>
      </c>
      <c r="DT76" s="62">
        <f ca="1">AVERAGE(OFFSET($DS$3,0,0,'Données projet'!$E$14+1,1))-AVERAGE(OFFSET($H$3,0,0,'Données projet'!$E$14+1,1))</f>
        <v>290.89727102147953</v>
      </c>
      <c r="DU76" s="62">
        <f t="shared" si="98"/>
        <v>173.19148969173838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projet'!$B$14,Paramètres!$A$1:$I$88,3,0)*0.475*44/12</f>
        <v>11.205881346191674</v>
      </c>
      <c r="EB76" s="23">
        <f>EXP(-LN(2)/25)*EB75+(1-EXP(-LN(2)/25))/(LN(2)/25)*Calculateur!DW76*Calculateur!DY76*VLOOKUP('Données projet'!$B$14,Paramètres!$A$1:$I$88,3,0)*0.475*44/12</f>
        <v>0</v>
      </c>
      <c r="EC76" s="23">
        <f>EXP(-LN(2)/2)*EC75+(1-EXP(-LN(2)/2))/(LN(2)/2)*DW76*DZ76*VLOOKUP('Données projet'!$B$14,Paramètres!$A$1:$I$88,3,0)*0.475*44/12</f>
        <v>0</v>
      </c>
      <c r="ED76" s="24">
        <f t="shared" si="72"/>
        <v>11.205881346191674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projet'!$B$15,Paramètres!$A$1:$I$88,3,0)*VLOOKUP('Données projet'!$B$15,Paramètres!$A$1:$I$88,5,0)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projet'!$B$15,Paramètres!$A$1:$I$88,3,0)*0.475*44/12</f>
        <v>#N/A</v>
      </c>
      <c r="EW76" s="23" t="e">
        <f>EXP(-LN(2)/25)*EW75+(1-EXP(-LN(2)/25))/(LN(2)/25)*Calculateur!ER76*Calculateur!ET76*VLOOKUP('Données projet'!$B$15,Paramètres!$A$1:$I$88,3,0)*0.475*44/12</f>
        <v>#N/A</v>
      </c>
      <c r="EX76" s="23" t="e">
        <f>EXP(-LN(2)/2)*EX75+(1-EXP(-LN(2)/2))/(LN(2)/2)*ER76*EU76*VLOOKUP('Données projet'!$B$15,Paramètres!$A$1:$I$88,3,0)*0.475*44/12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projet'!$B$16,Paramètres!$A$1:$I$88,3,0)*VLOOKUP('Données projet'!$B$16,Paramètres!$A$1:$I$88,5,0)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projet'!$B$16,Paramètres!$A$1:$I$88,3,0)*0.475*44/12</f>
        <v>#N/A</v>
      </c>
      <c r="FR76" s="23" t="e">
        <f>EXP(-LN(2)/25)*FR75+(1-EXP(-LN(2)/25))/(LN(2)/25)*Calculateur!FM76*Calculateur!FO76*VLOOKUP('Données projet'!$B$16,Paramètres!$A$1:$I$88,3,0)*0.475*44/12</f>
        <v>#N/A</v>
      </c>
      <c r="FS76" s="23" t="e">
        <f>EXP(-LN(2)/2)*FS75+(1-EXP(-LN(2)/2))/(LN(2)/2)*FM76*FP76*VLOOKUP('Données projet'!$B$16,Paramètres!$A$1:$I$88,3,0)*0.475*44/12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projet'!$B$17,Paramètres!$A$1:$I$88,3,0)*VLOOKUP('Données projet'!$B$17,Paramètres!$A$1:$I$88,5,0)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projet'!$B$17,Paramètres!$A$1:$I$88,3,0)*0.475*44/12</f>
        <v>#N/A</v>
      </c>
      <c r="GM76" s="23" t="e">
        <f>EXP(-LN(2)/25)*GM75+(1-EXP(-LN(2)/25))/(LN(2)/25)*Calculateur!GH76*Calculateur!GJ76*VLOOKUP('Données projet'!$B$17,Paramètres!$A$1:$I$88,3,0)*0.475*44/12</f>
        <v>#N/A</v>
      </c>
      <c r="GN76" s="23" t="e">
        <f>EXP(-LN(2)/2)*GN75+(1-EXP(-LN(2)/2))/(LN(2)/2)*GH76*GK76*VLOOKUP('Données projet'!$B$17,Paramètres!$A$1:$I$88,3,0)*0.475*44/12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projet'!$B$18,Paramètres!$A$1:$I$88,3,0)*VLOOKUP('Données projet'!$B$18,Paramètres!$A$1:$I$88,5,0)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projet'!$B$18,Paramètres!$A$1:$I$88,3,0)*0.475*44/12</f>
        <v>#N/A</v>
      </c>
      <c r="HH76" s="23" t="e">
        <f>EXP(-LN(2)/25)*HH75+(1-EXP(-LN(2)/25))/(LN(2)/25)*Calculateur!HC76*Calculateur!HE76*VLOOKUP('Données projet'!$B$18,Paramètres!$A$1:$I$88,3,0)*0.475*44/12</f>
        <v>#N/A</v>
      </c>
      <c r="HI76" s="23" t="e">
        <f>EXP(-LN(2)/2)*HI75+(1-EXP(-LN(2)/2))/(LN(2)/2)*HC76*HF76*VLOOKUP('Données projet'!$B$18,Paramètres!$A$1:$I$88,3,0)*0.475*44/12</f>
        <v>#N/A</v>
      </c>
      <c r="HJ76" s="24" t="e">
        <f t="shared" si="84"/>
        <v>#N/A</v>
      </c>
    </row>
    <row r="77" spans="1:218" s="5" customFormat="1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projet'!$B$9,Paramètres!$A$1:$I$88,3,0)*VLOOKUP('Données projet'!$B$9,Paramètres!$A$1:$I$88,5,0)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268.22602910295194</v>
      </c>
      <c r="S77" s="62">
        <f ca="1">AVERAGE(OFFSET($R$3,0,0,'Données projet'!$E$9+1,1))-AVERAGE(OFFSET($H$3,0,0,'Données projet'!$E$9+1,1))</f>
        <v>301.2688576786212</v>
      </c>
      <c r="T77" s="62">
        <f t="shared" si="88"/>
        <v>417.62172165132927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projet'!$B$9,Paramètres!$A$1:$I$88,7,0))</f>
        <v>0</v>
      </c>
      <c r="X77" s="17">
        <f>IF(ISNA(VLOOKUP(A77,'Données projet'!$A$35:$I$55,6,0)),0%,VLOOKUP(A77,'Données projet'!$A$35:$I$55,6,0)*VLOOKUP('Données projet'!$B$9,Paramètres!$A$1:$I$88,7,0))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93.75385134896122</v>
      </c>
      <c r="AA77" s="23">
        <f>EXP(-LN(2)/25)*AA76+(1-EXP(-LN(2)/25))/(LN(2)/25)*Calculateur!V77*Calculateur!X77*VLOOKUP('Données projet'!$B$9,Paramètres!$A$1:$I$88,3,0)*0.475*44/12</f>
        <v>25.57388114202244</v>
      </c>
      <c r="AB77" s="23">
        <f>EXP(-LN(2)/2)*AB76+(1-EXP(-LN(2)/2))/(LN(2)/2)*V77*Y77*VLOOKUP('Données projet'!$B$9,Paramètres!$A$1:$I$88,3,0)*0.475*44/12</f>
        <v>7.1906244839239301E-3</v>
      </c>
      <c r="AC77" s="24">
        <f t="shared" si="57"/>
        <v>119.33492311546759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projet'!$B$10,Paramètres!$A$1:$I$88,3,0)*VLOOKUP('Données projet'!$B$10,Paramètres!$A$1:$I$88,5,0)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170.08673939431091</v>
      </c>
      <c r="AO77" s="62">
        <f t="shared" si="90"/>
        <v>252.97355497077106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projet'!$B$10,Paramètres!$A$1:$I$88,3,0)*0.475*44/12</f>
        <v>39.144809481615717</v>
      </c>
      <c r="AV77" s="23">
        <f>EXP(-LN(2)/25)*AV76+(1-EXP(-LN(2)/25))/(LN(2)/25)*Calculateur!AQ77*Calculateur!AS77*VLOOKUP('Données projet'!$B$10,Paramètres!$A$1:$I$88,3,0)*0.475*44/12</f>
        <v>25.920494722309666</v>
      </c>
      <c r="AW77" s="23">
        <f>EXP(-LN(2)/2)*AW76+(1-EXP(-LN(2)/2))/(LN(2)/2)*AQ77*AT77*VLOOKUP('Données projet'!$B$10,Paramètres!$A$1:$I$88,3,0)*0.475*44/12</f>
        <v>9.2106118744393443E-3</v>
      </c>
      <c r="AX77" s="23">
        <f t="shared" si="60"/>
        <v>65.074514815799816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6.2</v>
      </c>
      <c r="BD77" s="13">
        <f>IF('Données projet'!$A$88&gt;35,BD76+BC77-BL76,IF(A77&lt;'Données projet'!$A$88,$BA$205^A77,IF(A77='Données projet'!$A$88,'Données projet'!$B$88,BD76+BC77-BL76)))</f>
        <v>245.79999999999993</v>
      </c>
      <c r="BE77" s="14">
        <f>BD77*VLOOKUP('Données projet'!$B$11,Paramètres!$A$1:$I$88,3,0)*VLOOKUP('Données projet'!$B$11,Paramètres!$A$1:$I$88,5,0)</f>
        <v>222.3998399999999</v>
      </c>
      <c r="BF77" s="14">
        <f t="shared" si="91"/>
        <v>54.636149281681448</v>
      </c>
      <c r="BG77" s="22">
        <f t="shared" si="61"/>
        <v>482.50434799892832</v>
      </c>
      <c r="BH77" s="62">
        <f t="shared" si="62"/>
        <v>750.73037710187918</v>
      </c>
      <c r="BI77" s="62">
        <f ca="1">AVERAGE(OFFSET($BH$3,0,0,'Données projet'!$E$11+1,1))-AVERAGE(OFFSET($H$3,0,0,'Données projet'!$E$11+1,1))</f>
        <v>362.63718589694594</v>
      </c>
      <c r="BJ77" s="62">
        <f t="shared" si="92"/>
        <v>250.47702091764884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projet'!$B$11,Paramètres!$A$1:$I$88,7,0))</f>
        <v>0</v>
      </c>
      <c r="BN77" s="17">
        <f>IF(ISNA(VLOOKUP(A77,'Données projet'!$A$87:$I$107,6,0)),0%,VLOOKUP(A77,'Données projet'!$A$87:$I$107,6,0)*VLOOKUP('Données projet'!$B$11,Paramètres!$A$1:$I$88,7,0))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projet'!$B$11,Paramètres!$A$1:$I$88,3,0)*0.475*44/12</f>
        <v>15.416036351093314</v>
      </c>
      <c r="BQ77" s="23">
        <f>EXP(-LN(2)/25)*BQ76+(1-EXP(-LN(2)/25))/(LN(2)/25)*Calculateur!BL77*Calculateur!BN77*VLOOKUP('Données projet'!$B$11,Paramètres!$A$1:$I$88,3,0)*0.475*44/12</f>
        <v>0</v>
      </c>
      <c r="BR77" s="23">
        <f>EXP(-LN(2)/2)*BR76+(1-EXP(-LN(2)/2))/(LN(2)/2)*BL77*BO77*VLOOKUP('Données projet'!$B$11,Paramètres!$A$1:$I$88,3,0)*0.475*44/12</f>
        <v>0</v>
      </c>
      <c r="BS77" s="24">
        <f t="shared" si="63"/>
        <v>15.416036351093314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6.2</v>
      </c>
      <c r="BY77" s="13">
        <f>IF('Données projet'!$A$114&gt;35,BY76+BX77-CG76,IF(A77&lt;'Données projet'!$A$114,$BV$205^A77,IF(A77='Données projet'!$A$114,'Données projet'!$B$114,BY76+BX77-CG76)))</f>
        <v>245.79999999999993</v>
      </c>
      <c r="BZ77" s="14">
        <f>BY77*VLOOKUP('Données projet'!$B$12,Paramètres!$A$1:$I$88,3,0)*VLOOKUP('Données projet'!$B$12,Paramètres!$A$1:$I$88,5,0)</f>
        <v>249.24119999999994</v>
      </c>
      <c r="CA77" s="14">
        <f t="shared" si="93"/>
        <v>60.42342651744692</v>
      </c>
      <c r="CB77" s="22">
        <f t="shared" si="64"/>
        <v>539.33255785121992</v>
      </c>
      <c r="CC77" s="62">
        <f t="shared" si="65"/>
        <v>807.55858695417078</v>
      </c>
      <c r="CD77" s="62">
        <f ca="1">AVERAGE(OFFSET($CC$3,0,0,'Données projet'!$E$12+1,1))-AVERAGE(OFFSET($H$3,0,0,'Données projet'!$E$12+1,1))</f>
        <v>398.14524781940196</v>
      </c>
      <c r="CE77" s="62">
        <f t="shared" si="94"/>
        <v>273.35778700650792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projet'!$B$12,Paramètres!$A$1:$I$88,7,0))</f>
        <v>0</v>
      </c>
      <c r="CI77" s="17">
        <f>IF(ISNA(VLOOKUP(A77,'Données projet'!$A$113:$I$133,6,0)),0%,VLOOKUP(A77,'Données projet'!$A$113:$I$133,6,0)*VLOOKUP('Données projet'!$B$12,Paramètres!$A$1:$I$88,7,0))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projet'!$B$12,Paramètres!$A$1:$I$88,3,0)*0.475*44/12</f>
        <v>17.276592462432166</v>
      </c>
      <c r="CL77" s="23">
        <f>EXP(-LN(2)/25)*CL76+(1-EXP(-LN(2)/25))/(LN(2)/25)*Calculateur!CG77*Calculateur!CI77*VLOOKUP('Données projet'!$B$12,Paramètres!$A$1:$I$88,3,0)*0.475*44/12</f>
        <v>0</v>
      </c>
      <c r="CM77" s="23">
        <f>EXP(-LN(2)/2)*CM76+(1-EXP(-LN(2)/2))/(LN(2)/2)*CG77*CJ77*VLOOKUP('Données projet'!$B$12,Paramètres!$A$1:$I$88,3,0)*0.475*44/12</f>
        <v>0</v>
      </c>
      <c r="CN77" s="24">
        <f t="shared" si="66"/>
        <v>17.276592462432166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8</v>
      </c>
      <c r="CT77" s="13">
        <f>IF('Données projet'!$A$140&gt;35,CT76+CS77-DB76,IF(A77&lt;'Données projet'!$A$140,$CQ$205^A77,IF(A77='Données projet'!$A$140,'Données projet'!$B$140,CT76+CS77-DB76)))</f>
        <v>327</v>
      </c>
      <c r="CU77" s="18">
        <f>CT77*VLOOKUP('Données projet'!$B$13,Paramètres!$A$1:$I$88,3,0)*VLOOKUP('Données projet'!$B$13,Paramètres!$A$1:$I$88,5,0)</f>
        <v>311.17320000000001</v>
      </c>
      <c r="CV77" s="14">
        <f t="shared" si="95"/>
        <v>73.513787136471009</v>
      </c>
      <c r="CW77" s="22">
        <f t="shared" si="67"/>
        <v>669.99650259602038</v>
      </c>
      <c r="CX77" s="62">
        <f t="shared" si="68"/>
        <v>938.22253169897124</v>
      </c>
      <c r="CY77" s="62">
        <f ca="1">AVERAGE(OFFSET($CX$3,0,0,'Données projet'!$E$13+1,1))-AVERAGE(OFFSET($H$3,0,0,'Données projet'!$E$13+1,1))</f>
        <v>470.0521927195926</v>
      </c>
      <c r="CZ77" s="62">
        <f t="shared" si="96"/>
        <v>299.27200854723435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projet'!$B$13,Paramètres!$A$1:$I$88,3,0)*0.475*44/12</f>
        <v>16.213417541667106</v>
      </c>
      <c r="DG77" s="23">
        <f>EXP(-LN(2)/25)*DG76+(1-EXP(-LN(2)/25))/(LN(2)/25)*Calculateur!DB77*Calculateur!DD77*VLOOKUP('Données projet'!$B$13,Paramètres!$A$1:$I$88,3,0)*0.475*44/12</f>
        <v>0</v>
      </c>
      <c r="DH77" s="23">
        <f>EXP(-LN(2)/2)*DH76+(1-EXP(-LN(2)/2))/(LN(2)/2)*DB77*DE77*VLOOKUP('Données projet'!$B$13,Paramètres!$A$1:$I$88,3,0)*0.475*44/12</f>
        <v>0</v>
      </c>
      <c r="DI77" s="24">
        <f t="shared" si="69"/>
        <v>16.213417541667106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5</v>
      </c>
      <c r="DO77" s="13">
        <f>IF('Données projet'!$A$166&gt;35,DO76+DN77-DW76,IF(A77&lt;'Données projet'!$A$166,$DL$205^A77,IF(A77='Données projet'!$A$166,'Données projet'!$B$166,DO76+DN77-DW76)))</f>
        <v>178</v>
      </c>
      <c r="DP77" s="18">
        <f>DO77*VLOOKUP('Données projet'!$B$14,Paramètres!$A$1:$I$88,3,0)*VLOOKUP('Données projet'!$B$14,Paramètres!$A$1:$I$88,5,0)</f>
        <v>172.16159999999999</v>
      </c>
      <c r="DQ77" s="14">
        <f t="shared" si="97"/>
        <v>43.57379349403616</v>
      </c>
      <c r="DR77" s="22">
        <f t="shared" si="70"/>
        <v>375.7391436687796</v>
      </c>
      <c r="DS77" s="62">
        <f t="shared" si="71"/>
        <v>643.96517277173052</v>
      </c>
      <c r="DT77" s="62">
        <f ca="1">AVERAGE(OFFSET($DS$3,0,0,'Données projet'!$E$14+1,1))-AVERAGE(OFFSET($H$3,0,0,'Données projet'!$E$14+1,1))</f>
        <v>290.89727102147953</v>
      </c>
      <c r="DU77" s="62">
        <f t="shared" si="98"/>
        <v>173.19148969173838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projet'!$B$14,Paramètres!$A$1:$I$88,3,0)*0.475*44/12</f>
        <v>10.986140847905585</v>
      </c>
      <c r="EB77" s="23">
        <f>EXP(-LN(2)/25)*EB76+(1-EXP(-LN(2)/25))/(LN(2)/25)*Calculateur!DW77*Calculateur!DY77*VLOOKUP('Données projet'!$B$14,Paramètres!$A$1:$I$88,3,0)*0.475*44/12</f>
        <v>0</v>
      </c>
      <c r="EC77" s="23">
        <f>EXP(-LN(2)/2)*EC76+(1-EXP(-LN(2)/2))/(LN(2)/2)*DW77*DZ77*VLOOKUP('Données projet'!$B$14,Paramètres!$A$1:$I$88,3,0)*0.475*44/12</f>
        <v>0</v>
      </c>
      <c r="ED77" s="24">
        <f t="shared" si="72"/>
        <v>10.986140847905585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projet'!$B$15,Paramètres!$A$1:$I$88,3,0)*VLOOKUP('Données projet'!$B$15,Paramètres!$A$1:$I$88,5,0)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projet'!$B$15,Paramètres!$A$1:$I$88,3,0)*0.475*44/12</f>
        <v>#N/A</v>
      </c>
      <c r="EW77" s="23" t="e">
        <f>EXP(-LN(2)/25)*EW76+(1-EXP(-LN(2)/25))/(LN(2)/25)*Calculateur!ER77*Calculateur!ET77*VLOOKUP('Données projet'!$B$15,Paramètres!$A$1:$I$88,3,0)*0.475*44/12</f>
        <v>#N/A</v>
      </c>
      <c r="EX77" s="23" t="e">
        <f>EXP(-LN(2)/2)*EX76+(1-EXP(-LN(2)/2))/(LN(2)/2)*ER77*EU77*VLOOKUP('Données projet'!$B$15,Paramètres!$A$1:$I$88,3,0)*0.475*44/12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projet'!$B$16,Paramètres!$A$1:$I$88,3,0)*VLOOKUP('Données projet'!$B$16,Paramètres!$A$1:$I$88,5,0)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projet'!$B$16,Paramètres!$A$1:$I$88,3,0)*0.475*44/12</f>
        <v>#N/A</v>
      </c>
      <c r="FR77" s="23" t="e">
        <f>EXP(-LN(2)/25)*FR76+(1-EXP(-LN(2)/25))/(LN(2)/25)*Calculateur!FM77*Calculateur!FO77*VLOOKUP('Données projet'!$B$16,Paramètres!$A$1:$I$88,3,0)*0.475*44/12</f>
        <v>#N/A</v>
      </c>
      <c r="FS77" s="23" t="e">
        <f>EXP(-LN(2)/2)*FS76+(1-EXP(-LN(2)/2))/(LN(2)/2)*FM77*FP77*VLOOKUP('Données projet'!$B$16,Paramètres!$A$1:$I$88,3,0)*0.475*44/12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projet'!$B$17,Paramètres!$A$1:$I$88,3,0)*VLOOKUP('Données projet'!$B$17,Paramètres!$A$1:$I$88,5,0)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projet'!$B$17,Paramètres!$A$1:$I$88,3,0)*0.475*44/12</f>
        <v>#N/A</v>
      </c>
      <c r="GM77" s="23" t="e">
        <f>EXP(-LN(2)/25)*GM76+(1-EXP(-LN(2)/25))/(LN(2)/25)*Calculateur!GH77*Calculateur!GJ77*VLOOKUP('Données projet'!$B$17,Paramètres!$A$1:$I$88,3,0)*0.475*44/12</f>
        <v>#N/A</v>
      </c>
      <c r="GN77" s="23" t="e">
        <f>EXP(-LN(2)/2)*GN76+(1-EXP(-LN(2)/2))/(LN(2)/2)*GH77*GK77*VLOOKUP('Données projet'!$B$17,Paramètres!$A$1:$I$88,3,0)*0.475*44/12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projet'!$B$18,Paramètres!$A$1:$I$88,3,0)*VLOOKUP('Données projet'!$B$18,Paramètres!$A$1:$I$88,5,0)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projet'!$B$18,Paramètres!$A$1:$I$88,3,0)*0.475*44/12</f>
        <v>#N/A</v>
      </c>
      <c r="HH77" s="23" t="e">
        <f>EXP(-LN(2)/25)*HH76+(1-EXP(-LN(2)/25))/(LN(2)/25)*Calculateur!HC77*Calculateur!HE77*VLOOKUP('Données projet'!$B$18,Paramètres!$A$1:$I$88,3,0)*0.475*44/12</f>
        <v>#N/A</v>
      </c>
      <c r="HI77" s="23" t="e">
        <f>EXP(-LN(2)/2)*HI76+(1-EXP(-LN(2)/2))/(LN(2)/2)*HC77*HF77*VLOOKUP('Données projet'!$B$18,Paramètres!$A$1:$I$88,3,0)*0.475*44/12</f>
        <v>#N/A</v>
      </c>
      <c r="HJ77" s="24" t="e">
        <f t="shared" si="84"/>
        <v>#N/A</v>
      </c>
    </row>
    <row r="78" spans="1:218" s="5" customFormat="1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projet'!$B$9,Paramètres!$A$1:$I$88,3,0)*VLOOKUP('Données projet'!$B$9,Paramètres!$A$1:$I$88,5,0)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268.66158469982588</v>
      </c>
      <c r="S78" s="62">
        <f ca="1">AVERAGE(OFFSET($R$3,0,0,'Données projet'!$E$9+1,1))-AVERAGE(OFFSET($H$3,0,0,'Données projet'!$E$9+1,1))</f>
        <v>301.2688576786212</v>
      </c>
      <c r="T78" s="62">
        <f t="shared" si="88"/>
        <v>417.62172165132927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projet'!$B$9,Paramètres!$A$1:$I$88,7,0))</f>
        <v>0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91.915395508210949</v>
      </c>
      <c r="AA78" s="23">
        <f>EXP(-LN(2)/25)*AA77+(1-EXP(-LN(2)/25))/(LN(2)/25)*Calculateur!V78*Calculateur!X78*VLOOKUP('Données projet'!$B$9,Paramètres!$A$1:$I$88,3,0)*0.475*44/12</f>
        <v>24.874562017321878</v>
      </c>
      <c r="AB78" s="23">
        <f>EXP(-LN(2)/2)*AB77+(1-EXP(-LN(2)/2))/(LN(2)/2)*V78*Y78*VLOOKUP('Données projet'!$B$9,Paramètres!$A$1:$I$88,3,0)*0.475*44/12</f>
        <v>5.0845393335486296E-3</v>
      </c>
      <c r="AC78" s="24">
        <f t="shared" si="57"/>
        <v>116.79504206486638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projet'!$B$10,Paramètres!$A$1:$I$88,3,0)*VLOOKUP('Données projet'!$B$10,Paramètres!$A$1:$I$88,5,0)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170.08673939431091</v>
      </c>
      <c r="AO78" s="62">
        <f t="shared" si="90"/>
        <v>252.97355497077106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projet'!$B$10,Paramètres!$A$1:$I$88,7,0))</f>
        <v>0</v>
      </c>
      <c r="AS78" s="17">
        <f>IF(ISNA(VLOOKUP(A78,'Données projet'!$A$61:$I$81,6,0)),0%,VLOOKUP(A78,'Données projet'!$A$61:$I$81,6,0)*VLOOKUP('Données projet'!$B$10,Paramètres!$A$1:$I$88,7,0))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projet'!$B$10,Paramètres!$A$1:$I$88,3,0)*0.475*44/12</f>
        <v>38.37720364365746</v>
      </c>
      <c r="AV78" s="23">
        <f>EXP(-LN(2)/25)*AV77+(1-EXP(-LN(2)/25))/(LN(2)/25)*Calculateur!AQ78*Calculateur!AS78*VLOOKUP('Données projet'!$B$10,Paramètres!$A$1:$I$88,3,0)*0.475*44/12</f>
        <v>25.211697431028533</v>
      </c>
      <c r="AW78" s="23">
        <f>EXP(-LN(2)/2)*AW77+(1-EXP(-LN(2)/2))/(LN(2)/2)*AQ78*AT78*VLOOKUP('Données projet'!$B$10,Paramètres!$A$1:$I$88,3,0)*0.475*44/12</f>
        <v>6.5128861152933979E-3</v>
      </c>
      <c r="AX78" s="23">
        <f t="shared" si="60"/>
        <v>63.595413960801288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252</v>
      </c>
      <c r="BB78" s="13">
        <f>VLOOKUP(A78,'Données projet'!$A$87:$I$107,9,0)</f>
        <v>6.2</v>
      </c>
      <c r="BC78" s="13">
        <f t="array" ref="BC78">INDEX(BB:BB,MIN(IF(ISNUMBER(BB78:BB274),ROW(BB78:BB274),"")))</f>
        <v>6.2</v>
      </c>
      <c r="BD78" s="13">
        <f>IF('Données projet'!$A$88&gt;35,BD77+BC78-BL77,IF(A78&lt;'Données projet'!$A$88,$BA$205^A78,IF(A78='Données projet'!$A$88,'Données projet'!$B$88,BD77+BC78-BL77)))</f>
        <v>251.99999999999991</v>
      </c>
      <c r="BE78" s="14">
        <f>BD78*VLOOKUP('Données projet'!$B$11,Paramètres!$A$1:$I$88,3,0)*VLOOKUP('Données projet'!$B$11,Paramètres!$A$1:$I$88,5,0)</f>
        <v>228.00959999999992</v>
      </c>
      <c r="BF78" s="14">
        <f t="shared" si="91"/>
        <v>55.852093054619829</v>
      </c>
      <c r="BG78" s="22">
        <f t="shared" si="61"/>
        <v>494.3924487367961</v>
      </c>
      <c r="BH78" s="62">
        <f t="shared" si="62"/>
        <v>763.0540334366209</v>
      </c>
      <c r="BI78" s="62">
        <f ca="1">AVERAGE(OFFSET($BH$3,0,0,'Données projet'!$E$11+1,1))-AVERAGE(OFFSET($H$3,0,0,'Données projet'!$E$11+1,1))</f>
        <v>362.63718589694594</v>
      </c>
      <c r="BJ78" s="62">
        <f t="shared" si="92"/>
        <v>250.47702091764884</v>
      </c>
      <c r="BK78" s="16">
        <f>IF(ISNA(VLOOKUP(A78,'Données projet'!$A$87:$I$107,3,0)),0,VLOOKUP(A78,'Données projet'!$A$87:$I$107,3,0))</f>
        <v>12</v>
      </c>
      <c r="BL78" s="16">
        <f>IF(ISNA(VLOOKUP(A78,'Données projet'!$A$87:$I$107,4,0)),0,VLOOKUP(A78,'Données projet'!$A$87:$I$107,4,0))</f>
        <v>21</v>
      </c>
      <c r="BM78" s="17">
        <f>IF(ISNA(VLOOKUP(A78,'Données projet'!$A$87:$I$107,5,0)),0%,VLOOKUP(A78,'Données projet'!$A$87:$I$107,5,0)*VLOOKUP('Données projet'!$B$11,Paramètres!$A$1:$I$88,7,0))</f>
        <v>0.215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projet'!$B$11,Paramètres!$A$1:$I$88,3,0)*0.475*44/12</f>
        <v>19.629773922399476</v>
      </c>
      <c r="BQ78" s="23">
        <f>EXP(-LN(2)/25)*BQ77+(1-EXP(-LN(2)/25))/(LN(2)/25)*Calculateur!BL78*Calculateur!BN78*VLOOKUP('Données projet'!$B$11,Paramètres!$A$1:$I$88,3,0)*0.475*44/12</f>
        <v>0</v>
      </c>
      <c r="BR78" s="23">
        <f>EXP(-LN(2)/2)*BR77+(1-EXP(-LN(2)/2))/(LN(2)/2)*BL78*BO78*VLOOKUP('Données projet'!$B$11,Paramètres!$A$1:$I$88,3,0)*0.475*44/12</f>
        <v>0</v>
      </c>
      <c r="BS78" s="24">
        <f t="shared" si="63"/>
        <v>19.629773922399476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252</v>
      </c>
      <c r="BW78" s="13">
        <f>VLOOKUP(A78,'Données projet'!$A$113:$I$133,9,0)</f>
        <v>6.2</v>
      </c>
      <c r="BX78" s="13">
        <f t="array" ref="BX78">INDEX(BW:BW,MIN(IF(ISNUMBER(BW78:BW274),ROW(BW78:BW274),"")))</f>
        <v>6.2</v>
      </c>
      <c r="BY78" s="13">
        <f>IF('Données projet'!$A$114&gt;35,BY77+BX78-CG77,IF(A78&lt;'Données projet'!$A$114,$BV$205^A78,IF(A78='Données projet'!$A$114,'Données projet'!$B$114,BY77+BX78-CG77)))</f>
        <v>251.99999999999991</v>
      </c>
      <c r="BZ78" s="14">
        <f>BY78*VLOOKUP('Données projet'!$B$12,Paramètres!$A$1:$I$88,3,0)*VLOOKUP('Données projet'!$B$12,Paramètres!$A$1:$I$88,5,0)</f>
        <v>255.52799999999993</v>
      </c>
      <c r="CA78" s="14">
        <f t="shared" si="93"/>
        <v>61.768167868721477</v>
      </c>
      <c r="CB78" s="22">
        <f t="shared" si="64"/>
        <v>552.62415903802309</v>
      </c>
      <c r="CC78" s="62">
        <f t="shared" si="65"/>
        <v>821.28574373784795</v>
      </c>
      <c r="CD78" s="62">
        <f ca="1">AVERAGE(OFFSET($CC$3,0,0,'Données projet'!$E$12+1,1))-AVERAGE(OFFSET($H$3,0,0,'Données projet'!$E$12+1,1))</f>
        <v>398.14524781940196</v>
      </c>
      <c r="CE78" s="62">
        <f t="shared" si="94"/>
        <v>273.35778700650792</v>
      </c>
      <c r="CF78" s="16">
        <f>IF(ISNA(VLOOKUP(A78,'Données projet'!$A$113:$I$133,3,0)),0,VLOOKUP(A78,'Données projet'!$A$113:$I$133,3,0))</f>
        <v>12</v>
      </c>
      <c r="CG78" s="16">
        <f>IF(ISNA(VLOOKUP(A78,'Données projet'!$A$113:$I$133,4,0)),0,VLOOKUP(A78,'Données projet'!$A$113:$I$133,4,0))</f>
        <v>21</v>
      </c>
      <c r="CH78" s="17">
        <f>IF(ISNA(VLOOKUP(A78,'Données projet'!$A$113:$I$133,5,0)),0%,VLOOKUP(A78,'Données projet'!$A$113:$I$133,5,0)*VLOOKUP('Données projet'!$B$12,Paramètres!$A$1:$I$88,7,0))</f>
        <v>0.215</v>
      </c>
      <c r="CI78" s="17">
        <f>IF(ISNA(VLOOKUP(A78,'Données projet'!$A$113:$I$133,6,0)),0%,VLOOKUP(A78,'Données projet'!$A$113:$I$133,6,0)*VLOOKUP('Données projet'!$B$12,Paramètres!$A$1:$I$88,7,0))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projet'!$B$12,Paramètres!$A$1:$I$88,3,0)*0.475*44/12</f>
        <v>21.998884568206311</v>
      </c>
      <c r="CL78" s="23">
        <f>EXP(-LN(2)/25)*CL77+(1-EXP(-LN(2)/25))/(LN(2)/25)*Calculateur!CG78*Calculateur!CI78*VLOOKUP('Données projet'!$B$12,Paramètres!$A$1:$I$88,3,0)*0.475*44/12</f>
        <v>0</v>
      </c>
      <c r="CM78" s="23">
        <f>EXP(-LN(2)/2)*CM77+(1-EXP(-LN(2)/2))/(LN(2)/2)*CG78*CJ78*VLOOKUP('Données projet'!$B$12,Paramètres!$A$1:$I$88,3,0)*0.475*44/12</f>
        <v>0</v>
      </c>
      <c r="CN78" s="24">
        <f t="shared" si="66"/>
        <v>21.998884568206311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335</v>
      </c>
      <c r="CR78" s="13">
        <f>VLOOKUP(A78,'Données projet'!$A$139:$I$159,9,0)</f>
        <v>8</v>
      </c>
      <c r="CS78" s="13">
        <f t="array" ref="CS78">INDEX(CR:CR,MIN(IF(ISNUMBER(CR78:CR274),ROW(CR78:CR274),"")))</f>
        <v>8</v>
      </c>
      <c r="CT78" s="13">
        <f>IF('Données projet'!$A$140&gt;35,CT77+CS78-DB77,IF(A78&lt;'Données projet'!$A$140,$CQ$205^A78,IF(A78='Données projet'!$A$140,'Données projet'!$B$140,CT77+CS78-DB77)))</f>
        <v>335</v>
      </c>
      <c r="CU78" s="18">
        <f>CT78*VLOOKUP('Données projet'!$B$13,Paramètres!$A$1:$I$88,3,0)*VLOOKUP('Données projet'!$B$13,Paramètres!$A$1:$I$88,5,0)</f>
        <v>318.786</v>
      </c>
      <c r="CV78" s="14">
        <f t="shared" si="95"/>
        <v>75.10070150198348</v>
      </c>
      <c r="CW78" s="22">
        <f t="shared" si="67"/>
        <v>686.01933844928772</v>
      </c>
      <c r="CX78" s="62">
        <f t="shared" si="68"/>
        <v>954.68092314911246</v>
      </c>
      <c r="CY78" s="62">
        <f ca="1">AVERAGE(OFFSET($CX$3,0,0,'Données projet'!$E$13+1,1))-AVERAGE(OFFSET($H$3,0,0,'Données projet'!$E$13+1,1))</f>
        <v>470.0521927195926</v>
      </c>
      <c r="CZ78" s="62">
        <f t="shared" si="96"/>
        <v>299.27200854723435</v>
      </c>
      <c r="DA78" s="16">
        <f>IF(ISNA(VLOOKUP(A78,'Données projet'!$A$139:$I$159,3,0)),0,VLOOKUP(A78,'Données projet'!$A$139:$I$159,3,0))</f>
        <v>12</v>
      </c>
      <c r="DB78" s="16">
        <f>IF(ISNA(VLOOKUP(A78,'Données projet'!$A$139:$I$159,4,0)),0,VLOOKUP(A78,'Données projet'!$A$139:$I$159,4,0))</f>
        <v>21</v>
      </c>
      <c r="DC78" s="17">
        <f>IF(ISNA(VLOOKUP(A78,'Données projet'!$A$139:$I$159,5,0)),0%,VLOOKUP(A78,'Données projet'!$A$139:$I$159,5,0)*VLOOKUP('Données projet'!$B$13,Paramètres!$A$1:$I$88,7,0))</f>
        <v>0.215</v>
      </c>
      <c r="DD78" s="17">
        <f>IF(ISNA(VLOOKUP(A78,'Données projet'!$A$139:$I$159,6,0)),0%,VLOOKUP(A78,'Données projet'!$A$139:$I$159,6,0)*VLOOKUP('Données projet'!$B$13,Paramètres!$A$1:$I$88,7,0))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projet'!$B$13,Paramètres!$A$1:$I$88,3,0)*0.475*44/12</f>
        <v>20.645107056316686</v>
      </c>
      <c r="DG78" s="23">
        <f>EXP(-LN(2)/25)*DG77+(1-EXP(-LN(2)/25))/(LN(2)/25)*Calculateur!DB78*Calculateur!DD78*VLOOKUP('Données projet'!$B$13,Paramètres!$A$1:$I$88,3,0)*0.475*44/12</f>
        <v>0</v>
      </c>
      <c r="DH78" s="23">
        <f>EXP(-LN(2)/2)*DH77+(1-EXP(-LN(2)/2))/(LN(2)/2)*DB78*DE78*VLOOKUP('Données projet'!$B$13,Paramètres!$A$1:$I$88,3,0)*0.475*44/12</f>
        <v>0</v>
      </c>
      <c r="DI78" s="24">
        <f t="shared" si="69"/>
        <v>20.645107056316686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183</v>
      </c>
      <c r="DM78" s="13">
        <f>VLOOKUP(A78,'Données projet'!$A$165:$I$185,9,0)</f>
        <v>5</v>
      </c>
      <c r="DN78" s="13">
        <f t="array" ref="DN78">INDEX(DM:DM,MIN(IF(ISNUMBER(DM78:DM274),ROW(DM78:DM274),"")))</f>
        <v>5</v>
      </c>
      <c r="DO78" s="13">
        <f>IF('Données projet'!$A$166&gt;35,DO77+DN78-DW77,IF(A78&lt;'Données projet'!$A$166,$DL$205^A78,IF(A78='Données projet'!$A$166,'Données projet'!$B$166,DO77+DN78-DW77)))</f>
        <v>183</v>
      </c>
      <c r="DP78" s="18">
        <f>DO78*VLOOKUP('Données projet'!$B$14,Paramètres!$A$1:$I$88,3,0)*VLOOKUP('Données projet'!$B$14,Paramètres!$A$1:$I$88,5,0)</f>
        <v>176.99760000000001</v>
      </c>
      <c r="DQ78" s="14">
        <f t="shared" si="97"/>
        <v>44.653554963834047</v>
      </c>
      <c r="DR78" s="22">
        <f t="shared" si="70"/>
        <v>386.04242822867764</v>
      </c>
      <c r="DS78" s="62">
        <f t="shared" si="71"/>
        <v>654.70401292850238</v>
      </c>
      <c r="DT78" s="62">
        <f ca="1">AVERAGE(OFFSET($DS$3,0,0,'Données projet'!$E$14+1,1))-AVERAGE(OFFSET($H$3,0,0,'Données projet'!$E$14+1,1))</f>
        <v>290.89727102147953</v>
      </c>
      <c r="DU78" s="62">
        <f t="shared" si="98"/>
        <v>173.19148969173838</v>
      </c>
      <c r="DV78" s="16">
        <f>IF(ISNA(VLOOKUP(A78,'Données projet'!$A$165:$I$185,3,0)),0,VLOOKUP(A78,'Données projet'!$A$165:$I$185,3,0))</f>
        <v>12</v>
      </c>
      <c r="DW78" s="16">
        <f>IF(ISNA(VLOOKUP(A78,'Données projet'!$A$165:$I$185,4,0)),0,VLOOKUP(A78,'Données projet'!$A$165:$I$185,4,0))</f>
        <v>14</v>
      </c>
      <c r="DX78" s="17">
        <f>IF(ISNA(VLOOKUP(A78,'Données projet'!$A$165:$I$185,5,0)),0%,VLOOKUP(A78,'Données projet'!$A$165:$I$185,5,0)*VLOOKUP('Données projet'!$B$14,Paramètres!$A$1:$I$88,7,0))</f>
        <v>0.215</v>
      </c>
      <c r="DY78" s="17">
        <f>IF(ISNA(VLOOKUP(A78,'Données projet'!$A$165:$I$185,6,0)),0%,VLOOKUP(A78,'Données projet'!$A$165:$I$185,6,0)*VLOOKUP('Données projet'!$B$14,Paramètres!$A$1:$I$88,7,0))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projet'!$B$14,Paramètres!$A$1:$I$88,3,0)*0.475*44/12</f>
        <v>13.989034289526067</v>
      </c>
      <c r="EB78" s="23">
        <f>EXP(-LN(2)/25)*EB77+(1-EXP(-LN(2)/25))/(LN(2)/25)*Calculateur!DW78*Calculateur!DY78*VLOOKUP('Données projet'!$B$14,Paramètres!$A$1:$I$88,3,0)*0.475*44/12</f>
        <v>0</v>
      </c>
      <c r="EC78" s="23">
        <f>EXP(-LN(2)/2)*EC77+(1-EXP(-LN(2)/2))/(LN(2)/2)*DW78*DZ78*VLOOKUP('Données projet'!$B$14,Paramètres!$A$1:$I$88,3,0)*0.475*44/12</f>
        <v>0</v>
      </c>
      <c r="ED78" s="24">
        <f t="shared" si="72"/>
        <v>13.989034289526067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projet'!$B$15,Paramètres!$A$1:$I$88,3,0)*VLOOKUP('Données projet'!$B$15,Paramètres!$A$1:$I$88,5,0)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projet'!$B$15,Paramètres!$A$1:$I$88,7,0))</f>
        <v>0</v>
      </c>
      <c r="ET78" s="17">
        <f>IF(ISNA(VLOOKUP(A78,'Données projet'!$A$191:$I$211,6,0)),0%,VLOOKUP(A78,'Données projet'!$A$191:$I$211,6,0)*VLOOKUP('Données projet'!$B$15,Paramètres!$A$1:$I$88,7,0))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projet'!$B$15,Paramètres!$A$1:$I$88,3,0)*0.475*44/12</f>
        <v>#N/A</v>
      </c>
      <c r="EW78" s="23" t="e">
        <f>EXP(-LN(2)/25)*EW77+(1-EXP(-LN(2)/25))/(LN(2)/25)*Calculateur!ER78*Calculateur!ET78*VLOOKUP('Données projet'!$B$15,Paramètres!$A$1:$I$88,3,0)*0.475*44/12</f>
        <v>#N/A</v>
      </c>
      <c r="EX78" s="23" t="e">
        <f>EXP(-LN(2)/2)*EX77+(1-EXP(-LN(2)/2))/(LN(2)/2)*ER78*EU78*VLOOKUP('Données projet'!$B$15,Paramètres!$A$1:$I$88,3,0)*0.475*44/12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projet'!$B$16,Paramètres!$A$1:$I$88,3,0)*VLOOKUP('Données projet'!$B$16,Paramètres!$A$1:$I$88,5,0)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projet'!$B$16,Paramètres!$A$1:$I$88,7,0))</f>
        <v>0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projet'!$B$16,Paramètres!$A$1:$I$88,3,0)*0.475*44/12</f>
        <v>#N/A</v>
      </c>
      <c r="FR78" s="23" t="e">
        <f>EXP(-LN(2)/25)*FR77+(1-EXP(-LN(2)/25))/(LN(2)/25)*Calculateur!FM78*Calculateur!FO78*VLOOKUP('Données projet'!$B$16,Paramètres!$A$1:$I$88,3,0)*0.475*44/12</f>
        <v>#N/A</v>
      </c>
      <c r="FS78" s="23" t="e">
        <f>EXP(-LN(2)/2)*FS77+(1-EXP(-LN(2)/2))/(LN(2)/2)*FM78*FP78*VLOOKUP('Données projet'!$B$16,Paramètres!$A$1:$I$88,3,0)*0.475*44/12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projet'!$B$17,Paramètres!$A$1:$I$88,3,0)*VLOOKUP('Données projet'!$B$17,Paramètres!$A$1:$I$88,5,0)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projet'!$B$17,Paramètres!$A$1:$I$88,3,0)*0.475*44/12</f>
        <v>#N/A</v>
      </c>
      <c r="GM78" s="23" t="e">
        <f>EXP(-LN(2)/25)*GM77+(1-EXP(-LN(2)/25))/(LN(2)/25)*Calculateur!GH78*Calculateur!GJ78*VLOOKUP('Données projet'!$B$17,Paramètres!$A$1:$I$88,3,0)*0.475*44/12</f>
        <v>#N/A</v>
      </c>
      <c r="GN78" s="23" t="e">
        <f>EXP(-LN(2)/2)*GN77+(1-EXP(-LN(2)/2))/(LN(2)/2)*GH78*GK78*VLOOKUP('Données projet'!$B$17,Paramètres!$A$1:$I$88,3,0)*0.475*44/12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projet'!$B$18,Paramètres!$A$1:$I$88,3,0)*VLOOKUP('Données projet'!$B$18,Paramètres!$A$1:$I$88,5,0)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projet'!$B$18,Paramètres!$A$1:$I$88,3,0)*0.475*44/12</f>
        <v>#N/A</v>
      </c>
      <c r="HH78" s="23" t="e">
        <f>EXP(-LN(2)/25)*HH77+(1-EXP(-LN(2)/25))/(LN(2)/25)*Calculateur!HC78*Calculateur!HE78*VLOOKUP('Données projet'!$B$18,Paramètres!$A$1:$I$88,3,0)*0.475*44/12</f>
        <v>#N/A</v>
      </c>
      <c r="HI78" s="23" t="e">
        <f>EXP(-LN(2)/2)*HI77+(1-EXP(-LN(2)/2))/(LN(2)/2)*HC78*HF78*VLOOKUP('Données projet'!$B$18,Paramètres!$A$1:$I$88,3,0)*0.475*44/12</f>
        <v>#N/A</v>
      </c>
      <c r="HJ78" s="24" t="e">
        <f t="shared" si="84"/>
        <v>#N/A</v>
      </c>
    </row>
    <row r="79" spans="1:218" s="5" customFormat="1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projet'!$B$9,Paramètres!$A$1:$I$88,3,0)*VLOOKUP('Données projet'!$B$9,Paramètres!$A$1:$I$88,5,0)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269.08958438085051</v>
      </c>
      <c r="S79" s="62">
        <f ca="1">AVERAGE(OFFSET($R$3,0,0,'Données projet'!$E$9+1,1))-AVERAGE(OFFSET($H$3,0,0,'Données projet'!$E$9+1,1))</f>
        <v>301.2688576786212</v>
      </c>
      <c r="T79" s="62">
        <f t="shared" si="88"/>
        <v>417.62172165132927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90.112990665150448</v>
      </c>
      <c r="AA79" s="23">
        <f>EXP(-LN(2)/25)*AA78+(1-EXP(-LN(2)/25))/(LN(2)/25)*Calculateur!V79*Calculateur!X79*VLOOKUP('Données projet'!$B$9,Paramètres!$A$1:$I$88,3,0)*0.475*44/12</f>
        <v>24.194365810861846</v>
      </c>
      <c r="AB79" s="23">
        <f>EXP(-LN(2)/2)*AB78+(1-EXP(-LN(2)/2))/(LN(2)/2)*V79*Y79*VLOOKUP('Données projet'!$B$9,Paramètres!$A$1:$I$88,3,0)*0.475*44/12</f>
        <v>3.595312241961965E-3</v>
      </c>
      <c r="AC79" s="24">
        <f t="shared" si="57"/>
        <v>114.31095178825426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projet'!$B$10,Paramètres!$A$1:$I$88,3,0)*VLOOKUP('Données projet'!$B$10,Paramètres!$A$1:$I$88,5,0)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170.08673939431091</v>
      </c>
      <c r="AO79" s="62">
        <f t="shared" si="90"/>
        <v>252.97355497077106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projet'!$B$10,Paramètres!$A$1:$I$88,3,0)*0.475*44/12</f>
        <v>37.624650087988236</v>
      </c>
      <c r="AV79" s="23">
        <f>EXP(-LN(2)/25)*AV78+(1-EXP(-LN(2)/25))/(LN(2)/25)*Calculateur!AQ79*Calculateur!AS79*VLOOKUP('Données projet'!$B$10,Paramètres!$A$1:$I$88,3,0)*0.475*44/12</f>
        <v>24.522282238951512</v>
      </c>
      <c r="AW79" s="23">
        <f>EXP(-LN(2)/2)*AW78+(1-EXP(-LN(2)/2))/(LN(2)/2)*AQ79*AT79*VLOOKUP('Données projet'!$B$10,Paramètres!$A$1:$I$88,3,0)*0.475*44/12</f>
        <v>4.6053059372196722E-3</v>
      </c>
      <c r="AX79" s="23">
        <f t="shared" si="60"/>
        <v>62.151537632876966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6</v>
      </c>
      <c r="BD79" s="13">
        <f>IF('Données projet'!$A$88&gt;35,BD78+BC79-BL78,IF(A79&lt;'Données projet'!$A$88,$BA$205^A79,IF(A79='Données projet'!$A$88,'Données projet'!$B$88,BD78+BC79-BL78)))</f>
        <v>236.99999999999989</v>
      </c>
      <c r="BE79" s="14">
        <f>BD79*VLOOKUP('Données projet'!$B$11,Paramètres!$A$1:$I$88,3,0)*VLOOKUP('Données projet'!$B$11,Paramètres!$A$1:$I$88,5,0)</f>
        <v>214.43759999999989</v>
      </c>
      <c r="BF79" s="14">
        <f t="shared" si="91"/>
        <v>52.904129603372375</v>
      </c>
      <c r="BG79" s="22">
        <f t="shared" si="61"/>
        <v>465.62017905920658</v>
      </c>
      <c r="BH79" s="62">
        <f t="shared" si="62"/>
        <v>734.70976344005601</v>
      </c>
      <c r="BI79" s="62">
        <f ca="1">AVERAGE(OFFSET($BH$3,0,0,'Données projet'!$E$11+1,1))-AVERAGE(OFFSET($H$3,0,0,'Données projet'!$E$11+1,1))</f>
        <v>362.63718589694594</v>
      </c>
      <c r="BJ79" s="62">
        <f t="shared" si="92"/>
        <v>250.47702091764884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projet'!$B$11,Paramètres!$A$1:$I$88,3,0)*0.475*44/12</f>
        <v>19.244846028761081</v>
      </c>
      <c r="BQ79" s="23">
        <f>EXP(-LN(2)/25)*BQ78+(1-EXP(-LN(2)/25))/(LN(2)/25)*Calculateur!BL79*Calculateur!BN79*VLOOKUP('Données projet'!$B$11,Paramètres!$A$1:$I$88,3,0)*0.475*44/12</f>
        <v>0</v>
      </c>
      <c r="BR79" s="23">
        <f>EXP(-LN(2)/2)*BR78+(1-EXP(-LN(2)/2))/(LN(2)/2)*BL79*BO79*VLOOKUP('Données projet'!$B$11,Paramètres!$A$1:$I$88,3,0)*0.475*44/12</f>
        <v>0</v>
      </c>
      <c r="BS79" s="24">
        <f t="shared" si="63"/>
        <v>19.244846028761081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6</v>
      </c>
      <c r="BY79" s="13">
        <f>IF('Données projet'!$A$114&gt;35,BY78+BX79-CG78,IF(A79&lt;'Données projet'!$A$114,$BV$205^A79,IF(A79='Données projet'!$A$114,'Données projet'!$B$114,BY78+BX79-CG78)))</f>
        <v>236.99999999999989</v>
      </c>
      <c r="BZ79" s="14">
        <f>BY79*VLOOKUP('Données projet'!$B$12,Paramètres!$A$1:$I$88,3,0)*VLOOKUP('Données projet'!$B$12,Paramètres!$A$1:$I$88,5,0)</f>
        <v>240.3179999999999</v>
      </c>
      <c r="CA79" s="14">
        <f t="shared" si="93"/>
        <v>58.507944457766484</v>
      </c>
      <c r="CB79" s="22">
        <f t="shared" si="64"/>
        <v>520.45518659727634</v>
      </c>
      <c r="CC79" s="62">
        <f t="shared" si="65"/>
        <v>789.54477097812583</v>
      </c>
      <c r="CD79" s="62">
        <f ca="1">AVERAGE(OFFSET($CC$3,0,0,'Données projet'!$E$12+1,1))-AVERAGE(OFFSET($H$3,0,0,'Données projet'!$E$12+1,1))</f>
        <v>398.14524781940196</v>
      </c>
      <c r="CE79" s="62">
        <f t="shared" si="94"/>
        <v>273.35778700650792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projet'!$B$12,Paramètres!$A$1:$I$88,3,0)*0.475*44/12</f>
        <v>21.567499859818454</v>
      </c>
      <c r="CL79" s="23">
        <f>EXP(-LN(2)/25)*CL78+(1-EXP(-LN(2)/25))/(LN(2)/25)*Calculateur!CG79*Calculateur!CI79*VLOOKUP('Données projet'!$B$12,Paramètres!$A$1:$I$88,3,0)*0.475*44/12</f>
        <v>0</v>
      </c>
      <c r="CM79" s="23">
        <f>EXP(-LN(2)/2)*CM78+(1-EXP(-LN(2)/2))/(LN(2)/2)*CG79*CJ79*VLOOKUP('Données projet'!$B$12,Paramètres!$A$1:$I$88,3,0)*0.475*44/12</f>
        <v>0</v>
      </c>
      <c r="CN79" s="24">
        <f t="shared" si="66"/>
        <v>21.567499859818454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7.4</v>
      </c>
      <c r="CT79" s="13">
        <f>IF('Données projet'!$A$140&gt;35,CT78+CS79-DB78,IF(A79&lt;'Données projet'!$A$140,$CQ$205^A79,IF(A79='Données projet'!$A$140,'Données projet'!$B$140,CT78+CS79-DB78)))</f>
        <v>321.39999999999998</v>
      </c>
      <c r="CU79" s="18">
        <f>CT79*VLOOKUP('Données projet'!$B$13,Paramètres!$A$1:$I$88,3,0)*VLOOKUP('Données projet'!$B$13,Paramètres!$A$1:$I$88,5,0)</f>
        <v>305.84423999999996</v>
      </c>
      <c r="CV79" s="14">
        <f t="shared" si="95"/>
        <v>72.400261542453194</v>
      </c>
      <c r="CW79" s="22">
        <f t="shared" si="67"/>
        <v>658.77584018643915</v>
      </c>
      <c r="CX79" s="62">
        <f t="shared" si="68"/>
        <v>927.86542456728853</v>
      </c>
      <c r="CY79" s="62">
        <f ca="1">AVERAGE(OFFSET($CX$3,0,0,'Données projet'!$E$13+1,1))-AVERAGE(OFFSET($H$3,0,0,'Données projet'!$E$13+1,1))</f>
        <v>470.0521927195926</v>
      </c>
      <c r="CZ79" s="62">
        <f t="shared" si="96"/>
        <v>299.27200854723435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projet'!$B$13,Paramètres!$A$1:$I$88,3,0)*0.475*44/12</f>
        <v>20.240269099214235</v>
      </c>
      <c r="DG79" s="23">
        <f>EXP(-LN(2)/25)*DG78+(1-EXP(-LN(2)/25))/(LN(2)/25)*Calculateur!DB79*Calculateur!DD79*VLOOKUP('Données projet'!$B$13,Paramètres!$A$1:$I$88,3,0)*0.475*44/12</f>
        <v>0</v>
      </c>
      <c r="DH79" s="23">
        <f>EXP(-LN(2)/2)*DH78+(1-EXP(-LN(2)/2))/(LN(2)/2)*DB79*DE79*VLOOKUP('Données projet'!$B$13,Paramètres!$A$1:$I$88,3,0)*0.475*44/12</f>
        <v>0</v>
      </c>
      <c r="DI79" s="24">
        <f t="shared" si="69"/>
        <v>20.240269099214235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4.5999999999999996</v>
      </c>
      <c r="DO79" s="13">
        <f>IF('Données projet'!$A$166&gt;35,DO78+DN79-DW78,IF(A79&lt;'Données projet'!$A$166,$DL$205^A79,IF(A79='Données projet'!$A$166,'Données projet'!$B$166,DO78+DN79-DW78)))</f>
        <v>173.6</v>
      </c>
      <c r="DP79" s="18">
        <f>DO79*VLOOKUP('Données projet'!$B$14,Paramètres!$A$1:$I$88,3,0)*VLOOKUP('Données projet'!$B$14,Paramètres!$A$1:$I$88,5,0)</f>
        <v>167.90591999999998</v>
      </c>
      <c r="DQ79" s="14">
        <f t="shared" si="97"/>
        <v>42.620681538886721</v>
      </c>
      <c r="DR79" s="22">
        <f t="shared" si="70"/>
        <v>366.66716434689437</v>
      </c>
      <c r="DS79" s="62">
        <f t="shared" si="71"/>
        <v>635.7567487277438</v>
      </c>
      <c r="DT79" s="62">
        <f ca="1">AVERAGE(OFFSET($DS$3,0,0,'Données projet'!$E$14+1,1))-AVERAGE(OFFSET($H$3,0,0,'Données projet'!$E$14+1,1))</f>
        <v>290.89727102147953</v>
      </c>
      <c r="DU79" s="62">
        <f t="shared" si="98"/>
        <v>173.19148969173838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projet'!$B$14,Paramètres!$A$1:$I$88,3,0)*0.475*44/12</f>
        <v>13.714717859576867</v>
      </c>
      <c r="EB79" s="23">
        <f>EXP(-LN(2)/25)*EB78+(1-EXP(-LN(2)/25))/(LN(2)/25)*Calculateur!DW79*Calculateur!DY79*VLOOKUP('Données projet'!$B$14,Paramètres!$A$1:$I$88,3,0)*0.475*44/12</f>
        <v>0</v>
      </c>
      <c r="EC79" s="23">
        <f>EXP(-LN(2)/2)*EC78+(1-EXP(-LN(2)/2))/(LN(2)/2)*DW79*DZ79*VLOOKUP('Données projet'!$B$14,Paramètres!$A$1:$I$88,3,0)*0.475*44/12</f>
        <v>0</v>
      </c>
      <c r="ED79" s="24">
        <f t="shared" si="72"/>
        <v>13.714717859576867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projet'!$B$15,Paramètres!$A$1:$I$88,3,0)*VLOOKUP('Données projet'!$B$15,Paramètres!$A$1:$I$88,5,0)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projet'!$B$15,Paramètres!$A$1:$I$88,3,0)*0.475*44/12</f>
        <v>#N/A</v>
      </c>
      <c r="EW79" s="23" t="e">
        <f>EXP(-LN(2)/25)*EW78+(1-EXP(-LN(2)/25))/(LN(2)/25)*Calculateur!ER79*Calculateur!ET79*VLOOKUP('Données projet'!$B$15,Paramètres!$A$1:$I$88,3,0)*0.475*44/12</f>
        <v>#N/A</v>
      </c>
      <c r="EX79" s="23" t="e">
        <f>EXP(-LN(2)/2)*EX78+(1-EXP(-LN(2)/2))/(LN(2)/2)*ER79*EU79*VLOOKUP('Données projet'!$B$15,Paramètres!$A$1:$I$88,3,0)*0.475*44/12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projet'!$B$16,Paramètres!$A$1:$I$88,3,0)*VLOOKUP('Données projet'!$B$16,Paramètres!$A$1:$I$88,5,0)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projet'!$B$16,Paramètres!$A$1:$I$88,3,0)*0.475*44/12</f>
        <v>#N/A</v>
      </c>
      <c r="FR79" s="23" t="e">
        <f>EXP(-LN(2)/25)*FR78+(1-EXP(-LN(2)/25))/(LN(2)/25)*Calculateur!FM79*Calculateur!FO79*VLOOKUP('Données projet'!$B$16,Paramètres!$A$1:$I$88,3,0)*0.475*44/12</f>
        <v>#N/A</v>
      </c>
      <c r="FS79" s="23" t="e">
        <f>EXP(-LN(2)/2)*FS78+(1-EXP(-LN(2)/2))/(LN(2)/2)*FM79*FP79*VLOOKUP('Données projet'!$B$16,Paramètres!$A$1:$I$88,3,0)*0.475*44/12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projet'!$B$17,Paramètres!$A$1:$I$88,3,0)*VLOOKUP('Données projet'!$B$17,Paramètres!$A$1:$I$88,5,0)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projet'!$B$17,Paramètres!$A$1:$I$88,3,0)*0.475*44/12</f>
        <v>#N/A</v>
      </c>
      <c r="GM79" s="23" t="e">
        <f>EXP(-LN(2)/25)*GM78+(1-EXP(-LN(2)/25))/(LN(2)/25)*Calculateur!GH79*Calculateur!GJ79*VLOOKUP('Données projet'!$B$17,Paramètres!$A$1:$I$88,3,0)*0.475*44/12</f>
        <v>#N/A</v>
      </c>
      <c r="GN79" s="23" t="e">
        <f>EXP(-LN(2)/2)*GN78+(1-EXP(-LN(2)/2))/(LN(2)/2)*GH79*GK79*VLOOKUP('Données projet'!$B$17,Paramètres!$A$1:$I$88,3,0)*0.475*44/12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projet'!$B$18,Paramètres!$A$1:$I$88,3,0)*VLOOKUP('Données projet'!$B$18,Paramètres!$A$1:$I$88,5,0)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projet'!$B$18,Paramètres!$A$1:$I$88,3,0)*0.475*44/12</f>
        <v>#N/A</v>
      </c>
      <c r="HH79" s="23" t="e">
        <f>EXP(-LN(2)/25)*HH78+(1-EXP(-LN(2)/25))/(LN(2)/25)*Calculateur!HC79*Calculateur!HE79*VLOOKUP('Données projet'!$B$18,Paramètres!$A$1:$I$88,3,0)*0.475*44/12</f>
        <v>#N/A</v>
      </c>
      <c r="HI79" s="23" t="e">
        <f>EXP(-LN(2)/2)*HI78+(1-EXP(-LN(2)/2))/(LN(2)/2)*HC79*HF79*VLOOKUP('Données projet'!$B$18,Paramètres!$A$1:$I$88,3,0)*0.475*44/12</f>
        <v>#N/A</v>
      </c>
      <c r="HJ79" s="24" t="e">
        <f t="shared" si="84"/>
        <v>#N/A</v>
      </c>
    </row>
    <row r="80" spans="1:218" s="5" customFormat="1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projet'!$B$9,Paramètres!$A$1:$I$88,3,0)*VLOOKUP('Données projet'!$B$9,Paramètres!$A$1:$I$88,5,0)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269.51015922427337</v>
      </c>
      <c r="S80" s="62">
        <f ca="1">AVERAGE(OFFSET($R$3,0,0,'Données projet'!$E$9+1,1))-AVERAGE(OFFSET($H$3,0,0,'Données projet'!$E$9+1,1))</f>
        <v>301.2688576786212</v>
      </c>
      <c r="T80" s="62">
        <f t="shared" si="88"/>
        <v>417.62172165132927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88.345929881703952</v>
      </c>
      <c r="AA80" s="23">
        <f>EXP(-LN(2)/25)*AA79+(1-EXP(-LN(2)/25))/(LN(2)/25)*Calculateur!V80*Calculateur!X80*VLOOKUP('Données projet'!$B$9,Paramètres!$A$1:$I$88,3,0)*0.475*44/12</f>
        <v>23.53276960543743</v>
      </c>
      <c r="AB80" s="23">
        <f>EXP(-LN(2)/2)*AB79+(1-EXP(-LN(2)/2))/(LN(2)/2)*V80*Y80*VLOOKUP('Données projet'!$B$9,Paramètres!$A$1:$I$88,3,0)*0.475*44/12</f>
        <v>2.5422696667743148E-3</v>
      </c>
      <c r="AC80" s="24">
        <f t="shared" si="57"/>
        <v>111.88124175680815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projet'!$B$10,Paramètres!$A$1:$I$88,3,0)*VLOOKUP('Données projet'!$B$10,Paramètres!$A$1:$I$88,5,0)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170.08673939431091</v>
      </c>
      <c r="AO80" s="62">
        <f t="shared" si="90"/>
        <v>252.97355497077106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projet'!$B$10,Paramètres!$A$1:$I$88,7,0))</f>
        <v>0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projet'!$B$10,Paramètres!$A$1:$I$88,3,0)*0.475*44/12</f>
        <v>36.886853648533339</v>
      </c>
      <c r="AV80" s="23">
        <f>EXP(-LN(2)/25)*AV79+(1-EXP(-LN(2)/25))/(LN(2)/25)*Calculateur!AQ80*Calculateur!AS80*VLOOKUP('Données projet'!$B$10,Paramètres!$A$1:$I$88,3,0)*0.475*44/12</f>
        <v>23.851719141556607</v>
      </c>
      <c r="AW80" s="23">
        <f>EXP(-LN(2)/2)*AW79+(1-EXP(-LN(2)/2))/(LN(2)/2)*AQ80*AT80*VLOOKUP('Données projet'!$B$10,Paramètres!$A$1:$I$88,3,0)*0.475*44/12</f>
        <v>3.256443057646699E-3</v>
      </c>
      <c r="AX80" s="23">
        <f t="shared" si="60"/>
        <v>60.741829233147591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6</v>
      </c>
      <c r="BD80" s="13">
        <f>IF('Données projet'!$A$88&gt;35,BD79+BC80-BL79,IF(A80&lt;'Données projet'!$A$88,$BA$205^A80,IF(A80='Données projet'!$A$88,'Données projet'!$B$88,BD79+BC80-BL79)))</f>
        <v>242.99999999999989</v>
      </c>
      <c r="BE80" s="14">
        <f>BD80*VLOOKUP('Données projet'!$B$11,Paramètres!$A$1:$I$88,3,0)*VLOOKUP('Données projet'!$B$11,Paramètres!$A$1:$I$88,5,0)</f>
        <v>219.86639999999989</v>
      </c>
      <c r="BF80" s="14">
        <f t="shared" si="91"/>
        <v>54.085847394182416</v>
      </c>
      <c r="BG80" s="22">
        <f t="shared" si="61"/>
        <v>477.13349754486745</v>
      </c>
      <c r="BH80" s="62">
        <f t="shared" si="62"/>
        <v>746.64365676913974</v>
      </c>
      <c r="BI80" s="62">
        <f ca="1">AVERAGE(OFFSET($BH$3,0,0,'Données projet'!$E$11+1,1))-AVERAGE(OFFSET($H$3,0,0,'Données projet'!$E$11+1,1))</f>
        <v>362.63718589694594</v>
      </c>
      <c r="BJ80" s="62">
        <f t="shared" si="92"/>
        <v>250.47702091764884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projet'!$B$11,Paramètres!$A$1:$I$88,7,0))</f>
        <v>0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projet'!$B$11,Paramètres!$A$1:$I$88,3,0)*0.475*44/12</f>
        <v>18.867466336334104</v>
      </c>
      <c r="BQ80" s="23">
        <f>EXP(-LN(2)/25)*BQ79+(1-EXP(-LN(2)/25))/(LN(2)/25)*Calculateur!BL80*Calculateur!BN80*VLOOKUP('Données projet'!$B$11,Paramètres!$A$1:$I$88,3,0)*0.475*44/12</f>
        <v>0</v>
      </c>
      <c r="BR80" s="23">
        <f>EXP(-LN(2)/2)*BR79+(1-EXP(-LN(2)/2))/(LN(2)/2)*BL80*BO80*VLOOKUP('Données projet'!$B$11,Paramètres!$A$1:$I$88,3,0)*0.475*44/12</f>
        <v>0</v>
      </c>
      <c r="BS80" s="24">
        <f t="shared" si="63"/>
        <v>18.867466336334104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6</v>
      </c>
      <c r="BY80" s="13">
        <f>IF('Données projet'!$A$114&gt;35,BY79+BX80-CG79,IF(A80&lt;'Données projet'!$A$114,$BV$205^A80,IF(A80='Données projet'!$A$114,'Données projet'!$B$114,BY79+BX80-CG79)))</f>
        <v>242.99999999999989</v>
      </c>
      <c r="BZ80" s="14">
        <f>BY80*VLOOKUP('Données projet'!$B$12,Paramètres!$A$1:$I$88,3,0)*VLOOKUP('Données projet'!$B$12,Paramètres!$A$1:$I$88,5,0)</f>
        <v>246.4019999999999</v>
      </c>
      <c r="CA80" s="14">
        <f t="shared" si="93"/>
        <v>59.814834475385474</v>
      </c>
      <c r="CB80" s="22">
        <f t="shared" si="64"/>
        <v>533.32765337796286</v>
      </c>
      <c r="CC80" s="62">
        <f t="shared" si="65"/>
        <v>802.83781260223509</v>
      </c>
      <c r="CD80" s="62">
        <f ca="1">AVERAGE(OFFSET($CC$3,0,0,'Données projet'!$E$12+1,1))-AVERAGE(OFFSET($H$3,0,0,'Données projet'!$E$12+1,1))</f>
        <v>398.14524781940196</v>
      </c>
      <c r="CE80" s="62">
        <f t="shared" si="94"/>
        <v>273.35778700650792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projet'!$B$12,Paramètres!$A$1:$I$88,3,0)*0.475*44/12</f>
        <v>21.144574342443391</v>
      </c>
      <c r="CL80" s="23">
        <f>EXP(-LN(2)/25)*CL79+(1-EXP(-LN(2)/25))/(LN(2)/25)*Calculateur!CG80*Calculateur!CI80*VLOOKUP('Données projet'!$B$12,Paramètres!$A$1:$I$88,3,0)*0.475*44/12</f>
        <v>0</v>
      </c>
      <c r="CM80" s="23">
        <f>EXP(-LN(2)/2)*CM79+(1-EXP(-LN(2)/2))/(LN(2)/2)*CG80*CJ80*VLOOKUP('Données projet'!$B$12,Paramètres!$A$1:$I$88,3,0)*0.475*44/12</f>
        <v>0</v>
      </c>
      <c r="CN80" s="24">
        <f t="shared" si="66"/>
        <v>21.144574342443391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7.4</v>
      </c>
      <c r="CT80" s="13">
        <f>IF('Données projet'!$A$140&gt;35,CT79+CS80-DB79,IF(A80&lt;'Données projet'!$A$140,$CQ$205^A80,IF(A80='Données projet'!$A$140,'Données projet'!$B$140,CT79+CS80-DB79)))</f>
        <v>328.79999999999995</v>
      </c>
      <c r="CU80" s="18">
        <f>CT80*VLOOKUP('Données projet'!$B$13,Paramètres!$A$1:$I$88,3,0)*VLOOKUP('Données projet'!$B$13,Paramètres!$A$1:$I$88,5,0)</f>
        <v>312.88607999999994</v>
      </c>
      <c r="CV80" s="14">
        <f t="shared" si="95"/>
        <v>73.871233089555901</v>
      </c>
      <c r="CW80" s="22">
        <f t="shared" si="67"/>
        <v>673.60232029764313</v>
      </c>
      <c r="CX80" s="62">
        <f t="shared" si="68"/>
        <v>943.11247952191547</v>
      </c>
      <c r="CY80" s="62">
        <f ca="1">AVERAGE(OFFSET($CX$3,0,0,'Données projet'!$E$13+1,1))-AVERAGE(OFFSET($H$3,0,0,'Données projet'!$E$13+1,1))</f>
        <v>470.0521927195926</v>
      </c>
      <c r="CZ80" s="62">
        <f t="shared" si="96"/>
        <v>299.27200854723435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projet'!$B$13,Paramètres!$A$1:$I$88,3,0)*0.475*44/12</f>
        <v>19.843369767523793</v>
      </c>
      <c r="DG80" s="23">
        <f>EXP(-LN(2)/25)*DG79+(1-EXP(-LN(2)/25))/(LN(2)/25)*Calculateur!DB80*Calculateur!DD80*VLOOKUP('Données projet'!$B$13,Paramètres!$A$1:$I$88,3,0)*0.475*44/12</f>
        <v>0</v>
      </c>
      <c r="DH80" s="23">
        <f>EXP(-LN(2)/2)*DH79+(1-EXP(-LN(2)/2))/(LN(2)/2)*DB80*DE80*VLOOKUP('Données projet'!$B$13,Paramètres!$A$1:$I$88,3,0)*0.475*44/12</f>
        <v>0</v>
      </c>
      <c r="DI80" s="24">
        <f t="shared" si="69"/>
        <v>19.843369767523793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4.5999999999999996</v>
      </c>
      <c r="DO80" s="13">
        <f>IF('Données projet'!$A$166&gt;35,DO79+DN80-DW79,IF(A80&lt;'Données projet'!$A$166,$DL$205^A80,IF(A80='Données projet'!$A$166,'Données projet'!$B$166,DO79+DN80-DW79)))</f>
        <v>178.2</v>
      </c>
      <c r="DP80" s="18">
        <f>DO80*VLOOKUP('Données projet'!$B$14,Paramètres!$A$1:$I$88,3,0)*VLOOKUP('Données projet'!$B$14,Paramètres!$A$1:$I$88,5,0)</f>
        <v>172.35504</v>
      </c>
      <c r="DQ80" s="14">
        <f t="shared" si="97"/>
        <v>43.617051120131691</v>
      </c>
      <c r="DR80" s="22">
        <f t="shared" si="70"/>
        <v>376.15139203422933</v>
      </c>
      <c r="DS80" s="62">
        <f t="shared" si="71"/>
        <v>645.66155125850162</v>
      </c>
      <c r="DT80" s="62">
        <f ca="1">AVERAGE(OFFSET($DS$3,0,0,'Données projet'!$E$14+1,1))-AVERAGE(OFFSET($H$3,0,0,'Données projet'!$E$14+1,1))</f>
        <v>290.89727102147953</v>
      </c>
      <c r="DU80" s="62">
        <f t="shared" si="98"/>
        <v>173.19148969173838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projet'!$B$14,Paramètres!$A$1:$I$88,3,0)*0.475*44/12</f>
        <v>13.445780607502469</v>
      </c>
      <c r="EB80" s="23">
        <f>EXP(-LN(2)/25)*EB79+(1-EXP(-LN(2)/25))/(LN(2)/25)*Calculateur!DW80*Calculateur!DY80*VLOOKUP('Données projet'!$B$14,Paramètres!$A$1:$I$88,3,0)*0.475*44/12</f>
        <v>0</v>
      </c>
      <c r="EC80" s="23">
        <f>EXP(-LN(2)/2)*EC79+(1-EXP(-LN(2)/2))/(LN(2)/2)*DW80*DZ80*VLOOKUP('Données projet'!$B$14,Paramètres!$A$1:$I$88,3,0)*0.475*44/12</f>
        <v>0</v>
      </c>
      <c r="ED80" s="24">
        <f t="shared" si="72"/>
        <v>13.445780607502469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projet'!$B$15,Paramètres!$A$1:$I$88,3,0)*VLOOKUP('Données projet'!$B$15,Paramètres!$A$1:$I$88,5,0)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projet'!$B$15,Paramètres!$A$1:$I$88,3,0)*0.475*44/12</f>
        <v>#N/A</v>
      </c>
      <c r="EW80" s="23" t="e">
        <f>EXP(-LN(2)/25)*EW79+(1-EXP(-LN(2)/25))/(LN(2)/25)*Calculateur!ER80*Calculateur!ET80*VLOOKUP('Données projet'!$B$15,Paramètres!$A$1:$I$88,3,0)*0.475*44/12</f>
        <v>#N/A</v>
      </c>
      <c r="EX80" s="23" t="e">
        <f>EXP(-LN(2)/2)*EX79+(1-EXP(-LN(2)/2))/(LN(2)/2)*ER80*EU80*VLOOKUP('Données projet'!$B$15,Paramètres!$A$1:$I$88,3,0)*0.475*44/12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projet'!$B$16,Paramètres!$A$1:$I$88,3,0)*VLOOKUP('Données projet'!$B$16,Paramètres!$A$1:$I$88,5,0)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projet'!$B$16,Paramètres!$A$1:$I$88,3,0)*0.475*44/12</f>
        <v>#N/A</v>
      </c>
      <c r="FR80" s="23" t="e">
        <f>EXP(-LN(2)/25)*FR79+(1-EXP(-LN(2)/25))/(LN(2)/25)*Calculateur!FM80*Calculateur!FO80*VLOOKUP('Données projet'!$B$16,Paramètres!$A$1:$I$88,3,0)*0.475*44/12</f>
        <v>#N/A</v>
      </c>
      <c r="FS80" s="23" t="e">
        <f>EXP(-LN(2)/2)*FS79+(1-EXP(-LN(2)/2))/(LN(2)/2)*FM80*FP80*VLOOKUP('Données projet'!$B$16,Paramètres!$A$1:$I$88,3,0)*0.475*44/12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projet'!$B$17,Paramètres!$A$1:$I$88,3,0)*VLOOKUP('Données projet'!$B$17,Paramètres!$A$1:$I$88,5,0)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projet'!$B$17,Paramètres!$A$1:$I$88,3,0)*0.475*44/12</f>
        <v>#N/A</v>
      </c>
      <c r="GM80" s="23" t="e">
        <f>EXP(-LN(2)/25)*GM79+(1-EXP(-LN(2)/25))/(LN(2)/25)*Calculateur!GH80*Calculateur!GJ80*VLOOKUP('Données projet'!$B$17,Paramètres!$A$1:$I$88,3,0)*0.475*44/12</f>
        <v>#N/A</v>
      </c>
      <c r="GN80" s="23" t="e">
        <f>EXP(-LN(2)/2)*GN79+(1-EXP(-LN(2)/2))/(LN(2)/2)*GH80*GK80*VLOOKUP('Données projet'!$B$17,Paramètres!$A$1:$I$88,3,0)*0.475*44/12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projet'!$B$18,Paramètres!$A$1:$I$88,3,0)*VLOOKUP('Données projet'!$B$18,Paramètres!$A$1:$I$88,5,0)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projet'!$B$18,Paramètres!$A$1:$I$88,3,0)*0.475*44/12</f>
        <v>#N/A</v>
      </c>
      <c r="HH80" s="23" t="e">
        <f>EXP(-LN(2)/25)*HH79+(1-EXP(-LN(2)/25))/(LN(2)/25)*Calculateur!HC80*Calculateur!HE80*VLOOKUP('Données projet'!$B$18,Paramètres!$A$1:$I$88,3,0)*0.475*44/12</f>
        <v>#N/A</v>
      </c>
      <c r="HI80" s="23" t="e">
        <f>EXP(-LN(2)/2)*HI79+(1-EXP(-LN(2)/2))/(LN(2)/2)*HC80*HF80*VLOOKUP('Données projet'!$B$18,Paramètres!$A$1:$I$88,3,0)*0.475*44/12</f>
        <v>#N/A</v>
      </c>
      <c r="HJ80" s="24" t="e">
        <f t="shared" si="84"/>
        <v>#N/A</v>
      </c>
    </row>
    <row r="81" spans="1:218" s="5" customFormat="1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projet'!$B$9,Paramètres!$A$1:$I$88,3,0)*VLOOKUP('Données projet'!$B$9,Paramètres!$A$1:$I$88,5,0)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269.92343803442731</v>
      </c>
      <c r="S81" s="62">
        <f ca="1">AVERAGE(OFFSET($R$3,0,0,'Données projet'!$E$9+1,1))-AVERAGE(OFFSET($H$3,0,0,'Données projet'!$E$9+1,1))</f>
        <v>301.2688576786212</v>
      </c>
      <c r="T81" s="62">
        <f t="shared" si="88"/>
        <v>417.62172165132927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projet'!$B$9,Paramètres!$A$1:$I$88,7,0))</f>
        <v>0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86.613520082420195</v>
      </c>
      <c r="AA81" s="23">
        <f>EXP(-LN(2)/25)*AA80+(1-EXP(-LN(2)/25))/(LN(2)/25)*Calculateur!V81*Calculateur!X81*VLOOKUP('Données projet'!$B$9,Paramètres!$A$1:$I$88,3,0)*0.475*44/12</f>
        <v>22.889264783042176</v>
      </c>
      <c r="AB81" s="23">
        <f>EXP(-LN(2)/2)*AB80+(1-EXP(-LN(2)/2))/(LN(2)/2)*V81*Y81*VLOOKUP('Données projet'!$B$9,Paramètres!$A$1:$I$88,3,0)*0.475*44/12</f>
        <v>1.7976561209809825E-3</v>
      </c>
      <c r="AC81" s="24">
        <f t="shared" si="57"/>
        <v>109.50458252158336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projet'!$B$10,Paramètres!$A$1:$I$88,3,0)*VLOOKUP('Données projet'!$B$10,Paramètres!$A$1:$I$88,5,0)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170.08673939431091</v>
      </c>
      <c r="AO81" s="62">
        <f t="shared" si="90"/>
        <v>252.97355497077106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projet'!$B$10,Paramètres!$A$1:$I$88,7,0))</f>
        <v>0</v>
      </c>
      <c r="AS81" s="17">
        <f>IF(ISNA(VLOOKUP(A81,'Données projet'!$A$61:$I$81,6,0)),0%,VLOOKUP(A81,'Données projet'!$A$61:$I$81,6,0)*VLOOKUP('Données projet'!$B$10,Paramètres!$A$1:$I$88,7,0))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projet'!$B$10,Paramètres!$A$1:$I$88,3,0)*0.475*44/12</f>
        <v>36.16352494724476</v>
      </c>
      <c r="AV81" s="23">
        <f>EXP(-LN(2)/25)*AV80+(1-EXP(-LN(2)/25))/(LN(2)/25)*Calculateur!AQ81*Calculateur!AS81*VLOOKUP('Données projet'!$B$10,Paramètres!$A$1:$I$88,3,0)*0.475*44/12</f>
        <v>23.199492627323345</v>
      </c>
      <c r="AW81" s="23">
        <f>EXP(-LN(2)/2)*AW80+(1-EXP(-LN(2)/2))/(LN(2)/2)*AQ81*AT81*VLOOKUP('Données projet'!$B$10,Paramètres!$A$1:$I$88,3,0)*0.475*44/12</f>
        <v>2.3026529686098361E-3</v>
      </c>
      <c r="AX81" s="23">
        <f t="shared" si="60"/>
        <v>59.365320227536714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6</v>
      </c>
      <c r="BD81" s="13">
        <f>IF('Données projet'!$A$88&gt;35,BD80+BC81-BL80,IF(A81&lt;'Données projet'!$A$88,$BA$205^A81,IF(A81='Données projet'!$A$88,'Données projet'!$B$88,BD80+BC81-BL80)))</f>
        <v>248.99999999999989</v>
      </c>
      <c r="BE81" s="14">
        <f>BD81*VLOOKUP('Données projet'!$B$11,Paramètres!$A$1:$I$88,3,0)*VLOOKUP('Données projet'!$B$11,Paramètres!$A$1:$I$88,5,0)</f>
        <v>225.29519999999991</v>
      </c>
      <c r="BF81" s="14">
        <f t="shared" si="91"/>
        <v>55.264173352293078</v>
      </c>
      <c r="BG81" s="22">
        <f t="shared" si="61"/>
        <v>488.64090858857691</v>
      </c>
      <c r="BH81" s="62">
        <f t="shared" si="62"/>
        <v>758.56434662300308</v>
      </c>
      <c r="BI81" s="62">
        <f ca="1">AVERAGE(OFFSET($BH$3,0,0,'Données projet'!$E$11+1,1))-AVERAGE(OFFSET($H$3,0,0,'Données projet'!$E$11+1,1))</f>
        <v>362.63718589694594</v>
      </c>
      <c r="BJ81" s="62">
        <f t="shared" si="92"/>
        <v>250.47702091764884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projet'!$B$11,Paramètres!$A$1:$I$88,3,0)*0.475*44/12</f>
        <v>18.497486829496737</v>
      </c>
      <c r="BQ81" s="23">
        <f>EXP(-LN(2)/25)*BQ80+(1-EXP(-LN(2)/25))/(LN(2)/25)*Calculateur!BL81*Calculateur!BN81*VLOOKUP('Données projet'!$B$11,Paramètres!$A$1:$I$88,3,0)*0.475*44/12</f>
        <v>0</v>
      </c>
      <c r="BR81" s="23">
        <f>EXP(-LN(2)/2)*BR80+(1-EXP(-LN(2)/2))/(LN(2)/2)*BL81*BO81*VLOOKUP('Données projet'!$B$11,Paramètres!$A$1:$I$88,3,0)*0.475*44/12</f>
        <v>0</v>
      </c>
      <c r="BS81" s="24">
        <f t="shared" si="63"/>
        <v>18.497486829496737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6</v>
      </c>
      <c r="BY81" s="13">
        <f>IF('Données projet'!$A$114&gt;35,BY80+BX81-CG80,IF(A81&lt;'Données projet'!$A$114,$BV$205^A81,IF(A81='Données projet'!$A$114,'Données projet'!$B$114,BY80+BX81-CG80)))</f>
        <v>248.99999999999989</v>
      </c>
      <c r="BZ81" s="14">
        <f>BY81*VLOOKUP('Données projet'!$B$12,Paramètres!$A$1:$I$88,3,0)*VLOOKUP('Données projet'!$B$12,Paramètres!$A$1:$I$88,5,0)</f>
        <v>252.4859999999999</v>
      </c>
      <c r="CA81" s="14">
        <f t="shared" si="93"/>
        <v>61.117973383957384</v>
      </c>
      <c r="CB81" s="22">
        <f t="shared" si="64"/>
        <v>546.193586977059</v>
      </c>
      <c r="CC81" s="62">
        <f t="shared" si="65"/>
        <v>816.11702501148523</v>
      </c>
      <c r="CD81" s="62">
        <f ca="1">AVERAGE(OFFSET($CC$3,0,0,'Données projet'!$E$12+1,1))-AVERAGE(OFFSET($H$3,0,0,'Données projet'!$E$12+1,1))</f>
        <v>398.14524781940196</v>
      </c>
      <c r="CE81" s="62">
        <f t="shared" si="94"/>
        <v>273.35778700650792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projet'!$B$12,Paramètres!$A$1:$I$88,3,0)*0.475*44/12</f>
        <v>20.72994213650496</v>
      </c>
      <c r="CL81" s="23">
        <f>EXP(-LN(2)/25)*CL80+(1-EXP(-LN(2)/25))/(LN(2)/25)*Calculateur!CG81*Calculateur!CI81*VLOOKUP('Données projet'!$B$12,Paramètres!$A$1:$I$88,3,0)*0.475*44/12</f>
        <v>0</v>
      </c>
      <c r="CM81" s="23">
        <f>EXP(-LN(2)/2)*CM80+(1-EXP(-LN(2)/2))/(LN(2)/2)*CG81*CJ81*VLOOKUP('Données projet'!$B$12,Paramètres!$A$1:$I$88,3,0)*0.475*44/12</f>
        <v>0</v>
      </c>
      <c r="CN81" s="24">
        <f t="shared" si="66"/>
        <v>20.72994213650496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7.4</v>
      </c>
      <c r="CT81" s="13">
        <f>IF('Données projet'!$A$140&gt;35,CT80+CS81-DB80,IF(A81&lt;'Données projet'!$A$140,$CQ$205^A81,IF(A81='Données projet'!$A$140,'Données projet'!$B$140,CT80+CS81-DB80)))</f>
        <v>336.19999999999993</v>
      </c>
      <c r="CU81" s="18">
        <f>CT81*VLOOKUP('Données projet'!$B$13,Paramètres!$A$1:$I$88,3,0)*VLOOKUP('Données projet'!$B$13,Paramètres!$A$1:$I$88,5,0)</f>
        <v>319.92791999999997</v>
      </c>
      <c r="CV81" s="14">
        <f t="shared" si="95"/>
        <v>75.338355820402725</v>
      </c>
      <c r="CW81" s="22">
        <f t="shared" si="67"/>
        <v>688.42209705386801</v>
      </c>
      <c r="CX81" s="62">
        <f t="shared" si="68"/>
        <v>958.34553508829424</v>
      </c>
      <c r="CY81" s="62">
        <f ca="1">AVERAGE(OFFSET($CX$3,0,0,'Données projet'!$E$13+1,1))-AVERAGE(OFFSET($H$3,0,0,'Données projet'!$E$13+1,1))</f>
        <v>470.0521927195926</v>
      </c>
      <c r="CZ81" s="62">
        <f t="shared" si="96"/>
        <v>299.27200854723435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projet'!$B$13,Paramètres!$A$1:$I$88,3,0)*0.475*44/12</f>
        <v>19.45425338964311</v>
      </c>
      <c r="DG81" s="23">
        <f>EXP(-LN(2)/25)*DG80+(1-EXP(-LN(2)/25))/(LN(2)/25)*Calculateur!DB81*Calculateur!DD81*VLOOKUP('Données projet'!$B$13,Paramètres!$A$1:$I$88,3,0)*0.475*44/12</f>
        <v>0</v>
      </c>
      <c r="DH81" s="23">
        <f>EXP(-LN(2)/2)*DH80+(1-EXP(-LN(2)/2))/(LN(2)/2)*DB81*DE81*VLOOKUP('Données projet'!$B$13,Paramètres!$A$1:$I$88,3,0)*0.475*44/12</f>
        <v>0</v>
      </c>
      <c r="DI81" s="24">
        <f t="shared" si="69"/>
        <v>19.45425338964311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4.5999999999999996</v>
      </c>
      <c r="DO81" s="13">
        <f>IF('Données projet'!$A$166&gt;35,DO80+DN81-DW80,IF(A81&lt;'Données projet'!$A$166,$DL$205^A81,IF(A81='Données projet'!$A$166,'Données projet'!$B$166,DO80+DN81-DW80)))</f>
        <v>182.79999999999998</v>
      </c>
      <c r="DP81" s="18">
        <f>DO81*VLOOKUP('Données projet'!$B$14,Paramètres!$A$1:$I$88,3,0)*VLOOKUP('Données projet'!$B$14,Paramètres!$A$1:$I$88,5,0)</f>
        <v>176.80415999999997</v>
      </c>
      <c r="DQ81" s="14">
        <f t="shared" si="97"/>
        <v>44.610431038325757</v>
      </c>
      <c r="DR81" s="22">
        <f t="shared" si="70"/>
        <v>385.630412725084</v>
      </c>
      <c r="DS81" s="62">
        <f t="shared" si="71"/>
        <v>655.55385075951017</v>
      </c>
      <c r="DT81" s="62">
        <f ca="1">AVERAGE(OFFSET($DS$3,0,0,'Données projet'!$E$14+1,1))-AVERAGE(OFFSET($H$3,0,0,'Données projet'!$E$14+1,1))</f>
        <v>290.89727102147953</v>
      </c>
      <c r="DU81" s="62">
        <f t="shared" si="98"/>
        <v>173.19148969173838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projet'!$B$14,Paramètres!$A$1:$I$88,3,0)*0.475*44/12</f>
        <v>13.182117050905722</v>
      </c>
      <c r="EB81" s="23">
        <f>EXP(-LN(2)/25)*EB80+(1-EXP(-LN(2)/25))/(LN(2)/25)*Calculateur!DW81*Calculateur!DY81*VLOOKUP('Données projet'!$B$14,Paramètres!$A$1:$I$88,3,0)*0.475*44/12</f>
        <v>0</v>
      </c>
      <c r="EC81" s="23">
        <f>EXP(-LN(2)/2)*EC80+(1-EXP(-LN(2)/2))/(LN(2)/2)*DW81*DZ81*VLOOKUP('Données projet'!$B$14,Paramètres!$A$1:$I$88,3,0)*0.475*44/12</f>
        <v>0</v>
      </c>
      <c r="ED81" s="24">
        <f t="shared" si="72"/>
        <v>13.182117050905722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projet'!$B$15,Paramètres!$A$1:$I$88,3,0)*VLOOKUP('Données projet'!$B$15,Paramètres!$A$1:$I$88,5,0)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projet'!$B$15,Paramètres!$A$1:$I$88,3,0)*0.475*44/12</f>
        <v>#N/A</v>
      </c>
      <c r="EW81" s="23" t="e">
        <f>EXP(-LN(2)/25)*EW80+(1-EXP(-LN(2)/25))/(LN(2)/25)*Calculateur!ER81*Calculateur!ET81*VLOOKUP('Données projet'!$B$15,Paramètres!$A$1:$I$88,3,0)*0.475*44/12</f>
        <v>#N/A</v>
      </c>
      <c r="EX81" s="23" t="e">
        <f>EXP(-LN(2)/2)*EX80+(1-EXP(-LN(2)/2))/(LN(2)/2)*ER81*EU81*VLOOKUP('Données projet'!$B$15,Paramètres!$A$1:$I$88,3,0)*0.475*44/12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projet'!$B$16,Paramètres!$A$1:$I$88,3,0)*VLOOKUP('Données projet'!$B$16,Paramètres!$A$1:$I$88,5,0)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projet'!$B$16,Paramètres!$A$1:$I$88,3,0)*0.475*44/12</f>
        <v>#N/A</v>
      </c>
      <c r="FR81" s="23" t="e">
        <f>EXP(-LN(2)/25)*FR80+(1-EXP(-LN(2)/25))/(LN(2)/25)*Calculateur!FM81*Calculateur!FO81*VLOOKUP('Données projet'!$B$16,Paramètres!$A$1:$I$88,3,0)*0.475*44/12</f>
        <v>#N/A</v>
      </c>
      <c r="FS81" s="23" t="e">
        <f>EXP(-LN(2)/2)*FS80+(1-EXP(-LN(2)/2))/(LN(2)/2)*FM81*FP81*VLOOKUP('Données projet'!$B$16,Paramètres!$A$1:$I$88,3,0)*0.475*44/12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projet'!$B$17,Paramètres!$A$1:$I$88,3,0)*VLOOKUP('Données projet'!$B$17,Paramètres!$A$1:$I$88,5,0)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projet'!$B$17,Paramètres!$A$1:$I$88,3,0)*0.475*44/12</f>
        <v>#N/A</v>
      </c>
      <c r="GM81" s="23" t="e">
        <f>EXP(-LN(2)/25)*GM80+(1-EXP(-LN(2)/25))/(LN(2)/25)*Calculateur!GH81*Calculateur!GJ81*VLOOKUP('Données projet'!$B$17,Paramètres!$A$1:$I$88,3,0)*0.475*44/12</f>
        <v>#N/A</v>
      </c>
      <c r="GN81" s="23" t="e">
        <f>EXP(-LN(2)/2)*GN80+(1-EXP(-LN(2)/2))/(LN(2)/2)*GH81*GK81*VLOOKUP('Données projet'!$B$17,Paramètres!$A$1:$I$88,3,0)*0.475*44/12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projet'!$B$18,Paramètres!$A$1:$I$88,3,0)*VLOOKUP('Données projet'!$B$18,Paramètres!$A$1:$I$88,5,0)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projet'!$B$18,Paramètres!$A$1:$I$88,3,0)*0.475*44/12</f>
        <v>#N/A</v>
      </c>
      <c r="HH81" s="23" t="e">
        <f>EXP(-LN(2)/25)*HH80+(1-EXP(-LN(2)/25))/(LN(2)/25)*Calculateur!HC81*Calculateur!HE81*VLOOKUP('Données projet'!$B$18,Paramètres!$A$1:$I$88,3,0)*0.475*44/12</f>
        <v>#N/A</v>
      </c>
      <c r="HI81" s="23" t="e">
        <f>EXP(-LN(2)/2)*HI80+(1-EXP(-LN(2)/2))/(LN(2)/2)*HC81*HF81*VLOOKUP('Données projet'!$B$18,Paramètres!$A$1:$I$88,3,0)*0.475*44/12</f>
        <v>#N/A</v>
      </c>
      <c r="HJ81" s="24" t="e">
        <f t="shared" si="84"/>
        <v>#N/A</v>
      </c>
    </row>
    <row r="82" spans="1:218" s="5" customFormat="1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projet'!$B$9,Paramètres!$A$1:$I$88,3,0)*VLOOKUP('Données projet'!$B$9,Paramètres!$A$1:$I$88,5,0)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270.32954738117803</v>
      </c>
      <c r="S82" s="62">
        <f ca="1">AVERAGE(OFFSET($R$3,0,0,'Données projet'!$E$9+1,1))-AVERAGE(OFFSET($H$3,0,0,'Données projet'!$E$9+1,1))</f>
        <v>301.2688576786212</v>
      </c>
      <c r="T82" s="62">
        <f t="shared" si="88"/>
        <v>417.62172165132927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84.915081782634758</v>
      </c>
      <c r="AA82" s="23">
        <f>EXP(-LN(2)/25)*AA81+(1-EXP(-LN(2)/25))/(LN(2)/25)*Calculateur!V82*Calculateur!X82*VLOOKUP('Données projet'!$B$9,Paramètres!$A$1:$I$88,3,0)*0.475*44/12</f>
        <v>22.263356633855768</v>
      </c>
      <c r="AB82" s="23">
        <f>EXP(-LN(2)/2)*AB81+(1-EXP(-LN(2)/2))/(LN(2)/2)*V82*Y82*VLOOKUP('Données projet'!$B$9,Paramètres!$A$1:$I$88,3,0)*0.475*44/12</f>
        <v>1.2711348333871574E-3</v>
      </c>
      <c r="AC82" s="24">
        <f t="shared" si="57"/>
        <v>107.17970955132391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projet'!$B$10,Paramètres!$A$1:$I$88,3,0)*VLOOKUP('Données projet'!$B$10,Paramètres!$A$1:$I$88,5,0)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170.08673939431091</v>
      </c>
      <c r="AO82" s="62">
        <f t="shared" si="90"/>
        <v>252.97355497077106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projet'!$B$10,Paramètres!$A$1:$I$88,3,0)*0.475*44/12</f>
        <v>35.454380280601505</v>
      </c>
      <c r="AV82" s="23">
        <f>EXP(-LN(2)/25)*AV81+(1-EXP(-LN(2)/25))/(LN(2)/25)*Calculateur!AQ82*Calculateur!AS82*VLOOKUP('Données projet'!$B$10,Paramètres!$A$1:$I$88,3,0)*0.475*44/12</f>
        <v>22.565101281420894</v>
      </c>
      <c r="AW82" s="23">
        <f>EXP(-LN(2)/2)*AW81+(1-EXP(-LN(2)/2))/(LN(2)/2)*AQ82*AT82*VLOOKUP('Données projet'!$B$10,Paramètres!$A$1:$I$88,3,0)*0.475*44/12</f>
        <v>1.6282215288233495E-3</v>
      </c>
      <c r="AX82" s="23">
        <f t="shared" si="60"/>
        <v>58.021109783551225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6</v>
      </c>
      <c r="BD82" s="13">
        <f>IF('Données projet'!$A$88&gt;35,BD81+BC82-BL81,IF(A82&lt;'Données projet'!$A$88,$BA$205^A82,IF(A82='Données projet'!$A$88,'Données projet'!$B$88,BD81+BC82-BL81)))</f>
        <v>254.99999999999989</v>
      </c>
      <c r="BE82" s="14">
        <f>BD82*VLOOKUP('Données projet'!$B$11,Paramètres!$A$1:$I$88,3,0)*VLOOKUP('Données projet'!$B$11,Paramètres!$A$1:$I$88,5,0)</f>
        <v>230.72399999999988</v>
      </c>
      <c r="BF82" s="14">
        <f t="shared" si="91"/>
        <v>56.439198612082045</v>
      </c>
      <c r="BG82" s="22">
        <f t="shared" si="61"/>
        <v>500.14257091604264</v>
      </c>
      <c r="BH82" s="62">
        <f t="shared" si="62"/>
        <v>770.47211829721959</v>
      </c>
      <c r="BI82" s="62">
        <f ca="1">AVERAGE(OFFSET($BH$3,0,0,'Données projet'!$E$11+1,1))-AVERAGE(OFFSET($H$3,0,0,'Données projet'!$E$11+1,1))</f>
        <v>362.63718589694594</v>
      </c>
      <c r="BJ82" s="62">
        <f t="shared" si="92"/>
        <v>250.47702091764884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projet'!$B$11,Paramètres!$A$1:$I$88,3,0)*0.475*44/12</f>
        <v>18.134762395123232</v>
      </c>
      <c r="BQ82" s="23">
        <f>EXP(-LN(2)/25)*BQ81+(1-EXP(-LN(2)/25))/(LN(2)/25)*Calculateur!BL82*Calculateur!BN82*VLOOKUP('Données projet'!$B$11,Paramètres!$A$1:$I$88,3,0)*0.475*44/12</f>
        <v>0</v>
      </c>
      <c r="BR82" s="23">
        <f>EXP(-LN(2)/2)*BR81+(1-EXP(-LN(2)/2))/(LN(2)/2)*BL82*BO82*VLOOKUP('Données projet'!$B$11,Paramètres!$A$1:$I$88,3,0)*0.475*44/12</f>
        <v>0</v>
      </c>
      <c r="BS82" s="24">
        <f t="shared" si="63"/>
        <v>18.134762395123232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6</v>
      </c>
      <c r="BY82" s="13">
        <f>IF('Données projet'!$A$114&gt;35,BY81+BX82-CG81,IF(A82&lt;'Données projet'!$A$114,$BV$205^A82,IF(A82='Données projet'!$A$114,'Données projet'!$B$114,BY81+BX82-CG81)))</f>
        <v>254.99999999999989</v>
      </c>
      <c r="BZ82" s="14">
        <f>BY82*VLOOKUP('Données projet'!$B$12,Paramètres!$A$1:$I$88,3,0)*VLOOKUP('Données projet'!$B$12,Paramètres!$A$1:$I$88,5,0)</f>
        <v>258.56999999999994</v>
      </c>
      <c r="CA82" s="14">
        <f t="shared" si="93"/>
        <v>62.417461971173843</v>
      </c>
      <c r="CB82" s="22">
        <f t="shared" si="64"/>
        <v>559.05316293312762</v>
      </c>
      <c r="CC82" s="62">
        <f t="shared" si="65"/>
        <v>829.38271031430463</v>
      </c>
      <c r="CD82" s="62">
        <f ca="1">AVERAGE(OFFSET($CC$3,0,0,'Données projet'!$E$12+1,1))-AVERAGE(OFFSET($H$3,0,0,'Données projet'!$E$12+1,1))</f>
        <v>398.14524781940196</v>
      </c>
      <c r="CE82" s="62">
        <f t="shared" si="94"/>
        <v>273.35778700650792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projet'!$B$12,Paramètres!$A$1:$I$88,3,0)*0.475*44/12</f>
        <v>20.323440615224307</v>
      </c>
      <c r="CL82" s="23">
        <f>EXP(-LN(2)/25)*CL81+(1-EXP(-LN(2)/25))/(LN(2)/25)*Calculateur!CG82*Calculateur!CI82*VLOOKUP('Données projet'!$B$12,Paramètres!$A$1:$I$88,3,0)*0.475*44/12</f>
        <v>0</v>
      </c>
      <c r="CM82" s="23">
        <f>EXP(-LN(2)/2)*CM81+(1-EXP(-LN(2)/2))/(LN(2)/2)*CG82*CJ82*VLOOKUP('Données projet'!$B$12,Paramètres!$A$1:$I$88,3,0)*0.475*44/12</f>
        <v>0</v>
      </c>
      <c r="CN82" s="24">
        <f t="shared" si="66"/>
        <v>20.323440615224307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7.4</v>
      </c>
      <c r="CT82" s="13">
        <f>IF('Données projet'!$A$140&gt;35,CT81+CS82-DB81,IF(A82&lt;'Données projet'!$A$140,$CQ$205^A82,IF(A82='Données projet'!$A$140,'Données projet'!$B$140,CT81+CS82-DB81)))</f>
        <v>343.59999999999991</v>
      </c>
      <c r="CU82" s="18">
        <f>CT82*VLOOKUP('Données projet'!$B$13,Paramètres!$A$1:$I$88,3,0)*VLOOKUP('Données projet'!$B$13,Paramètres!$A$1:$I$88,5,0)</f>
        <v>326.96975999999995</v>
      </c>
      <c r="CV82" s="14">
        <f t="shared" si="95"/>
        <v>76.801724205369041</v>
      </c>
      <c r="CW82" s="22">
        <f t="shared" si="67"/>
        <v>703.23533499101768</v>
      </c>
      <c r="CX82" s="62">
        <f t="shared" si="68"/>
        <v>973.56488237219469</v>
      </c>
      <c r="CY82" s="62">
        <f ca="1">AVERAGE(OFFSET($CX$3,0,0,'Données projet'!$E$13+1,1))-AVERAGE(OFFSET($H$3,0,0,'Données projet'!$E$13+1,1))</f>
        <v>470.0521927195926</v>
      </c>
      <c r="CZ82" s="62">
        <f t="shared" si="96"/>
        <v>299.27200854723435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projet'!$B$13,Paramètres!$A$1:$I$88,3,0)*0.475*44/12</f>
        <v>19.072767346595114</v>
      </c>
      <c r="DG82" s="23">
        <f>EXP(-LN(2)/25)*DG81+(1-EXP(-LN(2)/25))/(LN(2)/25)*Calculateur!DB82*Calculateur!DD82*VLOOKUP('Données projet'!$B$13,Paramètres!$A$1:$I$88,3,0)*0.475*44/12</f>
        <v>0</v>
      </c>
      <c r="DH82" s="23">
        <f>EXP(-LN(2)/2)*DH81+(1-EXP(-LN(2)/2))/(LN(2)/2)*DB82*DE82*VLOOKUP('Données projet'!$B$13,Paramètres!$A$1:$I$88,3,0)*0.475*44/12</f>
        <v>0</v>
      </c>
      <c r="DI82" s="24">
        <f t="shared" si="69"/>
        <v>19.072767346595114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4.5999999999999996</v>
      </c>
      <c r="DO82" s="13">
        <f>IF('Données projet'!$A$166&gt;35,DO81+DN82-DW81,IF(A82&lt;'Données projet'!$A$166,$DL$205^A82,IF(A82='Données projet'!$A$166,'Données projet'!$B$166,DO81+DN82-DW81)))</f>
        <v>187.39999999999998</v>
      </c>
      <c r="DP82" s="18">
        <f>DO82*VLOOKUP('Données projet'!$B$14,Paramètres!$A$1:$I$88,3,0)*VLOOKUP('Données projet'!$B$14,Paramètres!$A$1:$I$88,5,0)</f>
        <v>181.25327999999999</v>
      </c>
      <c r="DQ82" s="14">
        <f t="shared" si="97"/>
        <v>45.600905177745403</v>
      </c>
      <c r="DR82" s="22">
        <f t="shared" si="70"/>
        <v>395.10437251790654</v>
      </c>
      <c r="DS82" s="62">
        <f t="shared" si="71"/>
        <v>665.43391989908355</v>
      </c>
      <c r="DT82" s="62">
        <f ca="1">AVERAGE(OFFSET($DS$3,0,0,'Données projet'!$E$14+1,1))-AVERAGE(OFFSET($H$3,0,0,'Données projet'!$E$14+1,1))</f>
        <v>290.89727102147953</v>
      </c>
      <c r="DU82" s="62">
        <f t="shared" si="98"/>
        <v>173.19148969173838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projet'!$B$14,Paramètres!$A$1:$I$88,3,0)*0.475*44/12</f>
        <v>12.923623775834949</v>
      </c>
      <c r="EB82" s="23">
        <f>EXP(-LN(2)/25)*EB81+(1-EXP(-LN(2)/25))/(LN(2)/25)*Calculateur!DW82*Calculateur!DY82*VLOOKUP('Données projet'!$B$14,Paramètres!$A$1:$I$88,3,0)*0.475*44/12</f>
        <v>0</v>
      </c>
      <c r="EC82" s="23">
        <f>EXP(-LN(2)/2)*EC81+(1-EXP(-LN(2)/2))/(LN(2)/2)*DW82*DZ82*VLOOKUP('Données projet'!$B$14,Paramètres!$A$1:$I$88,3,0)*0.475*44/12</f>
        <v>0</v>
      </c>
      <c r="ED82" s="24">
        <f t="shared" si="72"/>
        <v>12.923623775834949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projet'!$B$15,Paramètres!$A$1:$I$88,3,0)*VLOOKUP('Données projet'!$B$15,Paramètres!$A$1:$I$88,5,0)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projet'!$B$15,Paramètres!$A$1:$I$88,3,0)*0.475*44/12</f>
        <v>#N/A</v>
      </c>
      <c r="EW82" s="23" t="e">
        <f>EXP(-LN(2)/25)*EW81+(1-EXP(-LN(2)/25))/(LN(2)/25)*Calculateur!ER82*Calculateur!ET82*VLOOKUP('Données projet'!$B$15,Paramètres!$A$1:$I$88,3,0)*0.475*44/12</f>
        <v>#N/A</v>
      </c>
      <c r="EX82" s="23" t="e">
        <f>EXP(-LN(2)/2)*EX81+(1-EXP(-LN(2)/2))/(LN(2)/2)*ER82*EU82*VLOOKUP('Données projet'!$B$15,Paramètres!$A$1:$I$88,3,0)*0.475*44/12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projet'!$B$16,Paramètres!$A$1:$I$88,3,0)*VLOOKUP('Données projet'!$B$16,Paramètres!$A$1:$I$88,5,0)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projet'!$B$16,Paramètres!$A$1:$I$88,3,0)*0.475*44/12</f>
        <v>#N/A</v>
      </c>
      <c r="FR82" s="23" t="e">
        <f>EXP(-LN(2)/25)*FR81+(1-EXP(-LN(2)/25))/(LN(2)/25)*Calculateur!FM82*Calculateur!FO82*VLOOKUP('Données projet'!$B$16,Paramètres!$A$1:$I$88,3,0)*0.475*44/12</f>
        <v>#N/A</v>
      </c>
      <c r="FS82" s="23" t="e">
        <f>EXP(-LN(2)/2)*FS81+(1-EXP(-LN(2)/2))/(LN(2)/2)*FM82*FP82*VLOOKUP('Données projet'!$B$16,Paramètres!$A$1:$I$88,3,0)*0.475*44/12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projet'!$B$17,Paramètres!$A$1:$I$88,3,0)*VLOOKUP('Données projet'!$B$17,Paramètres!$A$1:$I$88,5,0)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projet'!$B$17,Paramètres!$A$1:$I$88,3,0)*0.475*44/12</f>
        <v>#N/A</v>
      </c>
      <c r="GM82" s="23" t="e">
        <f>EXP(-LN(2)/25)*GM81+(1-EXP(-LN(2)/25))/(LN(2)/25)*Calculateur!GH82*Calculateur!GJ82*VLOOKUP('Données projet'!$B$17,Paramètres!$A$1:$I$88,3,0)*0.475*44/12</f>
        <v>#N/A</v>
      </c>
      <c r="GN82" s="23" t="e">
        <f>EXP(-LN(2)/2)*GN81+(1-EXP(-LN(2)/2))/(LN(2)/2)*GH82*GK82*VLOOKUP('Données projet'!$B$17,Paramètres!$A$1:$I$88,3,0)*0.475*44/12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projet'!$B$18,Paramètres!$A$1:$I$88,3,0)*VLOOKUP('Données projet'!$B$18,Paramètres!$A$1:$I$88,5,0)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projet'!$B$18,Paramètres!$A$1:$I$88,3,0)*0.475*44/12</f>
        <v>#N/A</v>
      </c>
      <c r="HH82" s="23" t="e">
        <f>EXP(-LN(2)/25)*HH81+(1-EXP(-LN(2)/25))/(LN(2)/25)*Calculateur!HC82*Calculateur!HE82*VLOOKUP('Données projet'!$B$18,Paramètres!$A$1:$I$88,3,0)*0.475*44/12</f>
        <v>#N/A</v>
      </c>
      <c r="HI82" s="23" t="e">
        <f>EXP(-LN(2)/2)*HI81+(1-EXP(-LN(2)/2))/(LN(2)/2)*HC82*HF82*VLOOKUP('Données projet'!$B$18,Paramètres!$A$1:$I$88,3,0)*0.475*44/12</f>
        <v>#N/A</v>
      </c>
      <c r="HJ82" s="24" t="e">
        <f t="shared" si="84"/>
        <v>#N/A</v>
      </c>
    </row>
    <row r="83" spans="1:218" s="5" customFormat="1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projet'!$B$9,Paramètres!$A$1:$I$88,3,0)*VLOOKUP('Données projet'!$B$9,Paramètres!$A$1:$I$88,5,0)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270.7286116386872</v>
      </c>
      <c r="S83" s="62">
        <f ca="1">AVERAGE(OFFSET($R$3,0,0,'Données projet'!$E$9+1,1))-AVERAGE(OFFSET($H$3,0,0,'Données projet'!$E$9+1,1))</f>
        <v>301.2688576786212</v>
      </c>
      <c r="T83" s="62">
        <f t="shared" si="88"/>
        <v>417.62172165132927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projet'!$B$9,Paramètres!$A$1:$I$88,7,0))</f>
        <v>0</v>
      </c>
      <c r="X83" s="17">
        <f>IF(ISNA(VLOOKUP(A83,'Données projet'!$A$35:$I$55,6,0)),0%,VLOOKUP(A83,'Données projet'!$A$35:$I$55,6,0)*VLOOKUP('Données projet'!$B$9,Paramètres!$A$1:$I$88,7,0))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projet'!$B$9,Paramètres!$A$1:$I$88,3,0)*0.475*44/12</f>
        <v>83.249948821963031</v>
      </c>
      <c r="AA83" s="23">
        <f>EXP(-LN(2)/25)*AA82+(1-EXP(-LN(2)/25))/(LN(2)/25)*Calculateur!V83*Calculateur!X83*VLOOKUP('Données projet'!$B$9,Paramètres!$A$1:$I$88,3,0)*0.475*44/12</f>
        <v>21.654563975923939</v>
      </c>
      <c r="AB83" s="23">
        <f>EXP(-LN(2)/2)*AB82+(1-EXP(-LN(2)/2))/(LN(2)/2)*V83*Y83*VLOOKUP('Données projet'!$B$9,Paramètres!$A$1:$I$88,3,0)*0.475*44/12</f>
        <v>8.9882806049049126E-4</v>
      </c>
      <c r="AC83" s="24">
        <f t="shared" si="57"/>
        <v>104.90541162594745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projet'!$B$10,Paramètres!$A$1:$I$88,3,0)*VLOOKUP('Données projet'!$B$10,Paramètres!$A$1:$I$88,5,0)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170.08673939431091</v>
      </c>
      <c r="AO83" s="62">
        <f t="shared" si="90"/>
        <v>252.97355497077106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projet'!$B$10,Paramètres!$A$1:$I$88,7,0))</f>
        <v>0</v>
      </c>
      <c r="AS83" s="17">
        <f>IF(ISNA(VLOOKUP(A83,'Données projet'!$A$61:$I$81,6,0)),0%,VLOOKUP(A83,'Données projet'!$A$61:$I$81,6,0)*VLOOKUP('Données projet'!$B$10,Paramètres!$A$1:$I$88,7,0))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projet'!$B$10,Paramètres!$A$1:$I$88,3,0)*0.475*44/12</f>
        <v>34.759141508335588</v>
      </c>
      <c r="AV83" s="23">
        <f>EXP(-LN(2)/25)*AV82+(1-EXP(-LN(2)/25))/(LN(2)/25)*Calculateur!AQ83*Calculateur!AS83*VLOOKUP('Données projet'!$B$10,Paramètres!$A$1:$I$88,3,0)*0.475*44/12</f>
        <v>21.948057400233335</v>
      </c>
      <c r="AW83" s="23">
        <f>EXP(-LN(2)/2)*AW82+(1-EXP(-LN(2)/2))/(LN(2)/2)*AQ83*AT83*VLOOKUP('Données projet'!$B$10,Paramètres!$A$1:$I$88,3,0)*0.475*44/12</f>
        <v>1.151326484304918E-3</v>
      </c>
      <c r="AX83" s="23">
        <f t="shared" si="60"/>
        <v>56.708350235053231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261</v>
      </c>
      <c r="BB83" s="13">
        <f>VLOOKUP(A83,'Données projet'!$A$87:$I$107,9,0)</f>
        <v>6</v>
      </c>
      <c r="BC83" s="13">
        <f t="array" ref="BC83">INDEX(BB:BB,MIN(IF(ISNUMBER(BB83:BB279),ROW(BB83:BB279),"")))</f>
        <v>6</v>
      </c>
      <c r="BD83" s="13">
        <f>IF('Données projet'!$A$88&gt;35,BD82+BC83-BL82,IF(A83&lt;'Données projet'!$A$88,$BA$205^A83,IF(A83='Données projet'!$A$88,'Données projet'!$B$88,BD82+BC83-BL82)))</f>
        <v>260.99999999999989</v>
      </c>
      <c r="BE83" s="14">
        <f>BD83*VLOOKUP('Données projet'!$B$11,Paramètres!$A$1:$I$88,3,0)*VLOOKUP('Données projet'!$B$11,Paramètres!$A$1:$I$88,5,0)</f>
        <v>236.15279999999987</v>
      </c>
      <c r="BF83" s="14">
        <f t="shared" si="91"/>
        <v>57.61100977459931</v>
      </c>
      <c r="BG83" s="22">
        <f t="shared" si="61"/>
        <v>511.63863535742689</v>
      </c>
      <c r="BH83" s="62">
        <f t="shared" si="62"/>
        <v>782.36724699611295</v>
      </c>
      <c r="BI83" s="62">
        <f ca="1">AVERAGE(OFFSET($BH$3,0,0,'Données projet'!$E$11+1,1))-AVERAGE(OFFSET($H$3,0,0,'Données projet'!$E$11+1,1))</f>
        <v>362.63718589694594</v>
      </c>
      <c r="BJ83" s="62">
        <f t="shared" si="92"/>
        <v>250.47702091764884</v>
      </c>
      <c r="BK83" s="16">
        <f>IF(ISNA(VLOOKUP(A83,'Données projet'!$A$87:$I$107,3,0)),0,VLOOKUP(A83,'Données projet'!$A$87:$I$107,3,0))</f>
        <v>13</v>
      </c>
      <c r="BL83" s="23">
        <f>IF(ISNA(VLOOKUP(A83,'Données projet'!$A$87:$I$107,4,0)),0,VLOOKUP(A83,'Données projet'!$A$87:$I$107,4,0))</f>
        <v>21</v>
      </c>
      <c r="BM83" s="17">
        <f>IF(ISNA(VLOOKUP(A83,'Données projet'!$A$87:$I$107,5,0)),0%,VLOOKUP(A83,'Données projet'!$A$87:$I$107,5,0)*VLOOKUP('Données projet'!$B$11,Paramètres!$A$1:$I$88,7,0))</f>
        <v>0.25800000000000001</v>
      </c>
      <c r="BN83" s="17">
        <f>IF(ISNA(VLOOKUP(A83,'Données projet'!$A$87:$I$107,6,0)),0%,VLOOKUP(A83,'Données projet'!$A$87:$I$107,6,0)*VLOOKUP('Données projet'!$B$11,Paramètres!$A$1:$I$88,7,0))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projet'!$B$11,Paramètres!$A$1:$I$88,3,0)*0.475*44/12</f>
        <v>23.198394735224589</v>
      </c>
      <c r="BQ83" s="23">
        <f>EXP(-LN(2)/25)*BQ82+(1-EXP(-LN(2)/25))/(LN(2)/25)*Calculateur!BL83*Calculateur!BN83*VLOOKUP('Données projet'!$B$11,Paramètres!$A$1:$I$88,3,0)*0.475*44/12</f>
        <v>0</v>
      </c>
      <c r="BR83" s="23">
        <f>EXP(-LN(2)/2)*BR82+(1-EXP(-LN(2)/2))/(LN(2)/2)*BL83*BO83*VLOOKUP('Données projet'!$B$11,Paramètres!$A$1:$I$88,3,0)*0.475*44/12</f>
        <v>0</v>
      </c>
      <c r="BS83" s="24">
        <f t="shared" si="63"/>
        <v>23.198394735224589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261</v>
      </c>
      <c r="BW83" s="13">
        <f>VLOOKUP(A83,'Données projet'!$A$113:$I$133,9,0)</f>
        <v>6</v>
      </c>
      <c r="BX83" s="13">
        <f t="array" ref="BX83">INDEX(BW:BW,MIN(IF(ISNUMBER(BW83:BW279),ROW(BW83:BW279),"")))</f>
        <v>6</v>
      </c>
      <c r="BY83" s="13">
        <f>IF('Données projet'!$A$114&gt;35,BY82+BX83-CG82,IF(A83&lt;'Données projet'!$A$114,$BV$205^A83,IF(A83='Données projet'!$A$114,'Données projet'!$B$114,BY82+BX83-CG82)))</f>
        <v>260.99999999999989</v>
      </c>
      <c r="BZ83" s="14">
        <f>BY83*VLOOKUP('Données projet'!$B$12,Paramètres!$A$1:$I$88,3,0)*VLOOKUP('Données projet'!$B$12,Paramètres!$A$1:$I$88,5,0)</f>
        <v>264.65399999999988</v>
      </c>
      <c r="CA83" s="14">
        <f t="shared" si="93"/>
        <v>63.71339601121106</v>
      </c>
      <c r="CB83" s="22">
        <f t="shared" si="64"/>
        <v>571.90654805285897</v>
      </c>
      <c r="CC83" s="62">
        <f t="shared" si="65"/>
        <v>842.63515969154514</v>
      </c>
      <c r="CD83" s="62">
        <f ca="1">AVERAGE(OFFSET($CC$3,0,0,'Données projet'!$E$12+1,1))-AVERAGE(OFFSET($H$3,0,0,'Données projet'!$E$12+1,1))</f>
        <v>398.14524781940196</v>
      </c>
      <c r="CE83" s="62">
        <f t="shared" si="94"/>
        <v>273.35778700650792</v>
      </c>
      <c r="CF83" s="16">
        <f>IF(ISNA(VLOOKUP(A83,'Données projet'!$A$113:$I$133,3,0)),0,VLOOKUP(A83,'Données projet'!$A$113:$I$133,3,0))</f>
        <v>13</v>
      </c>
      <c r="CG83" s="16">
        <f>IF(ISNA(VLOOKUP(A83,'Données projet'!$A$113:$I$133,4,0)),0,VLOOKUP(A83,'Données projet'!$A$113:$I$133,4,0))</f>
        <v>21</v>
      </c>
      <c r="CH83" s="17">
        <f>IF(ISNA(VLOOKUP(A83,'Données projet'!$A$113:$I$133,5,0)),0%,VLOOKUP(A83,'Données projet'!$A$113:$I$133,5,0)*VLOOKUP('Données projet'!$B$12,Paramètres!$A$1:$I$88,7,0))</f>
        <v>0.25800000000000001</v>
      </c>
      <c r="CI83" s="17">
        <f>IF(ISNA(VLOOKUP(A83,'Données projet'!$A$113:$I$133,6,0)),0%,VLOOKUP(A83,'Données projet'!$A$113:$I$133,6,0)*VLOOKUP('Données projet'!$B$12,Paramètres!$A$1:$I$88,7,0))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projet'!$B$12,Paramètres!$A$1:$I$88,3,0)*0.475*44/12</f>
        <v>25.998200996372379</v>
      </c>
      <c r="CL83" s="23">
        <f>EXP(-LN(2)/25)*CL82+(1-EXP(-LN(2)/25))/(LN(2)/25)*Calculateur!CG83*Calculateur!CI83*VLOOKUP('Données projet'!$B$12,Paramètres!$A$1:$I$88,3,0)*0.475*44/12</f>
        <v>0</v>
      </c>
      <c r="CM83" s="23">
        <f>EXP(-LN(2)/2)*CM82+(1-EXP(-LN(2)/2))/(LN(2)/2)*CG83*CJ83*VLOOKUP('Données projet'!$B$12,Paramètres!$A$1:$I$88,3,0)*0.475*44/12</f>
        <v>0</v>
      </c>
      <c r="CN83" s="24">
        <f t="shared" si="66"/>
        <v>25.998200996372379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351</v>
      </c>
      <c r="CR83" s="13">
        <f>VLOOKUP(A83,'Données projet'!$A$139:$I$159,9,0)</f>
        <v>7.4</v>
      </c>
      <c r="CS83" s="13">
        <f t="array" ref="CS83">INDEX(CR:CR,MIN(IF(ISNUMBER(CR83:CR279),ROW(CR83:CR279),"")))</f>
        <v>7.4</v>
      </c>
      <c r="CT83" s="13">
        <f>IF('Données projet'!$A$140&gt;35,CT82+CS83-DB82,IF(A83&lt;'Données projet'!$A$140,$CQ$205^A83,IF(A83='Données projet'!$A$140,'Données projet'!$B$140,CT82+CS83-DB82)))</f>
        <v>350.99999999999989</v>
      </c>
      <c r="CU83" s="18">
        <f>CT83*VLOOKUP('Données projet'!$B$13,Paramètres!$A$1:$I$88,3,0)*VLOOKUP('Données projet'!$B$13,Paramètres!$A$1:$I$88,5,0)</f>
        <v>334.01159999999987</v>
      </c>
      <c r="CV83" s="14">
        <f t="shared" si="95"/>
        <v>78.261428413244502</v>
      </c>
      <c r="CW83" s="22">
        <f t="shared" si="67"/>
        <v>718.04219115306739</v>
      </c>
      <c r="CX83" s="62">
        <f t="shared" si="68"/>
        <v>988.77080279175357</v>
      </c>
      <c r="CY83" s="62">
        <f ca="1">AVERAGE(OFFSET($CX$3,0,0,'Données projet'!$E$13+1,1))-AVERAGE(OFFSET($H$3,0,0,'Données projet'!$E$13+1,1))</f>
        <v>470.0521927195926</v>
      </c>
      <c r="CZ83" s="62">
        <f t="shared" si="96"/>
        <v>299.27200854723435</v>
      </c>
      <c r="DA83" s="16">
        <f>IF(ISNA(VLOOKUP(A83,'Données projet'!$A$139:$I$159,3,0)),0,VLOOKUP(A83,'Données projet'!$A$139:$I$159,3,0))</f>
        <v>13</v>
      </c>
      <c r="DB83" s="16">
        <f>IF(ISNA(VLOOKUP(A83,'Données projet'!$A$139:$I$159,4,0)),0,VLOOKUP(A83,'Données projet'!$A$139:$I$159,4,0))</f>
        <v>21</v>
      </c>
      <c r="DC83" s="17">
        <f>IF(ISNA(VLOOKUP(A83,'Données projet'!$A$139:$I$159,5,0)),0%,VLOOKUP(A83,'Données projet'!$A$139:$I$159,5,0)*VLOOKUP('Données projet'!$B$13,Paramètres!$A$1:$I$88,7,0))</f>
        <v>0.25800000000000001</v>
      </c>
      <c r="DD83" s="17">
        <f>IF(ISNA(VLOOKUP(A83,'Données projet'!$A$139:$I$159,6,0)),0%,VLOOKUP(A83,'Données projet'!$A$139:$I$159,6,0)*VLOOKUP('Données projet'!$B$13,Paramètres!$A$1:$I$88,7,0))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projet'!$B$13,Paramètres!$A$1:$I$88,3,0)*0.475*44/12</f>
        <v>24.398311704287924</v>
      </c>
      <c r="DG83" s="23">
        <f>EXP(-LN(2)/25)*DG82+(1-EXP(-LN(2)/25))/(LN(2)/25)*Calculateur!DB83*Calculateur!DD83*VLOOKUP('Données projet'!$B$13,Paramètres!$A$1:$I$88,3,0)*0.475*44/12</f>
        <v>0</v>
      </c>
      <c r="DH83" s="23">
        <f>EXP(-LN(2)/2)*DH82+(1-EXP(-LN(2)/2))/(LN(2)/2)*DB83*DE83*VLOOKUP('Données projet'!$B$13,Paramètres!$A$1:$I$88,3,0)*0.475*44/12</f>
        <v>0</v>
      </c>
      <c r="DI83" s="24">
        <f t="shared" si="69"/>
        <v>24.398311704287924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192</v>
      </c>
      <c r="DM83" s="13">
        <f>VLOOKUP(A83,'Données projet'!$A$165:$I$185,9,0)</f>
        <v>4.5999999999999996</v>
      </c>
      <c r="DN83" s="13">
        <f t="array" ref="DN83">INDEX(DM:DM,MIN(IF(ISNUMBER(DM83:DM279),ROW(DM83:DM279),"")))</f>
        <v>4.5999999999999996</v>
      </c>
      <c r="DO83" s="13">
        <f>IF('Données projet'!$A$166&gt;35,DO82+DN83-DW82,IF(A83&lt;'Données projet'!$A$166,$DL$205^A83,IF(A83='Données projet'!$A$166,'Données projet'!$B$166,DO82+DN83-DW82)))</f>
        <v>191.99999999999997</v>
      </c>
      <c r="DP83" s="18">
        <f>DO83*VLOOKUP('Données projet'!$B$14,Paramètres!$A$1:$I$88,3,0)*VLOOKUP('Données projet'!$B$14,Paramètres!$A$1:$I$88,5,0)</f>
        <v>185.70239999999998</v>
      </c>
      <c r="DQ83" s="14">
        <f t="shared" si="97"/>
        <v>46.588553069776829</v>
      </c>
      <c r="DR83" s="22">
        <f t="shared" si="70"/>
        <v>404.57340992986127</v>
      </c>
      <c r="DS83" s="62">
        <f t="shared" si="71"/>
        <v>675.30202156854739</v>
      </c>
      <c r="DT83" s="62">
        <f ca="1">AVERAGE(OFFSET($DS$3,0,0,'Données projet'!$E$14+1,1))-AVERAGE(OFFSET($H$3,0,0,'Données projet'!$E$14+1,1))</f>
        <v>290.89727102147953</v>
      </c>
      <c r="DU83" s="62">
        <f t="shared" si="98"/>
        <v>173.19148969173838</v>
      </c>
      <c r="DV83" s="16">
        <f>IF(ISNA(VLOOKUP(A83,'Données projet'!$A$165:$I$185,3,0)),0,VLOOKUP(A83,'Données projet'!$A$165:$I$185,3,0))</f>
        <v>13</v>
      </c>
      <c r="DW83" s="16">
        <f>IF(ISNA(VLOOKUP(A83,'Données projet'!$A$165:$I$185,4,0)),0,VLOOKUP(A83,'Données projet'!$A$165:$I$185,4,0))</f>
        <v>14</v>
      </c>
      <c r="DX83" s="17">
        <f>IF(ISNA(VLOOKUP(A83,'Données projet'!$A$165:$I$185,5,0)),0%,VLOOKUP(A83,'Données projet'!$A$165:$I$185,5,0)*VLOOKUP('Données projet'!$B$14,Paramètres!$A$1:$I$88,7,0))</f>
        <v>0.25800000000000001</v>
      </c>
      <c r="DY83" s="17">
        <f>IF(ISNA(VLOOKUP(A83,'Données projet'!$A$165:$I$185,6,0)),0%,VLOOKUP(A83,'Données projet'!$A$165:$I$185,6,0)*VLOOKUP('Données projet'!$B$14,Paramètres!$A$1:$I$88,7,0))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projet'!$B$14,Paramètres!$A$1:$I$88,3,0)*0.475*44/12</f>
        <v>16.532189351539365</v>
      </c>
      <c r="EB83" s="23">
        <f>EXP(-LN(2)/25)*EB82+(1-EXP(-LN(2)/25))/(LN(2)/25)*Calculateur!DW83*Calculateur!DY83*VLOOKUP('Données projet'!$B$14,Paramètres!$A$1:$I$88,3,0)*0.475*44/12</f>
        <v>0</v>
      </c>
      <c r="EC83" s="23">
        <f>EXP(-LN(2)/2)*EC82+(1-EXP(-LN(2)/2))/(LN(2)/2)*DW83*DZ83*VLOOKUP('Données projet'!$B$14,Paramètres!$A$1:$I$88,3,0)*0.475*44/12</f>
        <v>0</v>
      </c>
      <c r="ED83" s="24">
        <f t="shared" si="72"/>
        <v>16.532189351539365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projet'!$B$15,Paramètres!$A$1:$I$88,3,0)*VLOOKUP('Données projet'!$B$15,Paramètres!$A$1:$I$88,5,0)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projet'!$B$15,Paramètres!$A$1:$I$88,7,0))</f>
        <v>0</v>
      </c>
      <c r="ET83" s="17">
        <f>IF(ISNA(VLOOKUP(A83,'Données projet'!$A$191:$I$211,6,0)),0%,VLOOKUP(A83,'Données projet'!$A$191:$I$211,6,0)*VLOOKUP('Données projet'!$B$15,Paramètres!$A$1:$I$88,7,0))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projet'!$B$15,Paramètres!$A$1:$I$88,3,0)*0.475*44/12</f>
        <v>#N/A</v>
      </c>
      <c r="EW83" s="23" t="e">
        <f>EXP(-LN(2)/25)*EW82+(1-EXP(-LN(2)/25))/(LN(2)/25)*Calculateur!ER83*Calculateur!ET83*VLOOKUP('Données projet'!$B$15,Paramètres!$A$1:$I$88,3,0)*0.475*44/12</f>
        <v>#N/A</v>
      </c>
      <c r="EX83" s="23" t="e">
        <f>EXP(-LN(2)/2)*EX82+(1-EXP(-LN(2)/2))/(LN(2)/2)*ER83*EU83*VLOOKUP('Données projet'!$B$15,Paramètres!$A$1:$I$88,3,0)*0.475*44/12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projet'!$B$16,Paramètres!$A$1:$I$88,3,0)*VLOOKUP('Données projet'!$B$16,Paramètres!$A$1:$I$88,5,0)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projet'!$B$16,Paramètres!$A$1:$I$88,7,0))</f>
        <v>0</v>
      </c>
      <c r="FO83" s="17">
        <f>IF(ISNA(VLOOKUP(A83,'Données projet'!$A$217:$I$237,6,0)),0%,VLOOKUP(A83,'Données projet'!$A$217:$I$237,6,0)*VLOOKUP('Données projet'!$B$16,Paramètres!$A$1:$I$88,7,0))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projet'!$B$16,Paramètres!$A$1:$I$88,3,0)*0.475*44/12</f>
        <v>#N/A</v>
      </c>
      <c r="FR83" s="23" t="e">
        <f>EXP(-LN(2)/25)*FR82+(1-EXP(-LN(2)/25))/(LN(2)/25)*Calculateur!FM83*Calculateur!FO83*VLOOKUP('Données projet'!$B$16,Paramètres!$A$1:$I$88,3,0)*0.475*44/12</f>
        <v>#N/A</v>
      </c>
      <c r="FS83" s="23" t="e">
        <f>EXP(-LN(2)/2)*FS82+(1-EXP(-LN(2)/2))/(LN(2)/2)*FM83*FP83*VLOOKUP('Données projet'!$B$16,Paramètres!$A$1:$I$88,3,0)*0.475*44/12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projet'!$B$17,Paramètres!$A$1:$I$88,3,0)*VLOOKUP('Données projet'!$B$17,Paramètres!$A$1:$I$88,5,0)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projet'!$B$17,Paramètres!$A$1:$I$88,3,0)*0.475*44/12</f>
        <v>#N/A</v>
      </c>
      <c r="GM83" s="23" t="e">
        <f>EXP(-LN(2)/25)*GM82+(1-EXP(-LN(2)/25))/(LN(2)/25)*Calculateur!GH83*Calculateur!GJ83*VLOOKUP('Données projet'!$B$17,Paramètres!$A$1:$I$88,3,0)*0.475*44/12</f>
        <v>#N/A</v>
      </c>
      <c r="GN83" s="23" t="e">
        <f>EXP(-LN(2)/2)*GN82+(1-EXP(-LN(2)/2))/(LN(2)/2)*GH83*GK83*VLOOKUP('Données projet'!$B$17,Paramètres!$A$1:$I$88,3,0)*0.475*44/12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projet'!$B$18,Paramètres!$A$1:$I$88,3,0)*VLOOKUP('Données projet'!$B$18,Paramètres!$A$1:$I$88,5,0)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projet'!$B$18,Paramètres!$A$1:$I$88,3,0)*0.475*44/12</f>
        <v>#N/A</v>
      </c>
      <c r="HH83" s="23" t="e">
        <f>EXP(-LN(2)/25)*HH82+(1-EXP(-LN(2)/25))/(LN(2)/25)*Calculateur!HC83*Calculateur!HE83*VLOOKUP('Données projet'!$B$18,Paramètres!$A$1:$I$88,3,0)*0.475*44/12</f>
        <v>#N/A</v>
      </c>
      <c r="HI83" s="23" t="e">
        <f>EXP(-LN(2)/2)*HI82+(1-EXP(-LN(2)/2))/(LN(2)/2)*HC83*HF83*VLOOKUP('Données projet'!$B$18,Paramètres!$A$1:$I$88,3,0)*0.475*44/12</f>
        <v>#N/A</v>
      </c>
      <c r="HJ83" s="24" t="e">
        <f t="shared" si="84"/>
        <v>#N/A</v>
      </c>
    </row>
    <row r="84" spans="1:218" s="5" customFormat="1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projet'!$B$9,Paramètres!$A$1:$I$88,3,0)*VLOOKUP('Données projet'!$B$9,Paramètres!$A$1:$I$88,5,0)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271.12075302350252</v>
      </c>
      <c r="S84" s="62">
        <f ca="1">AVERAGE(OFFSET($R$3,0,0,'Données projet'!$E$9+1,1))-AVERAGE(OFFSET($H$3,0,0,'Données projet'!$E$9+1,1))</f>
        <v>301.2688576786212</v>
      </c>
      <c r="T84" s="62">
        <f t="shared" si="88"/>
        <v>417.62172165132927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projet'!$B$9,Paramètres!$A$1:$I$88,7,0))</f>
        <v>0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81.617468103019263</v>
      </c>
      <c r="AA84" s="23">
        <f>EXP(-LN(2)/25)*AA83+(1-EXP(-LN(2)/25))/(LN(2)/25)*Calculateur!V84*Calculateur!X84*VLOOKUP('Données projet'!$B$9,Paramètres!$A$1:$I$88,3,0)*0.475*44/12</f>
        <v>21.062418785238272</v>
      </c>
      <c r="AB84" s="23">
        <f>EXP(-LN(2)/2)*AB83+(1-EXP(-LN(2)/2))/(LN(2)/2)*V84*Y84*VLOOKUP('Données projet'!$B$9,Paramètres!$A$1:$I$88,3,0)*0.475*44/12</f>
        <v>6.355674166935787E-4</v>
      </c>
      <c r="AC84" s="24">
        <f t="shared" si="57"/>
        <v>102.68052245567422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projet'!$B$10,Paramètres!$A$1:$I$88,3,0)*VLOOKUP('Données projet'!$B$10,Paramètres!$A$1:$I$88,5,0)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170.08673939431091</v>
      </c>
      <c r="AO84" s="62">
        <f t="shared" si="90"/>
        <v>252.97355497077106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projet'!$B$10,Paramètres!$A$1:$I$88,3,0)*0.475*44/12</f>
        <v>34.077535944340028</v>
      </c>
      <c r="AV84" s="23">
        <f>EXP(-LN(2)/25)*AV83+(1-EXP(-LN(2)/25))/(LN(2)/25)*Calculateur!AQ84*Calculateur!AS84*VLOOKUP('Données projet'!$B$10,Paramètres!$A$1:$I$88,3,0)*0.475*44/12</f>
        <v>21.347886616425779</v>
      </c>
      <c r="AW84" s="23">
        <f>EXP(-LN(2)/2)*AW83+(1-EXP(-LN(2)/2))/(LN(2)/2)*AQ84*AT84*VLOOKUP('Données projet'!$B$10,Paramètres!$A$1:$I$88,3,0)*0.475*44/12</f>
        <v>8.1411076441167474E-4</v>
      </c>
      <c r="AX84" s="23">
        <f t="shared" si="60"/>
        <v>55.426236671530219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5.8</v>
      </c>
      <c r="BD84" s="13">
        <f>IF('Données projet'!$A$88&gt;35,BD83+BC84-BL83,IF(A84&lt;'Données projet'!$A$88,$BA$205^A84,IF(A84='Données projet'!$A$88,'Données projet'!$B$88,BD83+BC84-BL83)))</f>
        <v>245.7999999999999</v>
      </c>
      <c r="BE84" s="14">
        <f>BD84*VLOOKUP('Données projet'!$B$11,Paramètres!$A$1:$I$88,3,0)*VLOOKUP('Données projet'!$B$11,Paramètres!$A$1:$I$88,5,0)</f>
        <v>222.3998399999999</v>
      </c>
      <c r="BF84" s="14">
        <f t="shared" si="91"/>
        <v>54.636149281681448</v>
      </c>
      <c r="BG84" s="22">
        <f t="shared" si="61"/>
        <v>482.50434799892832</v>
      </c>
      <c r="BH84" s="62">
        <f t="shared" si="62"/>
        <v>753.62510102242982</v>
      </c>
      <c r="BI84" s="62">
        <f ca="1">AVERAGE(OFFSET($BH$3,0,0,'Données projet'!$E$11+1,1))-AVERAGE(OFFSET($H$3,0,0,'Données projet'!$E$11+1,1))</f>
        <v>362.63718589694594</v>
      </c>
      <c r="BJ84" s="62">
        <f t="shared" si="92"/>
        <v>250.47702091764884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projet'!$B$11,Paramètres!$A$1:$I$88,7,0))</f>
        <v>0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projet'!$B$11,Paramètres!$A$1:$I$88,3,0)*0.475*44/12</f>
        <v>22.743488364090464</v>
      </c>
      <c r="BQ84" s="23">
        <f>EXP(-LN(2)/25)*BQ83+(1-EXP(-LN(2)/25))/(LN(2)/25)*Calculateur!BL84*Calculateur!BN84*VLOOKUP('Données projet'!$B$11,Paramètres!$A$1:$I$88,3,0)*0.475*44/12</f>
        <v>0</v>
      </c>
      <c r="BR84" s="23">
        <f>EXP(-LN(2)/2)*BR83+(1-EXP(-LN(2)/2))/(LN(2)/2)*BL84*BO84*VLOOKUP('Données projet'!$B$11,Paramètres!$A$1:$I$88,3,0)*0.475*44/12</f>
        <v>0</v>
      </c>
      <c r="BS84" s="24">
        <f t="shared" si="63"/>
        <v>22.743488364090464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5.8</v>
      </c>
      <c r="BY84" s="13">
        <f>IF('Données projet'!$A$114&gt;35,BY83+BX84-CG83,IF(A84&lt;'Données projet'!$A$114,$BV$205^A84,IF(A84='Données projet'!$A$114,'Données projet'!$B$114,BY83+BX84-CG83)))</f>
        <v>245.7999999999999</v>
      </c>
      <c r="BZ84" s="14">
        <f>BY84*VLOOKUP('Données projet'!$B$12,Paramètres!$A$1:$I$88,3,0)*VLOOKUP('Données projet'!$B$12,Paramètres!$A$1:$I$88,5,0)</f>
        <v>249.24119999999988</v>
      </c>
      <c r="CA84" s="14">
        <f t="shared" si="93"/>
        <v>60.42342651744687</v>
      </c>
      <c r="CB84" s="22">
        <f t="shared" si="64"/>
        <v>539.3325578512198</v>
      </c>
      <c r="CC84" s="62">
        <f t="shared" si="65"/>
        <v>810.45331087472118</v>
      </c>
      <c r="CD84" s="62">
        <f ca="1">AVERAGE(OFFSET($CC$3,0,0,'Données projet'!$E$12+1,1))-AVERAGE(OFFSET($H$3,0,0,'Données projet'!$E$12+1,1))</f>
        <v>398.14524781940196</v>
      </c>
      <c r="CE84" s="62">
        <f t="shared" si="94"/>
        <v>273.35778700650792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projet'!$B$12,Paramètres!$A$1:$I$88,3,0)*0.475*44/12</f>
        <v>25.488392132170343</v>
      </c>
      <c r="CL84" s="23">
        <f>EXP(-LN(2)/25)*CL83+(1-EXP(-LN(2)/25))/(LN(2)/25)*Calculateur!CG84*Calculateur!CI84*VLOOKUP('Données projet'!$B$12,Paramètres!$A$1:$I$88,3,0)*0.475*44/12</f>
        <v>0</v>
      </c>
      <c r="CM84" s="23">
        <f>EXP(-LN(2)/2)*CM83+(1-EXP(-LN(2)/2))/(LN(2)/2)*CG84*CJ84*VLOOKUP('Données projet'!$B$12,Paramètres!$A$1:$I$88,3,0)*0.475*44/12</f>
        <v>0</v>
      </c>
      <c r="CN84" s="24">
        <f t="shared" si="66"/>
        <v>25.488392132170343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7</v>
      </c>
      <c r="CT84" s="13">
        <f>IF('Données projet'!$A$140&gt;35,CT83+CS84-DB83,IF(A84&lt;'Données projet'!$A$140,$CQ$205^A84,IF(A84='Données projet'!$A$140,'Données projet'!$B$140,CT83+CS84-DB83)))</f>
        <v>336.99999999999989</v>
      </c>
      <c r="CU84" s="18">
        <f>CT84*VLOOKUP('Données projet'!$B$13,Paramètres!$A$1:$I$88,3,0)*VLOOKUP('Données projet'!$B$13,Paramètres!$A$1:$I$88,5,0)</f>
        <v>320.68919999999991</v>
      </c>
      <c r="CV84" s="14">
        <f t="shared" si="95"/>
        <v>75.496737165521779</v>
      </c>
      <c r="CW84" s="22">
        <f t="shared" si="67"/>
        <v>690.02384056328356</v>
      </c>
      <c r="CX84" s="62">
        <f t="shared" si="68"/>
        <v>961.14459358678505</v>
      </c>
      <c r="CY84" s="62">
        <f ca="1">AVERAGE(OFFSET($CX$3,0,0,'Données projet'!$E$13+1,1))-AVERAGE(OFFSET($H$3,0,0,'Données projet'!$E$13+1,1))</f>
        <v>470.0521927195926</v>
      </c>
      <c r="CZ84" s="62">
        <f t="shared" si="96"/>
        <v>299.27200854723435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projet'!$B$13,Paramètres!$A$1:$I$88,3,0)*0.475*44/12</f>
        <v>23.919875693267549</v>
      </c>
      <c r="DG84" s="23">
        <f>EXP(-LN(2)/25)*DG83+(1-EXP(-LN(2)/25))/(LN(2)/25)*Calculateur!DB84*Calculateur!DD84*VLOOKUP('Données projet'!$B$13,Paramètres!$A$1:$I$88,3,0)*0.475*44/12</f>
        <v>0</v>
      </c>
      <c r="DH84" s="23">
        <f>EXP(-LN(2)/2)*DH83+(1-EXP(-LN(2)/2))/(LN(2)/2)*DB84*DE84*VLOOKUP('Données projet'!$B$13,Paramètres!$A$1:$I$88,3,0)*0.475*44/12</f>
        <v>0</v>
      </c>
      <c r="DI84" s="24">
        <f t="shared" si="69"/>
        <v>23.919875693267549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4.4000000000000004</v>
      </c>
      <c r="DO84" s="13">
        <f>IF('Données projet'!$A$166&gt;35,DO83+DN84-DW83,IF(A84&lt;'Données projet'!$A$166,$DL$205^A84,IF(A84='Données projet'!$A$166,'Données projet'!$B$166,DO83+DN84-DW83)))</f>
        <v>182.39999999999998</v>
      </c>
      <c r="DP84" s="18">
        <f>DO84*VLOOKUP('Données projet'!$B$14,Paramètres!$A$1:$I$88,3,0)*VLOOKUP('Données projet'!$B$14,Paramètres!$A$1:$I$88,5,0)</f>
        <v>176.41727999999998</v>
      </c>
      <c r="DQ84" s="14">
        <f t="shared" si="97"/>
        <v>44.524166703747255</v>
      </c>
      <c r="DR84" s="22">
        <f t="shared" si="70"/>
        <v>384.8063530090264</v>
      </c>
      <c r="DS84" s="62">
        <f t="shared" si="71"/>
        <v>655.92710603252783</v>
      </c>
      <c r="DT84" s="62">
        <f ca="1">AVERAGE(OFFSET($DS$3,0,0,'Données projet'!$E$14+1,1))-AVERAGE(OFFSET($H$3,0,0,'Données projet'!$E$14+1,1))</f>
        <v>290.89727102147953</v>
      </c>
      <c r="DU84" s="62">
        <f t="shared" si="98"/>
        <v>173.19148969173838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projet'!$B$14,Paramètres!$A$1:$I$88,3,0)*0.475*44/12</f>
        <v>16.208003201995506</v>
      </c>
      <c r="EB84" s="23">
        <f>EXP(-LN(2)/25)*EB83+(1-EXP(-LN(2)/25))/(LN(2)/25)*Calculateur!DW84*Calculateur!DY84*VLOOKUP('Données projet'!$B$14,Paramètres!$A$1:$I$88,3,0)*0.475*44/12</f>
        <v>0</v>
      </c>
      <c r="EC84" s="23">
        <f>EXP(-LN(2)/2)*EC83+(1-EXP(-LN(2)/2))/(LN(2)/2)*DW84*DZ84*VLOOKUP('Données projet'!$B$14,Paramètres!$A$1:$I$88,3,0)*0.475*44/12</f>
        <v>0</v>
      </c>
      <c r="ED84" s="24">
        <f t="shared" si="72"/>
        <v>16.208003201995506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projet'!$B$15,Paramètres!$A$1:$I$88,3,0)*VLOOKUP('Données projet'!$B$15,Paramètres!$A$1:$I$88,5,0)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projet'!$B$15,Paramètres!$A$1:$I$88,3,0)*0.475*44/12</f>
        <v>#N/A</v>
      </c>
      <c r="EW84" s="23" t="e">
        <f>EXP(-LN(2)/25)*EW83+(1-EXP(-LN(2)/25))/(LN(2)/25)*Calculateur!ER84*Calculateur!ET84*VLOOKUP('Données projet'!$B$15,Paramètres!$A$1:$I$88,3,0)*0.475*44/12</f>
        <v>#N/A</v>
      </c>
      <c r="EX84" s="23" t="e">
        <f>EXP(-LN(2)/2)*EX83+(1-EXP(-LN(2)/2))/(LN(2)/2)*ER84*EU84*VLOOKUP('Données projet'!$B$15,Paramètres!$A$1:$I$88,3,0)*0.475*44/12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projet'!$B$16,Paramètres!$A$1:$I$88,3,0)*VLOOKUP('Données projet'!$B$16,Paramètres!$A$1:$I$88,5,0)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projet'!$B$16,Paramètres!$A$1:$I$88,3,0)*0.475*44/12</f>
        <v>#N/A</v>
      </c>
      <c r="FR84" s="23" t="e">
        <f>EXP(-LN(2)/25)*FR83+(1-EXP(-LN(2)/25))/(LN(2)/25)*Calculateur!FM84*Calculateur!FO84*VLOOKUP('Données projet'!$B$16,Paramètres!$A$1:$I$88,3,0)*0.475*44/12</f>
        <v>#N/A</v>
      </c>
      <c r="FS84" s="23" t="e">
        <f>EXP(-LN(2)/2)*FS83+(1-EXP(-LN(2)/2))/(LN(2)/2)*FM84*FP84*VLOOKUP('Données projet'!$B$16,Paramètres!$A$1:$I$88,3,0)*0.475*44/12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projet'!$B$17,Paramètres!$A$1:$I$88,3,0)*VLOOKUP('Données projet'!$B$17,Paramètres!$A$1:$I$88,5,0)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projet'!$B$17,Paramètres!$A$1:$I$88,3,0)*0.475*44/12</f>
        <v>#N/A</v>
      </c>
      <c r="GM84" s="23" t="e">
        <f>EXP(-LN(2)/25)*GM83+(1-EXP(-LN(2)/25))/(LN(2)/25)*Calculateur!GH84*Calculateur!GJ84*VLOOKUP('Données projet'!$B$17,Paramètres!$A$1:$I$88,3,0)*0.475*44/12</f>
        <v>#N/A</v>
      </c>
      <c r="GN84" s="23" t="e">
        <f>EXP(-LN(2)/2)*GN83+(1-EXP(-LN(2)/2))/(LN(2)/2)*GH84*GK84*VLOOKUP('Données projet'!$B$17,Paramètres!$A$1:$I$88,3,0)*0.475*44/12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projet'!$B$18,Paramètres!$A$1:$I$88,3,0)*VLOOKUP('Données projet'!$B$18,Paramètres!$A$1:$I$88,5,0)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projet'!$B$18,Paramètres!$A$1:$I$88,3,0)*0.475*44/12</f>
        <v>#N/A</v>
      </c>
      <c r="HH84" s="23" t="e">
        <f>EXP(-LN(2)/25)*HH83+(1-EXP(-LN(2)/25))/(LN(2)/25)*Calculateur!HC84*Calculateur!HE84*VLOOKUP('Données projet'!$B$18,Paramètres!$A$1:$I$88,3,0)*0.475*44/12</f>
        <v>#N/A</v>
      </c>
      <c r="HI84" s="23" t="e">
        <f>EXP(-LN(2)/2)*HI83+(1-EXP(-LN(2)/2))/(LN(2)/2)*HC84*HF84*VLOOKUP('Données projet'!$B$18,Paramètres!$A$1:$I$88,3,0)*0.475*44/12</f>
        <v>#N/A</v>
      </c>
      <c r="HJ84" s="24" t="e">
        <f t="shared" si="84"/>
        <v>#N/A</v>
      </c>
    </row>
    <row r="85" spans="1:218" s="5" customFormat="1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projet'!$B$9,Paramètres!$A$1:$I$88,3,0)*VLOOKUP('Données projet'!$B$9,Paramètres!$A$1:$I$88,5,0)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271.50609163198811</v>
      </c>
      <c r="S85" s="62">
        <f ca="1">AVERAGE(OFFSET($R$3,0,0,'Données projet'!$E$9+1,1))-AVERAGE(OFFSET($H$3,0,0,'Données projet'!$E$9+1,1))</f>
        <v>301.2688576786212</v>
      </c>
      <c r="T85" s="62">
        <f t="shared" si="88"/>
        <v>417.62172165132927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80.016999335259058</v>
      </c>
      <c r="AA85" s="23">
        <f>EXP(-LN(2)/25)*AA84+(1-EXP(-LN(2)/25))/(LN(2)/25)*Calculateur!V85*Calculateur!X85*VLOOKUP('Données projet'!$B$9,Paramètres!$A$1:$I$88,3,0)*0.475*44/12</f>
        <v>20.486465835931465</v>
      </c>
      <c r="AB85" s="23">
        <f>EXP(-LN(2)/2)*AB84+(1-EXP(-LN(2)/2))/(LN(2)/2)*V85*Y85*VLOOKUP('Données projet'!$B$9,Paramètres!$A$1:$I$88,3,0)*0.475*44/12</f>
        <v>4.4941403024524563E-4</v>
      </c>
      <c r="AC85" s="24">
        <f t="shared" si="57"/>
        <v>100.50391458522077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projet'!$B$10,Paramètres!$A$1:$I$88,3,0)*VLOOKUP('Données projet'!$B$10,Paramètres!$A$1:$I$88,5,0)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170.08673939431091</v>
      </c>
      <c r="AO85" s="62">
        <f t="shared" si="90"/>
        <v>252.97355497077106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projet'!$B$10,Paramètres!$A$1:$I$88,3,0)*0.475*44/12</f>
        <v>33.409296249716071</v>
      </c>
      <c r="AV85" s="23">
        <f>EXP(-LN(2)/25)*AV84+(1-EXP(-LN(2)/25))/(LN(2)/25)*Calculateur!AQ85*Calculateur!AS85*VLOOKUP('Données projet'!$B$10,Paramètres!$A$1:$I$88,3,0)*0.475*44/12</f>
        <v>20.76412753426305</v>
      </c>
      <c r="AW85" s="23">
        <f>EXP(-LN(2)/2)*AW84+(1-EXP(-LN(2)/2))/(LN(2)/2)*AQ85*AT85*VLOOKUP('Données projet'!$B$10,Paramètres!$A$1:$I$88,3,0)*0.475*44/12</f>
        <v>5.7566324215245902E-4</v>
      </c>
      <c r="AX85" s="23">
        <f t="shared" si="60"/>
        <v>54.17399944722127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5.8</v>
      </c>
      <c r="BD85" s="13">
        <f>IF('Données projet'!$A$88&gt;35,BD84+BC85-BL84,IF(A85&lt;'Données projet'!$A$88,$BA$205^A85,IF(A85='Données projet'!$A$88,'Données projet'!$B$88,BD84+BC85-BL84)))</f>
        <v>251.59999999999991</v>
      </c>
      <c r="BE85" s="14">
        <f>BD85*VLOOKUP('Données projet'!$B$11,Paramètres!$A$1:$I$88,3,0)*VLOOKUP('Données projet'!$B$11,Paramètres!$A$1:$I$88,5,0)</f>
        <v>227.64767999999992</v>
      </c>
      <c r="BF85" s="14">
        <f t="shared" si="91"/>
        <v>55.773751036838313</v>
      </c>
      <c r="BG85" s="22">
        <f t="shared" si="61"/>
        <v>493.62565905582659</v>
      </c>
      <c r="BH85" s="62">
        <f t="shared" si="62"/>
        <v>765.13175068781356</v>
      </c>
      <c r="BI85" s="62">
        <f ca="1">AVERAGE(OFFSET($BH$3,0,0,'Données projet'!$E$11+1,1))-AVERAGE(OFFSET($H$3,0,0,'Données projet'!$E$11+1,1))</f>
        <v>362.63718589694594</v>
      </c>
      <c r="BJ85" s="62">
        <f t="shared" si="92"/>
        <v>250.47702091764884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projet'!$B$11,Paramètres!$A$1:$I$88,7,0))</f>
        <v>0</v>
      </c>
      <c r="BN85" s="17">
        <f>IF(ISNA(VLOOKUP(A85,'Données projet'!$A$87:$I$107,6,0)),0%,VLOOKUP(A85,'Données projet'!$A$87:$I$107,6,0)*VLOOKUP('Données projet'!$B$11,Paramètres!$A$1:$I$88,7,0))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projet'!$B$11,Paramètres!$A$1:$I$88,3,0)*0.475*44/12</f>
        <v>22.297502429428789</v>
      </c>
      <c r="BQ85" s="23">
        <f>EXP(-LN(2)/25)*BQ84+(1-EXP(-LN(2)/25))/(LN(2)/25)*Calculateur!BL85*Calculateur!BN85*VLOOKUP('Données projet'!$B$11,Paramètres!$A$1:$I$88,3,0)*0.475*44/12</f>
        <v>0</v>
      </c>
      <c r="BR85" s="23">
        <f>EXP(-LN(2)/2)*BR84+(1-EXP(-LN(2)/2))/(LN(2)/2)*BL85*BO85*VLOOKUP('Données projet'!$B$11,Paramètres!$A$1:$I$88,3,0)*0.475*44/12</f>
        <v>0</v>
      </c>
      <c r="BS85" s="24">
        <f t="shared" si="63"/>
        <v>22.297502429428789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5.8</v>
      </c>
      <c r="BY85" s="13">
        <f>IF('Données projet'!$A$114&gt;35,BY84+BX85-CG84,IF(A85&lt;'Données projet'!$A$114,$BV$205^A85,IF(A85='Données projet'!$A$114,'Données projet'!$B$114,BY84+BX85-CG84)))</f>
        <v>251.59999999999991</v>
      </c>
      <c r="BZ85" s="14">
        <f>BY85*VLOOKUP('Données projet'!$B$12,Paramètres!$A$1:$I$88,3,0)*VLOOKUP('Données projet'!$B$12,Paramètres!$A$1:$I$88,5,0)</f>
        <v>255.12239999999991</v>
      </c>
      <c r="CA85" s="14">
        <f t="shared" si="93"/>
        <v>61.681527554261443</v>
      </c>
      <c r="CB85" s="22">
        <f t="shared" si="64"/>
        <v>551.7668404903385</v>
      </c>
      <c r="CC85" s="62">
        <f t="shared" si="65"/>
        <v>823.27293212232553</v>
      </c>
      <c r="CD85" s="62">
        <f ca="1">AVERAGE(OFFSET($CC$3,0,0,'Données projet'!$E$12+1,1))-AVERAGE(OFFSET($H$3,0,0,'Données projet'!$E$12+1,1))</f>
        <v>398.14524781940196</v>
      </c>
      <c r="CE85" s="62">
        <f t="shared" si="94"/>
        <v>273.35778700650792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projet'!$B$12,Paramètres!$A$1:$I$88,7,0))</f>
        <v>0</v>
      </c>
      <c r="CI85" s="17">
        <f>IF(ISNA(VLOOKUP(A85,'Données projet'!$A$113:$I$133,6,0)),0%,VLOOKUP(A85,'Données projet'!$A$113:$I$133,6,0)*VLOOKUP('Données projet'!$B$12,Paramètres!$A$1:$I$88,7,0))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projet'!$B$12,Paramètres!$A$1:$I$88,3,0)*0.475*44/12</f>
        <v>24.988580308842607</v>
      </c>
      <c r="CL85" s="23">
        <f>EXP(-LN(2)/25)*CL84+(1-EXP(-LN(2)/25))/(LN(2)/25)*Calculateur!CG85*Calculateur!CI85*VLOOKUP('Données projet'!$B$12,Paramètres!$A$1:$I$88,3,0)*0.475*44/12</f>
        <v>0</v>
      </c>
      <c r="CM85" s="23">
        <f>EXP(-LN(2)/2)*CM84+(1-EXP(-LN(2)/2))/(LN(2)/2)*CG85*CJ85*VLOOKUP('Données projet'!$B$12,Paramètres!$A$1:$I$88,3,0)*0.475*44/12</f>
        <v>0</v>
      </c>
      <c r="CN85" s="24">
        <f t="shared" si="66"/>
        <v>24.988580308842607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7</v>
      </c>
      <c r="CT85" s="13">
        <f>IF('Données projet'!$A$140&gt;35,CT84+CS85-DB84,IF(A85&lt;'Données projet'!$A$140,$CQ$205^A85,IF(A85='Données projet'!$A$140,'Données projet'!$B$140,CT84+CS85-DB84)))</f>
        <v>343.99999999999989</v>
      </c>
      <c r="CU85" s="18">
        <f>CT85*VLOOKUP('Données projet'!$B$13,Paramètres!$A$1:$I$88,3,0)*VLOOKUP('Données projet'!$B$13,Paramètres!$A$1:$I$88,5,0)</f>
        <v>327.35039999999987</v>
      </c>
      <c r="CV85" s="14">
        <f t="shared" si="95"/>
        <v>76.880720023332373</v>
      </c>
      <c r="CW85" s="22">
        <f t="shared" si="67"/>
        <v>704.03586737397018</v>
      </c>
      <c r="CX85" s="62">
        <f t="shared" si="68"/>
        <v>975.54195900595721</v>
      </c>
      <c r="CY85" s="62">
        <f ca="1">AVERAGE(OFFSET($CX$3,0,0,'Données projet'!$E$13+1,1))-AVERAGE(OFFSET($H$3,0,0,'Données projet'!$E$13+1,1))</f>
        <v>470.0521927195926</v>
      </c>
      <c r="CZ85" s="62">
        <f t="shared" si="96"/>
        <v>299.27200854723435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projet'!$B$13,Paramètres!$A$1:$I$88,3,0)*0.475*44/12</f>
        <v>23.450821520606134</v>
      </c>
      <c r="DG85" s="23">
        <f>EXP(-LN(2)/25)*DG84+(1-EXP(-LN(2)/25))/(LN(2)/25)*Calculateur!DB85*Calculateur!DD85*VLOOKUP('Données projet'!$B$13,Paramètres!$A$1:$I$88,3,0)*0.475*44/12</f>
        <v>0</v>
      </c>
      <c r="DH85" s="23">
        <f>EXP(-LN(2)/2)*DH84+(1-EXP(-LN(2)/2))/(LN(2)/2)*DB85*DE85*VLOOKUP('Données projet'!$B$13,Paramètres!$A$1:$I$88,3,0)*0.475*44/12</f>
        <v>0</v>
      </c>
      <c r="DI85" s="24">
        <f t="shared" si="69"/>
        <v>23.450821520606134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4.4000000000000004</v>
      </c>
      <c r="DO85" s="13">
        <f>IF('Données projet'!$A$166&gt;35,DO84+DN85-DW84,IF(A85&lt;'Données projet'!$A$166,$DL$205^A85,IF(A85='Données projet'!$A$166,'Données projet'!$B$166,DO84+DN85-DW84)))</f>
        <v>186.79999999999998</v>
      </c>
      <c r="DP85" s="18">
        <f>DO85*VLOOKUP('Données projet'!$B$14,Paramètres!$A$1:$I$88,3,0)*VLOOKUP('Données projet'!$B$14,Paramètres!$A$1:$I$88,5,0)</f>
        <v>180.67295999999999</v>
      </c>
      <c r="DQ85" s="14">
        <f t="shared" si="97"/>
        <v>45.471874835351194</v>
      </c>
      <c r="DR85" s="22">
        <f t="shared" si="70"/>
        <v>393.86892067156992</v>
      </c>
      <c r="DS85" s="62">
        <f t="shared" si="71"/>
        <v>665.37501230355701</v>
      </c>
      <c r="DT85" s="62">
        <f ca="1">AVERAGE(OFFSET($DS$3,0,0,'Données projet'!$E$14+1,1))-AVERAGE(OFFSET($H$3,0,0,'Données projet'!$E$14+1,1))</f>
        <v>290.89727102147953</v>
      </c>
      <c r="DU85" s="62">
        <f t="shared" si="98"/>
        <v>173.19148969173838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projet'!$B$14,Paramètres!$A$1:$I$88,3,0)*0.475*44/12</f>
        <v>15.890174145110176</v>
      </c>
      <c r="EB85" s="23">
        <f>EXP(-LN(2)/25)*EB84+(1-EXP(-LN(2)/25))/(LN(2)/25)*Calculateur!DW85*Calculateur!DY85*VLOOKUP('Données projet'!$B$14,Paramètres!$A$1:$I$88,3,0)*0.475*44/12</f>
        <v>0</v>
      </c>
      <c r="EC85" s="23">
        <f>EXP(-LN(2)/2)*EC84+(1-EXP(-LN(2)/2))/(LN(2)/2)*DW85*DZ85*VLOOKUP('Données projet'!$B$14,Paramètres!$A$1:$I$88,3,0)*0.475*44/12</f>
        <v>0</v>
      </c>
      <c r="ED85" s="24">
        <f t="shared" si="72"/>
        <v>15.890174145110176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projet'!$B$15,Paramètres!$A$1:$I$88,3,0)*VLOOKUP('Données projet'!$B$15,Paramètres!$A$1:$I$88,5,0)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projet'!$B$15,Paramètres!$A$1:$I$88,3,0)*0.475*44/12</f>
        <v>#N/A</v>
      </c>
      <c r="EW85" s="23" t="e">
        <f>EXP(-LN(2)/25)*EW84+(1-EXP(-LN(2)/25))/(LN(2)/25)*Calculateur!ER85*Calculateur!ET85*VLOOKUP('Données projet'!$B$15,Paramètres!$A$1:$I$88,3,0)*0.475*44/12</f>
        <v>#N/A</v>
      </c>
      <c r="EX85" s="23" t="e">
        <f>EXP(-LN(2)/2)*EX84+(1-EXP(-LN(2)/2))/(LN(2)/2)*ER85*EU85*VLOOKUP('Données projet'!$B$15,Paramètres!$A$1:$I$88,3,0)*0.475*44/12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projet'!$B$16,Paramètres!$A$1:$I$88,3,0)*VLOOKUP('Données projet'!$B$16,Paramètres!$A$1:$I$88,5,0)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projet'!$B$16,Paramètres!$A$1:$I$88,3,0)*0.475*44/12</f>
        <v>#N/A</v>
      </c>
      <c r="FR85" s="23" t="e">
        <f>EXP(-LN(2)/25)*FR84+(1-EXP(-LN(2)/25))/(LN(2)/25)*Calculateur!FM85*Calculateur!FO85*VLOOKUP('Données projet'!$B$16,Paramètres!$A$1:$I$88,3,0)*0.475*44/12</f>
        <v>#N/A</v>
      </c>
      <c r="FS85" s="23" t="e">
        <f>EXP(-LN(2)/2)*FS84+(1-EXP(-LN(2)/2))/(LN(2)/2)*FM85*FP85*VLOOKUP('Données projet'!$B$16,Paramètres!$A$1:$I$88,3,0)*0.475*44/12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projet'!$B$17,Paramètres!$A$1:$I$88,3,0)*VLOOKUP('Données projet'!$B$17,Paramètres!$A$1:$I$88,5,0)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projet'!$B$17,Paramètres!$A$1:$I$88,3,0)*0.475*44/12</f>
        <v>#N/A</v>
      </c>
      <c r="GM85" s="23" t="e">
        <f>EXP(-LN(2)/25)*GM84+(1-EXP(-LN(2)/25))/(LN(2)/25)*Calculateur!GH85*Calculateur!GJ85*VLOOKUP('Données projet'!$B$17,Paramètres!$A$1:$I$88,3,0)*0.475*44/12</f>
        <v>#N/A</v>
      </c>
      <c r="GN85" s="23" t="e">
        <f>EXP(-LN(2)/2)*GN84+(1-EXP(-LN(2)/2))/(LN(2)/2)*GH85*GK85*VLOOKUP('Données projet'!$B$17,Paramètres!$A$1:$I$88,3,0)*0.475*44/12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projet'!$B$18,Paramètres!$A$1:$I$88,3,0)*VLOOKUP('Données projet'!$B$18,Paramètres!$A$1:$I$88,5,0)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projet'!$B$18,Paramètres!$A$1:$I$88,3,0)*0.475*44/12</f>
        <v>#N/A</v>
      </c>
      <c r="HH85" s="23" t="e">
        <f>EXP(-LN(2)/25)*HH84+(1-EXP(-LN(2)/25))/(LN(2)/25)*Calculateur!HC85*Calculateur!HE85*VLOOKUP('Données projet'!$B$18,Paramètres!$A$1:$I$88,3,0)*0.475*44/12</f>
        <v>#N/A</v>
      </c>
      <c r="HI85" s="23" t="e">
        <f>EXP(-LN(2)/2)*HI84+(1-EXP(-LN(2)/2))/(LN(2)/2)*HC85*HF85*VLOOKUP('Données projet'!$B$18,Paramètres!$A$1:$I$88,3,0)*0.475*44/12</f>
        <v>#N/A</v>
      </c>
      <c r="HJ85" s="24" t="e">
        <f t="shared" si="84"/>
        <v>#N/A</v>
      </c>
    </row>
    <row r="86" spans="1:218" s="5" customFormat="1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projet'!$B$9,Paramètres!$A$1:$I$88,3,0)*VLOOKUP('Données projet'!$B$9,Paramètres!$A$1:$I$88,5,0)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271.88474547710456</v>
      </c>
      <c r="S86" s="62">
        <f ca="1">AVERAGE(OFFSET($R$3,0,0,'Données projet'!$E$9+1,1))-AVERAGE(OFFSET($H$3,0,0,'Données projet'!$E$9+1,1))</f>
        <v>301.2688576786212</v>
      </c>
      <c r="T86" s="62">
        <f t="shared" si="88"/>
        <v>417.62172165132927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78.447914783845079</v>
      </c>
      <c r="AA86" s="23">
        <f>EXP(-LN(2)/25)*AA85+(1-EXP(-LN(2)/25))/(LN(2)/25)*Calculateur!V86*Calculateur!X86*VLOOKUP('Données projet'!$B$9,Paramètres!$A$1:$I$88,3,0)*0.475*44/12</f>
        <v>19.926262350311504</v>
      </c>
      <c r="AB86" s="23">
        <f>EXP(-LN(2)/2)*AB85+(1-EXP(-LN(2)/2))/(LN(2)/2)*V86*Y86*VLOOKUP('Données projet'!$B$9,Paramètres!$A$1:$I$88,3,0)*0.475*44/12</f>
        <v>3.1778370834678935E-4</v>
      </c>
      <c r="AC86" s="24">
        <f t="shared" si="57"/>
        <v>98.374494917864922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projet'!$B$10,Paramètres!$A$1:$I$88,3,0)*VLOOKUP('Données projet'!$B$10,Paramètres!$A$1:$I$88,5,0)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170.08673939431091</v>
      </c>
      <c r="AO86" s="62">
        <f t="shared" si="90"/>
        <v>252.97355497077106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projet'!$B$10,Paramètres!$A$1:$I$88,3,0)*0.475*44/12</f>
        <v>32.754160327917724</v>
      </c>
      <c r="AV86" s="23">
        <f>EXP(-LN(2)/25)*AV85+(1-EXP(-LN(2)/25))/(LN(2)/25)*Calculateur!AQ86*Calculateur!AS86*VLOOKUP('Données projet'!$B$10,Paramètres!$A$1:$I$88,3,0)*0.475*44/12</f>
        <v>20.196331374900616</v>
      </c>
      <c r="AW86" s="23">
        <f>EXP(-LN(2)/2)*AW85+(1-EXP(-LN(2)/2))/(LN(2)/2)*AQ86*AT86*VLOOKUP('Données projet'!$B$10,Paramètres!$A$1:$I$88,3,0)*0.475*44/12</f>
        <v>4.0705538220583737E-4</v>
      </c>
      <c r="AX86" s="23">
        <f t="shared" si="60"/>
        <v>52.950898758200545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5.8</v>
      </c>
      <c r="BD86" s="13">
        <f>IF('Données projet'!$A$88&gt;35,BD85+BC86-BL85,IF(A86&lt;'Données projet'!$A$88,$BA$205^A86,IF(A86='Données projet'!$A$88,'Données projet'!$B$88,BD85+BC86-BL85)))</f>
        <v>257.39999999999992</v>
      </c>
      <c r="BE86" s="14">
        <f>BD86*VLOOKUP('Données projet'!$B$11,Paramètres!$A$1:$I$88,3,0)*VLOOKUP('Données projet'!$B$11,Paramètres!$A$1:$I$88,5,0)</f>
        <v>232.89551999999992</v>
      </c>
      <c r="BF86" s="14">
        <f t="shared" si="91"/>
        <v>56.908304063818662</v>
      </c>
      <c r="BG86" s="22">
        <f t="shared" si="61"/>
        <v>504.74166024448397</v>
      </c>
      <c r="BH86" s="62">
        <f t="shared" si="62"/>
        <v>776.62640572158739</v>
      </c>
      <c r="BI86" s="62">
        <f ca="1">AVERAGE(OFFSET($BH$3,0,0,'Données projet'!$E$11+1,1))-AVERAGE(OFFSET($H$3,0,0,'Données projet'!$E$11+1,1))</f>
        <v>362.63718589694594</v>
      </c>
      <c r="BJ86" s="62">
        <f t="shared" si="92"/>
        <v>250.47702091764884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projet'!$B$11,Paramètres!$A$1:$I$88,3,0)*0.475*44/12</f>
        <v>21.860262006921271</v>
      </c>
      <c r="BQ86" s="23">
        <f>EXP(-LN(2)/25)*BQ85+(1-EXP(-LN(2)/25))/(LN(2)/25)*Calculateur!BL86*Calculateur!BN86*VLOOKUP('Données projet'!$B$11,Paramètres!$A$1:$I$88,3,0)*0.475*44/12</f>
        <v>0</v>
      </c>
      <c r="BR86" s="23">
        <f>EXP(-LN(2)/2)*BR85+(1-EXP(-LN(2)/2))/(LN(2)/2)*BL86*BO86*VLOOKUP('Données projet'!$B$11,Paramètres!$A$1:$I$88,3,0)*0.475*44/12</f>
        <v>0</v>
      </c>
      <c r="BS86" s="24">
        <f t="shared" si="63"/>
        <v>21.860262006921271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5.8</v>
      </c>
      <c r="BY86" s="13">
        <f>IF('Données projet'!$A$114&gt;35,BY85+BX86-CG85,IF(A86&lt;'Données projet'!$A$114,$BV$205^A86,IF(A86='Données projet'!$A$114,'Données projet'!$B$114,BY85+BX86-CG85)))</f>
        <v>257.39999999999992</v>
      </c>
      <c r="BZ86" s="14">
        <f>BY86*VLOOKUP('Données projet'!$B$12,Paramètres!$A$1:$I$88,3,0)*VLOOKUP('Données projet'!$B$12,Paramètres!$A$1:$I$88,5,0)</f>
        <v>261.00359999999995</v>
      </c>
      <c r="CA86" s="14">
        <f t="shared" si="93"/>
        <v>62.936256929541173</v>
      </c>
      <c r="CB86" s="22">
        <f t="shared" si="64"/>
        <v>564.19525081895074</v>
      </c>
      <c r="CC86" s="62">
        <f t="shared" si="65"/>
        <v>836.07999629605422</v>
      </c>
      <c r="CD86" s="62">
        <f ca="1">AVERAGE(OFFSET($CC$3,0,0,'Données projet'!$E$12+1,1))-AVERAGE(OFFSET($H$3,0,0,'Données projet'!$E$12+1,1))</f>
        <v>398.14524781940196</v>
      </c>
      <c r="CE86" s="62">
        <f t="shared" si="94"/>
        <v>273.35778700650792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projet'!$B$12,Paramètres!$A$1:$I$88,3,0)*0.475*44/12</f>
        <v>24.498569490515216</v>
      </c>
      <c r="CL86" s="23">
        <f>EXP(-LN(2)/25)*CL85+(1-EXP(-LN(2)/25))/(LN(2)/25)*Calculateur!CG86*Calculateur!CI86*VLOOKUP('Données projet'!$B$12,Paramètres!$A$1:$I$88,3,0)*0.475*44/12</f>
        <v>0</v>
      </c>
      <c r="CM86" s="23">
        <f>EXP(-LN(2)/2)*CM85+(1-EXP(-LN(2)/2))/(LN(2)/2)*CG86*CJ86*VLOOKUP('Données projet'!$B$12,Paramètres!$A$1:$I$88,3,0)*0.475*44/12</f>
        <v>0</v>
      </c>
      <c r="CN86" s="24">
        <f t="shared" si="66"/>
        <v>24.498569490515216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7</v>
      </c>
      <c r="CT86" s="13">
        <f>IF('Données projet'!$A$140&gt;35,CT85+CS86-DB85,IF(A86&lt;'Données projet'!$A$140,$CQ$205^A86,IF(A86='Données projet'!$A$140,'Données projet'!$B$140,CT85+CS86-DB85)))</f>
        <v>350.99999999999989</v>
      </c>
      <c r="CU86" s="18">
        <f>CT86*VLOOKUP('Données projet'!$B$13,Paramètres!$A$1:$I$88,3,0)*VLOOKUP('Données projet'!$B$13,Paramètres!$A$1:$I$88,5,0)</f>
        <v>334.01159999999987</v>
      </c>
      <c r="CV86" s="14">
        <f t="shared" si="95"/>
        <v>78.261428413244502</v>
      </c>
      <c r="CW86" s="22">
        <f t="shared" si="67"/>
        <v>718.04219115306739</v>
      </c>
      <c r="CX86" s="62">
        <f t="shared" si="68"/>
        <v>989.92693663017087</v>
      </c>
      <c r="CY86" s="62">
        <f ca="1">AVERAGE(OFFSET($CX$3,0,0,'Données projet'!$E$13+1,1))-AVERAGE(OFFSET($H$3,0,0,'Données projet'!$E$13+1,1))</f>
        <v>470.0521927195926</v>
      </c>
      <c r="CZ86" s="62">
        <f t="shared" si="96"/>
        <v>299.27200854723435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projet'!$B$13,Paramètres!$A$1:$I$88,3,0)*0.475*44/12</f>
        <v>22.990965214175812</v>
      </c>
      <c r="DG86" s="23">
        <f>EXP(-LN(2)/25)*DG85+(1-EXP(-LN(2)/25))/(LN(2)/25)*Calculateur!DB86*Calculateur!DD86*VLOOKUP('Données projet'!$B$13,Paramètres!$A$1:$I$88,3,0)*0.475*44/12</f>
        <v>0</v>
      </c>
      <c r="DH86" s="23">
        <f>EXP(-LN(2)/2)*DH85+(1-EXP(-LN(2)/2))/(LN(2)/2)*DB86*DE86*VLOOKUP('Données projet'!$B$13,Paramètres!$A$1:$I$88,3,0)*0.475*44/12</f>
        <v>0</v>
      </c>
      <c r="DI86" s="24">
        <f t="shared" si="69"/>
        <v>22.990965214175812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4.4000000000000004</v>
      </c>
      <c r="DO86" s="13">
        <f>IF('Données projet'!$A$166&gt;35,DO85+DN86-DW85,IF(A86&lt;'Données projet'!$A$166,$DL$205^A86,IF(A86='Données projet'!$A$166,'Données projet'!$B$166,DO85+DN86-DW85)))</f>
        <v>191.2</v>
      </c>
      <c r="DP86" s="18">
        <f>DO86*VLOOKUP('Données projet'!$B$14,Paramètres!$A$1:$I$88,3,0)*VLOOKUP('Données projet'!$B$14,Paramètres!$A$1:$I$88,5,0)</f>
        <v>184.92864</v>
      </c>
      <c r="DQ86" s="14">
        <f t="shared" si="97"/>
        <v>46.416987887800225</v>
      </c>
      <c r="DR86" s="22">
        <f t="shared" si="70"/>
        <v>402.92696857125202</v>
      </c>
      <c r="DS86" s="62">
        <f t="shared" si="71"/>
        <v>674.8117140483555</v>
      </c>
      <c r="DT86" s="62">
        <f ca="1">AVERAGE(OFFSET($DS$3,0,0,'Données projet'!$E$14+1,1))-AVERAGE(OFFSET($H$3,0,0,'Données projet'!$E$14+1,1))</f>
        <v>290.89727102147953</v>
      </c>
      <c r="DU86" s="62">
        <f t="shared" si="98"/>
        <v>173.19148969173838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projet'!$B$14,Paramètres!$A$1:$I$88,3,0)*0.475*44/12</f>
        <v>15.578577522173784</v>
      </c>
      <c r="EB86" s="23">
        <f>EXP(-LN(2)/25)*EB85+(1-EXP(-LN(2)/25))/(LN(2)/25)*Calculateur!DW86*Calculateur!DY86*VLOOKUP('Données projet'!$B$14,Paramètres!$A$1:$I$88,3,0)*0.475*44/12</f>
        <v>0</v>
      </c>
      <c r="EC86" s="23">
        <f>EXP(-LN(2)/2)*EC85+(1-EXP(-LN(2)/2))/(LN(2)/2)*DW86*DZ86*VLOOKUP('Données projet'!$B$14,Paramètres!$A$1:$I$88,3,0)*0.475*44/12</f>
        <v>0</v>
      </c>
      <c r="ED86" s="24">
        <f t="shared" si="72"/>
        <v>15.578577522173784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projet'!$B$15,Paramètres!$A$1:$I$88,3,0)*VLOOKUP('Données projet'!$B$15,Paramètres!$A$1:$I$88,5,0)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projet'!$B$15,Paramètres!$A$1:$I$88,3,0)*0.475*44/12</f>
        <v>#N/A</v>
      </c>
      <c r="EW86" s="23" t="e">
        <f>EXP(-LN(2)/25)*EW85+(1-EXP(-LN(2)/25))/(LN(2)/25)*Calculateur!ER86*Calculateur!ET86*VLOOKUP('Données projet'!$B$15,Paramètres!$A$1:$I$88,3,0)*0.475*44/12</f>
        <v>#N/A</v>
      </c>
      <c r="EX86" s="23" t="e">
        <f>EXP(-LN(2)/2)*EX85+(1-EXP(-LN(2)/2))/(LN(2)/2)*ER86*EU86*VLOOKUP('Données projet'!$B$15,Paramètres!$A$1:$I$88,3,0)*0.475*44/12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projet'!$B$16,Paramètres!$A$1:$I$88,3,0)*VLOOKUP('Données projet'!$B$16,Paramètres!$A$1:$I$88,5,0)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projet'!$B$16,Paramètres!$A$1:$I$88,3,0)*0.475*44/12</f>
        <v>#N/A</v>
      </c>
      <c r="FR86" s="23" t="e">
        <f>EXP(-LN(2)/25)*FR85+(1-EXP(-LN(2)/25))/(LN(2)/25)*Calculateur!FM86*Calculateur!FO86*VLOOKUP('Données projet'!$B$16,Paramètres!$A$1:$I$88,3,0)*0.475*44/12</f>
        <v>#N/A</v>
      </c>
      <c r="FS86" s="23" t="e">
        <f>EXP(-LN(2)/2)*FS85+(1-EXP(-LN(2)/2))/(LN(2)/2)*FM86*FP86*VLOOKUP('Données projet'!$B$16,Paramètres!$A$1:$I$88,3,0)*0.475*44/12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projet'!$B$17,Paramètres!$A$1:$I$88,3,0)*VLOOKUP('Données projet'!$B$17,Paramètres!$A$1:$I$88,5,0)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projet'!$B$17,Paramètres!$A$1:$I$88,3,0)*0.475*44/12</f>
        <v>#N/A</v>
      </c>
      <c r="GM86" s="23" t="e">
        <f>EXP(-LN(2)/25)*GM85+(1-EXP(-LN(2)/25))/(LN(2)/25)*Calculateur!GH86*Calculateur!GJ86*VLOOKUP('Données projet'!$B$17,Paramètres!$A$1:$I$88,3,0)*0.475*44/12</f>
        <v>#N/A</v>
      </c>
      <c r="GN86" s="23" t="e">
        <f>EXP(-LN(2)/2)*GN85+(1-EXP(-LN(2)/2))/(LN(2)/2)*GH86*GK86*VLOOKUP('Données projet'!$B$17,Paramètres!$A$1:$I$88,3,0)*0.475*44/12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projet'!$B$18,Paramètres!$A$1:$I$88,3,0)*VLOOKUP('Données projet'!$B$18,Paramètres!$A$1:$I$88,5,0)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projet'!$B$18,Paramètres!$A$1:$I$88,3,0)*0.475*44/12</f>
        <v>#N/A</v>
      </c>
      <c r="HH86" s="23" t="e">
        <f>EXP(-LN(2)/25)*HH85+(1-EXP(-LN(2)/25))/(LN(2)/25)*Calculateur!HC86*Calculateur!HE86*VLOOKUP('Données projet'!$B$18,Paramètres!$A$1:$I$88,3,0)*0.475*44/12</f>
        <v>#N/A</v>
      </c>
      <c r="HI86" s="23" t="e">
        <f>EXP(-LN(2)/2)*HI85+(1-EXP(-LN(2)/2))/(LN(2)/2)*HC86*HF86*VLOOKUP('Données projet'!$B$18,Paramètres!$A$1:$I$88,3,0)*0.475*44/12</f>
        <v>#N/A</v>
      </c>
      <c r="HJ86" s="24" t="e">
        <f t="shared" si="84"/>
        <v>#N/A</v>
      </c>
    </row>
    <row r="87" spans="1:218" s="5" customFormat="1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projet'!$B$9,Paramètres!$A$1:$I$88,3,0)*VLOOKUP('Données projet'!$B$9,Paramètres!$A$1:$I$88,5,0)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272.25683052455139</v>
      </c>
      <c r="S87" s="62">
        <f ca="1">AVERAGE(OFFSET($R$3,0,0,'Données projet'!$E$9+1,1))-AVERAGE(OFFSET($H$3,0,0,'Données projet'!$E$9+1,1))</f>
        <v>301.2688576786212</v>
      </c>
      <c r="T87" s="62">
        <f t="shared" si="88"/>
        <v>417.62172165132927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projet'!$B$9,Paramètres!$A$1:$I$88,7,0))</f>
        <v>0</v>
      </c>
      <c r="X87" s="17">
        <f>IF(ISNA(VLOOKUP(A87,'Données projet'!$A$35:$I$55,6,0)),0%,VLOOKUP(A87,'Données projet'!$A$35:$I$55,6,0)*VLOOKUP('Données projet'!$B$9,Paramètres!$A$1:$I$88,7,0))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76.909599023437252</v>
      </c>
      <c r="AA87" s="23">
        <f>EXP(-LN(2)/25)*AA86+(1-EXP(-LN(2)/25))/(LN(2)/25)*Calculateur!V87*Calculateur!X87*VLOOKUP('Données projet'!$B$9,Paramètres!$A$1:$I$88,3,0)*0.475*44/12</f>
        <v>19.381377658465642</v>
      </c>
      <c r="AB87" s="23">
        <f>EXP(-LN(2)/2)*AB86+(1-EXP(-LN(2)/2))/(LN(2)/2)*V87*Y87*VLOOKUP('Données projet'!$B$9,Paramètres!$A$1:$I$88,3,0)*0.475*44/12</f>
        <v>2.2470701512262281E-4</v>
      </c>
      <c r="AC87" s="24">
        <f t="shared" si="57"/>
        <v>96.291201388918012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projet'!$B$10,Paramètres!$A$1:$I$88,3,0)*VLOOKUP('Données projet'!$B$10,Paramètres!$A$1:$I$88,5,0)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170.08673939431091</v>
      </c>
      <c r="AO87" s="62">
        <f t="shared" si="90"/>
        <v>252.97355497077106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projet'!$B$10,Paramètres!$A$1:$I$88,3,0)*0.475*44/12</f>
        <v>32.111871221952384</v>
      </c>
      <c r="AV87" s="23">
        <f>EXP(-LN(2)/25)*AV86+(1-EXP(-LN(2)/25))/(LN(2)/25)*Calculateur!AQ87*Calculateur!AS87*VLOOKUP('Données projet'!$B$10,Paramètres!$A$1:$I$88,3,0)*0.475*44/12</f>
        <v>19.644061631375052</v>
      </c>
      <c r="AW87" s="23">
        <f>EXP(-LN(2)/2)*AW86+(1-EXP(-LN(2)/2))/(LN(2)/2)*AQ87*AT87*VLOOKUP('Données projet'!$B$10,Paramètres!$A$1:$I$88,3,0)*0.475*44/12</f>
        <v>2.8783162107622951E-4</v>
      </c>
      <c r="AX87" s="23">
        <f t="shared" si="60"/>
        <v>51.756220684948516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5.8</v>
      </c>
      <c r="BD87" s="13">
        <f>IF('Données projet'!$A$88&gt;35,BD86+BC87-BL86,IF(A87&lt;'Données projet'!$A$88,$BA$205^A87,IF(A87='Données projet'!$A$88,'Données projet'!$B$88,BD86+BC87-BL86)))</f>
        <v>263.19999999999993</v>
      </c>
      <c r="BE87" s="14">
        <f>BD87*VLOOKUP('Données projet'!$B$11,Paramètres!$A$1:$I$88,3,0)*VLOOKUP('Données projet'!$B$11,Paramètres!$A$1:$I$88,5,0)</f>
        <v>238.14335999999992</v>
      </c>
      <c r="BF87" s="14">
        <f t="shared" si="91"/>
        <v>58.039884968630489</v>
      </c>
      <c r="BG87" s="22">
        <f t="shared" si="61"/>
        <v>515.85248498703129</v>
      </c>
      <c r="BH87" s="62">
        <f t="shared" si="62"/>
        <v>788.1093155115816</v>
      </c>
      <c r="BI87" s="62">
        <f ca="1">AVERAGE(OFFSET($BH$3,0,0,'Données projet'!$E$11+1,1))-AVERAGE(OFFSET($H$3,0,0,'Données projet'!$E$11+1,1))</f>
        <v>362.63718589694594</v>
      </c>
      <c r="BJ87" s="62">
        <f t="shared" si="92"/>
        <v>250.47702091764884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projet'!$B$11,Paramètres!$A$1:$I$88,3,0)*0.475*44/12</f>
        <v>21.431595602408802</v>
      </c>
      <c r="BQ87" s="23">
        <f>EXP(-LN(2)/25)*BQ86+(1-EXP(-LN(2)/25))/(LN(2)/25)*Calculateur!BL87*Calculateur!BN87*VLOOKUP('Données projet'!$B$11,Paramètres!$A$1:$I$88,3,0)*0.475*44/12</f>
        <v>0</v>
      </c>
      <c r="BR87" s="23">
        <f>EXP(-LN(2)/2)*BR86+(1-EXP(-LN(2)/2))/(LN(2)/2)*BL87*BO87*VLOOKUP('Données projet'!$B$11,Paramètres!$A$1:$I$88,3,0)*0.475*44/12</f>
        <v>0</v>
      </c>
      <c r="BS87" s="24">
        <f t="shared" si="63"/>
        <v>21.431595602408802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5.8</v>
      </c>
      <c r="BY87" s="13">
        <f>IF('Données projet'!$A$114&gt;35,BY86+BX87-CG86,IF(A87&lt;'Données projet'!$A$114,$BV$205^A87,IF(A87='Données projet'!$A$114,'Données projet'!$B$114,BY86+BX87-CG86)))</f>
        <v>263.19999999999993</v>
      </c>
      <c r="BZ87" s="14">
        <f>BY87*VLOOKUP('Données projet'!$B$12,Paramètres!$A$1:$I$88,3,0)*VLOOKUP('Données projet'!$B$12,Paramètres!$A$1:$I$88,5,0)</f>
        <v>266.88479999999993</v>
      </c>
      <c r="CA87" s="14">
        <f t="shared" si="93"/>
        <v>64.18769936370569</v>
      </c>
      <c r="CB87" s="22">
        <f t="shared" si="64"/>
        <v>576.61793639178723</v>
      </c>
      <c r="CC87" s="62">
        <f t="shared" si="65"/>
        <v>848.87476691633753</v>
      </c>
      <c r="CD87" s="62">
        <f ca="1">AVERAGE(OFFSET($CC$3,0,0,'Données projet'!$E$12+1,1))-AVERAGE(OFFSET($H$3,0,0,'Données projet'!$E$12+1,1))</f>
        <v>398.14524781940196</v>
      </c>
      <c r="CE87" s="62">
        <f t="shared" si="94"/>
        <v>273.35778700650792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projet'!$B$12,Paramètres!$A$1:$I$88,3,0)*0.475*44/12</f>
        <v>24.018167485458136</v>
      </c>
      <c r="CL87" s="23">
        <f>EXP(-LN(2)/25)*CL86+(1-EXP(-LN(2)/25))/(LN(2)/25)*Calculateur!CG87*Calculateur!CI87*VLOOKUP('Données projet'!$B$12,Paramètres!$A$1:$I$88,3,0)*0.475*44/12</f>
        <v>0</v>
      </c>
      <c r="CM87" s="23">
        <f>EXP(-LN(2)/2)*CM86+(1-EXP(-LN(2)/2))/(LN(2)/2)*CG87*CJ87*VLOOKUP('Données projet'!$B$12,Paramètres!$A$1:$I$88,3,0)*0.475*44/12</f>
        <v>0</v>
      </c>
      <c r="CN87" s="24">
        <f t="shared" si="66"/>
        <v>24.018167485458136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7</v>
      </c>
      <c r="CT87" s="13">
        <f>IF('Données projet'!$A$140&gt;35,CT86+CS87-DB86,IF(A87&lt;'Données projet'!$A$140,$CQ$205^A87,IF(A87='Données projet'!$A$140,'Données projet'!$B$140,CT86+CS87-DB86)))</f>
        <v>357.99999999999989</v>
      </c>
      <c r="CU87" s="18">
        <f>CT87*VLOOKUP('Données projet'!$B$13,Paramètres!$A$1:$I$88,3,0)*VLOOKUP('Données projet'!$B$13,Paramètres!$A$1:$I$88,5,0)</f>
        <v>340.67279999999994</v>
      </c>
      <c r="CV87" s="14">
        <f t="shared" si="95"/>
        <v>79.638935164470269</v>
      </c>
      <c r="CW87" s="22">
        <f t="shared" si="67"/>
        <v>732.04293874478537</v>
      </c>
      <c r="CX87" s="62">
        <f t="shared" si="68"/>
        <v>1004.2997692693357</v>
      </c>
      <c r="CY87" s="62">
        <f ca="1">AVERAGE(OFFSET($CX$3,0,0,'Données projet'!$E$13+1,1))-AVERAGE(OFFSET($H$3,0,0,'Données projet'!$E$13+1,1))</f>
        <v>470.0521927195926</v>
      </c>
      <c r="CZ87" s="62">
        <f t="shared" si="96"/>
        <v>299.27200854723435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projet'!$B$13,Paramètres!$A$1:$I$88,7,0))</f>
        <v>0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projet'!$B$13,Paramètres!$A$1:$I$88,3,0)*0.475*44/12</f>
        <v>22.540126409429938</v>
      </c>
      <c r="DG87" s="23">
        <f>EXP(-LN(2)/25)*DG86+(1-EXP(-LN(2)/25))/(LN(2)/25)*Calculateur!DB87*Calculateur!DD87*VLOOKUP('Données projet'!$B$13,Paramètres!$A$1:$I$88,3,0)*0.475*44/12</f>
        <v>0</v>
      </c>
      <c r="DH87" s="23">
        <f>EXP(-LN(2)/2)*DH86+(1-EXP(-LN(2)/2))/(LN(2)/2)*DB87*DE87*VLOOKUP('Données projet'!$B$13,Paramètres!$A$1:$I$88,3,0)*0.475*44/12</f>
        <v>0</v>
      </c>
      <c r="DI87" s="24">
        <f t="shared" si="69"/>
        <v>22.540126409429938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4.4000000000000004</v>
      </c>
      <c r="DO87" s="13">
        <f>IF('Données projet'!$A$166&gt;35,DO86+DN87-DW86,IF(A87&lt;'Données projet'!$A$166,$DL$205^A87,IF(A87='Données projet'!$A$166,'Données projet'!$B$166,DO86+DN87-DW86)))</f>
        <v>195.6</v>
      </c>
      <c r="DP87" s="18">
        <f>DO87*VLOOKUP('Données projet'!$B$14,Paramètres!$A$1:$I$88,3,0)*VLOOKUP('Données projet'!$B$14,Paramètres!$A$1:$I$88,5,0)</f>
        <v>189.18431999999999</v>
      </c>
      <c r="DQ87" s="14">
        <f t="shared" si="97"/>
        <v>47.359572454491783</v>
      </c>
      <c r="DR87" s="22">
        <f t="shared" si="70"/>
        <v>411.98061269157319</v>
      </c>
      <c r="DS87" s="62">
        <f t="shared" si="71"/>
        <v>684.23744321612344</v>
      </c>
      <c r="DT87" s="62">
        <f ca="1">AVERAGE(OFFSET($DS$3,0,0,'Données projet'!$E$14+1,1))-AVERAGE(OFFSET($H$3,0,0,'Données projet'!$E$14+1,1))</f>
        <v>290.89727102147953</v>
      </c>
      <c r="DU87" s="62">
        <f t="shared" si="98"/>
        <v>173.19148969173838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projet'!$B$14,Paramètres!$A$1:$I$88,3,0)*0.475*44/12</f>
        <v>15.273091118958002</v>
      </c>
      <c r="EB87" s="23">
        <f>EXP(-LN(2)/25)*EB86+(1-EXP(-LN(2)/25))/(LN(2)/25)*Calculateur!DW87*Calculateur!DY87*VLOOKUP('Données projet'!$B$14,Paramètres!$A$1:$I$88,3,0)*0.475*44/12</f>
        <v>0</v>
      </c>
      <c r="EC87" s="23">
        <f>EXP(-LN(2)/2)*EC86+(1-EXP(-LN(2)/2))/(LN(2)/2)*DW87*DZ87*VLOOKUP('Données projet'!$B$14,Paramètres!$A$1:$I$88,3,0)*0.475*44/12</f>
        <v>0</v>
      </c>
      <c r="ED87" s="24">
        <f t="shared" si="72"/>
        <v>15.273091118958002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projet'!$B$15,Paramètres!$A$1:$I$88,3,0)*VLOOKUP('Données projet'!$B$15,Paramètres!$A$1:$I$88,5,0)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projet'!$B$15,Paramètres!$A$1:$I$88,3,0)*0.475*44/12</f>
        <v>#N/A</v>
      </c>
      <c r="EW87" s="23" t="e">
        <f>EXP(-LN(2)/25)*EW86+(1-EXP(-LN(2)/25))/(LN(2)/25)*Calculateur!ER87*Calculateur!ET87*VLOOKUP('Données projet'!$B$15,Paramètres!$A$1:$I$88,3,0)*0.475*44/12</f>
        <v>#N/A</v>
      </c>
      <c r="EX87" s="23" t="e">
        <f>EXP(-LN(2)/2)*EX86+(1-EXP(-LN(2)/2))/(LN(2)/2)*ER87*EU87*VLOOKUP('Données projet'!$B$15,Paramètres!$A$1:$I$88,3,0)*0.475*44/12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projet'!$B$16,Paramètres!$A$1:$I$88,3,0)*VLOOKUP('Données projet'!$B$16,Paramètres!$A$1:$I$88,5,0)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projet'!$B$16,Paramètres!$A$1:$I$88,3,0)*0.475*44/12</f>
        <v>#N/A</v>
      </c>
      <c r="FR87" s="23" t="e">
        <f>EXP(-LN(2)/25)*FR86+(1-EXP(-LN(2)/25))/(LN(2)/25)*Calculateur!FM87*Calculateur!FO87*VLOOKUP('Données projet'!$B$16,Paramètres!$A$1:$I$88,3,0)*0.475*44/12</f>
        <v>#N/A</v>
      </c>
      <c r="FS87" s="23" t="e">
        <f>EXP(-LN(2)/2)*FS86+(1-EXP(-LN(2)/2))/(LN(2)/2)*FM87*FP87*VLOOKUP('Données projet'!$B$16,Paramètres!$A$1:$I$88,3,0)*0.475*44/12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projet'!$B$17,Paramètres!$A$1:$I$88,3,0)*VLOOKUP('Données projet'!$B$17,Paramètres!$A$1:$I$88,5,0)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projet'!$B$17,Paramètres!$A$1:$I$88,3,0)*0.475*44/12</f>
        <v>#N/A</v>
      </c>
      <c r="GM87" s="23" t="e">
        <f>EXP(-LN(2)/25)*GM86+(1-EXP(-LN(2)/25))/(LN(2)/25)*Calculateur!GH87*Calculateur!GJ87*VLOOKUP('Données projet'!$B$17,Paramètres!$A$1:$I$88,3,0)*0.475*44/12</f>
        <v>#N/A</v>
      </c>
      <c r="GN87" s="23" t="e">
        <f>EXP(-LN(2)/2)*GN86+(1-EXP(-LN(2)/2))/(LN(2)/2)*GH87*GK87*VLOOKUP('Données projet'!$B$17,Paramètres!$A$1:$I$88,3,0)*0.475*44/12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projet'!$B$18,Paramètres!$A$1:$I$88,3,0)*VLOOKUP('Données projet'!$B$18,Paramètres!$A$1:$I$88,5,0)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projet'!$B$18,Paramètres!$A$1:$I$88,3,0)*0.475*44/12</f>
        <v>#N/A</v>
      </c>
      <c r="HH87" s="23" t="e">
        <f>EXP(-LN(2)/25)*HH86+(1-EXP(-LN(2)/25))/(LN(2)/25)*Calculateur!HC87*Calculateur!HE87*VLOOKUP('Données projet'!$B$18,Paramètres!$A$1:$I$88,3,0)*0.475*44/12</f>
        <v>#N/A</v>
      </c>
      <c r="HI87" s="23" t="e">
        <f>EXP(-LN(2)/2)*HI86+(1-EXP(-LN(2)/2))/(LN(2)/2)*HC87*HF87*VLOOKUP('Données projet'!$B$18,Paramètres!$A$1:$I$88,3,0)*0.475*44/12</f>
        <v>#N/A</v>
      </c>
      <c r="HJ87" s="24" t="e">
        <f t="shared" si="84"/>
        <v>#N/A</v>
      </c>
    </row>
    <row r="88" spans="1:218" s="5" customFormat="1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projet'!$B$9,Paramètres!$A$1:$I$88,3,0)*VLOOKUP('Données projet'!$B$9,Paramètres!$A$1:$I$88,5,0)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272.62246072828259</v>
      </c>
      <c r="S88" s="62">
        <f ca="1">AVERAGE(OFFSET($R$3,0,0,'Données projet'!$E$9+1,1))-AVERAGE(OFFSET($H$3,0,0,'Données projet'!$E$9+1,1))</f>
        <v>301.2688576786212</v>
      </c>
      <c r="T88" s="62">
        <f t="shared" si="88"/>
        <v>417.62172165132927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projet'!$B$9,Paramètres!$A$1:$I$88,7,0))</f>
        <v>0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75.401448696811059</v>
      </c>
      <c r="AA88" s="23">
        <f>EXP(-LN(2)/25)*AA87+(1-EXP(-LN(2)/25))/(LN(2)/25)*Calculateur!V88*Calculateur!X88*VLOOKUP('Données projet'!$B$9,Paramètres!$A$1:$I$88,3,0)*0.475*44/12</f>
        <v>18.851392867172546</v>
      </c>
      <c r="AB88" s="23">
        <f>EXP(-LN(2)/2)*AB87+(1-EXP(-LN(2)/2))/(LN(2)/2)*V88*Y88*VLOOKUP('Données projet'!$B$9,Paramètres!$A$1:$I$88,3,0)*0.475*44/12</f>
        <v>1.5889185417339467E-4</v>
      </c>
      <c r="AC88" s="24">
        <f t="shared" si="57"/>
        <v>94.253000455837778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projet'!$B$10,Paramètres!$A$1:$I$88,3,0)*VLOOKUP('Données projet'!$B$10,Paramètres!$A$1:$I$88,5,0)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170.08673939431091</v>
      </c>
      <c r="AO88" s="62">
        <f t="shared" si="90"/>
        <v>252.97355497077106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projet'!$B$10,Paramètres!$A$1:$I$88,7,0))</f>
        <v>0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projet'!$B$10,Paramètres!$A$1:$I$88,3,0)*0.475*44/12</f>
        <v>31.482177013597358</v>
      </c>
      <c r="AV88" s="23">
        <f>EXP(-LN(2)/25)*AV87+(1-EXP(-LN(2)/25))/(LN(2)/25)*Calculateur!AQ88*Calculateur!AS88*VLOOKUP('Données projet'!$B$10,Paramètres!$A$1:$I$88,3,0)*0.475*44/12</f>
        <v>19.106893733028798</v>
      </c>
      <c r="AW88" s="23">
        <f>EXP(-LN(2)/2)*AW87+(1-EXP(-LN(2)/2))/(LN(2)/2)*AQ88*AT88*VLOOKUP('Données projet'!$B$10,Paramètres!$A$1:$I$88,3,0)*0.475*44/12</f>
        <v>2.0352769110291869E-4</v>
      </c>
      <c r="AX88" s="23">
        <f t="shared" si="60"/>
        <v>50.589274274317262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269</v>
      </c>
      <c r="BB88" s="13">
        <f>VLOOKUP(A88,'Données projet'!$A$87:$I$107,9,0)</f>
        <v>5.8</v>
      </c>
      <c r="BC88" s="13">
        <f t="array" ref="BC88">INDEX(BB:BB,MIN(IF(ISNUMBER(BB88:BB284),ROW(BB88:BB284),"")))</f>
        <v>5.8</v>
      </c>
      <c r="BD88" s="13">
        <f>IF('Données projet'!$A$88&gt;35,BD87+BC88-BL87,IF(A88&lt;'Données projet'!$A$88,$BA$205^A88,IF(A88='Données projet'!$A$88,'Données projet'!$B$88,BD87+BC88-BL87)))</f>
        <v>268.99999999999994</v>
      </c>
      <c r="BE88" s="14">
        <f>BD88*VLOOKUP('Données projet'!$B$11,Paramètres!$A$1:$I$88,3,0)*VLOOKUP('Données projet'!$B$11,Paramètres!$A$1:$I$88,5,0)</f>
        <v>243.39119999999994</v>
      </c>
      <c r="BF88" s="14">
        <f t="shared" si="91"/>
        <v>59.168566788241527</v>
      </c>
      <c r="BG88" s="22">
        <f t="shared" si="61"/>
        <v>526.95826048952051</v>
      </c>
      <c r="BH88" s="62">
        <f t="shared" si="62"/>
        <v>799.58072121780197</v>
      </c>
      <c r="BI88" s="62">
        <f ca="1">AVERAGE(OFFSET($BH$3,0,0,'Données projet'!$E$11+1,1))-AVERAGE(OFFSET($H$3,0,0,'Données projet'!$E$11+1,1))</f>
        <v>362.63718589694594</v>
      </c>
      <c r="BJ88" s="62">
        <f t="shared" si="92"/>
        <v>250.47702091764884</v>
      </c>
      <c r="BK88" s="16">
        <f>IF(ISNA(VLOOKUP(A88,'Données projet'!$A$87:$I$107,3,0)),0,VLOOKUP(A88,'Données projet'!$A$87:$I$107,3,0))</f>
        <v>14</v>
      </c>
      <c r="BL88" s="16">
        <f>IF(ISNA(VLOOKUP(A88,'Données projet'!$A$87:$I$107,4,0)),0,VLOOKUP(A88,'Données projet'!$A$87:$I$107,4,0))</f>
        <v>21</v>
      </c>
      <c r="BM88" s="17">
        <f>IF(ISNA(VLOOKUP(A88,'Données projet'!$A$87:$I$107,5,0)),0%,VLOOKUP(A88,'Données projet'!$A$87:$I$107,5,0)*VLOOKUP('Données projet'!$B$11,Paramètres!$A$1:$I$88,7,0))</f>
        <v>0.25800000000000001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projet'!$B$11,Paramètres!$A$1:$I$88,3,0)*0.475*44/12</f>
        <v>26.430579054184989</v>
      </c>
      <c r="BQ88" s="23">
        <f>EXP(-LN(2)/25)*BQ87+(1-EXP(-LN(2)/25))/(LN(2)/25)*Calculateur!BL88*Calculateur!BN88*VLOOKUP('Données projet'!$B$11,Paramètres!$A$1:$I$88,3,0)*0.475*44/12</f>
        <v>0</v>
      </c>
      <c r="BR88" s="23">
        <f>EXP(-LN(2)/2)*BR87+(1-EXP(-LN(2)/2))/(LN(2)/2)*BL88*BO88*VLOOKUP('Données projet'!$B$11,Paramètres!$A$1:$I$88,3,0)*0.475*44/12</f>
        <v>0</v>
      </c>
      <c r="BS88" s="24">
        <f t="shared" si="63"/>
        <v>26.430579054184989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269</v>
      </c>
      <c r="BW88" s="13">
        <f>VLOOKUP(A88,'Données projet'!$A$113:$I$133,9,0)</f>
        <v>5.8</v>
      </c>
      <c r="BX88" s="13">
        <f t="array" ref="BX88">INDEX(BW:BW,MIN(IF(ISNUMBER(BW88:BW284),ROW(BW88:BW284),"")))</f>
        <v>5.8</v>
      </c>
      <c r="BY88" s="13">
        <f>IF('Données projet'!$A$114&gt;35,BY87+BX88-CG87,IF(A88&lt;'Données projet'!$A$114,$BV$205^A88,IF(A88='Données projet'!$A$114,'Données projet'!$B$114,BY87+BX88-CG87)))</f>
        <v>268.99999999999994</v>
      </c>
      <c r="BZ88" s="14">
        <f>BY88*VLOOKUP('Données projet'!$B$12,Paramètres!$A$1:$I$88,3,0)*VLOOKUP('Données projet'!$B$12,Paramètres!$A$1:$I$88,5,0)</f>
        <v>272.76599999999996</v>
      </c>
      <c r="CA88" s="14">
        <f t="shared" si="93"/>
        <v>65.43593563008757</v>
      </c>
      <c r="CB88" s="22">
        <f t="shared" si="64"/>
        <v>589.03503788906914</v>
      </c>
      <c r="CC88" s="62">
        <f t="shared" si="65"/>
        <v>861.65749861735071</v>
      </c>
      <c r="CD88" s="62">
        <f ca="1">AVERAGE(OFFSET($CC$3,0,0,'Données projet'!$E$12+1,1))-AVERAGE(OFFSET($H$3,0,0,'Données projet'!$E$12+1,1))</f>
        <v>398.14524781940196</v>
      </c>
      <c r="CE88" s="62">
        <f t="shared" si="94"/>
        <v>273.35778700650792</v>
      </c>
      <c r="CF88" s="16">
        <f>IF(ISNA(VLOOKUP(A88,'Données projet'!$A$113:$I$133,3,0)),0,VLOOKUP(A88,'Données projet'!$A$113:$I$133,3,0))</f>
        <v>14</v>
      </c>
      <c r="CG88" s="16">
        <f>IF(ISNA(VLOOKUP(A88,'Données projet'!$A$113:$I$133,4,0)),0,VLOOKUP(A88,'Données projet'!$A$113:$I$133,4,0))</f>
        <v>21</v>
      </c>
      <c r="CH88" s="17">
        <f>IF(ISNA(VLOOKUP(A88,'Données projet'!$A$113:$I$133,5,0)),0%,VLOOKUP(A88,'Données projet'!$A$113:$I$133,5,0)*VLOOKUP('Données projet'!$B$12,Paramètres!$A$1:$I$88,7,0))</f>
        <v>0.25800000000000001</v>
      </c>
      <c r="CI88" s="17">
        <f>IF(ISNA(VLOOKUP(A88,'Données projet'!$A$113:$I$133,6,0)),0%,VLOOKUP(A88,'Données projet'!$A$113:$I$133,6,0)*VLOOKUP('Données projet'!$B$12,Paramètres!$A$1:$I$88,7,0))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projet'!$B$12,Paramètres!$A$1:$I$88,3,0)*0.475*44/12</f>
        <v>29.620476526241795</v>
      </c>
      <c r="CL88" s="23">
        <f>EXP(-LN(2)/25)*CL87+(1-EXP(-LN(2)/25))/(LN(2)/25)*Calculateur!CG88*Calculateur!CI88*VLOOKUP('Données projet'!$B$12,Paramètres!$A$1:$I$88,3,0)*0.475*44/12</f>
        <v>0</v>
      </c>
      <c r="CM88" s="23">
        <f>EXP(-LN(2)/2)*CM87+(1-EXP(-LN(2)/2))/(LN(2)/2)*CG88*CJ88*VLOOKUP('Données projet'!$B$12,Paramètres!$A$1:$I$88,3,0)*0.475*44/12</f>
        <v>0</v>
      </c>
      <c r="CN88" s="24">
        <f t="shared" si="66"/>
        <v>29.620476526241795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365</v>
      </c>
      <c r="CR88" s="13">
        <f>VLOOKUP(A88,'Données projet'!$A$139:$I$159,9,0)</f>
        <v>7</v>
      </c>
      <c r="CS88" s="13">
        <f t="array" ref="CS88">INDEX(CR:CR,MIN(IF(ISNUMBER(CR88:CR284),ROW(CR88:CR284),"")))</f>
        <v>7</v>
      </c>
      <c r="CT88" s="13">
        <f>IF('Données projet'!$A$140&gt;35,CT87+CS88-DB87,IF(A88&lt;'Données projet'!$A$140,$CQ$205^A88,IF(A88='Données projet'!$A$140,'Données projet'!$B$140,CT87+CS88-DB87)))</f>
        <v>364.99999999999989</v>
      </c>
      <c r="CU88" s="18">
        <f>CT88*VLOOKUP('Données projet'!$B$13,Paramètres!$A$1:$I$88,3,0)*VLOOKUP('Données projet'!$B$13,Paramètres!$A$1:$I$88,5,0)</f>
        <v>347.33399999999989</v>
      </c>
      <c r="CV88" s="14">
        <f t="shared" si="95"/>
        <v>81.01331009524614</v>
      </c>
      <c r="CW88" s="22">
        <f t="shared" si="67"/>
        <v>746.03823174922024</v>
      </c>
      <c r="CX88" s="62">
        <f t="shared" si="68"/>
        <v>1018.6606924775017</v>
      </c>
      <c r="CY88" s="62">
        <f ca="1">AVERAGE(OFFSET($CX$3,0,0,'Données projet'!$E$13+1,1))-AVERAGE(OFFSET($H$3,0,0,'Données projet'!$E$13+1,1))</f>
        <v>470.0521927195926</v>
      </c>
      <c r="CZ88" s="62">
        <f t="shared" si="96"/>
        <v>299.27200854723435</v>
      </c>
      <c r="DA88" s="16">
        <f>IF(ISNA(VLOOKUP(A88,'Données projet'!$A$139:$I$159,3,0)),0,VLOOKUP(A88,'Données projet'!$A$139:$I$159,3,0))</f>
        <v>14</v>
      </c>
      <c r="DB88" s="16">
        <f>IF(ISNA(VLOOKUP(A88,'Données projet'!$A$139:$I$159,4,0)),0,VLOOKUP(A88,'Données projet'!$A$139:$I$159,4,0))</f>
        <v>21</v>
      </c>
      <c r="DC88" s="17">
        <f>IF(ISNA(VLOOKUP(A88,'Données projet'!$A$139:$I$159,5,0)),0%,VLOOKUP(A88,'Données projet'!$A$139:$I$159,5,0)*VLOOKUP('Données projet'!$B$13,Paramètres!$A$1:$I$88,7,0))</f>
        <v>0.25800000000000001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projet'!$B$13,Paramètres!$A$1:$I$88,3,0)*0.475*44/12</f>
        <v>27.797677970780757</v>
      </c>
      <c r="DG88" s="23">
        <f>EXP(-LN(2)/25)*DG87+(1-EXP(-LN(2)/25))/(LN(2)/25)*Calculateur!DB88*Calculateur!DD88*VLOOKUP('Données projet'!$B$13,Paramètres!$A$1:$I$88,3,0)*0.475*44/12</f>
        <v>0</v>
      </c>
      <c r="DH88" s="23">
        <f>EXP(-LN(2)/2)*DH87+(1-EXP(-LN(2)/2))/(LN(2)/2)*DB88*DE88*VLOOKUP('Données projet'!$B$13,Paramètres!$A$1:$I$88,3,0)*0.475*44/12</f>
        <v>0</v>
      </c>
      <c r="DI88" s="24">
        <f t="shared" si="69"/>
        <v>27.797677970780757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200</v>
      </c>
      <c r="DM88" s="13">
        <f>VLOOKUP(A88,'Données projet'!$A$165:$I$185,9,0)</f>
        <v>4.4000000000000004</v>
      </c>
      <c r="DN88" s="13">
        <f t="array" ref="DN88">INDEX(DM:DM,MIN(IF(ISNUMBER(DM88:DM284),ROW(DM88:DM284),"")))</f>
        <v>4.4000000000000004</v>
      </c>
      <c r="DO88" s="13">
        <f>IF('Données projet'!$A$166&gt;35,DO87+DN88-DW87,IF(A88&lt;'Données projet'!$A$166,$DL$205^A88,IF(A88='Données projet'!$A$166,'Données projet'!$B$166,DO87+DN88-DW87)))</f>
        <v>200</v>
      </c>
      <c r="DP88" s="18">
        <f>DO88*VLOOKUP('Données projet'!$B$14,Paramètres!$A$1:$I$88,3,0)*VLOOKUP('Données projet'!$B$14,Paramètres!$A$1:$I$88,5,0)</f>
        <v>193.44</v>
      </c>
      <c r="DQ88" s="14">
        <f t="shared" si="97"/>
        <v>48.299691961776745</v>
      </c>
      <c r="DR88" s="22">
        <f t="shared" si="70"/>
        <v>421.02996350009448</v>
      </c>
      <c r="DS88" s="62">
        <f t="shared" si="71"/>
        <v>693.65242422837605</v>
      </c>
      <c r="DT88" s="62">
        <f ca="1">AVERAGE(OFFSET($DS$3,0,0,'Données projet'!$E$14+1,1))-AVERAGE(OFFSET($H$3,0,0,'Données projet'!$E$14+1,1))</f>
        <v>290.89727102147953</v>
      </c>
      <c r="DU88" s="62">
        <f t="shared" si="98"/>
        <v>173.19148969173838</v>
      </c>
      <c r="DV88" s="16">
        <f>IF(ISNA(VLOOKUP(A88,'Données projet'!$A$165:$I$185,3,0)),0,VLOOKUP(A88,'Données projet'!$A$165:$I$185,3,0))</f>
        <v>14</v>
      </c>
      <c r="DW88" s="16">
        <f>IF(ISNA(VLOOKUP(A88,'Données projet'!$A$165:$I$185,4,0)),0,VLOOKUP(A88,'Données projet'!$A$165:$I$185,4,0))</f>
        <v>14</v>
      </c>
      <c r="DX88" s="17">
        <f>IF(ISNA(VLOOKUP(A88,'Données projet'!$A$165:$I$185,5,0)),0%,VLOOKUP(A88,'Données projet'!$A$165:$I$185,5,0)*VLOOKUP('Données projet'!$B$14,Paramètres!$A$1:$I$88,7,0))</f>
        <v>0.25800000000000001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projet'!$B$14,Paramètres!$A$1:$I$88,3,0)*0.475*44/12</f>
        <v>18.835585073097352</v>
      </c>
      <c r="EB88" s="23">
        <f>EXP(-LN(2)/25)*EB87+(1-EXP(-LN(2)/25))/(LN(2)/25)*Calculateur!DW88*Calculateur!DY88*VLOOKUP('Données projet'!$B$14,Paramètres!$A$1:$I$88,3,0)*0.475*44/12</f>
        <v>0</v>
      </c>
      <c r="EC88" s="23">
        <f>EXP(-LN(2)/2)*EC87+(1-EXP(-LN(2)/2))/(LN(2)/2)*DW88*DZ88*VLOOKUP('Données projet'!$B$14,Paramètres!$A$1:$I$88,3,0)*0.475*44/12</f>
        <v>0</v>
      </c>
      <c r="ED88" s="24">
        <f t="shared" si="72"/>
        <v>18.835585073097352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projet'!$B$15,Paramètres!$A$1:$I$88,3,0)*VLOOKUP('Données projet'!$B$15,Paramètres!$A$1:$I$88,5,0)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projet'!$B$15,Paramètres!$A$1:$I$88,3,0)*0.475*44/12</f>
        <v>#N/A</v>
      </c>
      <c r="EW88" s="23" t="e">
        <f>EXP(-LN(2)/25)*EW87+(1-EXP(-LN(2)/25))/(LN(2)/25)*Calculateur!ER88*Calculateur!ET88*VLOOKUP('Données projet'!$B$15,Paramètres!$A$1:$I$88,3,0)*0.475*44/12</f>
        <v>#N/A</v>
      </c>
      <c r="EX88" s="23" t="e">
        <f>EXP(-LN(2)/2)*EX87+(1-EXP(-LN(2)/2))/(LN(2)/2)*ER88*EU88*VLOOKUP('Données projet'!$B$15,Paramètres!$A$1:$I$88,3,0)*0.475*44/12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projet'!$B$16,Paramètres!$A$1:$I$88,3,0)*VLOOKUP('Données projet'!$B$16,Paramètres!$A$1:$I$88,5,0)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projet'!$B$16,Paramètres!$A$1:$I$88,7,0))</f>
        <v>0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projet'!$B$16,Paramètres!$A$1:$I$88,3,0)*0.475*44/12</f>
        <v>#N/A</v>
      </c>
      <c r="FR88" s="23" t="e">
        <f>EXP(-LN(2)/25)*FR87+(1-EXP(-LN(2)/25))/(LN(2)/25)*Calculateur!FM88*Calculateur!FO88*VLOOKUP('Données projet'!$B$16,Paramètres!$A$1:$I$88,3,0)*0.475*44/12</f>
        <v>#N/A</v>
      </c>
      <c r="FS88" s="23" t="e">
        <f>EXP(-LN(2)/2)*FS87+(1-EXP(-LN(2)/2))/(LN(2)/2)*FM88*FP88*VLOOKUP('Données projet'!$B$16,Paramètres!$A$1:$I$88,3,0)*0.475*44/12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projet'!$B$17,Paramètres!$A$1:$I$88,3,0)*VLOOKUP('Données projet'!$B$17,Paramètres!$A$1:$I$88,5,0)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projet'!$B$17,Paramètres!$A$1:$I$88,3,0)*0.475*44/12</f>
        <v>#N/A</v>
      </c>
      <c r="GM88" s="23" t="e">
        <f>EXP(-LN(2)/25)*GM87+(1-EXP(-LN(2)/25))/(LN(2)/25)*Calculateur!GH88*Calculateur!GJ88*VLOOKUP('Données projet'!$B$17,Paramètres!$A$1:$I$88,3,0)*0.475*44/12</f>
        <v>#N/A</v>
      </c>
      <c r="GN88" s="23" t="e">
        <f>EXP(-LN(2)/2)*GN87+(1-EXP(-LN(2)/2))/(LN(2)/2)*GH88*GK88*VLOOKUP('Données projet'!$B$17,Paramètres!$A$1:$I$88,3,0)*0.475*44/12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projet'!$B$18,Paramètres!$A$1:$I$88,3,0)*VLOOKUP('Données projet'!$B$18,Paramètres!$A$1:$I$88,5,0)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projet'!$B$18,Paramètres!$A$1:$I$88,3,0)*0.475*44/12</f>
        <v>#N/A</v>
      </c>
      <c r="HH88" s="23" t="e">
        <f>EXP(-LN(2)/25)*HH87+(1-EXP(-LN(2)/25))/(LN(2)/25)*Calculateur!HC88*Calculateur!HE88*VLOOKUP('Données projet'!$B$18,Paramètres!$A$1:$I$88,3,0)*0.475*44/12</f>
        <v>#N/A</v>
      </c>
      <c r="HI88" s="23" t="e">
        <f>EXP(-LN(2)/2)*HI87+(1-EXP(-LN(2)/2))/(LN(2)/2)*HC88*HF88*VLOOKUP('Données projet'!$B$18,Paramètres!$A$1:$I$88,3,0)*0.475*44/12</f>
        <v>#N/A</v>
      </c>
      <c r="HJ88" s="24" t="e">
        <f t="shared" si="84"/>
        <v>#N/A</v>
      </c>
    </row>
    <row r="89" spans="1:218" s="5" customFormat="1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projet'!$B$9,Paramètres!$A$1:$I$88,3,0)*VLOOKUP('Données projet'!$B$9,Paramètres!$A$1:$I$88,5,0)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272.98174806540578</v>
      </c>
      <c r="S89" s="62">
        <f ca="1">AVERAGE(OFFSET($R$3,0,0,'Données projet'!$E$9+1,1))-AVERAGE(OFFSET($H$3,0,0,'Données projet'!$E$9+1,1))</f>
        <v>301.2688576786212</v>
      </c>
      <c r="T89" s="62">
        <f t="shared" si="88"/>
        <v>417.62172165132927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73.922872278209127</v>
      </c>
      <c r="AA89" s="23">
        <f>EXP(-LN(2)/25)*AA88+(1-EXP(-LN(2)/25))/(LN(2)/25)*Calculateur!V89*Calculateur!X89*VLOOKUP('Données projet'!$B$9,Paramètres!$A$1:$I$88,3,0)*0.475*44/12</f>
        <v>18.335900537868046</v>
      </c>
      <c r="AB89" s="23">
        <f>EXP(-LN(2)/2)*AB88+(1-EXP(-LN(2)/2))/(LN(2)/2)*V89*Y89*VLOOKUP('Données projet'!$B$9,Paramètres!$A$1:$I$88,3,0)*0.475*44/12</f>
        <v>1.1235350756131141E-4</v>
      </c>
      <c r="AC89" s="24">
        <f t="shared" si="57"/>
        <v>92.25888516958473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projet'!$B$10,Paramètres!$A$1:$I$88,3,0)*VLOOKUP('Données projet'!$B$10,Paramètres!$A$1:$I$88,5,0)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170.08673939431091</v>
      </c>
      <c r="AO89" s="62">
        <f t="shared" si="90"/>
        <v>252.97355497077106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projet'!$B$10,Paramètres!$A$1:$I$88,3,0)*0.475*44/12</f>
        <v>30.864830724592629</v>
      </c>
      <c r="AV89" s="23">
        <f>EXP(-LN(2)/25)*AV88+(1-EXP(-LN(2)/25))/(LN(2)/25)*Calculateur!AQ89*Calculateur!AS89*VLOOKUP('Données projet'!$B$10,Paramètres!$A$1:$I$88,3,0)*0.475*44/12</f>
        <v>18.584414719111255</v>
      </c>
      <c r="AW89" s="23">
        <f>EXP(-LN(2)/2)*AW88+(1-EXP(-LN(2)/2))/(LN(2)/2)*AQ89*AT89*VLOOKUP('Données projet'!$B$10,Paramètres!$A$1:$I$88,3,0)*0.475*44/12</f>
        <v>1.4391581053811476E-4</v>
      </c>
      <c r="AX89" s="23">
        <f t="shared" si="60"/>
        <v>49.449389359514427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5.4</v>
      </c>
      <c r="BD89" s="13">
        <f>IF('Données projet'!$A$88&gt;35,BD88+BC89-BL88,IF(A89&lt;'Données projet'!$A$88,$BA$205^A89,IF(A89='Données projet'!$A$88,'Données projet'!$B$88,BD88+BC89-BL88)))</f>
        <v>253.39999999999992</v>
      </c>
      <c r="BE89" s="14">
        <f>BD89*VLOOKUP('Données projet'!$B$11,Paramètres!$A$1:$I$88,3,0)*VLOOKUP('Données projet'!$B$11,Paramètres!$A$1:$I$88,5,0)</f>
        <v>229.27631999999994</v>
      </c>
      <c r="BF89" s="14">
        <f t="shared" si="91"/>
        <v>56.126176307517476</v>
      </c>
      <c r="BG89" s="22">
        <f t="shared" si="61"/>
        <v>497.07601440225949</v>
      </c>
      <c r="BH89" s="62">
        <f t="shared" si="62"/>
        <v>770.05776246766413</v>
      </c>
      <c r="BI89" s="62">
        <f ca="1">AVERAGE(OFFSET($BH$3,0,0,'Données projet'!$E$11+1,1))-AVERAGE(OFFSET($H$3,0,0,'Données projet'!$E$11+1,1))</f>
        <v>362.63718589694594</v>
      </c>
      <c r="BJ89" s="62">
        <f t="shared" si="92"/>
        <v>250.47702091764884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projet'!$B$11,Paramètres!$A$1:$I$88,3,0)*0.475*44/12</f>
        <v>25.912291519993822</v>
      </c>
      <c r="BQ89" s="23">
        <f>EXP(-LN(2)/25)*BQ88+(1-EXP(-LN(2)/25))/(LN(2)/25)*Calculateur!BL89*Calculateur!BN89*VLOOKUP('Données projet'!$B$11,Paramètres!$A$1:$I$88,3,0)*0.475*44/12</f>
        <v>0</v>
      </c>
      <c r="BR89" s="23">
        <f>EXP(-LN(2)/2)*BR88+(1-EXP(-LN(2)/2))/(LN(2)/2)*BL89*BO89*VLOOKUP('Données projet'!$B$11,Paramètres!$A$1:$I$88,3,0)*0.475*44/12</f>
        <v>0</v>
      </c>
      <c r="BS89" s="24">
        <f t="shared" si="63"/>
        <v>25.912291519993822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5.4</v>
      </c>
      <c r="BY89" s="13">
        <f>IF('Données projet'!$A$114&gt;35,BY88+BX89-CG88,IF(A89&lt;'Données projet'!$A$114,$BV$205^A89,IF(A89='Données projet'!$A$114,'Données projet'!$B$114,BY88+BX89-CG88)))</f>
        <v>253.39999999999992</v>
      </c>
      <c r="BZ89" s="14">
        <f>BY89*VLOOKUP('Données projet'!$B$12,Paramètres!$A$1:$I$88,3,0)*VLOOKUP('Données projet'!$B$12,Paramètres!$A$1:$I$88,5,0)</f>
        <v>256.94759999999991</v>
      </c>
      <c r="CA89" s="14">
        <f t="shared" si="93"/>
        <v>62.071283104858246</v>
      </c>
      <c r="CB89" s="22">
        <f t="shared" si="64"/>
        <v>555.62455474096134</v>
      </c>
      <c r="CC89" s="62">
        <f t="shared" si="65"/>
        <v>828.6063028063661</v>
      </c>
      <c r="CD89" s="62">
        <f ca="1">AVERAGE(OFFSET($CC$3,0,0,'Données projet'!$E$12+1,1))-AVERAGE(OFFSET($H$3,0,0,'Données projet'!$E$12+1,1))</f>
        <v>398.14524781940196</v>
      </c>
      <c r="CE89" s="62">
        <f t="shared" si="94"/>
        <v>273.35778700650792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projet'!$B$12,Paramètres!$A$1:$I$88,3,0)*0.475*44/12</f>
        <v>29.039637048268936</v>
      </c>
      <c r="CL89" s="23">
        <f>EXP(-LN(2)/25)*CL88+(1-EXP(-LN(2)/25))/(LN(2)/25)*Calculateur!CG89*Calculateur!CI89*VLOOKUP('Données projet'!$B$12,Paramètres!$A$1:$I$88,3,0)*0.475*44/12</f>
        <v>0</v>
      </c>
      <c r="CM89" s="23">
        <f>EXP(-LN(2)/2)*CM88+(1-EXP(-LN(2)/2))/(LN(2)/2)*CG89*CJ89*VLOOKUP('Données projet'!$B$12,Paramètres!$A$1:$I$88,3,0)*0.475*44/12</f>
        <v>0</v>
      </c>
      <c r="CN89" s="24">
        <f t="shared" si="66"/>
        <v>29.039637048268936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6.6</v>
      </c>
      <c r="CT89" s="13">
        <f>IF('Données projet'!$A$140&gt;35,CT88+CS89-DB88,IF(A89&lt;'Données projet'!$A$140,$CQ$205^A89,IF(A89='Données projet'!$A$140,'Données projet'!$B$140,CT88+CS89-DB88)))</f>
        <v>350.59999999999991</v>
      </c>
      <c r="CU89" s="18">
        <f>CT89*VLOOKUP('Données projet'!$B$13,Paramètres!$A$1:$I$88,3,0)*VLOOKUP('Données projet'!$B$13,Paramètres!$A$1:$I$88,5,0)</f>
        <v>333.6309599999999</v>
      </c>
      <c r="CV89" s="14">
        <f t="shared" si="95"/>
        <v>78.182617716298182</v>
      </c>
      <c r="CW89" s="22">
        <f t="shared" si="67"/>
        <v>717.24198118921913</v>
      </c>
      <c r="CX89" s="62">
        <f t="shared" si="68"/>
        <v>990.22372925462378</v>
      </c>
      <c r="CY89" s="62">
        <f ca="1">AVERAGE(OFFSET($CX$3,0,0,'Données projet'!$E$13+1,1))-AVERAGE(OFFSET($H$3,0,0,'Données projet'!$E$13+1,1))</f>
        <v>470.0521927195926</v>
      </c>
      <c r="CZ89" s="62">
        <f t="shared" si="96"/>
        <v>299.27200854723435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projet'!$B$13,Paramètres!$A$1:$I$88,3,0)*0.475*44/12</f>
        <v>27.252582460683151</v>
      </c>
      <c r="DG89" s="23">
        <f>EXP(-LN(2)/25)*DG88+(1-EXP(-LN(2)/25))/(LN(2)/25)*Calculateur!DB89*Calculateur!DD89*VLOOKUP('Données projet'!$B$13,Paramètres!$A$1:$I$88,3,0)*0.475*44/12</f>
        <v>0</v>
      </c>
      <c r="DH89" s="23">
        <f>EXP(-LN(2)/2)*DH88+(1-EXP(-LN(2)/2))/(LN(2)/2)*DB89*DE89*VLOOKUP('Données projet'!$B$13,Paramètres!$A$1:$I$88,3,0)*0.475*44/12</f>
        <v>0</v>
      </c>
      <c r="DI89" s="24">
        <f t="shared" si="69"/>
        <v>27.252582460683151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5.2</v>
      </c>
      <c r="DO89" s="13">
        <f>IF('Données projet'!$A$166&gt;35,DO88+DN89-DW88,IF(A89&lt;'Données projet'!$A$166,$DL$205^A89,IF(A89='Données projet'!$A$166,'Données projet'!$B$166,DO88+DN89-DW88)))</f>
        <v>191.2</v>
      </c>
      <c r="DP89" s="18">
        <f>DO89*VLOOKUP('Données projet'!$B$14,Paramètres!$A$1:$I$88,3,0)*VLOOKUP('Données projet'!$B$14,Paramètres!$A$1:$I$88,5,0)</f>
        <v>184.92864</v>
      </c>
      <c r="DQ89" s="14">
        <f t="shared" si="97"/>
        <v>46.416987887800225</v>
      </c>
      <c r="DR89" s="22">
        <f t="shared" si="70"/>
        <v>402.92696857125202</v>
      </c>
      <c r="DS89" s="62">
        <f t="shared" si="71"/>
        <v>675.90871663665666</v>
      </c>
      <c r="DT89" s="62">
        <f ca="1">AVERAGE(OFFSET($DS$3,0,0,'Données projet'!$E$14+1,1))-AVERAGE(OFFSET($H$3,0,0,'Données projet'!$E$14+1,1))</f>
        <v>290.89727102147953</v>
      </c>
      <c r="DU89" s="62">
        <f t="shared" si="98"/>
        <v>173.19148969173838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projet'!$B$14,Paramètres!$A$1:$I$88,3,0)*0.475*44/12</f>
        <v>18.466230738386404</v>
      </c>
      <c r="EB89" s="23">
        <f>EXP(-LN(2)/25)*EB88+(1-EXP(-LN(2)/25))/(LN(2)/25)*Calculateur!DW89*Calculateur!DY89*VLOOKUP('Données projet'!$B$14,Paramètres!$A$1:$I$88,3,0)*0.475*44/12</f>
        <v>0</v>
      </c>
      <c r="EC89" s="23">
        <f>EXP(-LN(2)/2)*EC88+(1-EXP(-LN(2)/2))/(LN(2)/2)*DW89*DZ89*VLOOKUP('Données projet'!$B$14,Paramètres!$A$1:$I$88,3,0)*0.475*44/12</f>
        <v>0</v>
      </c>
      <c r="ED89" s="24">
        <f t="shared" si="72"/>
        <v>18.466230738386404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projet'!$B$15,Paramètres!$A$1:$I$88,3,0)*VLOOKUP('Données projet'!$B$15,Paramètres!$A$1:$I$88,5,0)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projet'!$B$15,Paramètres!$A$1:$I$88,3,0)*0.475*44/12</f>
        <v>#N/A</v>
      </c>
      <c r="EW89" s="23" t="e">
        <f>EXP(-LN(2)/25)*EW88+(1-EXP(-LN(2)/25))/(LN(2)/25)*Calculateur!ER89*Calculateur!ET89*VLOOKUP('Données projet'!$B$15,Paramètres!$A$1:$I$88,3,0)*0.475*44/12</f>
        <v>#N/A</v>
      </c>
      <c r="EX89" s="23" t="e">
        <f>EXP(-LN(2)/2)*EX88+(1-EXP(-LN(2)/2))/(LN(2)/2)*ER89*EU89*VLOOKUP('Données projet'!$B$15,Paramètres!$A$1:$I$88,3,0)*0.475*44/12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projet'!$B$16,Paramètres!$A$1:$I$88,3,0)*VLOOKUP('Données projet'!$B$16,Paramètres!$A$1:$I$88,5,0)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projet'!$B$16,Paramètres!$A$1:$I$88,3,0)*0.475*44/12</f>
        <v>#N/A</v>
      </c>
      <c r="FR89" s="23" t="e">
        <f>EXP(-LN(2)/25)*FR88+(1-EXP(-LN(2)/25))/(LN(2)/25)*Calculateur!FM89*Calculateur!FO89*VLOOKUP('Données projet'!$B$16,Paramètres!$A$1:$I$88,3,0)*0.475*44/12</f>
        <v>#N/A</v>
      </c>
      <c r="FS89" s="23" t="e">
        <f>EXP(-LN(2)/2)*FS88+(1-EXP(-LN(2)/2))/(LN(2)/2)*FM89*FP89*VLOOKUP('Données projet'!$B$16,Paramètres!$A$1:$I$88,3,0)*0.475*44/12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projet'!$B$17,Paramètres!$A$1:$I$88,3,0)*VLOOKUP('Données projet'!$B$17,Paramètres!$A$1:$I$88,5,0)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projet'!$B$17,Paramètres!$A$1:$I$88,3,0)*0.475*44/12</f>
        <v>#N/A</v>
      </c>
      <c r="GM89" s="23" t="e">
        <f>EXP(-LN(2)/25)*GM88+(1-EXP(-LN(2)/25))/(LN(2)/25)*Calculateur!GH89*Calculateur!GJ89*VLOOKUP('Données projet'!$B$17,Paramètres!$A$1:$I$88,3,0)*0.475*44/12</f>
        <v>#N/A</v>
      </c>
      <c r="GN89" s="23" t="e">
        <f>EXP(-LN(2)/2)*GN88+(1-EXP(-LN(2)/2))/(LN(2)/2)*GH89*GK89*VLOOKUP('Données projet'!$B$17,Paramètres!$A$1:$I$88,3,0)*0.475*44/12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projet'!$B$18,Paramètres!$A$1:$I$88,3,0)*VLOOKUP('Données projet'!$B$18,Paramètres!$A$1:$I$88,5,0)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projet'!$B$18,Paramètres!$A$1:$I$88,3,0)*0.475*44/12</f>
        <v>#N/A</v>
      </c>
      <c r="HH89" s="23" t="e">
        <f>EXP(-LN(2)/25)*HH88+(1-EXP(-LN(2)/25))/(LN(2)/25)*Calculateur!HC89*Calculateur!HE89*VLOOKUP('Données projet'!$B$18,Paramètres!$A$1:$I$88,3,0)*0.475*44/12</f>
        <v>#N/A</v>
      </c>
      <c r="HI89" s="23" t="e">
        <f>EXP(-LN(2)/2)*HI88+(1-EXP(-LN(2)/2))/(LN(2)/2)*HC89*HF89*VLOOKUP('Données projet'!$B$18,Paramètres!$A$1:$I$88,3,0)*0.475*44/12</f>
        <v>#N/A</v>
      </c>
      <c r="HJ89" s="24" t="e">
        <f t="shared" si="84"/>
        <v>#N/A</v>
      </c>
    </row>
    <row r="90" spans="1:218" s="5" customFormat="1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projet'!$B$9,Paramètres!$A$1:$I$88,3,0)*VLOOKUP('Données projet'!$B$9,Paramètres!$A$1:$I$88,5,0)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273.33480257047592</v>
      </c>
      <c r="S90" s="62">
        <f ca="1">AVERAGE(OFFSET($R$3,0,0,'Données projet'!$E$9+1,1))-AVERAGE(OFFSET($H$3,0,0,'Données projet'!$E$9+1,1))</f>
        <v>301.2688576786212</v>
      </c>
      <c r="T90" s="62">
        <f t="shared" si="88"/>
        <v>417.62172165132927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projet'!$B$9,Paramètres!$A$1:$I$88,7,0))</f>
        <v>0</v>
      </c>
      <c r="X90" s="17">
        <f>IF(ISNA(VLOOKUP(A90,'Données projet'!$A$35:$I$55,6,0)),0%,VLOOKUP(A90,'Données projet'!$A$35:$I$55,6,0)*VLOOKUP('Données projet'!$B$9,Paramètres!$A$1:$I$88,7,0))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72.473289841333411</v>
      </c>
      <c r="AA90" s="23">
        <f>EXP(-LN(2)/25)*AA89+(1-EXP(-LN(2)/25))/(LN(2)/25)*Calculateur!V90*Calculateur!X90*VLOOKUP('Données projet'!$B$9,Paramètres!$A$1:$I$88,3,0)*0.475*44/12</f>
        <v>17.834504373416941</v>
      </c>
      <c r="AB90" s="23">
        <f>EXP(-LN(2)/2)*AB89+(1-EXP(-LN(2)/2))/(LN(2)/2)*V90*Y90*VLOOKUP('Données projet'!$B$9,Paramètres!$A$1:$I$88,3,0)*0.475*44/12</f>
        <v>7.9445927086697337E-5</v>
      </c>
      <c r="AC90" s="24">
        <f t="shared" si="57"/>
        <v>90.30787366067743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projet'!$B$10,Paramètres!$A$1:$I$88,3,0)*VLOOKUP('Données projet'!$B$10,Paramètres!$A$1:$I$88,5,0)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170.08673939431091</v>
      </c>
      <c r="AO90" s="62">
        <f t="shared" si="90"/>
        <v>252.97355497077106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projet'!$B$10,Paramètres!$A$1:$I$88,3,0)*0.475*44/12</f>
        <v>30.259590219771226</v>
      </c>
      <c r="AV90" s="23">
        <f>EXP(-LN(2)/25)*AV89+(1-EXP(-LN(2)/25))/(LN(2)/25)*Calculateur!AQ90*Calculateur!AS90*VLOOKUP('Données projet'!$B$10,Paramètres!$A$1:$I$88,3,0)*0.475*44/12</f>
        <v>18.076222921305263</v>
      </c>
      <c r="AW90" s="23">
        <f>EXP(-LN(2)/2)*AW89+(1-EXP(-LN(2)/2))/(LN(2)/2)*AQ90*AT90*VLOOKUP('Données projet'!$B$10,Paramètres!$A$1:$I$88,3,0)*0.475*44/12</f>
        <v>1.0176384555145934E-4</v>
      </c>
      <c r="AX90" s="23">
        <f t="shared" si="60"/>
        <v>48.335914904922035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5.4</v>
      </c>
      <c r="BD90" s="13">
        <f>IF('Données projet'!$A$88&gt;35,BD89+BC90-BL89,IF(A90&lt;'Données projet'!$A$88,$BA$205^A90,IF(A90='Données projet'!$A$88,'Données projet'!$B$88,BD89+BC90-BL89)))</f>
        <v>258.7999999999999</v>
      </c>
      <c r="BE90" s="14">
        <f>BD90*VLOOKUP('Données projet'!$B$11,Paramètres!$A$1:$I$88,3,0)*VLOOKUP('Données projet'!$B$11,Paramètres!$A$1:$I$88,5,0)</f>
        <v>234.16223999999988</v>
      </c>
      <c r="BF90" s="14">
        <f t="shared" si="91"/>
        <v>57.181713578143047</v>
      </c>
      <c r="BG90" s="22">
        <f t="shared" si="61"/>
        <v>507.42405248193222</v>
      </c>
      <c r="BH90" s="62">
        <f t="shared" si="62"/>
        <v>780.75885505240706</v>
      </c>
      <c r="BI90" s="62">
        <f ca="1">AVERAGE(OFFSET($BH$3,0,0,'Données projet'!$E$11+1,1))-AVERAGE(OFFSET($H$3,0,0,'Données projet'!$E$11+1,1))</f>
        <v>362.63718589694594</v>
      </c>
      <c r="BJ90" s="62">
        <f t="shared" si="92"/>
        <v>250.47702091764884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projet'!$B$11,Paramètres!$A$1:$I$88,3,0)*0.475*44/12</f>
        <v>25.404167288223963</v>
      </c>
      <c r="BQ90" s="23">
        <f>EXP(-LN(2)/25)*BQ89+(1-EXP(-LN(2)/25))/(LN(2)/25)*Calculateur!BL90*Calculateur!BN90*VLOOKUP('Données projet'!$B$11,Paramètres!$A$1:$I$88,3,0)*0.475*44/12</f>
        <v>0</v>
      </c>
      <c r="BR90" s="23">
        <f>EXP(-LN(2)/2)*BR89+(1-EXP(-LN(2)/2))/(LN(2)/2)*BL90*BO90*VLOOKUP('Données projet'!$B$11,Paramètres!$A$1:$I$88,3,0)*0.475*44/12</f>
        <v>0</v>
      </c>
      <c r="BS90" s="24">
        <f t="shared" si="63"/>
        <v>25.404167288223963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5.4</v>
      </c>
      <c r="BY90" s="13">
        <f>IF('Données projet'!$A$114&gt;35,BY89+BX90-CG89,IF(A90&lt;'Données projet'!$A$114,$BV$205^A90,IF(A90='Données projet'!$A$114,'Données projet'!$B$114,BY89+BX90-CG89)))</f>
        <v>258.7999999999999</v>
      </c>
      <c r="BZ90" s="14">
        <f>BY90*VLOOKUP('Données projet'!$B$12,Paramètres!$A$1:$I$88,3,0)*VLOOKUP('Données projet'!$B$12,Paramètres!$A$1:$I$88,5,0)</f>
        <v>262.42319999999989</v>
      </c>
      <c r="CA90" s="14">
        <f t="shared" si="93"/>
        <v>63.238627062047733</v>
      </c>
      <c r="CB90" s="22">
        <f t="shared" si="64"/>
        <v>567.19434879973289</v>
      </c>
      <c r="CC90" s="62">
        <f t="shared" si="65"/>
        <v>840.52915137020773</v>
      </c>
      <c r="CD90" s="62">
        <f ca="1">AVERAGE(OFFSET($CC$3,0,0,'Données projet'!$E$12+1,1))-AVERAGE(OFFSET($H$3,0,0,'Données projet'!$E$12+1,1))</f>
        <v>398.14524781940196</v>
      </c>
      <c r="CE90" s="62">
        <f t="shared" si="94"/>
        <v>273.35778700650792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projet'!$B$12,Paramètres!$A$1:$I$88,3,0)*0.475*44/12</f>
        <v>28.470187478182023</v>
      </c>
      <c r="CL90" s="23">
        <f>EXP(-LN(2)/25)*CL89+(1-EXP(-LN(2)/25))/(LN(2)/25)*Calculateur!CG90*Calculateur!CI90*VLOOKUP('Données projet'!$B$12,Paramètres!$A$1:$I$88,3,0)*0.475*44/12</f>
        <v>0</v>
      </c>
      <c r="CM90" s="23">
        <f>EXP(-LN(2)/2)*CM89+(1-EXP(-LN(2)/2))/(LN(2)/2)*CG90*CJ90*VLOOKUP('Données projet'!$B$12,Paramètres!$A$1:$I$88,3,0)*0.475*44/12</f>
        <v>0</v>
      </c>
      <c r="CN90" s="24">
        <f t="shared" si="66"/>
        <v>28.470187478182023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6.6</v>
      </c>
      <c r="CT90" s="13">
        <f>IF('Données projet'!$A$140&gt;35,CT89+CS90-DB89,IF(A90&lt;'Données projet'!$A$140,$CQ$205^A90,IF(A90='Données projet'!$A$140,'Données projet'!$B$140,CT89+CS90-DB89)))</f>
        <v>357.19999999999993</v>
      </c>
      <c r="CU90" s="18">
        <f>CT90*VLOOKUP('Données projet'!$B$13,Paramètres!$A$1:$I$88,3,0)*VLOOKUP('Données projet'!$B$13,Paramètres!$A$1:$I$88,5,0)</f>
        <v>339.91151999999994</v>
      </c>
      <c r="CV90" s="14">
        <f t="shared" si="95"/>
        <v>79.481665616699658</v>
      </c>
      <c r="CW90" s="22">
        <f t="shared" si="67"/>
        <v>730.44313161575189</v>
      </c>
      <c r="CX90" s="62">
        <f t="shared" si="68"/>
        <v>1003.7779341862267</v>
      </c>
      <c r="CY90" s="62">
        <f ca="1">AVERAGE(OFFSET($CX$3,0,0,'Données projet'!$E$13+1,1))-AVERAGE(OFFSET($H$3,0,0,'Données projet'!$E$13+1,1))</f>
        <v>470.0521927195926</v>
      </c>
      <c r="CZ90" s="62">
        <f t="shared" si="96"/>
        <v>299.27200854723435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projet'!$B$13,Paramètres!$A$1:$I$88,3,0)*0.475*44/12</f>
        <v>26.718175941063127</v>
      </c>
      <c r="DG90" s="23">
        <f>EXP(-LN(2)/25)*DG89+(1-EXP(-LN(2)/25))/(LN(2)/25)*Calculateur!DB90*Calculateur!DD90*VLOOKUP('Données projet'!$B$13,Paramètres!$A$1:$I$88,3,0)*0.475*44/12</f>
        <v>0</v>
      </c>
      <c r="DH90" s="23">
        <f>EXP(-LN(2)/2)*DH89+(1-EXP(-LN(2)/2))/(LN(2)/2)*DB90*DE90*VLOOKUP('Données projet'!$B$13,Paramètres!$A$1:$I$88,3,0)*0.475*44/12</f>
        <v>0</v>
      </c>
      <c r="DI90" s="24">
        <f t="shared" si="69"/>
        <v>26.718175941063127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5.2</v>
      </c>
      <c r="DO90" s="13">
        <f>IF('Données projet'!$A$166&gt;35,DO89+DN90-DW89,IF(A90&lt;'Données projet'!$A$166,$DL$205^A90,IF(A90='Données projet'!$A$166,'Données projet'!$B$166,DO89+DN90-DW89)))</f>
        <v>196.39999999999998</v>
      </c>
      <c r="DP90" s="18">
        <f>DO90*VLOOKUP('Données projet'!$B$14,Paramètres!$A$1:$I$88,3,0)*VLOOKUP('Données projet'!$B$14,Paramètres!$A$1:$I$88,5,0)</f>
        <v>189.95808</v>
      </c>
      <c r="DQ90" s="14">
        <f t="shared" si="97"/>
        <v>47.530684815400313</v>
      </c>
      <c r="DR90" s="22">
        <f t="shared" si="70"/>
        <v>413.62626538682224</v>
      </c>
      <c r="DS90" s="62">
        <f t="shared" si="71"/>
        <v>686.96106795729702</v>
      </c>
      <c r="DT90" s="62">
        <f ca="1">AVERAGE(OFFSET($DS$3,0,0,'Données projet'!$E$14+1,1))-AVERAGE(OFFSET($H$3,0,0,'Données projet'!$E$14+1,1))</f>
        <v>290.89727102147953</v>
      </c>
      <c r="DU90" s="62">
        <f t="shared" si="98"/>
        <v>173.19148969173838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projet'!$B$14,Paramètres!$A$1:$I$88,3,0)*0.475*44/12</f>
        <v>18.104119216895239</v>
      </c>
      <c r="EB90" s="23">
        <f>EXP(-LN(2)/25)*EB89+(1-EXP(-LN(2)/25))/(LN(2)/25)*Calculateur!DW90*Calculateur!DY90*VLOOKUP('Données projet'!$B$14,Paramètres!$A$1:$I$88,3,0)*0.475*44/12</f>
        <v>0</v>
      </c>
      <c r="EC90" s="23">
        <f>EXP(-LN(2)/2)*EC89+(1-EXP(-LN(2)/2))/(LN(2)/2)*DW90*DZ90*VLOOKUP('Données projet'!$B$14,Paramètres!$A$1:$I$88,3,0)*0.475*44/12</f>
        <v>0</v>
      </c>
      <c r="ED90" s="24">
        <f t="shared" si="72"/>
        <v>18.104119216895239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projet'!$B$15,Paramètres!$A$1:$I$88,3,0)*VLOOKUP('Données projet'!$B$15,Paramètres!$A$1:$I$88,5,0)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projet'!$B$15,Paramètres!$A$1:$I$88,3,0)*0.475*44/12</f>
        <v>#N/A</v>
      </c>
      <c r="EW90" s="23" t="e">
        <f>EXP(-LN(2)/25)*EW89+(1-EXP(-LN(2)/25))/(LN(2)/25)*Calculateur!ER90*Calculateur!ET90*VLOOKUP('Données projet'!$B$15,Paramètres!$A$1:$I$88,3,0)*0.475*44/12</f>
        <v>#N/A</v>
      </c>
      <c r="EX90" s="23" t="e">
        <f>EXP(-LN(2)/2)*EX89+(1-EXP(-LN(2)/2))/(LN(2)/2)*ER90*EU90*VLOOKUP('Données projet'!$B$15,Paramètres!$A$1:$I$88,3,0)*0.475*44/12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projet'!$B$16,Paramètres!$A$1:$I$88,3,0)*VLOOKUP('Données projet'!$B$16,Paramètres!$A$1:$I$88,5,0)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projet'!$B$16,Paramètres!$A$1:$I$88,3,0)*0.475*44/12</f>
        <v>#N/A</v>
      </c>
      <c r="FR90" s="23" t="e">
        <f>EXP(-LN(2)/25)*FR89+(1-EXP(-LN(2)/25))/(LN(2)/25)*Calculateur!FM90*Calculateur!FO90*VLOOKUP('Données projet'!$B$16,Paramètres!$A$1:$I$88,3,0)*0.475*44/12</f>
        <v>#N/A</v>
      </c>
      <c r="FS90" s="23" t="e">
        <f>EXP(-LN(2)/2)*FS89+(1-EXP(-LN(2)/2))/(LN(2)/2)*FM90*FP90*VLOOKUP('Données projet'!$B$16,Paramètres!$A$1:$I$88,3,0)*0.475*44/12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projet'!$B$17,Paramètres!$A$1:$I$88,3,0)*VLOOKUP('Données projet'!$B$17,Paramètres!$A$1:$I$88,5,0)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projet'!$B$17,Paramètres!$A$1:$I$88,3,0)*0.475*44/12</f>
        <v>#N/A</v>
      </c>
      <c r="GM90" s="23" t="e">
        <f>EXP(-LN(2)/25)*GM89+(1-EXP(-LN(2)/25))/(LN(2)/25)*Calculateur!GH90*Calculateur!GJ90*VLOOKUP('Données projet'!$B$17,Paramètres!$A$1:$I$88,3,0)*0.475*44/12</f>
        <v>#N/A</v>
      </c>
      <c r="GN90" s="23" t="e">
        <f>EXP(-LN(2)/2)*GN89+(1-EXP(-LN(2)/2))/(LN(2)/2)*GH90*GK90*VLOOKUP('Données projet'!$B$17,Paramètres!$A$1:$I$88,3,0)*0.475*44/12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projet'!$B$18,Paramètres!$A$1:$I$88,3,0)*VLOOKUP('Données projet'!$B$18,Paramètres!$A$1:$I$88,5,0)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projet'!$B$18,Paramètres!$A$1:$I$88,3,0)*0.475*44/12</f>
        <v>#N/A</v>
      </c>
      <c r="HH90" s="23" t="e">
        <f>EXP(-LN(2)/25)*HH89+(1-EXP(-LN(2)/25))/(LN(2)/25)*Calculateur!HC90*Calculateur!HE90*VLOOKUP('Données projet'!$B$18,Paramètres!$A$1:$I$88,3,0)*0.475*44/12</f>
        <v>#N/A</v>
      </c>
      <c r="HI90" s="23" t="e">
        <f>EXP(-LN(2)/2)*HI89+(1-EXP(-LN(2)/2))/(LN(2)/2)*HC90*HF90*VLOOKUP('Données projet'!$B$18,Paramètres!$A$1:$I$88,3,0)*0.475*44/12</f>
        <v>#N/A</v>
      </c>
      <c r="HJ90" s="24" t="e">
        <f t="shared" si="84"/>
        <v>#N/A</v>
      </c>
    </row>
    <row r="91" spans="1:218" s="5" customFormat="1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projet'!$B$9,Paramètres!$A$1:$I$88,3,0)*VLOOKUP('Données projet'!$B$9,Paramètres!$A$1:$I$88,5,0)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273.68173236919478</v>
      </c>
      <c r="S91" s="62">
        <f ca="1">AVERAGE(OFFSET($R$3,0,0,'Données projet'!$E$9+1,1))-AVERAGE(OFFSET($H$3,0,0,'Données projet'!$E$9+1,1))</f>
        <v>301.2688576786212</v>
      </c>
      <c r="T91" s="62">
        <f t="shared" si="88"/>
        <v>417.62172165132927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71.052132831886851</v>
      </c>
      <c r="AA91" s="23">
        <f>EXP(-LN(2)/25)*AA90+(1-EXP(-LN(2)/25))/(LN(2)/25)*Calculateur!V91*Calculateur!X91*VLOOKUP('Données projet'!$B$9,Paramètres!$A$1:$I$88,3,0)*0.475*44/12</f>
        <v>17.346818913450029</v>
      </c>
      <c r="AB91" s="23">
        <f>EXP(-LN(2)/2)*AB90+(1-EXP(-LN(2)/2))/(LN(2)/2)*V91*Y91*VLOOKUP('Données projet'!$B$9,Paramètres!$A$1:$I$88,3,0)*0.475*44/12</f>
        <v>5.6176753780655704E-5</v>
      </c>
      <c r="AC91" s="24">
        <f t="shared" si="57"/>
        <v>88.399007922090675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projet'!$B$10,Paramètres!$A$1:$I$88,3,0)*VLOOKUP('Données projet'!$B$10,Paramètres!$A$1:$I$88,5,0)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170.08673939431091</v>
      </c>
      <c r="AO91" s="62">
        <f t="shared" si="90"/>
        <v>252.97355497077106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projet'!$B$10,Paramètres!$A$1:$I$88,3,0)*0.475*44/12</f>
        <v>29.666218112089116</v>
      </c>
      <c r="AV91" s="23">
        <f>EXP(-LN(2)/25)*AV90+(1-EXP(-LN(2)/25))/(LN(2)/25)*Calculateur!AQ91*Calculateur!AS91*VLOOKUP('Données projet'!$B$10,Paramètres!$A$1:$I$88,3,0)*0.475*44/12</f>
        <v>17.581927654934919</v>
      </c>
      <c r="AW91" s="23">
        <f>EXP(-LN(2)/2)*AW90+(1-EXP(-LN(2)/2))/(LN(2)/2)*AQ91*AT91*VLOOKUP('Données projet'!$B$10,Paramètres!$A$1:$I$88,3,0)*0.475*44/12</f>
        <v>7.1957905269057378E-5</v>
      </c>
      <c r="AX91" s="23">
        <f t="shared" si="60"/>
        <v>47.248217724929304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5.4</v>
      </c>
      <c r="BD91" s="13">
        <f>IF('Données projet'!$A$88&gt;35,BD90+BC91-BL90,IF(A91&lt;'Données projet'!$A$88,$BA$205^A91,IF(A91='Données projet'!$A$88,'Données projet'!$B$88,BD90+BC91-BL90)))</f>
        <v>264.19999999999987</v>
      </c>
      <c r="BE91" s="14">
        <f>BD91*VLOOKUP('Données projet'!$B$11,Paramètres!$A$1:$I$88,3,0)*VLOOKUP('Données projet'!$B$11,Paramètres!$A$1:$I$88,5,0)</f>
        <v>239.04815999999985</v>
      </c>
      <c r="BF91" s="14">
        <f t="shared" si="91"/>
        <v>58.234690128947292</v>
      </c>
      <c r="BG91" s="22">
        <f t="shared" si="61"/>
        <v>517.76763064124964</v>
      </c>
      <c r="BH91" s="62">
        <f t="shared" si="62"/>
        <v>791.44936301044334</v>
      </c>
      <c r="BI91" s="62">
        <f ca="1">AVERAGE(OFFSET($BH$3,0,0,'Données projet'!$E$11+1,1))-AVERAGE(OFFSET($H$3,0,0,'Données projet'!$E$11+1,1))</f>
        <v>362.63718589694594</v>
      </c>
      <c r="BJ91" s="62">
        <f t="shared" si="92"/>
        <v>250.47702091764884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projet'!$B$11,Paramètres!$A$1:$I$88,3,0)*0.475*44/12</f>
        <v>24.906007062713932</v>
      </c>
      <c r="BQ91" s="23">
        <f>EXP(-LN(2)/25)*BQ90+(1-EXP(-LN(2)/25))/(LN(2)/25)*Calculateur!BL91*Calculateur!BN91*VLOOKUP('Données projet'!$B$11,Paramètres!$A$1:$I$88,3,0)*0.475*44/12</f>
        <v>0</v>
      </c>
      <c r="BR91" s="23">
        <f>EXP(-LN(2)/2)*BR90+(1-EXP(-LN(2)/2))/(LN(2)/2)*BL91*BO91*VLOOKUP('Données projet'!$B$11,Paramètres!$A$1:$I$88,3,0)*0.475*44/12</f>
        <v>0</v>
      </c>
      <c r="BS91" s="24">
        <f t="shared" si="63"/>
        <v>24.906007062713932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5.4</v>
      </c>
      <c r="BY91" s="13">
        <f>IF('Données projet'!$A$114&gt;35,BY90+BX91-CG90,IF(A91&lt;'Données projet'!$A$114,$BV$205^A91,IF(A91='Données projet'!$A$114,'Données projet'!$B$114,BY90+BX91-CG90)))</f>
        <v>264.19999999999987</v>
      </c>
      <c r="BZ91" s="14">
        <f>BY91*VLOOKUP('Données projet'!$B$12,Paramètres!$A$1:$I$88,3,0)*VLOOKUP('Données projet'!$B$12,Paramètres!$A$1:$I$88,5,0)</f>
        <v>267.89879999999988</v>
      </c>
      <c r="CA91" s="14">
        <f t="shared" si="93"/>
        <v>64.403139057834508</v>
      </c>
      <c r="CB91" s="22">
        <f t="shared" si="64"/>
        <v>578.75921052572812</v>
      </c>
      <c r="CC91" s="62">
        <f t="shared" si="65"/>
        <v>852.44094289492182</v>
      </c>
      <c r="CD91" s="62">
        <f ca="1">AVERAGE(OFFSET($CC$3,0,0,'Données projet'!$E$12+1,1))-AVERAGE(OFFSET($H$3,0,0,'Données projet'!$E$12+1,1))</f>
        <v>398.14524781940196</v>
      </c>
      <c r="CE91" s="62">
        <f t="shared" si="94"/>
        <v>273.35778700650792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projet'!$B$12,Paramètres!$A$1:$I$88,3,0)*0.475*44/12</f>
        <v>27.911904466834574</v>
      </c>
      <c r="CL91" s="23">
        <f>EXP(-LN(2)/25)*CL90+(1-EXP(-LN(2)/25))/(LN(2)/25)*Calculateur!CG91*Calculateur!CI91*VLOOKUP('Données projet'!$B$12,Paramètres!$A$1:$I$88,3,0)*0.475*44/12</f>
        <v>0</v>
      </c>
      <c r="CM91" s="23">
        <f>EXP(-LN(2)/2)*CM90+(1-EXP(-LN(2)/2))/(LN(2)/2)*CG91*CJ91*VLOOKUP('Données projet'!$B$12,Paramètres!$A$1:$I$88,3,0)*0.475*44/12</f>
        <v>0</v>
      </c>
      <c r="CN91" s="24">
        <f t="shared" si="66"/>
        <v>27.911904466834574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6.6</v>
      </c>
      <c r="CT91" s="13">
        <f>IF('Données projet'!$A$140&gt;35,CT90+CS91-DB90,IF(A91&lt;'Données projet'!$A$140,$CQ$205^A91,IF(A91='Données projet'!$A$140,'Données projet'!$B$140,CT90+CS91-DB90)))</f>
        <v>363.79999999999995</v>
      </c>
      <c r="CU91" s="18">
        <f>CT91*VLOOKUP('Données projet'!$B$13,Paramètres!$A$1:$I$88,3,0)*VLOOKUP('Données projet'!$B$13,Paramètres!$A$1:$I$88,5,0)</f>
        <v>346.19207999999998</v>
      </c>
      <c r="CV91" s="14">
        <f t="shared" si="95"/>
        <v>80.777922452976469</v>
      </c>
      <c r="CW91" s="22">
        <f t="shared" si="67"/>
        <v>743.63942093893399</v>
      </c>
      <c r="CX91" s="62">
        <f t="shared" si="68"/>
        <v>1017.3211533081277</v>
      </c>
      <c r="CY91" s="62">
        <f ca="1">AVERAGE(OFFSET($CX$3,0,0,'Données projet'!$E$13+1,1))-AVERAGE(OFFSET($H$3,0,0,'Données projet'!$E$13+1,1))</f>
        <v>470.0521927195926</v>
      </c>
      <c r="CZ91" s="62">
        <f t="shared" si="96"/>
        <v>299.27200854723435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projet'!$B$13,Paramètres!$A$1:$I$88,3,0)*0.475*44/12</f>
        <v>26.194248807337058</v>
      </c>
      <c r="DG91" s="23">
        <f>EXP(-LN(2)/25)*DG90+(1-EXP(-LN(2)/25))/(LN(2)/25)*Calculateur!DB91*Calculateur!DD91*VLOOKUP('Données projet'!$B$13,Paramètres!$A$1:$I$88,3,0)*0.475*44/12</f>
        <v>0</v>
      </c>
      <c r="DH91" s="23">
        <f>EXP(-LN(2)/2)*DH90+(1-EXP(-LN(2)/2))/(LN(2)/2)*DB91*DE91*VLOOKUP('Données projet'!$B$13,Paramètres!$A$1:$I$88,3,0)*0.475*44/12</f>
        <v>0</v>
      </c>
      <c r="DI91" s="24">
        <f t="shared" si="69"/>
        <v>26.194248807337058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5.2</v>
      </c>
      <c r="DO91" s="13">
        <f>IF('Données projet'!$A$166&gt;35,DO90+DN91-DW90,IF(A91&lt;'Données projet'!$A$166,$DL$205^A91,IF(A91='Données projet'!$A$166,'Données projet'!$B$166,DO90+DN91-DW90)))</f>
        <v>201.59999999999997</v>
      </c>
      <c r="DP91" s="18">
        <f>DO91*VLOOKUP('Données projet'!$B$14,Paramètres!$A$1:$I$88,3,0)*VLOOKUP('Données projet'!$B$14,Paramètres!$A$1:$I$88,5,0)</f>
        <v>194.98751999999996</v>
      </c>
      <c r="DQ91" s="14">
        <f t="shared" si="97"/>
        <v>48.640954330020342</v>
      </c>
      <c r="DR91" s="22">
        <f t="shared" si="70"/>
        <v>424.31959279145207</v>
      </c>
      <c r="DS91" s="62">
        <f t="shared" si="71"/>
        <v>698.00132516064582</v>
      </c>
      <c r="DT91" s="62">
        <f ca="1">AVERAGE(OFFSET($DS$3,0,0,'Données projet'!$E$14+1,1))-AVERAGE(OFFSET($H$3,0,0,'Données projet'!$E$14+1,1))</f>
        <v>290.89727102147953</v>
      </c>
      <c r="DU91" s="62">
        <f t="shared" si="98"/>
        <v>173.19148969173838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projet'!$B$14,Paramètres!$A$1:$I$88,3,0)*0.475*44/12</f>
        <v>17.749108481474298</v>
      </c>
      <c r="EB91" s="23">
        <f>EXP(-LN(2)/25)*EB90+(1-EXP(-LN(2)/25))/(LN(2)/25)*Calculateur!DW91*Calculateur!DY91*VLOOKUP('Données projet'!$B$14,Paramètres!$A$1:$I$88,3,0)*0.475*44/12</f>
        <v>0</v>
      </c>
      <c r="EC91" s="23">
        <f>EXP(-LN(2)/2)*EC90+(1-EXP(-LN(2)/2))/(LN(2)/2)*DW91*DZ91*VLOOKUP('Données projet'!$B$14,Paramètres!$A$1:$I$88,3,0)*0.475*44/12</f>
        <v>0</v>
      </c>
      <c r="ED91" s="24">
        <f t="shared" si="72"/>
        <v>17.749108481474298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projet'!$B$15,Paramètres!$A$1:$I$88,3,0)*VLOOKUP('Données projet'!$B$15,Paramètres!$A$1:$I$88,5,0)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projet'!$B$15,Paramètres!$A$1:$I$88,3,0)*0.475*44/12</f>
        <v>#N/A</v>
      </c>
      <c r="EW91" s="23" t="e">
        <f>EXP(-LN(2)/25)*EW90+(1-EXP(-LN(2)/25))/(LN(2)/25)*Calculateur!ER91*Calculateur!ET91*VLOOKUP('Données projet'!$B$15,Paramètres!$A$1:$I$88,3,0)*0.475*44/12</f>
        <v>#N/A</v>
      </c>
      <c r="EX91" s="23" t="e">
        <f>EXP(-LN(2)/2)*EX90+(1-EXP(-LN(2)/2))/(LN(2)/2)*ER91*EU91*VLOOKUP('Données projet'!$B$15,Paramètres!$A$1:$I$88,3,0)*0.475*44/12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projet'!$B$16,Paramètres!$A$1:$I$88,3,0)*VLOOKUP('Données projet'!$B$16,Paramètres!$A$1:$I$88,5,0)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projet'!$B$16,Paramètres!$A$1:$I$88,3,0)*0.475*44/12</f>
        <v>#N/A</v>
      </c>
      <c r="FR91" s="23" t="e">
        <f>EXP(-LN(2)/25)*FR90+(1-EXP(-LN(2)/25))/(LN(2)/25)*Calculateur!FM91*Calculateur!FO91*VLOOKUP('Données projet'!$B$16,Paramètres!$A$1:$I$88,3,0)*0.475*44/12</f>
        <v>#N/A</v>
      </c>
      <c r="FS91" s="23" t="e">
        <f>EXP(-LN(2)/2)*FS90+(1-EXP(-LN(2)/2))/(LN(2)/2)*FM91*FP91*VLOOKUP('Données projet'!$B$16,Paramètres!$A$1:$I$88,3,0)*0.475*44/12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projet'!$B$17,Paramètres!$A$1:$I$88,3,0)*VLOOKUP('Données projet'!$B$17,Paramètres!$A$1:$I$88,5,0)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projet'!$B$17,Paramètres!$A$1:$I$88,3,0)*0.475*44/12</f>
        <v>#N/A</v>
      </c>
      <c r="GM91" s="23" t="e">
        <f>EXP(-LN(2)/25)*GM90+(1-EXP(-LN(2)/25))/(LN(2)/25)*Calculateur!GH91*Calculateur!GJ91*VLOOKUP('Données projet'!$B$17,Paramètres!$A$1:$I$88,3,0)*0.475*44/12</f>
        <v>#N/A</v>
      </c>
      <c r="GN91" s="23" t="e">
        <f>EXP(-LN(2)/2)*GN90+(1-EXP(-LN(2)/2))/(LN(2)/2)*GH91*GK91*VLOOKUP('Données projet'!$B$17,Paramètres!$A$1:$I$88,3,0)*0.475*44/12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projet'!$B$18,Paramètres!$A$1:$I$88,3,0)*VLOOKUP('Données projet'!$B$18,Paramètres!$A$1:$I$88,5,0)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projet'!$B$18,Paramètres!$A$1:$I$88,3,0)*0.475*44/12</f>
        <v>#N/A</v>
      </c>
      <c r="HH91" s="23" t="e">
        <f>EXP(-LN(2)/25)*HH90+(1-EXP(-LN(2)/25))/(LN(2)/25)*Calculateur!HC91*Calculateur!HE91*VLOOKUP('Données projet'!$B$18,Paramètres!$A$1:$I$88,3,0)*0.475*44/12</f>
        <v>#N/A</v>
      </c>
      <c r="HI91" s="23" t="e">
        <f>EXP(-LN(2)/2)*HI90+(1-EXP(-LN(2)/2))/(LN(2)/2)*HC91*HF91*VLOOKUP('Données projet'!$B$18,Paramètres!$A$1:$I$88,3,0)*0.475*44/12</f>
        <v>#N/A</v>
      </c>
      <c r="HJ91" s="24" t="e">
        <f t="shared" si="84"/>
        <v>#N/A</v>
      </c>
    </row>
    <row r="92" spans="1:218" s="5" customFormat="1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projet'!$B$9,Paramètres!$A$1:$I$88,3,0)*VLOOKUP('Données projet'!$B$9,Paramètres!$A$1:$I$88,5,0)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274.02264371152467</v>
      </c>
      <c r="S92" s="62">
        <f ca="1">AVERAGE(OFFSET($R$3,0,0,'Données projet'!$E$9+1,1))-AVERAGE(OFFSET($H$3,0,0,'Données projet'!$E$9+1,1))</f>
        <v>301.2688576786212</v>
      </c>
      <c r="T92" s="62">
        <f t="shared" si="88"/>
        <v>417.62172165132927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69.658843844575358</v>
      </c>
      <c r="AA92" s="23">
        <f>EXP(-LN(2)/25)*AA91+(1-EXP(-LN(2)/25))/(LN(2)/25)*Calculateur!V92*Calculateur!X92*VLOOKUP('Données projet'!$B$9,Paramètres!$A$1:$I$88,3,0)*0.475*44/12</f>
        <v>16.872469238032178</v>
      </c>
      <c r="AB92" s="23">
        <f>EXP(-LN(2)/2)*AB91+(1-EXP(-LN(2)/2))/(LN(2)/2)*V92*Y92*VLOOKUP('Données projet'!$B$9,Paramètres!$A$1:$I$88,3,0)*0.475*44/12</f>
        <v>3.9722963543348669E-5</v>
      </c>
      <c r="AC92" s="24">
        <f t="shared" si="57"/>
        <v>86.531352805571089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projet'!$B$10,Paramètres!$A$1:$I$88,3,0)*VLOOKUP('Données projet'!$B$10,Paramètres!$A$1:$I$88,5,0)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170.08673939431091</v>
      </c>
      <c r="AO92" s="62">
        <f t="shared" si="90"/>
        <v>252.97355497077106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projet'!$B$10,Paramètres!$A$1:$I$88,3,0)*0.475*44/12</f>
        <v>29.084481669517402</v>
      </c>
      <c r="AV92" s="23">
        <f>EXP(-LN(2)/25)*AV91+(1-EXP(-LN(2)/25))/(LN(2)/25)*Calculateur!AQ92*Calculateur!AS92*VLOOKUP('Données projet'!$B$10,Paramètres!$A$1:$I$88,3,0)*0.475*44/12</f>
        <v>17.101148918617334</v>
      </c>
      <c r="AW92" s="23">
        <f>EXP(-LN(2)/2)*AW91+(1-EXP(-LN(2)/2))/(LN(2)/2)*AQ92*AT92*VLOOKUP('Données projet'!$B$10,Paramètres!$A$1:$I$88,3,0)*0.475*44/12</f>
        <v>5.0881922775729671E-5</v>
      </c>
      <c r="AX92" s="23">
        <f t="shared" si="60"/>
        <v>46.18568147005751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5.4</v>
      </c>
      <c r="BD92" s="13">
        <f>IF('Données projet'!$A$88&gt;35,BD91+BC92-BL91,IF(A92&lt;'Données projet'!$A$88,$BA$205^A92,IF(A92='Données projet'!$A$88,'Données projet'!$B$88,BD91+BC92-BL91)))</f>
        <v>269.59999999999985</v>
      </c>
      <c r="BE92" s="14">
        <f>BD92*VLOOKUP('Données projet'!$B$11,Paramètres!$A$1:$I$88,3,0)*VLOOKUP('Données projet'!$B$11,Paramètres!$A$1:$I$88,5,0)</f>
        <v>243.93407999999988</v>
      </c>
      <c r="BF92" s="14">
        <f t="shared" si="91"/>
        <v>59.285164329617594</v>
      </c>
      <c r="BG92" s="22">
        <f t="shared" si="61"/>
        <v>528.10685054075043</v>
      </c>
      <c r="BH92" s="62">
        <f t="shared" si="62"/>
        <v>802.12949425227407</v>
      </c>
      <c r="BI92" s="62">
        <f ca="1">AVERAGE(OFFSET($BH$3,0,0,'Données projet'!$E$11+1,1))-AVERAGE(OFFSET($H$3,0,0,'Données projet'!$E$11+1,1))</f>
        <v>362.63718589694594</v>
      </c>
      <c r="BJ92" s="62">
        <f t="shared" si="92"/>
        <v>250.47702091764884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projet'!$B$11,Paramètres!$A$1:$I$88,3,0)*0.475*44/12</f>
        <v>24.417615455378417</v>
      </c>
      <c r="BQ92" s="23">
        <f>EXP(-LN(2)/25)*BQ91+(1-EXP(-LN(2)/25))/(LN(2)/25)*Calculateur!BL92*Calculateur!BN92*VLOOKUP('Données projet'!$B$11,Paramètres!$A$1:$I$88,3,0)*0.475*44/12</f>
        <v>0</v>
      </c>
      <c r="BR92" s="23">
        <f>EXP(-LN(2)/2)*BR91+(1-EXP(-LN(2)/2))/(LN(2)/2)*BL92*BO92*VLOOKUP('Données projet'!$B$11,Paramètres!$A$1:$I$88,3,0)*0.475*44/12</f>
        <v>0</v>
      </c>
      <c r="BS92" s="24">
        <f t="shared" si="63"/>
        <v>24.417615455378417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5.4</v>
      </c>
      <c r="BY92" s="13">
        <f>IF('Données projet'!$A$114&gt;35,BY91+BX92-CG91,IF(A92&lt;'Données projet'!$A$114,$BV$205^A92,IF(A92='Données projet'!$A$114,'Données projet'!$B$114,BY91+BX92-CG91)))</f>
        <v>269.59999999999985</v>
      </c>
      <c r="BZ92" s="14">
        <f>BY92*VLOOKUP('Données projet'!$B$12,Paramètres!$A$1:$I$88,3,0)*VLOOKUP('Données projet'!$B$12,Paramètres!$A$1:$I$88,5,0)</f>
        <v>273.37439999999987</v>
      </c>
      <c r="CA92" s="14">
        <f t="shared" si="93"/>
        <v>65.564883644654373</v>
      </c>
      <c r="CB92" s="22">
        <f t="shared" si="64"/>
        <v>590.3192523477727</v>
      </c>
      <c r="CC92" s="62">
        <f t="shared" si="65"/>
        <v>864.34189605929623</v>
      </c>
      <c r="CD92" s="62">
        <f ca="1">AVERAGE(OFFSET($CC$3,0,0,'Données projet'!$E$12+1,1))-AVERAGE(OFFSET($H$3,0,0,'Données projet'!$E$12+1,1))</f>
        <v>398.14524781940196</v>
      </c>
      <c r="CE92" s="62">
        <f t="shared" si="94"/>
        <v>273.35778700650792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projet'!$B$12,Paramètres!$A$1:$I$88,3,0)*0.475*44/12</f>
        <v>27.364569044820634</v>
      </c>
      <c r="CL92" s="23">
        <f>EXP(-LN(2)/25)*CL91+(1-EXP(-LN(2)/25))/(LN(2)/25)*Calculateur!CG92*Calculateur!CI92*VLOOKUP('Données projet'!$B$12,Paramètres!$A$1:$I$88,3,0)*0.475*44/12</f>
        <v>0</v>
      </c>
      <c r="CM92" s="23">
        <f>EXP(-LN(2)/2)*CM91+(1-EXP(-LN(2)/2))/(LN(2)/2)*CG92*CJ92*VLOOKUP('Données projet'!$B$12,Paramètres!$A$1:$I$88,3,0)*0.475*44/12</f>
        <v>0</v>
      </c>
      <c r="CN92" s="24">
        <f t="shared" si="66"/>
        <v>27.364569044820634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6.6</v>
      </c>
      <c r="CT92" s="13">
        <f>IF('Données projet'!$A$140&gt;35,CT91+CS92-DB91,IF(A92&lt;'Données projet'!$A$140,$CQ$205^A92,IF(A92='Données projet'!$A$140,'Données projet'!$B$140,CT91+CS92-DB91)))</f>
        <v>370.4</v>
      </c>
      <c r="CU92" s="18">
        <f>CT92*VLOOKUP('Données projet'!$B$13,Paramètres!$A$1:$I$88,3,0)*VLOOKUP('Données projet'!$B$13,Paramètres!$A$1:$I$88,5,0)</f>
        <v>352.47264000000001</v>
      </c>
      <c r="CV92" s="14">
        <f t="shared" si="95"/>
        <v>82.071444700676679</v>
      </c>
      <c r="CW92" s="22">
        <f t="shared" si="67"/>
        <v>756.83094752034515</v>
      </c>
      <c r="CX92" s="62">
        <f t="shared" si="68"/>
        <v>1030.8535912318687</v>
      </c>
      <c r="CY92" s="62">
        <f ca="1">AVERAGE(OFFSET($CX$3,0,0,'Données projet'!$E$13+1,1))-AVERAGE(OFFSET($H$3,0,0,'Données projet'!$E$13+1,1))</f>
        <v>470.0521927195926</v>
      </c>
      <c r="CZ92" s="62">
        <f t="shared" si="96"/>
        <v>299.27200854723435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projet'!$B$13,Paramètres!$A$1:$I$88,3,0)*0.475*44/12</f>
        <v>25.68059556513936</v>
      </c>
      <c r="DG92" s="23">
        <f>EXP(-LN(2)/25)*DG91+(1-EXP(-LN(2)/25))/(LN(2)/25)*Calculateur!DB92*Calculateur!DD92*VLOOKUP('Données projet'!$B$13,Paramètres!$A$1:$I$88,3,0)*0.475*44/12</f>
        <v>0</v>
      </c>
      <c r="DH92" s="23">
        <f>EXP(-LN(2)/2)*DH91+(1-EXP(-LN(2)/2))/(LN(2)/2)*DB92*DE92*VLOOKUP('Données projet'!$B$13,Paramètres!$A$1:$I$88,3,0)*0.475*44/12</f>
        <v>0</v>
      </c>
      <c r="DI92" s="24">
        <f t="shared" si="69"/>
        <v>25.68059556513936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5.2</v>
      </c>
      <c r="DO92" s="13">
        <f>IF('Données projet'!$A$166&gt;35,DO91+DN92-DW91,IF(A92&lt;'Données projet'!$A$166,$DL$205^A92,IF(A92='Données projet'!$A$166,'Données projet'!$B$166,DO91+DN92-DW91)))</f>
        <v>206.79999999999995</v>
      </c>
      <c r="DP92" s="18">
        <f>DO92*VLOOKUP('Données projet'!$B$14,Paramètres!$A$1:$I$88,3,0)*VLOOKUP('Données projet'!$B$14,Paramètres!$A$1:$I$88,5,0)</f>
        <v>200.01695999999998</v>
      </c>
      <c r="DQ92" s="14">
        <f t="shared" si="97"/>
        <v>49.747895001660083</v>
      </c>
      <c r="DR92" s="22">
        <f t="shared" si="70"/>
        <v>435.00712246122458</v>
      </c>
      <c r="DS92" s="62">
        <f t="shared" si="71"/>
        <v>709.02976617274817</v>
      </c>
      <c r="DT92" s="62">
        <f ca="1">AVERAGE(OFFSET($DS$3,0,0,'Données projet'!$E$14+1,1))-AVERAGE(OFFSET($H$3,0,0,'Données projet'!$E$14+1,1))</f>
        <v>290.89727102147953</v>
      </c>
      <c r="DU92" s="62">
        <f t="shared" si="98"/>
        <v>173.19148969173838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projet'!$B$14,Paramètres!$A$1:$I$88,3,0)*0.475*44/12</f>
        <v>17.401059290039793</v>
      </c>
      <c r="EB92" s="23">
        <f>EXP(-LN(2)/25)*EB91+(1-EXP(-LN(2)/25))/(LN(2)/25)*Calculateur!DW92*Calculateur!DY92*VLOOKUP('Données projet'!$B$14,Paramètres!$A$1:$I$88,3,0)*0.475*44/12</f>
        <v>0</v>
      </c>
      <c r="EC92" s="23">
        <f>EXP(-LN(2)/2)*EC91+(1-EXP(-LN(2)/2))/(LN(2)/2)*DW92*DZ92*VLOOKUP('Données projet'!$B$14,Paramètres!$A$1:$I$88,3,0)*0.475*44/12</f>
        <v>0</v>
      </c>
      <c r="ED92" s="24">
        <f t="shared" si="72"/>
        <v>17.401059290039793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projet'!$B$15,Paramètres!$A$1:$I$88,3,0)*VLOOKUP('Données projet'!$B$15,Paramètres!$A$1:$I$88,5,0)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projet'!$B$15,Paramètres!$A$1:$I$88,3,0)*0.475*44/12</f>
        <v>#N/A</v>
      </c>
      <c r="EW92" s="23" t="e">
        <f>EXP(-LN(2)/25)*EW91+(1-EXP(-LN(2)/25))/(LN(2)/25)*Calculateur!ER92*Calculateur!ET92*VLOOKUP('Données projet'!$B$15,Paramètres!$A$1:$I$88,3,0)*0.475*44/12</f>
        <v>#N/A</v>
      </c>
      <c r="EX92" s="23" t="e">
        <f>EXP(-LN(2)/2)*EX91+(1-EXP(-LN(2)/2))/(LN(2)/2)*ER92*EU92*VLOOKUP('Données projet'!$B$15,Paramètres!$A$1:$I$88,3,0)*0.475*44/12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projet'!$B$16,Paramètres!$A$1:$I$88,3,0)*VLOOKUP('Données projet'!$B$16,Paramètres!$A$1:$I$88,5,0)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projet'!$B$16,Paramètres!$A$1:$I$88,3,0)*0.475*44/12</f>
        <v>#N/A</v>
      </c>
      <c r="FR92" s="23" t="e">
        <f>EXP(-LN(2)/25)*FR91+(1-EXP(-LN(2)/25))/(LN(2)/25)*Calculateur!FM92*Calculateur!FO92*VLOOKUP('Données projet'!$B$16,Paramètres!$A$1:$I$88,3,0)*0.475*44/12</f>
        <v>#N/A</v>
      </c>
      <c r="FS92" s="23" t="e">
        <f>EXP(-LN(2)/2)*FS91+(1-EXP(-LN(2)/2))/(LN(2)/2)*FM92*FP92*VLOOKUP('Données projet'!$B$16,Paramètres!$A$1:$I$88,3,0)*0.475*44/12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projet'!$B$17,Paramètres!$A$1:$I$88,3,0)*VLOOKUP('Données projet'!$B$17,Paramètres!$A$1:$I$88,5,0)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projet'!$B$17,Paramètres!$A$1:$I$88,3,0)*0.475*44/12</f>
        <v>#N/A</v>
      </c>
      <c r="GM92" s="23" t="e">
        <f>EXP(-LN(2)/25)*GM91+(1-EXP(-LN(2)/25))/(LN(2)/25)*Calculateur!GH92*Calculateur!GJ92*VLOOKUP('Données projet'!$B$17,Paramètres!$A$1:$I$88,3,0)*0.475*44/12</f>
        <v>#N/A</v>
      </c>
      <c r="GN92" s="23" t="e">
        <f>EXP(-LN(2)/2)*GN91+(1-EXP(-LN(2)/2))/(LN(2)/2)*GH92*GK92*VLOOKUP('Données projet'!$B$17,Paramètres!$A$1:$I$88,3,0)*0.475*44/12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projet'!$B$18,Paramètres!$A$1:$I$88,3,0)*VLOOKUP('Données projet'!$B$18,Paramètres!$A$1:$I$88,5,0)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projet'!$B$18,Paramètres!$A$1:$I$88,3,0)*0.475*44/12</f>
        <v>#N/A</v>
      </c>
      <c r="HH92" s="23" t="e">
        <f>EXP(-LN(2)/25)*HH91+(1-EXP(-LN(2)/25))/(LN(2)/25)*Calculateur!HC92*Calculateur!HE92*VLOOKUP('Données projet'!$B$18,Paramètres!$A$1:$I$88,3,0)*0.475*44/12</f>
        <v>#N/A</v>
      </c>
      <c r="HI92" s="23" t="e">
        <f>EXP(-LN(2)/2)*HI91+(1-EXP(-LN(2)/2))/(LN(2)/2)*HC92*HF92*VLOOKUP('Données projet'!$B$18,Paramètres!$A$1:$I$88,3,0)*0.475*44/12</f>
        <v>#N/A</v>
      </c>
      <c r="HJ92" s="24" t="e">
        <f t="shared" si="84"/>
        <v>#N/A</v>
      </c>
    </row>
    <row r="93" spans="1:218" s="5" customFormat="1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projet'!$B$9,Paramètres!$A$1:$I$88,3,0)*VLOOKUP('Données projet'!$B$9,Paramètres!$A$1:$I$88,5,0)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274.35764100422875</v>
      </c>
      <c r="S93" s="62">
        <f ca="1">AVERAGE(OFFSET($R$3,0,0,'Données projet'!$E$9+1,1))-AVERAGE(OFFSET($H$3,0,0,'Données projet'!$E$9+1,1))</f>
        <v>301.2688576786212</v>
      </c>
      <c r="T93" s="62">
        <f t="shared" si="88"/>
        <v>417.62172165132927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projet'!$B$9,Paramètres!$A$1:$I$88,7,0))</f>
        <v>0</v>
      </c>
      <c r="X93" s="17">
        <f>IF(ISNA(VLOOKUP(A93,'Données projet'!$A$35:$I$55,6,0)),0%,VLOOKUP(A93,'Données projet'!$A$35:$I$55,6,0)*VLOOKUP('Données projet'!$B$9,Paramètres!$A$1:$I$88,7,0))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projet'!$B$9,Paramètres!$A$1:$I$88,3,0)*0.475*44/12</f>
        <v>68.292876404482669</v>
      </c>
      <c r="AA93" s="23">
        <f>EXP(-LN(2)/25)*AA92+(1-EXP(-LN(2)/25))/(LN(2)/25)*Calculateur!V93*Calculateur!X93*VLOOKUP('Données projet'!$B$9,Paramètres!$A$1:$I$88,3,0)*0.475*44/12</f>
        <v>16.411090679433592</v>
      </c>
      <c r="AB93" s="23">
        <f>EXP(-LN(2)/2)*AB92+(1-EXP(-LN(2)/2))/(LN(2)/2)*V93*Y93*VLOOKUP('Données projet'!$B$9,Paramètres!$A$1:$I$88,3,0)*0.475*44/12</f>
        <v>2.8088376890327852E-5</v>
      </c>
      <c r="AC93" s="24">
        <f t="shared" si="57"/>
        <v>84.703995172293162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projet'!$B$10,Paramètres!$A$1:$I$88,3,0)*VLOOKUP('Données projet'!$B$10,Paramètres!$A$1:$I$88,5,0)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170.08673939431091</v>
      </c>
      <c r="AO93" s="62">
        <f t="shared" si="90"/>
        <v>252.97355497077106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projet'!$B$10,Paramètres!$A$1:$I$88,7,0))</f>
        <v>0</v>
      </c>
      <c r="AS93" s="17">
        <f>IF(ISNA(VLOOKUP(A93,'Données projet'!$A$61:$I$81,6,0)),0%,VLOOKUP(A93,'Données projet'!$A$61:$I$81,6,0)*VLOOKUP('Données projet'!$B$10,Paramètres!$A$1:$I$88,7,0))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projet'!$B$10,Paramètres!$A$1:$I$88,3,0)*0.475*44/12</f>
        <v>28.514152723760326</v>
      </c>
      <c r="AV93" s="23">
        <f>EXP(-LN(2)/25)*AV92+(1-EXP(-LN(2)/25))/(LN(2)/25)*Calculateur!AQ93*Calculateur!AS93*VLOOKUP('Données projet'!$B$10,Paramètres!$A$1:$I$88,3,0)*0.475*44/12</f>
        <v>16.633517102127406</v>
      </c>
      <c r="AW93" s="23">
        <f>EXP(-LN(2)/2)*AW92+(1-EXP(-LN(2)/2))/(LN(2)/2)*AQ93*AT93*VLOOKUP('Données projet'!$B$10,Paramètres!$A$1:$I$88,3,0)*0.475*44/12</f>
        <v>3.5978952634528689E-5</v>
      </c>
      <c r="AX93" s="23">
        <f t="shared" si="60"/>
        <v>45.147705804840363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275</v>
      </c>
      <c r="BB93" s="13">
        <f>VLOOKUP(A93,'Données projet'!$A$87:$I$107,9,0)</f>
        <v>5.4</v>
      </c>
      <c r="BC93" s="13">
        <f t="array" ref="BC93">INDEX(BB:BB,MIN(IF(ISNUMBER(BB93:BB289),ROW(BB93:BB289),"")))</f>
        <v>5.4</v>
      </c>
      <c r="BD93" s="13">
        <f>IF('Données projet'!$A$88&gt;35,BD92+BC93-BL92,IF(A93&lt;'Données projet'!$A$88,$BA$205^A93,IF(A93='Données projet'!$A$88,'Données projet'!$B$88,BD92+BC93-BL92)))</f>
        <v>274.99999999999983</v>
      </c>
      <c r="BE93" s="14">
        <f>BD93*VLOOKUP('Données projet'!$B$11,Paramètres!$A$1:$I$88,3,0)*VLOOKUP('Données projet'!$B$11,Paramètres!$A$1:$I$88,5,0)</f>
        <v>248.81999999999982</v>
      </c>
      <c r="BF93" s="14">
        <f t="shared" si="91"/>
        <v>60.333192077890018</v>
      </c>
      <c r="BG93" s="22">
        <f t="shared" si="61"/>
        <v>538.44180953565808</v>
      </c>
      <c r="BH93" s="62">
        <f t="shared" si="62"/>
        <v>812.79945053988581</v>
      </c>
      <c r="BI93" s="62">
        <f ca="1">AVERAGE(OFFSET($BH$3,0,0,'Données projet'!$E$11+1,1))-AVERAGE(OFFSET($H$3,0,0,'Données projet'!$E$11+1,1))</f>
        <v>362.63718589694594</v>
      </c>
      <c r="BJ93" s="62">
        <f t="shared" si="92"/>
        <v>250.47702091764884</v>
      </c>
      <c r="BK93" s="16">
        <f>IF(ISNA(VLOOKUP(A93,'Données projet'!$A$87:$I$107,3,0)),0,VLOOKUP(A93,'Données projet'!$A$87:$I$107,3,0))</f>
        <v>15</v>
      </c>
      <c r="BL93" s="16">
        <f>IF(ISNA(VLOOKUP(A93,'Données projet'!$A$87:$I$107,4,0)),0,VLOOKUP(A93,'Données projet'!$A$87:$I$107,4,0))</f>
        <v>21</v>
      </c>
      <c r="BM93" s="17">
        <f>IF(ISNA(VLOOKUP(A93,'Données projet'!$A$87:$I$107,5,0)),0%,VLOOKUP(A93,'Données projet'!$A$87:$I$107,5,0)*VLOOKUP('Données projet'!$B$11,Paramètres!$A$1:$I$88,7,0))</f>
        <v>0.30099999999999999</v>
      </c>
      <c r="BN93" s="17">
        <f>IF(ISNA(VLOOKUP(A93,'Données projet'!$A$87:$I$107,6,0)),0%,VLOOKUP(A93,'Données projet'!$A$87:$I$107,6,0)*VLOOKUP('Données projet'!$B$11,Paramètres!$A$1:$I$88,7,0))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projet'!$B$11,Paramètres!$A$1:$I$88,3,0)*0.475*44/12</f>
        <v>30.261252207389617</v>
      </c>
      <c r="BQ93" s="23">
        <f>EXP(-LN(2)/25)*BQ92+(1-EXP(-LN(2)/25))/(LN(2)/25)*Calculateur!BL93*Calculateur!BN93*VLOOKUP('Données projet'!$B$11,Paramètres!$A$1:$I$88,3,0)*0.475*44/12</f>
        <v>0</v>
      </c>
      <c r="BR93" s="23">
        <f>EXP(-LN(2)/2)*BR92+(1-EXP(-LN(2)/2))/(LN(2)/2)*BL93*BO93*VLOOKUP('Données projet'!$B$11,Paramètres!$A$1:$I$88,3,0)*0.475*44/12</f>
        <v>0</v>
      </c>
      <c r="BS93" s="24">
        <f t="shared" si="63"/>
        <v>30.261252207389617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275</v>
      </c>
      <c r="BW93" s="13">
        <f>VLOOKUP(A93,'Données projet'!$A$113:$I$133,9,0)</f>
        <v>5.4</v>
      </c>
      <c r="BX93" s="13">
        <f t="array" ref="BX93">INDEX(BW:BW,MIN(IF(ISNUMBER(BW93:BW289),ROW(BW93:BW289),"")))</f>
        <v>5.4</v>
      </c>
      <c r="BY93" s="13">
        <f>IF('Données projet'!$A$114&gt;35,BY92+BX93-CG92,IF(A93&lt;'Données projet'!$A$114,$BV$205^A93,IF(A93='Données projet'!$A$114,'Données projet'!$B$114,BY92+BX93-CG92)))</f>
        <v>274.99999999999983</v>
      </c>
      <c r="BZ93" s="14">
        <f>BY93*VLOOKUP('Données projet'!$B$12,Paramètres!$A$1:$I$88,3,0)*VLOOKUP('Données projet'!$B$12,Paramètres!$A$1:$I$88,5,0)</f>
        <v>278.84999999999985</v>
      </c>
      <c r="CA93" s="14">
        <f t="shared" si="93"/>
        <v>66.723922641152967</v>
      </c>
      <c r="CB93" s="22">
        <f t="shared" si="64"/>
        <v>601.87458193334112</v>
      </c>
      <c r="CC93" s="62">
        <f t="shared" si="65"/>
        <v>876.23222293756885</v>
      </c>
      <c r="CD93" s="62">
        <f ca="1">AVERAGE(OFFSET($CC$3,0,0,'Données projet'!$E$12+1,1))-AVERAGE(OFFSET($H$3,0,0,'Données projet'!$E$12+1,1))</f>
        <v>398.14524781940196</v>
      </c>
      <c r="CE93" s="62">
        <f t="shared" si="94"/>
        <v>273.35778700650792</v>
      </c>
      <c r="CF93" s="16">
        <f>IF(ISNA(VLOOKUP(A93,'Données projet'!$A$113:$I$133,3,0)),0,VLOOKUP(A93,'Données projet'!$A$113:$I$133,3,0))</f>
        <v>15</v>
      </c>
      <c r="CG93" s="16">
        <f>IF(ISNA(VLOOKUP(A93,'Données projet'!$A$113:$I$133,4,0)),0,VLOOKUP(A93,'Données projet'!$A$113:$I$133,4,0))</f>
        <v>21</v>
      </c>
      <c r="CH93" s="17">
        <f>IF(ISNA(VLOOKUP(A93,'Données projet'!$A$113:$I$133,5,0)),0%,VLOOKUP(A93,'Données projet'!$A$113:$I$133,5,0)*VLOOKUP('Données projet'!$B$12,Paramètres!$A$1:$I$88,7,0))</f>
        <v>0.30099999999999999</v>
      </c>
      <c r="CI93" s="17">
        <f>IF(ISNA(VLOOKUP(A93,'Données projet'!$A$113:$I$133,6,0)),0%,VLOOKUP(A93,'Données projet'!$A$113:$I$133,6,0)*VLOOKUP('Données projet'!$B$12,Paramètres!$A$1:$I$88,7,0))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projet'!$B$12,Paramètres!$A$1:$I$88,3,0)*0.475*44/12</f>
        <v>33.913472301384914</v>
      </c>
      <c r="CL93" s="23">
        <f>EXP(-LN(2)/25)*CL92+(1-EXP(-LN(2)/25))/(LN(2)/25)*Calculateur!CG93*Calculateur!CI93*VLOOKUP('Données projet'!$B$12,Paramètres!$A$1:$I$88,3,0)*0.475*44/12</f>
        <v>0</v>
      </c>
      <c r="CM93" s="23">
        <f>EXP(-LN(2)/2)*CM92+(1-EXP(-LN(2)/2))/(LN(2)/2)*CG93*CJ93*VLOOKUP('Données projet'!$B$12,Paramètres!$A$1:$I$88,3,0)*0.475*44/12</f>
        <v>0</v>
      </c>
      <c r="CN93" s="24">
        <f t="shared" si="66"/>
        <v>33.913472301384914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377</v>
      </c>
      <c r="CR93" s="13">
        <f>VLOOKUP(A93,'Données projet'!$A$139:$I$159,9,0)</f>
        <v>6.6</v>
      </c>
      <c r="CS93" s="13">
        <f t="array" ref="CS93">INDEX(CR:CR,MIN(IF(ISNUMBER(CR93:CR289),ROW(CR93:CR289),"")))</f>
        <v>6.6</v>
      </c>
      <c r="CT93" s="13">
        <f>IF('Données projet'!$A$140&gt;35,CT92+CS93-DB92,IF(A93&lt;'Données projet'!$A$140,$CQ$205^A93,IF(A93='Données projet'!$A$140,'Données projet'!$B$140,CT92+CS93-DB92)))</f>
        <v>377</v>
      </c>
      <c r="CU93" s="18">
        <f>CT93*VLOOKUP('Données projet'!$B$13,Paramètres!$A$1:$I$88,3,0)*VLOOKUP('Données projet'!$B$13,Paramètres!$A$1:$I$88,5,0)</f>
        <v>358.75319999999999</v>
      </c>
      <c r="CV93" s="14">
        <f t="shared" si="95"/>
        <v>83.362286707455823</v>
      </c>
      <c r="CW93" s="22">
        <f t="shared" si="67"/>
        <v>770.01780601548546</v>
      </c>
      <c r="CX93" s="62">
        <f t="shared" si="68"/>
        <v>1044.3754470197132</v>
      </c>
      <c r="CY93" s="62">
        <f ca="1">AVERAGE(OFFSET($CX$3,0,0,'Données projet'!$E$13+1,1))-AVERAGE(OFFSET($H$3,0,0,'Données projet'!$E$13+1,1))</f>
        <v>470.0521927195926</v>
      </c>
      <c r="CZ93" s="62">
        <f t="shared" si="96"/>
        <v>299.27200854723435</v>
      </c>
      <c r="DA93" s="16">
        <f>IF(ISNA(VLOOKUP(A93,'Données projet'!$A$139:$I$159,3,0)),0,VLOOKUP(A93,'Données projet'!$A$139:$I$159,3,0))</f>
        <v>15</v>
      </c>
      <c r="DB93" s="16">
        <f>IF(ISNA(VLOOKUP(A93,'Données projet'!$A$139:$I$159,4,0)),0,VLOOKUP(A93,'Données projet'!$A$139:$I$159,4,0))</f>
        <v>21</v>
      </c>
      <c r="DC93" s="17">
        <f>IF(ISNA(VLOOKUP(A93,'Données projet'!$A$139:$I$159,5,0)),0%,VLOOKUP(A93,'Données projet'!$A$139:$I$159,5,0)*VLOOKUP('Données projet'!$B$13,Paramètres!$A$1:$I$88,7,0))</f>
        <v>0.30099999999999999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projet'!$B$13,Paramètres!$A$1:$I$88,3,0)*0.475*44/12</f>
        <v>31.826489390530451</v>
      </c>
      <c r="DG93" s="23">
        <f>EXP(-LN(2)/25)*DG92+(1-EXP(-LN(2)/25))/(LN(2)/25)*Calculateur!DB93*Calculateur!DD93*VLOOKUP('Données projet'!$B$13,Paramètres!$A$1:$I$88,3,0)*0.475*44/12</f>
        <v>0</v>
      </c>
      <c r="DH93" s="23">
        <f>EXP(-LN(2)/2)*DH92+(1-EXP(-LN(2)/2))/(LN(2)/2)*DB93*DE93*VLOOKUP('Données projet'!$B$13,Paramètres!$A$1:$I$88,3,0)*0.475*44/12</f>
        <v>0</v>
      </c>
      <c r="DI93" s="24">
        <f t="shared" si="69"/>
        <v>31.826489390530451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212</v>
      </c>
      <c r="DM93" s="13">
        <f>VLOOKUP(A93,'Données projet'!$A$165:$I$185,9,0)</f>
        <v>5.2</v>
      </c>
      <c r="DN93" s="13">
        <f t="array" ref="DN93">INDEX(DM:DM,MIN(IF(ISNUMBER(DM93:DM289),ROW(DM93:DM289),"")))</f>
        <v>5.2</v>
      </c>
      <c r="DO93" s="13">
        <f>IF('Données projet'!$A$166&gt;35,DO92+DN93-DW92,IF(A93&lt;'Données projet'!$A$166,$DL$205^A93,IF(A93='Données projet'!$A$166,'Données projet'!$B$166,DO92+DN93-DW92)))</f>
        <v>211.99999999999994</v>
      </c>
      <c r="DP93" s="18">
        <f>DO93*VLOOKUP('Données projet'!$B$14,Paramètres!$A$1:$I$88,3,0)*VLOOKUP('Données projet'!$B$14,Paramètres!$A$1:$I$88,5,0)</f>
        <v>205.04639999999995</v>
      </c>
      <c r="DQ93" s="14">
        <f t="shared" si="97"/>
        <v>50.851600160721752</v>
      </c>
      <c r="DR93" s="22">
        <f t="shared" si="70"/>
        <v>445.68901694659024</v>
      </c>
      <c r="DS93" s="62">
        <f t="shared" si="71"/>
        <v>720.04665795081792</v>
      </c>
      <c r="DT93" s="62">
        <f ca="1">AVERAGE(OFFSET($DS$3,0,0,'Données projet'!$E$14+1,1))-AVERAGE(OFFSET($H$3,0,0,'Données projet'!$E$14+1,1))</f>
        <v>290.89727102147953</v>
      </c>
      <c r="DU93" s="62">
        <f t="shared" si="98"/>
        <v>173.19148969173838</v>
      </c>
      <c r="DV93" s="16">
        <f>IF(ISNA(VLOOKUP(A93,'Données projet'!$A$165:$I$185,3,0)),0,VLOOKUP(A93,'Données projet'!$A$165:$I$185,3,0))</f>
        <v>15</v>
      </c>
      <c r="DW93" s="16">
        <f>IF(ISNA(VLOOKUP(A93,'Données projet'!$A$165:$I$185,4,0)),0,VLOOKUP(A93,'Données projet'!$A$165:$I$185,4,0))</f>
        <v>14</v>
      </c>
      <c r="DX93" s="17">
        <f>IF(ISNA(VLOOKUP(A93,'Données projet'!$A$165:$I$185,5,0)),0%,VLOOKUP(A93,'Données projet'!$A$165:$I$185,5,0)*VLOOKUP('Données projet'!$B$14,Paramètres!$A$1:$I$88,7,0))</f>
        <v>0.30099999999999999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projet'!$B$14,Paramètres!$A$1:$I$88,3,0)*0.475*44/12</f>
        <v>21.565490078829384</v>
      </c>
      <c r="EB93" s="23">
        <f>EXP(-LN(2)/25)*EB92+(1-EXP(-LN(2)/25))/(LN(2)/25)*Calculateur!DW93*Calculateur!DY93*VLOOKUP('Données projet'!$B$14,Paramètres!$A$1:$I$88,3,0)*0.475*44/12</f>
        <v>0</v>
      </c>
      <c r="EC93" s="23">
        <f>EXP(-LN(2)/2)*EC92+(1-EXP(-LN(2)/2))/(LN(2)/2)*DW93*DZ93*VLOOKUP('Données projet'!$B$14,Paramètres!$A$1:$I$88,3,0)*0.475*44/12</f>
        <v>0</v>
      </c>
      <c r="ED93" s="24">
        <f t="shared" si="72"/>
        <v>21.565490078829384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projet'!$B$15,Paramètres!$A$1:$I$88,3,0)*VLOOKUP('Données projet'!$B$15,Paramètres!$A$1:$I$88,5,0)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projet'!$B$15,Paramètres!$A$1:$I$88,7,0))</f>
        <v>0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projet'!$B$15,Paramètres!$A$1:$I$88,3,0)*0.475*44/12</f>
        <v>#N/A</v>
      </c>
      <c r="EW93" s="23" t="e">
        <f>EXP(-LN(2)/25)*EW92+(1-EXP(-LN(2)/25))/(LN(2)/25)*Calculateur!ER93*Calculateur!ET93*VLOOKUP('Données projet'!$B$15,Paramètres!$A$1:$I$88,3,0)*0.475*44/12</f>
        <v>#N/A</v>
      </c>
      <c r="EX93" s="23" t="e">
        <f>EXP(-LN(2)/2)*EX92+(1-EXP(-LN(2)/2))/(LN(2)/2)*ER93*EU93*VLOOKUP('Données projet'!$B$15,Paramètres!$A$1:$I$88,3,0)*0.475*44/12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projet'!$B$16,Paramètres!$A$1:$I$88,3,0)*VLOOKUP('Données projet'!$B$16,Paramètres!$A$1:$I$88,5,0)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projet'!$B$16,Paramètres!$A$1:$I$88,7,0))</f>
        <v>0</v>
      </c>
      <c r="FO93" s="17">
        <f>IF(ISNA(VLOOKUP(A93,'Données projet'!$A$217:$I$237,6,0)),0%,VLOOKUP(A93,'Données projet'!$A$217:$I$237,6,0)*VLOOKUP('Données projet'!$B$16,Paramètres!$A$1:$I$88,7,0))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projet'!$B$16,Paramètres!$A$1:$I$88,3,0)*0.475*44/12</f>
        <v>#N/A</v>
      </c>
      <c r="FR93" s="23" t="e">
        <f>EXP(-LN(2)/25)*FR92+(1-EXP(-LN(2)/25))/(LN(2)/25)*Calculateur!FM93*Calculateur!FO93*VLOOKUP('Données projet'!$B$16,Paramètres!$A$1:$I$88,3,0)*0.475*44/12</f>
        <v>#N/A</v>
      </c>
      <c r="FS93" s="23" t="e">
        <f>EXP(-LN(2)/2)*FS92+(1-EXP(-LN(2)/2))/(LN(2)/2)*FM93*FP93*VLOOKUP('Données projet'!$B$16,Paramètres!$A$1:$I$88,3,0)*0.475*44/12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projet'!$B$17,Paramètres!$A$1:$I$88,3,0)*VLOOKUP('Données projet'!$B$17,Paramètres!$A$1:$I$88,5,0)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projet'!$B$17,Paramètres!$A$1:$I$88,3,0)*0.475*44/12</f>
        <v>#N/A</v>
      </c>
      <c r="GM93" s="23" t="e">
        <f>EXP(-LN(2)/25)*GM92+(1-EXP(-LN(2)/25))/(LN(2)/25)*Calculateur!GH93*Calculateur!GJ93*VLOOKUP('Données projet'!$B$17,Paramètres!$A$1:$I$88,3,0)*0.475*44/12</f>
        <v>#N/A</v>
      </c>
      <c r="GN93" s="23" t="e">
        <f>EXP(-LN(2)/2)*GN92+(1-EXP(-LN(2)/2))/(LN(2)/2)*GH93*GK93*VLOOKUP('Données projet'!$B$17,Paramètres!$A$1:$I$88,3,0)*0.475*44/12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projet'!$B$18,Paramètres!$A$1:$I$88,3,0)*VLOOKUP('Données projet'!$B$18,Paramètres!$A$1:$I$88,5,0)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projet'!$B$18,Paramètres!$A$1:$I$88,3,0)*0.475*44/12</f>
        <v>#N/A</v>
      </c>
      <c r="HH93" s="23" t="e">
        <f>EXP(-LN(2)/25)*HH92+(1-EXP(-LN(2)/25))/(LN(2)/25)*Calculateur!HC93*Calculateur!HE93*VLOOKUP('Données projet'!$B$18,Paramètres!$A$1:$I$88,3,0)*0.475*44/12</f>
        <v>#N/A</v>
      </c>
      <c r="HI93" s="23" t="e">
        <f>EXP(-LN(2)/2)*HI92+(1-EXP(-LN(2)/2))/(LN(2)/2)*HC93*HF93*VLOOKUP('Données projet'!$B$18,Paramètres!$A$1:$I$88,3,0)*0.475*44/12</f>
        <v>#N/A</v>
      </c>
      <c r="HJ93" s="24" t="e">
        <f t="shared" si="84"/>
        <v>#N/A</v>
      </c>
    </row>
    <row r="94" spans="1:218" s="5" customFormat="1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projet'!$B$9,Paramètres!$A$1:$I$88,3,0)*VLOOKUP('Données projet'!$B$9,Paramètres!$A$1:$I$88,5,0)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274.68682684284613</v>
      </c>
      <c r="S94" s="62">
        <f ca="1">AVERAGE(OFFSET($R$3,0,0,'Données projet'!$E$9+1,1))-AVERAGE(OFFSET($H$3,0,0,'Données projet'!$E$9+1,1))</f>
        <v>301.2688576786212</v>
      </c>
      <c r="T94" s="62">
        <f t="shared" si="88"/>
        <v>417.62172165132927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66.953694752732332</v>
      </c>
      <c r="AA94" s="23">
        <f>EXP(-LN(2)/25)*AA93+(1-EXP(-LN(2)/25))/(LN(2)/25)*Calculateur!V94*Calculateur!X94*VLOOKUP('Données projet'!$B$9,Paramètres!$A$1:$I$88,3,0)*0.475*44/12</f>
        <v>15.96232854178273</v>
      </c>
      <c r="AB94" s="23">
        <f>EXP(-LN(2)/2)*AB93+(1-EXP(-LN(2)/2))/(LN(2)/2)*V94*Y94*VLOOKUP('Données projet'!$B$9,Paramètres!$A$1:$I$88,3,0)*0.475*44/12</f>
        <v>1.9861481771674334E-5</v>
      </c>
      <c r="AC94" s="24">
        <f t="shared" si="57"/>
        <v>82.916043155996832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projet'!$B$10,Paramètres!$A$1:$I$88,3,0)*VLOOKUP('Données projet'!$B$10,Paramètres!$A$1:$I$88,5,0)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170.08673939431091</v>
      </c>
      <c r="AO94" s="62">
        <f t="shared" si="90"/>
        <v>252.97355497077106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projet'!$B$10,Paramètres!$A$1:$I$88,3,0)*0.475*44/12</f>
        <v>27.955007580763237</v>
      </c>
      <c r="AV94" s="23">
        <f>EXP(-LN(2)/25)*AV93+(1-EXP(-LN(2)/25))/(LN(2)/25)*Calculateur!AQ94*Calculateur!AS94*VLOOKUP('Données projet'!$B$10,Paramètres!$A$1:$I$88,3,0)*0.475*44/12</f>
        <v>16.178672702251085</v>
      </c>
      <c r="AW94" s="23">
        <f>EXP(-LN(2)/2)*AW93+(1-EXP(-LN(2)/2))/(LN(2)/2)*AQ94*AT94*VLOOKUP('Données projet'!$B$10,Paramètres!$A$1:$I$88,3,0)*0.475*44/12</f>
        <v>2.5440961387864836E-5</v>
      </c>
      <c r="AX94" s="23">
        <f t="shared" si="60"/>
        <v>44.133705723975709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5</v>
      </c>
      <c r="BD94" s="13">
        <f>IF('Données projet'!$A$88&gt;35,BD93+BC94-BL93,IF(A94&lt;'Données projet'!$A$88,$BA$205^A94,IF(A94='Données projet'!$A$88,'Données projet'!$B$88,BD93+BC94-BL93)))</f>
        <v>258.99999999999983</v>
      </c>
      <c r="BE94" s="14">
        <f>BD94*VLOOKUP('Données projet'!$B$11,Paramètres!$A$1:$I$88,3,0)*VLOOKUP('Données projet'!$B$11,Paramètres!$A$1:$I$88,5,0)</f>
        <v>234.34319999999983</v>
      </c>
      <c r="BF94" s="14">
        <f t="shared" si="91"/>
        <v>57.220758006491614</v>
      </c>
      <c r="BG94" s="22">
        <f t="shared" si="61"/>
        <v>507.80722686130588</v>
      </c>
      <c r="BH94" s="62">
        <f t="shared" si="62"/>
        <v>782.49405370415093</v>
      </c>
      <c r="BI94" s="62">
        <f ca="1">AVERAGE(OFFSET($BH$3,0,0,'Données projet'!$E$11+1,1))-AVERAGE(OFFSET($H$3,0,0,'Données projet'!$E$11+1,1))</f>
        <v>362.63718589694594</v>
      </c>
      <c r="BJ94" s="62">
        <f t="shared" si="92"/>
        <v>250.47702091764884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projet'!$B$11,Paramètres!$A$1:$I$88,3,0)*0.475*44/12</f>
        <v>29.667847509144021</v>
      </c>
      <c r="BQ94" s="23">
        <f>EXP(-LN(2)/25)*BQ93+(1-EXP(-LN(2)/25))/(LN(2)/25)*Calculateur!BL94*Calculateur!BN94*VLOOKUP('Données projet'!$B$11,Paramètres!$A$1:$I$88,3,0)*0.475*44/12</f>
        <v>0</v>
      </c>
      <c r="BR94" s="23">
        <f>EXP(-LN(2)/2)*BR93+(1-EXP(-LN(2)/2))/(LN(2)/2)*BL94*BO94*VLOOKUP('Données projet'!$B$11,Paramètres!$A$1:$I$88,3,0)*0.475*44/12</f>
        <v>0</v>
      </c>
      <c r="BS94" s="24">
        <f t="shared" si="63"/>
        <v>29.667847509144021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5</v>
      </c>
      <c r="BY94" s="13">
        <f>IF('Données projet'!$A$114&gt;35,BY93+BX94-CG93,IF(A94&lt;'Données projet'!$A$114,$BV$205^A94,IF(A94='Données projet'!$A$114,'Données projet'!$B$114,BY93+BX94-CG93)))</f>
        <v>258.99999999999983</v>
      </c>
      <c r="BZ94" s="14">
        <f>BY94*VLOOKUP('Données projet'!$B$12,Paramètres!$A$1:$I$88,3,0)*VLOOKUP('Données projet'!$B$12,Paramètres!$A$1:$I$88,5,0)</f>
        <v>262.62599999999986</v>
      </c>
      <c r="CA94" s="14">
        <f t="shared" si="93"/>
        <v>63.281807230823397</v>
      </c>
      <c r="CB94" s="22">
        <f t="shared" si="64"/>
        <v>567.62276426035044</v>
      </c>
      <c r="CC94" s="62">
        <f t="shared" si="65"/>
        <v>842.30959110319554</v>
      </c>
      <c r="CD94" s="62">
        <f ca="1">AVERAGE(OFFSET($CC$3,0,0,'Données projet'!$E$12+1,1))-AVERAGE(OFFSET($H$3,0,0,'Données projet'!$E$12+1,1))</f>
        <v>398.14524781940196</v>
      </c>
      <c r="CE94" s="62">
        <f t="shared" si="94"/>
        <v>273.35778700650792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projet'!$B$12,Paramètres!$A$1:$I$88,3,0)*0.475*44/12</f>
        <v>33.248449794730369</v>
      </c>
      <c r="CL94" s="23">
        <f>EXP(-LN(2)/25)*CL93+(1-EXP(-LN(2)/25))/(LN(2)/25)*Calculateur!CG94*Calculateur!CI94*VLOOKUP('Données projet'!$B$12,Paramètres!$A$1:$I$88,3,0)*0.475*44/12</f>
        <v>0</v>
      </c>
      <c r="CM94" s="23">
        <f>EXP(-LN(2)/2)*CM93+(1-EXP(-LN(2)/2))/(LN(2)/2)*CG94*CJ94*VLOOKUP('Données projet'!$B$12,Paramètres!$A$1:$I$88,3,0)*0.475*44/12</f>
        <v>0</v>
      </c>
      <c r="CN94" s="24">
        <f t="shared" si="66"/>
        <v>33.248449794730369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6.6</v>
      </c>
      <c r="CT94" s="13">
        <f>IF('Données projet'!$A$140&gt;35,CT93+CS94-DB93,IF(A94&lt;'Données projet'!$A$140,$CQ$205^A94,IF(A94='Données projet'!$A$140,'Données projet'!$B$140,CT93+CS94-DB93)))</f>
        <v>362.6</v>
      </c>
      <c r="CU94" s="18">
        <f>CT94*VLOOKUP('Données projet'!$B$13,Paramètres!$A$1:$I$88,3,0)*VLOOKUP('Données projet'!$B$13,Paramètres!$A$1:$I$88,5,0)</f>
        <v>345.05016000000001</v>
      </c>
      <c r="CV94" s="14">
        <f t="shared" si="95"/>
        <v>80.542444416749518</v>
      </c>
      <c r="CW94" s="22">
        <f t="shared" si="67"/>
        <v>741.2404526925053</v>
      </c>
      <c r="CX94" s="62">
        <f t="shared" si="68"/>
        <v>1015.9272795353504</v>
      </c>
      <c r="CY94" s="62">
        <f ca="1">AVERAGE(OFFSET($CX$3,0,0,'Données projet'!$E$13+1,1))-AVERAGE(OFFSET($H$3,0,0,'Données projet'!$E$13+1,1))</f>
        <v>470.0521927195926</v>
      </c>
      <c r="CZ94" s="62">
        <f t="shared" si="96"/>
        <v>299.27200854723435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projet'!$B$13,Paramètres!$A$1:$I$88,3,0)*0.475*44/12</f>
        <v>31.202391345823877</v>
      </c>
      <c r="DG94" s="23">
        <f>EXP(-LN(2)/25)*DG93+(1-EXP(-LN(2)/25))/(LN(2)/25)*Calculateur!DB94*Calculateur!DD94*VLOOKUP('Données projet'!$B$13,Paramètres!$A$1:$I$88,3,0)*0.475*44/12</f>
        <v>0</v>
      </c>
      <c r="DH94" s="23">
        <f>EXP(-LN(2)/2)*DH93+(1-EXP(-LN(2)/2))/(LN(2)/2)*DB94*DE94*VLOOKUP('Données projet'!$B$13,Paramètres!$A$1:$I$88,3,0)*0.475*44/12</f>
        <v>0</v>
      </c>
      <c r="DI94" s="24">
        <f t="shared" si="69"/>
        <v>31.202391345823877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3.6</v>
      </c>
      <c r="DO94" s="13">
        <f>IF('Données projet'!$A$166&gt;35,DO93+DN94-DW93,IF(A94&lt;'Données projet'!$A$166,$DL$205^A94,IF(A94='Données projet'!$A$166,'Données projet'!$B$166,DO93+DN94-DW93)))</f>
        <v>201.59999999999994</v>
      </c>
      <c r="DP94" s="18">
        <f>DO94*VLOOKUP('Données projet'!$B$14,Paramètres!$A$1:$I$88,3,0)*VLOOKUP('Données projet'!$B$14,Paramètres!$A$1:$I$88,5,0)</f>
        <v>194.98751999999996</v>
      </c>
      <c r="DQ94" s="14">
        <f t="shared" si="97"/>
        <v>48.640954330020342</v>
      </c>
      <c r="DR94" s="22">
        <f t="shared" si="70"/>
        <v>424.31959279145207</v>
      </c>
      <c r="DS94" s="62">
        <f t="shared" si="71"/>
        <v>699.00641963429712</v>
      </c>
      <c r="DT94" s="62">
        <f ca="1">AVERAGE(OFFSET($DS$3,0,0,'Données projet'!$E$14+1,1))-AVERAGE(OFFSET($H$3,0,0,'Données projet'!$E$14+1,1))</f>
        <v>290.89727102147953</v>
      </c>
      <c r="DU94" s="62">
        <f t="shared" si="98"/>
        <v>173.19148969173838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projet'!$B$14,Paramètres!$A$1:$I$88,3,0)*0.475*44/12</f>
        <v>21.142603972033672</v>
      </c>
      <c r="EB94" s="23">
        <f>EXP(-LN(2)/25)*EB93+(1-EXP(-LN(2)/25))/(LN(2)/25)*Calculateur!DW94*Calculateur!DY94*VLOOKUP('Données projet'!$B$14,Paramètres!$A$1:$I$88,3,0)*0.475*44/12</f>
        <v>0</v>
      </c>
      <c r="EC94" s="23">
        <f>EXP(-LN(2)/2)*EC93+(1-EXP(-LN(2)/2))/(LN(2)/2)*DW94*DZ94*VLOOKUP('Données projet'!$B$14,Paramètres!$A$1:$I$88,3,0)*0.475*44/12</f>
        <v>0</v>
      </c>
      <c r="ED94" s="24">
        <f t="shared" si="72"/>
        <v>21.142603972033672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projet'!$B$15,Paramètres!$A$1:$I$88,3,0)*VLOOKUP('Données projet'!$B$15,Paramètres!$A$1:$I$88,5,0)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projet'!$B$15,Paramètres!$A$1:$I$88,3,0)*0.475*44/12</f>
        <v>#N/A</v>
      </c>
      <c r="EW94" s="23" t="e">
        <f>EXP(-LN(2)/25)*EW93+(1-EXP(-LN(2)/25))/(LN(2)/25)*Calculateur!ER94*Calculateur!ET94*VLOOKUP('Données projet'!$B$15,Paramètres!$A$1:$I$88,3,0)*0.475*44/12</f>
        <v>#N/A</v>
      </c>
      <c r="EX94" s="23" t="e">
        <f>EXP(-LN(2)/2)*EX93+(1-EXP(-LN(2)/2))/(LN(2)/2)*ER94*EU94*VLOOKUP('Données projet'!$B$15,Paramètres!$A$1:$I$88,3,0)*0.475*44/12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projet'!$B$16,Paramètres!$A$1:$I$88,3,0)*VLOOKUP('Données projet'!$B$16,Paramètres!$A$1:$I$88,5,0)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projet'!$B$16,Paramètres!$A$1:$I$88,3,0)*0.475*44/12</f>
        <v>#N/A</v>
      </c>
      <c r="FR94" s="23" t="e">
        <f>EXP(-LN(2)/25)*FR93+(1-EXP(-LN(2)/25))/(LN(2)/25)*Calculateur!FM94*Calculateur!FO94*VLOOKUP('Données projet'!$B$16,Paramètres!$A$1:$I$88,3,0)*0.475*44/12</f>
        <v>#N/A</v>
      </c>
      <c r="FS94" s="23" t="e">
        <f>EXP(-LN(2)/2)*FS93+(1-EXP(-LN(2)/2))/(LN(2)/2)*FM94*FP94*VLOOKUP('Données projet'!$B$16,Paramètres!$A$1:$I$88,3,0)*0.475*44/12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projet'!$B$17,Paramètres!$A$1:$I$88,3,0)*VLOOKUP('Données projet'!$B$17,Paramètres!$A$1:$I$88,5,0)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projet'!$B$17,Paramètres!$A$1:$I$88,3,0)*0.475*44/12</f>
        <v>#N/A</v>
      </c>
      <c r="GM94" s="23" t="e">
        <f>EXP(-LN(2)/25)*GM93+(1-EXP(-LN(2)/25))/(LN(2)/25)*Calculateur!GH94*Calculateur!GJ94*VLOOKUP('Données projet'!$B$17,Paramètres!$A$1:$I$88,3,0)*0.475*44/12</f>
        <v>#N/A</v>
      </c>
      <c r="GN94" s="23" t="e">
        <f>EXP(-LN(2)/2)*GN93+(1-EXP(-LN(2)/2))/(LN(2)/2)*GH94*GK94*VLOOKUP('Données projet'!$B$17,Paramètres!$A$1:$I$88,3,0)*0.475*44/12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projet'!$B$18,Paramètres!$A$1:$I$88,3,0)*VLOOKUP('Données projet'!$B$18,Paramètres!$A$1:$I$88,5,0)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projet'!$B$18,Paramètres!$A$1:$I$88,3,0)*0.475*44/12</f>
        <v>#N/A</v>
      </c>
      <c r="HH94" s="23" t="e">
        <f>EXP(-LN(2)/25)*HH93+(1-EXP(-LN(2)/25))/(LN(2)/25)*Calculateur!HC94*Calculateur!HE94*VLOOKUP('Données projet'!$B$18,Paramètres!$A$1:$I$88,3,0)*0.475*44/12</f>
        <v>#N/A</v>
      </c>
      <c r="HI94" s="23" t="e">
        <f>EXP(-LN(2)/2)*HI93+(1-EXP(-LN(2)/2))/(LN(2)/2)*HC94*HF94*VLOOKUP('Données projet'!$B$18,Paramètres!$A$1:$I$88,3,0)*0.475*44/12</f>
        <v>#N/A</v>
      </c>
      <c r="HJ94" s="24" t="e">
        <f t="shared" si="84"/>
        <v>#N/A</v>
      </c>
    </row>
    <row r="95" spans="1:218" s="5" customFormat="1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projet'!$B$9,Paramètres!$A$1:$I$88,3,0)*VLOOKUP('Données projet'!$B$9,Paramètres!$A$1:$I$88,5,0)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275.0103020431128</v>
      </c>
      <c r="S95" s="62">
        <f ca="1">AVERAGE(OFFSET($R$3,0,0,'Données projet'!$E$9+1,1))-AVERAGE(OFFSET($H$3,0,0,'Données projet'!$E$9+1,1))</f>
        <v>301.2688576786212</v>
      </c>
      <c r="T95" s="62">
        <f t="shared" si="88"/>
        <v>417.62172165132927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65.640773636352662</v>
      </c>
      <c r="AA95" s="23">
        <f>EXP(-LN(2)/25)*AA94+(1-EXP(-LN(2)/25))/(LN(2)/25)*Calculateur!V95*Calculateur!X95*VLOOKUP('Données projet'!$B$9,Paramètres!$A$1:$I$88,3,0)*0.475*44/12</f>
        <v>15.525837828385306</v>
      </c>
      <c r="AB95" s="23">
        <f>EXP(-LN(2)/2)*AB94+(1-EXP(-LN(2)/2))/(LN(2)/2)*V95*Y95*VLOOKUP('Données projet'!$B$9,Paramètres!$A$1:$I$88,3,0)*0.475*44/12</f>
        <v>1.4044188445163926E-5</v>
      </c>
      <c r="AC95" s="24">
        <f t="shared" si="57"/>
        <v>81.166625508926415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projet'!$B$10,Paramètres!$A$1:$I$88,3,0)*VLOOKUP('Données projet'!$B$10,Paramètres!$A$1:$I$88,5,0)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170.08673939431091</v>
      </c>
      <c r="AO95" s="62">
        <f t="shared" si="90"/>
        <v>252.97355497077106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projet'!$B$10,Paramètres!$A$1:$I$88,3,0)*0.475*44/12</f>
        <v>27.406826932975459</v>
      </c>
      <c r="AV95" s="23">
        <f>EXP(-LN(2)/25)*AV94+(1-EXP(-LN(2)/25))/(LN(2)/25)*Calculateur!AQ95*Calculateur!AS95*VLOOKUP('Données projet'!$B$10,Paramètres!$A$1:$I$88,3,0)*0.475*44/12</f>
        <v>15.736266046408607</v>
      </c>
      <c r="AW95" s="23">
        <f>EXP(-LN(2)/2)*AW94+(1-EXP(-LN(2)/2))/(LN(2)/2)*AQ95*AT95*VLOOKUP('Données projet'!$B$10,Paramètres!$A$1:$I$88,3,0)*0.475*44/12</f>
        <v>1.7989476317264344E-5</v>
      </c>
      <c r="AX95" s="23">
        <f t="shared" si="60"/>
        <v>43.143110968860384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5</v>
      </c>
      <c r="BD95" s="13">
        <f>IF('Données projet'!$A$88&gt;35,BD94+BC95-BL94,IF(A95&lt;'Données projet'!$A$88,$BA$205^A95,IF(A95='Données projet'!$A$88,'Données projet'!$B$88,BD94+BC95-BL94)))</f>
        <v>263.99999999999983</v>
      </c>
      <c r="BE95" s="14">
        <f>BD95*VLOOKUP('Données projet'!$B$11,Paramètres!$A$1:$I$88,3,0)*VLOOKUP('Données projet'!$B$11,Paramètres!$A$1:$I$88,5,0)</f>
        <v>238.86719999999983</v>
      </c>
      <c r="BF95" s="14">
        <f t="shared" si="91"/>
        <v>58.195735973104156</v>
      </c>
      <c r="BG95" s="22">
        <f t="shared" si="61"/>
        <v>517.38461348648946</v>
      </c>
      <c r="BH95" s="62">
        <f t="shared" si="62"/>
        <v>792.39491552960112</v>
      </c>
      <c r="BI95" s="62">
        <f ca="1">AVERAGE(OFFSET($BH$3,0,0,'Données projet'!$E$11+1,1))-AVERAGE(OFFSET($H$3,0,0,'Données projet'!$E$11+1,1))</f>
        <v>362.63718589694594</v>
      </c>
      <c r="BJ95" s="62">
        <f t="shared" si="92"/>
        <v>250.47702091764884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projet'!$B$11,Paramètres!$A$1:$I$88,3,0)*0.475*44/12</f>
        <v>29.086079115089895</v>
      </c>
      <c r="BQ95" s="23">
        <f>EXP(-LN(2)/25)*BQ94+(1-EXP(-LN(2)/25))/(LN(2)/25)*Calculateur!BL95*Calculateur!BN95*VLOOKUP('Données projet'!$B$11,Paramètres!$A$1:$I$88,3,0)*0.475*44/12</f>
        <v>0</v>
      </c>
      <c r="BR95" s="23">
        <f>EXP(-LN(2)/2)*BR94+(1-EXP(-LN(2)/2))/(LN(2)/2)*BL95*BO95*VLOOKUP('Données projet'!$B$11,Paramètres!$A$1:$I$88,3,0)*0.475*44/12</f>
        <v>0</v>
      </c>
      <c r="BS95" s="24">
        <f t="shared" si="63"/>
        <v>29.086079115089895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5</v>
      </c>
      <c r="BY95" s="13">
        <f>IF('Données projet'!$A$114&gt;35,BY94+BX95-CG94,IF(A95&lt;'Données projet'!$A$114,$BV$205^A95,IF(A95='Données projet'!$A$114,'Données projet'!$B$114,BY94+BX95-CG94)))</f>
        <v>263.99999999999983</v>
      </c>
      <c r="BZ95" s="14">
        <f>BY95*VLOOKUP('Données projet'!$B$12,Paramètres!$A$1:$I$88,3,0)*VLOOKUP('Données projet'!$B$12,Paramètres!$A$1:$I$88,5,0)</f>
        <v>267.69599999999986</v>
      </c>
      <c r="CA95" s="14">
        <f t="shared" si="93"/>
        <v>64.360058723585439</v>
      </c>
      <c r="CB95" s="22">
        <f t="shared" si="64"/>
        <v>578.33096894357766</v>
      </c>
      <c r="CC95" s="62">
        <f t="shared" si="65"/>
        <v>853.34127098668932</v>
      </c>
      <c r="CD95" s="62">
        <f ca="1">AVERAGE(OFFSET($CC$3,0,0,'Données projet'!$E$12+1,1))-AVERAGE(OFFSET($H$3,0,0,'Données projet'!$E$12+1,1))</f>
        <v>398.14524781940196</v>
      </c>
      <c r="CE95" s="62">
        <f t="shared" si="94"/>
        <v>273.35778700650792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projet'!$B$12,Paramètres!$A$1:$I$88,3,0)*0.475*44/12</f>
        <v>32.596467973807641</v>
      </c>
      <c r="CL95" s="23">
        <f>EXP(-LN(2)/25)*CL94+(1-EXP(-LN(2)/25))/(LN(2)/25)*Calculateur!CG95*Calculateur!CI95*VLOOKUP('Données projet'!$B$12,Paramètres!$A$1:$I$88,3,0)*0.475*44/12</f>
        <v>0</v>
      </c>
      <c r="CM95" s="23">
        <f>EXP(-LN(2)/2)*CM94+(1-EXP(-LN(2)/2))/(LN(2)/2)*CG95*CJ95*VLOOKUP('Données projet'!$B$12,Paramètres!$A$1:$I$88,3,0)*0.475*44/12</f>
        <v>0</v>
      </c>
      <c r="CN95" s="24">
        <f t="shared" si="66"/>
        <v>32.596467973807641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6.6</v>
      </c>
      <c r="CT95" s="13">
        <f>IF('Données projet'!$A$140&gt;35,CT94+CS95-DB94,IF(A95&lt;'Données projet'!$A$140,$CQ$205^A95,IF(A95='Données projet'!$A$140,'Données projet'!$B$140,CT94+CS95-DB94)))</f>
        <v>369.20000000000005</v>
      </c>
      <c r="CU95" s="18">
        <f>CT95*VLOOKUP('Données projet'!$B$13,Paramètres!$A$1:$I$88,3,0)*VLOOKUP('Données projet'!$B$13,Paramètres!$A$1:$I$88,5,0)</f>
        <v>351.33072000000004</v>
      </c>
      <c r="CV95" s="14">
        <f t="shared" si="95"/>
        <v>81.836459759230152</v>
      </c>
      <c r="CW95" s="22">
        <f t="shared" si="67"/>
        <v>754.43283808065917</v>
      </c>
      <c r="CX95" s="62">
        <f t="shared" si="68"/>
        <v>1029.4431401237709</v>
      </c>
      <c r="CY95" s="62">
        <f ca="1">AVERAGE(OFFSET($CX$3,0,0,'Données projet'!$E$13+1,1))-AVERAGE(OFFSET($H$3,0,0,'Données projet'!$E$13+1,1))</f>
        <v>470.0521927195926</v>
      </c>
      <c r="CZ95" s="62">
        <f t="shared" si="96"/>
        <v>299.27200854723435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projet'!$B$13,Paramètres!$A$1:$I$88,3,0)*0.475*44/12</f>
        <v>30.590531483111778</v>
      </c>
      <c r="DG95" s="23">
        <f>EXP(-LN(2)/25)*DG94+(1-EXP(-LN(2)/25))/(LN(2)/25)*Calculateur!DB95*Calculateur!DD95*VLOOKUP('Données projet'!$B$13,Paramètres!$A$1:$I$88,3,0)*0.475*44/12</f>
        <v>0</v>
      </c>
      <c r="DH95" s="23">
        <f>EXP(-LN(2)/2)*DH94+(1-EXP(-LN(2)/2))/(LN(2)/2)*DB95*DE95*VLOOKUP('Données projet'!$B$13,Paramètres!$A$1:$I$88,3,0)*0.475*44/12</f>
        <v>0</v>
      </c>
      <c r="DI95" s="24">
        <f t="shared" si="69"/>
        <v>30.590531483111778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3.6</v>
      </c>
      <c r="DO95" s="13">
        <f>IF('Données projet'!$A$166&gt;35,DO94+DN95-DW94,IF(A95&lt;'Données projet'!$A$166,$DL$205^A95,IF(A95='Données projet'!$A$166,'Données projet'!$B$166,DO94+DN95-DW94)))</f>
        <v>205.19999999999993</v>
      </c>
      <c r="DP95" s="18">
        <f>DO95*VLOOKUP('Données projet'!$B$14,Paramètres!$A$1:$I$88,3,0)*VLOOKUP('Données projet'!$B$14,Paramètres!$A$1:$I$88,5,0)</f>
        <v>198.46943999999993</v>
      </c>
      <c r="DQ95" s="14">
        <f t="shared" si="97"/>
        <v>49.407646717262175</v>
      </c>
      <c r="DR95" s="22">
        <f t="shared" si="70"/>
        <v>431.7192593658981</v>
      </c>
      <c r="DS95" s="62">
        <f t="shared" si="71"/>
        <v>706.72956140900988</v>
      </c>
      <c r="DT95" s="62">
        <f ca="1">AVERAGE(OFFSET($DS$3,0,0,'Données projet'!$E$14+1,1))-AVERAGE(OFFSET($H$3,0,0,'Données projet'!$E$14+1,1))</f>
        <v>290.89727102147953</v>
      </c>
      <c r="DU95" s="62">
        <f t="shared" si="98"/>
        <v>173.19148969173838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projet'!$B$14,Paramètres!$A$1:$I$88,3,0)*0.475*44/12</f>
        <v>20.728010403857169</v>
      </c>
      <c r="EB95" s="23">
        <f>EXP(-LN(2)/25)*EB94+(1-EXP(-LN(2)/25))/(LN(2)/25)*Calculateur!DW95*Calculateur!DY95*VLOOKUP('Données projet'!$B$14,Paramètres!$A$1:$I$88,3,0)*0.475*44/12</f>
        <v>0</v>
      </c>
      <c r="EC95" s="23">
        <f>EXP(-LN(2)/2)*EC94+(1-EXP(-LN(2)/2))/(LN(2)/2)*DW95*DZ95*VLOOKUP('Données projet'!$B$14,Paramètres!$A$1:$I$88,3,0)*0.475*44/12</f>
        <v>0</v>
      </c>
      <c r="ED95" s="24">
        <f t="shared" si="72"/>
        <v>20.728010403857169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projet'!$B$15,Paramètres!$A$1:$I$88,3,0)*VLOOKUP('Données projet'!$B$15,Paramètres!$A$1:$I$88,5,0)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projet'!$B$15,Paramètres!$A$1:$I$88,3,0)*0.475*44/12</f>
        <v>#N/A</v>
      </c>
      <c r="EW95" s="23" t="e">
        <f>EXP(-LN(2)/25)*EW94+(1-EXP(-LN(2)/25))/(LN(2)/25)*Calculateur!ER95*Calculateur!ET95*VLOOKUP('Données projet'!$B$15,Paramètres!$A$1:$I$88,3,0)*0.475*44/12</f>
        <v>#N/A</v>
      </c>
      <c r="EX95" s="23" t="e">
        <f>EXP(-LN(2)/2)*EX94+(1-EXP(-LN(2)/2))/(LN(2)/2)*ER95*EU95*VLOOKUP('Données projet'!$B$15,Paramètres!$A$1:$I$88,3,0)*0.475*44/12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projet'!$B$16,Paramètres!$A$1:$I$88,3,0)*VLOOKUP('Données projet'!$B$16,Paramètres!$A$1:$I$88,5,0)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projet'!$B$16,Paramètres!$A$1:$I$88,3,0)*0.475*44/12</f>
        <v>#N/A</v>
      </c>
      <c r="FR95" s="23" t="e">
        <f>EXP(-LN(2)/25)*FR94+(1-EXP(-LN(2)/25))/(LN(2)/25)*Calculateur!FM95*Calculateur!FO95*VLOOKUP('Données projet'!$B$16,Paramètres!$A$1:$I$88,3,0)*0.475*44/12</f>
        <v>#N/A</v>
      </c>
      <c r="FS95" s="23" t="e">
        <f>EXP(-LN(2)/2)*FS94+(1-EXP(-LN(2)/2))/(LN(2)/2)*FM95*FP95*VLOOKUP('Données projet'!$B$16,Paramètres!$A$1:$I$88,3,0)*0.475*44/12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projet'!$B$17,Paramètres!$A$1:$I$88,3,0)*VLOOKUP('Données projet'!$B$17,Paramètres!$A$1:$I$88,5,0)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projet'!$B$17,Paramètres!$A$1:$I$88,3,0)*0.475*44/12</f>
        <v>#N/A</v>
      </c>
      <c r="GM95" s="23" t="e">
        <f>EXP(-LN(2)/25)*GM94+(1-EXP(-LN(2)/25))/(LN(2)/25)*Calculateur!GH95*Calculateur!GJ95*VLOOKUP('Données projet'!$B$17,Paramètres!$A$1:$I$88,3,0)*0.475*44/12</f>
        <v>#N/A</v>
      </c>
      <c r="GN95" s="23" t="e">
        <f>EXP(-LN(2)/2)*GN94+(1-EXP(-LN(2)/2))/(LN(2)/2)*GH95*GK95*VLOOKUP('Données projet'!$B$17,Paramètres!$A$1:$I$88,3,0)*0.475*44/12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projet'!$B$18,Paramètres!$A$1:$I$88,3,0)*VLOOKUP('Données projet'!$B$18,Paramètres!$A$1:$I$88,5,0)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projet'!$B$18,Paramètres!$A$1:$I$88,3,0)*0.475*44/12</f>
        <v>#N/A</v>
      </c>
      <c r="HH95" s="23" t="e">
        <f>EXP(-LN(2)/25)*HH94+(1-EXP(-LN(2)/25))/(LN(2)/25)*Calculateur!HC95*Calculateur!HE95*VLOOKUP('Données projet'!$B$18,Paramètres!$A$1:$I$88,3,0)*0.475*44/12</f>
        <v>#N/A</v>
      </c>
      <c r="HI95" s="23" t="e">
        <f>EXP(-LN(2)/2)*HI94+(1-EXP(-LN(2)/2))/(LN(2)/2)*HC95*HF95*VLOOKUP('Données projet'!$B$18,Paramètres!$A$1:$I$88,3,0)*0.475*44/12</f>
        <v>#N/A</v>
      </c>
      <c r="HJ95" s="24" t="e">
        <f t="shared" si="84"/>
        <v>#N/A</v>
      </c>
    </row>
    <row r="96" spans="1:218" s="5" customFormat="1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projet'!$B$9,Paramètres!$A$1:$I$88,3,0)*VLOOKUP('Données projet'!$B$9,Paramètres!$A$1:$I$88,5,0)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275.32816567183704</v>
      </c>
      <c r="S96" s="62">
        <f ca="1">AVERAGE(OFFSET($R$3,0,0,'Données projet'!$E$9+1,1))-AVERAGE(OFFSET($H$3,0,0,'Données projet'!$E$9+1,1))</f>
        <v>301.2688576786212</v>
      </c>
      <c r="T96" s="62">
        <f t="shared" si="88"/>
        <v>417.62172165132927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projet'!$B$9,Paramètres!$A$1:$I$88,7,0))</f>
        <v>0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64.353598102262382</v>
      </c>
      <c r="AA96" s="23">
        <f>EXP(-LN(2)/25)*AA95+(1-EXP(-LN(2)/25))/(LN(2)/25)*Calculateur!V96*Calculateur!X96*VLOOKUP('Données projet'!$B$9,Paramètres!$A$1:$I$88,3,0)*0.475*44/12</f>
        <v>15.101282976499784</v>
      </c>
      <c r="AB96" s="23">
        <f>EXP(-LN(2)/2)*AB95+(1-EXP(-LN(2)/2))/(LN(2)/2)*V96*Y96*VLOOKUP('Données projet'!$B$9,Paramètres!$A$1:$I$88,3,0)*0.475*44/12</f>
        <v>9.9307408858371672E-6</v>
      </c>
      <c r="AC96" s="24">
        <f t="shared" si="57"/>
        <v>79.454891009503058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projet'!$B$10,Paramètres!$A$1:$I$88,3,0)*VLOOKUP('Données projet'!$B$10,Paramètres!$A$1:$I$88,5,0)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170.08673939431091</v>
      </c>
      <c r="AO96" s="62">
        <f t="shared" si="90"/>
        <v>252.97355497077106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projet'!$B$10,Paramètres!$A$1:$I$88,7,0))</f>
        <v>0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projet'!$B$10,Paramètres!$A$1:$I$88,3,0)*0.475*44/12</f>
        <v>26.869395773333622</v>
      </c>
      <c r="AV96" s="23">
        <f>EXP(-LN(2)/25)*AV95+(1-EXP(-LN(2)/25))/(LN(2)/25)*Calculateur!AQ96*Calculateur!AS96*VLOOKUP('Données projet'!$B$10,Paramètres!$A$1:$I$88,3,0)*0.475*44/12</f>
        <v>15.305957023835298</v>
      </c>
      <c r="AW96" s="23">
        <f>EXP(-LN(2)/2)*AW95+(1-EXP(-LN(2)/2))/(LN(2)/2)*AQ96*AT96*VLOOKUP('Données projet'!$B$10,Paramètres!$A$1:$I$88,3,0)*0.475*44/12</f>
        <v>1.2720480693932418E-5</v>
      </c>
      <c r="AX96" s="23">
        <f t="shared" si="60"/>
        <v>42.175365517649617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5</v>
      </c>
      <c r="BD96" s="13">
        <f>IF('Données projet'!$A$88&gt;35,BD95+BC96-BL95,IF(A96&lt;'Données projet'!$A$88,$BA$205^A96,IF(A96='Données projet'!$A$88,'Données projet'!$B$88,BD95+BC96-BL95)))</f>
        <v>268.99999999999983</v>
      </c>
      <c r="BE96" s="14">
        <f>BD96*VLOOKUP('Données projet'!$B$11,Paramètres!$A$1:$I$88,3,0)*VLOOKUP('Données projet'!$B$11,Paramètres!$A$1:$I$88,5,0)</f>
        <v>243.39119999999986</v>
      </c>
      <c r="BF96" s="14">
        <f t="shared" si="91"/>
        <v>59.168566788241527</v>
      </c>
      <c r="BG96" s="22">
        <f t="shared" si="61"/>
        <v>526.95826048952051</v>
      </c>
      <c r="BH96" s="62">
        <f t="shared" si="62"/>
        <v>802.28642616135653</v>
      </c>
      <c r="BI96" s="62">
        <f ca="1">AVERAGE(OFFSET($BH$3,0,0,'Données projet'!$E$11+1,1))-AVERAGE(OFFSET($H$3,0,0,'Données projet'!$E$11+1,1))</f>
        <v>362.63718589694594</v>
      </c>
      <c r="BJ96" s="62">
        <f t="shared" si="92"/>
        <v>250.47702091764884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projet'!$B$11,Paramètres!$A$1:$I$88,7,0))</f>
        <v>0</v>
      </c>
      <c r="BN96" s="17">
        <f>IF(ISNA(VLOOKUP(A96,'Données projet'!$A$87:$I$107,6,0)),0%,VLOOKUP(A96,'Données projet'!$A$87:$I$107,6,0)*VLOOKUP('Données projet'!$B$11,Paramètres!$A$1:$I$88,7,0))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projet'!$B$11,Paramètres!$A$1:$I$88,3,0)*0.475*44/12</f>
        <v>28.515718844399487</v>
      </c>
      <c r="BQ96" s="23">
        <f>EXP(-LN(2)/25)*BQ95+(1-EXP(-LN(2)/25))/(LN(2)/25)*Calculateur!BL96*Calculateur!BN96*VLOOKUP('Données projet'!$B$11,Paramètres!$A$1:$I$88,3,0)*0.475*44/12</f>
        <v>0</v>
      </c>
      <c r="BR96" s="23">
        <f>EXP(-LN(2)/2)*BR95+(1-EXP(-LN(2)/2))/(LN(2)/2)*BL96*BO96*VLOOKUP('Données projet'!$B$11,Paramètres!$A$1:$I$88,3,0)*0.475*44/12</f>
        <v>0</v>
      </c>
      <c r="BS96" s="24">
        <f t="shared" si="63"/>
        <v>28.515718844399487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5</v>
      </c>
      <c r="BY96" s="13">
        <f>IF('Données projet'!$A$114&gt;35,BY95+BX96-CG95,IF(A96&lt;'Données projet'!$A$114,$BV$205^A96,IF(A96='Données projet'!$A$114,'Données projet'!$B$114,BY95+BX96-CG95)))</f>
        <v>268.99999999999983</v>
      </c>
      <c r="BZ96" s="14">
        <f>BY96*VLOOKUP('Données projet'!$B$12,Paramètres!$A$1:$I$88,3,0)*VLOOKUP('Données projet'!$B$12,Paramètres!$A$1:$I$88,5,0)</f>
        <v>272.76599999999985</v>
      </c>
      <c r="CA96" s="14">
        <f t="shared" si="93"/>
        <v>65.43593563008757</v>
      </c>
      <c r="CB96" s="22">
        <f t="shared" si="64"/>
        <v>589.03503788906892</v>
      </c>
      <c r="CC96" s="62">
        <f t="shared" si="65"/>
        <v>864.36320356090482</v>
      </c>
      <c r="CD96" s="62">
        <f ca="1">AVERAGE(OFFSET($CC$3,0,0,'Données projet'!$E$12+1,1))-AVERAGE(OFFSET($H$3,0,0,'Données projet'!$E$12+1,1))</f>
        <v>398.14524781940196</v>
      </c>
      <c r="CE96" s="62">
        <f t="shared" si="94"/>
        <v>273.35778700650792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projet'!$B$12,Paramètres!$A$1:$I$88,3,0)*0.475*44/12</f>
        <v>31.957271118723565</v>
      </c>
      <c r="CL96" s="23">
        <f>EXP(-LN(2)/25)*CL95+(1-EXP(-LN(2)/25))/(LN(2)/25)*Calculateur!CG96*Calculateur!CI96*VLOOKUP('Données projet'!$B$12,Paramètres!$A$1:$I$88,3,0)*0.475*44/12</f>
        <v>0</v>
      </c>
      <c r="CM96" s="23">
        <f>EXP(-LN(2)/2)*CM95+(1-EXP(-LN(2)/2))/(LN(2)/2)*CG96*CJ96*VLOOKUP('Données projet'!$B$12,Paramètres!$A$1:$I$88,3,0)*0.475*44/12</f>
        <v>0</v>
      </c>
      <c r="CN96" s="24">
        <f t="shared" si="66"/>
        <v>31.957271118723565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6.6</v>
      </c>
      <c r="CT96" s="13">
        <f>IF('Données projet'!$A$140&gt;35,CT95+CS96-DB95,IF(A96&lt;'Données projet'!$A$140,$CQ$205^A96,IF(A96='Données projet'!$A$140,'Données projet'!$B$140,CT95+CS96-DB95)))</f>
        <v>375.80000000000007</v>
      </c>
      <c r="CU96" s="18">
        <f>CT96*VLOOKUP('Données projet'!$B$13,Paramètres!$A$1:$I$88,3,0)*VLOOKUP('Données projet'!$B$13,Paramètres!$A$1:$I$88,5,0)</f>
        <v>357.61128000000008</v>
      </c>
      <c r="CV96" s="14">
        <f t="shared" si="95"/>
        <v>83.127785132328043</v>
      </c>
      <c r="CW96" s="22">
        <f t="shared" si="67"/>
        <v>767.62053843880483</v>
      </c>
      <c r="CX96" s="62">
        <f t="shared" si="68"/>
        <v>1042.9487041106408</v>
      </c>
      <c r="CY96" s="62">
        <f ca="1">AVERAGE(OFFSET($CX$3,0,0,'Données projet'!$E$13+1,1))-AVERAGE(OFFSET($H$3,0,0,'Données projet'!$E$13+1,1))</f>
        <v>470.0521927195926</v>
      </c>
      <c r="CZ96" s="62">
        <f t="shared" si="96"/>
        <v>299.27200854723435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projet'!$B$13,Paramètres!$A$1:$I$88,7,0))</f>
        <v>0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projet'!$B$13,Paramètres!$A$1:$I$88,3,0)*0.475*44/12</f>
        <v>29.990669819109797</v>
      </c>
      <c r="DG96" s="23">
        <f>EXP(-LN(2)/25)*DG95+(1-EXP(-LN(2)/25))/(LN(2)/25)*Calculateur!DB96*Calculateur!DD96*VLOOKUP('Données projet'!$B$13,Paramètres!$A$1:$I$88,3,0)*0.475*44/12</f>
        <v>0</v>
      </c>
      <c r="DH96" s="23">
        <f>EXP(-LN(2)/2)*DH95+(1-EXP(-LN(2)/2))/(LN(2)/2)*DB96*DE96*VLOOKUP('Données projet'!$B$13,Paramètres!$A$1:$I$88,3,0)*0.475*44/12</f>
        <v>0</v>
      </c>
      <c r="DI96" s="24">
        <f t="shared" si="69"/>
        <v>29.990669819109797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3.6</v>
      </c>
      <c r="DO96" s="13">
        <f>IF('Données projet'!$A$166&gt;35,DO95+DN96-DW95,IF(A96&lt;'Données projet'!$A$166,$DL$205^A96,IF(A96='Données projet'!$A$166,'Données projet'!$B$166,DO95+DN96-DW95)))</f>
        <v>208.79999999999993</v>
      </c>
      <c r="DP96" s="18">
        <f>DO96*VLOOKUP('Données projet'!$B$14,Paramètres!$A$1:$I$88,3,0)*VLOOKUP('Données projet'!$B$14,Paramètres!$A$1:$I$88,5,0)</f>
        <v>201.95135999999994</v>
      </c>
      <c r="DQ96" s="14">
        <f t="shared" si="97"/>
        <v>50.172774950657889</v>
      </c>
      <c r="DR96" s="22">
        <f t="shared" si="70"/>
        <v>439.11620170572905</v>
      </c>
      <c r="DS96" s="62">
        <f t="shared" si="71"/>
        <v>714.44436737756496</v>
      </c>
      <c r="DT96" s="62">
        <f ca="1">AVERAGE(OFFSET($DS$3,0,0,'Données projet'!$E$14+1,1))-AVERAGE(OFFSET($H$3,0,0,'Données projet'!$E$14+1,1))</f>
        <v>290.89727102147953</v>
      </c>
      <c r="DU96" s="62">
        <f t="shared" si="98"/>
        <v>173.19148969173838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projet'!$B$14,Paramètres!$A$1:$I$88,3,0)*0.475*44/12</f>
        <v>20.321546762675499</v>
      </c>
      <c r="EB96" s="23">
        <f>EXP(-LN(2)/25)*EB95+(1-EXP(-LN(2)/25))/(LN(2)/25)*Calculateur!DW96*Calculateur!DY96*VLOOKUP('Données projet'!$B$14,Paramètres!$A$1:$I$88,3,0)*0.475*44/12</f>
        <v>0</v>
      </c>
      <c r="EC96" s="23">
        <f>EXP(-LN(2)/2)*EC95+(1-EXP(-LN(2)/2))/(LN(2)/2)*DW96*DZ96*VLOOKUP('Données projet'!$B$14,Paramètres!$A$1:$I$88,3,0)*0.475*44/12</f>
        <v>0</v>
      </c>
      <c r="ED96" s="24">
        <f t="shared" si="72"/>
        <v>20.321546762675499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projet'!$B$15,Paramètres!$A$1:$I$88,3,0)*VLOOKUP('Données projet'!$B$15,Paramètres!$A$1:$I$88,5,0)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projet'!$B$15,Paramètres!$A$1:$I$88,3,0)*0.475*44/12</f>
        <v>#N/A</v>
      </c>
      <c r="EW96" s="23" t="e">
        <f>EXP(-LN(2)/25)*EW95+(1-EXP(-LN(2)/25))/(LN(2)/25)*Calculateur!ER96*Calculateur!ET96*VLOOKUP('Données projet'!$B$15,Paramètres!$A$1:$I$88,3,0)*0.475*44/12</f>
        <v>#N/A</v>
      </c>
      <c r="EX96" s="23" t="e">
        <f>EXP(-LN(2)/2)*EX95+(1-EXP(-LN(2)/2))/(LN(2)/2)*ER96*EU96*VLOOKUP('Données projet'!$B$15,Paramètres!$A$1:$I$88,3,0)*0.475*44/12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projet'!$B$16,Paramètres!$A$1:$I$88,3,0)*VLOOKUP('Données projet'!$B$16,Paramètres!$A$1:$I$88,5,0)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projet'!$B$16,Paramètres!$A$1:$I$88,3,0)*0.475*44/12</f>
        <v>#N/A</v>
      </c>
      <c r="FR96" s="23" t="e">
        <f>EXP(-LN(2)/25)*FR95+(1-EXP(-LN(2)/25))/(LN(2)/25)*Calculateur!FM96*Calculateur!FO96*VLOOKUP('Données projet'!$B$16,Paramètres!$A$1:$I$88,3,0)*0.475*44/12</f>
        <v>#N/A</v>
      </c>
      <c r="FS96" s="23" t="e">
        <f>EXP(-LN(2)/2)*FS95+(1-EXP(-LN(2)/2))/(LN(2)/2)*FM96*FP96*VLOOKUP('Données projet'!$B$16,Paramètres!$A$1:$I$88,3,0)*0.475*44/12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projet'!$B$17,Paramètres!$A$1:$I$88,3,0)*VLOOKUP('Données projet'!$B$17,Paramètres!$A$1:$I$88,5,0)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projet'!$B$17,Paramètres!$A$1:$I$88,3,0)*0.475*44/12</f>
        <v>#N/A</v>
      </c>
      <c r="GM96" s="23" t="e">
        <f>EXP(-LN(2)/25)*GM95+(1-EXP(-LN(2)/25))/(LN(2)/25)*Calculateur!GH96*Calculateur!GJ96*VLOOKUP('Données projet'!$B$17,Paramètres!$A$1:$I$88,3,0)*0.475*44/12</f>
        <v>#N/A</v>
      </c>
      <c r="GN96" s="23" t="e">
        <f>EXP(-LN(2)/2)*GN95+(1-EXP(-LN(2)/2))/(LN(2)/2)*GH96*GK96*VLOOKUP('Données projet'!$B$17,Paramètres!$A$1:$I$88,3,0)*0.475*44/12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projet'!$B$18,Paramètres!$A$1:$I$88,3,0)*VLOOKUP('Données projet'!$B$18,Paramètres!$A$1:$I$88,5,0)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projet'!$B$18,Paramètres!$A$1:$I$88,3,0)*0.475*44/12</f>
        <v>#N/A</v>
      </c>
      <c r="HH96" s="23" t="e">
        <f>EXP(-LN(2)/25)*HH95+(1-EXP(-LN(2)/25))/(LN(2)/25)*Calculateur!HC96*Calculateur!HE96*VLOOKUP('Données projet'!$B$18,Paramètres!$A$1:$I$88,3,0)*0.475*44/12</f>
        <v>#N/A</v>
      </c>
      <c r="HI96" s="23" t="e">
        <f>EXP(-LN(2)/2)*HI95+(1-EXP(-LN(2)/2))/(LN(2)/2)*HC96*HF96*VLOOKUP('Données projet'!$B$18,Paramètres!$A$1:$I$88,3,0)*0.475*44/12</f>
        <v>#N/A</v>
      </c>
      <c r="HJ96" s="24" t="e">
        <f t="shared" si="84"/>
        <v>#N/A</v>
      </c>
    </row>
    <row r="97" spans="1:218" s="5" customFormat="1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projet'!$B$9,Paramètres!$A$1:$I$88,3,0)*VLOOKUP('Données projet'!$B$9,Paramètres!$A$1:$I$88,5,0)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275.64051507723957</v>
      </c>
      <c r="S97" s="62">
        <f ca="1">AVERAGE(OFFSET($R$3,0,0,'Données projet'!$E$9+1,1))-AVERAGE(OFFSET($H$3,0,0,'Données projet'!$E$9+1,1))</f>
        <v>301.2688576786212</v>
      </c>
      <c r="T97" s="62">
        <f t="shared" si="88"/>
        <v>417.62172165132927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projet'!$B$9,Paramètres!$A$1:$I$88,7,0))</f>
        <v>0</v>
      </c>
      <c r="X97" s="17">
        <f>IF(ISNA(VLOOKUP(A97,'Données projet'!$A$35:$I$55,6,0)),0%,VLOOKUP(A97,'Données projet'!$A$35:$I$55,6,0)*VLOOKUP('Données projet'!$B$9,Paramètres!$A$1:$I$88,7,0))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63.091663295296065</v>
      </c>
      <c r="AA97" s="23">
        <f>EXP(-LN(2)/25)*AA96+(1-EXP(-LN(2)/25))/(LN(2)/25)*Calculateur!V97*Calculateur!X97*VLOOKUP('Données projet'!$B$9,Paramètres!$A$1:$I$88,3,0)*0.475*44/12</f>
        <v>14.68833759936544</v>
      </c>
      <c r="AB97" s="23">
        <f>EXP(-LN(2)/2)*AB96+(1-EXP(-LN(2)/2))/(LN(2)/2)*V97*Y97*VLOOKUP('Données projet'!$B$9,Paramètres!$A$1:$I$88,3,0)*0.475*44/12</f>
        <v>7.022094222581963E-6</v>
      </c>
      <c r="AC97" s="24">
        <f t="shared" si="57"/>
        <v>77.780007916755721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projet'!$B$10,Paramètres!$A$1:$I$88,3,0)*VLOOKUP('Données projet'!$B$10,Paramètres!$A$1:$I$88,5,0)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170.08673939431091</v>
      </c>
      <c r="AO97" s="62">
        <f t="shared" si="90"/>
        <v>252.97355497077106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projet'!$B$10,Paramètres!$A$1:$I$88,3,0)*0.475*44/12</f>
        <v>26.342503310931722</v>
      </c>
      <c r="AV97" s="23">
        <f>EXP(-LN(2)/25)*AV96+(1-EXP(-LN(2)/25))/(LN(2)/25)*Calculateur!AQ97*Calculateur!AS97*VLOOKUP('Données projet'!$B$10,Paramètres!$A$1:$I$88,3,0)*0.475*44/12</f>
        <v>14.887414824113224</v>
      </c>
      <c r="AW97" s="23">
        <f>EXP(-LN(2)/2)*AW96+(1-EXP(-LN(2)/2))/(LN(2)/2)*AQ97*AT97*VLOOKUP('Données projet'!$B$10,Paramètres!$A$1:$I$88,3,0)*0.475*44/12</f>
        <v>8.9947381586321722E-6</v>
      </c>
      <c r="AX97" s="23">
        <f t="shared" si="60"/>
        <v>41.229927129783107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5</v>
      </c>
      <c r="BD97" s="13">
        <f>IF('Données projet'!$A$88&gt;35,BD96+BC97-BL96,IF(A97&lt;'Données projet'!$A$88,$BA$205^A97,IF(A97='Données projet'!$A$88,'Données projet'!$B$88,BD96+BC97-BL96)))</f>
        <v>273.99999999999983</v>
      </c>
      <c r="BE97" s="14">
        <f>BD97*VLOOKUP('Données projet'!$B$11,Paramètres!$A$1:$I$88,3,0)*VLOOKUP('Données projet'!$B$11,Paramètres!$A$1:$I$88,5,0)</f>
        <v>247.91519999999986</v>
      </c>
      <c r="BF97" s="14">
        <f t="shared" si="91"/>
        <v>60.139294964297406</v>
      </c>
      <c r="BG97" s="22">
        <f t="shared" si="61"/>
        <v>536.52824539615096</v>
      </c>
      <c r="BH97" s="62">
        <f t="shared" si="62"/>
        <v>812.16876047338951</v>
      </c>
      <c r="BI97" s="62">
        <f ca="1">AVERAGE(OFFSET($BH$3,0,0,'Données projet'!$E$11+1,1))-AVERAGE(OFFSET($H$3,0,0,'Données projet'!$E$11+1,1))</f>
        <v>362.63718589694594</v>
      </c>
      <c r="BJ97" s="62">
        <f t="shared" si="92"/>
        <v>250.47702091764884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projet'!$B$11,Paramètres!$A$1:$I$88,3,0)*0.475*44/12</f>
        <v>27.956542990731904</v>
      </c>
      <c r="BQ97" s="23">
        <f>EXP(-LN(2)/25)*BQ96+(1-EXP(-LN(2)/25))/(LN(2)/25)*Calculateur!BL97*Calculateur!BN97*VLOOKUP('Données projet'!$B$11,Paramètres!$A$1:$I$88,3,0)*0.475*44/12</f>
        <v>0</v>
      </c>
      <c r="BR97" s="23">
        <f>EXP(-LN(2)/2)*BR96+(1-EXP(-LN(2)/2))/(LN(2)/2)*BL97*BO97*VLOOKUP('Données projet'!$B$11,Paramètres!$A$1:$I$88,3,0)*0.475*44/12</f>
        <v>0</v>
      </c>
      <c r="BS97" s="24">
        <f t="shared" si="63"/>
        <v>27.956542990731904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5</v>
      </c>
      <c r="BY97" s="13">
        <f>IF('Données projet'!$A$114&gt;35,BY96+BX97-CG96,IF(A97&lt;'Données projet'!$A$114,$BV$205^A97,IF(A97='Données projet'!$A$114,'Données projet'!$B$114,BY96+BX97-CG96)))</f>
        <v>273.99999999999983</v>
      </c>
      <c r="BZ97" s="14">
        <f>BY97*VLOOKUP('Données projet'!$B$12,Paramètres!$A$1:$I$88,3,0)*VLOOKUP('Données projet'!$B$12,Paramètres!$A$1:$I$88,5,0)</f>
        <v>277.83599999999984</v>
      </c>
      <c r="CA97" s="14">
        <f t="shared" si="93"/>
        <v>66.509487177652261</v>
      </c>
      <c r="CB97" s="22">
        <f t="shared" si="64"/>
        <v>599.73505683441078</v>
      </c>
      <c r="CC97" s="62">
        <f t="shared" si="65"/>
        <v>875.37557191164933</v>
      </c>
      <c r="CD97" s="62">
        <f ca="1">AVERAGE(OFFSET($CC$3,0,0,'Données projet'!$E$12+1,1))-AVERAGE(OFFSET($H$3,0,0,'Données projet'!$E$12+1,1))</f>
        <v>398.14524781940196</v>
      </c>
      <c r="CE97" s="62">
        <f t="shared" si="94"/>
        <v>273.35778700650792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projet'!$B$12,Paramètres!$A$1:$I$88,3,0)*0.475*44/12</f>
        <v>31.330608524096103</v>
      </c>
      <c r="CL97" s="23">
        <f>EXP(-LN(2)/25)*CL96+(1-EXP(-LN(2)/25))/(LN(2)/25)*Calculateur!CG97*Calculateur!CI97*VLOOKUP('Données projet'!$B$12,Paramètres!$A$1:$I$88,3,0)*0.475*44/12</f>
        <v>0</v>
      </c>
      <c r="CM97" s="23">
        <f>EXP(-LN(2)/2)*CM96+(1-EXP(-LN(2)/2))/(LN(2)/2)*CG97*CJ97*VLOOKUP('Données projet'!$B$12,Paramètres!$A$1:$I$88,3,0)*0.475*44/12</f>
        <v>0</v>
      </c>
      <c r="CN97" s="24">
        <f t="shared" si="66"/>
        <v>31.330608524096103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6.6</v>
      </c>
      <c r="CT97" s="13">
        <f>IF('Données projet'!$A$140&gt;35,CT96+CS97-DB96,IF(A97&lt;'Données projet'!$A$140,$CQ$205^A97,IF(A97='Données projet'!$A$140,'Données projet'!$B$140,CT96+CS97-DB96)))</f>
        <v>382.40000000000009</v>
      </c>
      <c r="CU97" s="18">
        <f>CT97*VLOOKUP('Données projet'!$B$13,Paramètres!$A$1:$I$88,3,0)*VLOOKUP('Données projet'!$B$13,Paramètres!$A$1:$I$88,5,0)</f>
        <v>363.89184000000006</v>
      </c>
      <c r="CV97" s="14">
        <f t="shared" si="95"/>
        <v>84.416473229355574</v>
      </c>
      <c r="CW97" s="22">
        <f t="shared" si="67"/>
        <v>780.80364554112759</v>
      </c>
      <c r="CX97" s="62">
        <f t="shared" si="68"/>
        <v>1056.4441606183661</v>
      </c>
      <c r="CY97" s="62">
        <f ca="1">AVERAGE(OFFSET($CX$3,0,0,'Données projet'!$E$13+1,1))-AVERAGE(OFFSET($H$3,0,0,'Données projet'!$E$13+1,1))</f>
        <v>470.0521927195926</v>
      </c>
      <c r="CZ97" s="62">
        <f t="shared" si="96"/>
        <v>299.27200854723435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projet'!$B$13,Paramètres!$A$1:$I$88,3,0)*0.475*44/12</f>
        <v>29.402571076459409</v>
      </c>
      <c r="DG97" s="23">
        <f>EXP(-LN(2)/25)*DG96+(1-EXP(-LN(2)/25))/(LN(2)/25)*Calculateur!DB97*Calculateur!DD97*VLOOKUP('Données projet'!$B$13,Paramètres!$A$1:$I$88,3,0)*0.475*44/12</f>
        <v>0</v>
      </c>
      <c r="DH97" s="23">
        <f>EXP(-LN(2)/2)*DH96+(1-EXP(-LN(2)/2))/(LN(2)/2)*DB97*DE97*VLOOKUP('Données projet'!$B$13,Paramètres!$A$1:$I$88,3,0)*0.475*44/12</f>
        <v>0</v>
      </c>
      <c r="DI97" s="24">
        <f t="shared" si="69"/>
        <v>29.402571076459409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3.6</v>
      </c>
      <c r="DO97" s="13">
        <f>IF('Données projet'!$A$166&gt;35,DO96+DN97-DW96,IF(A97&lt;'Données projet'!$A$166,$DL$205^A97,IF(A97='Données projet'!$A$166,'Données projet'!$B$166,DO96+DN97-DW96)))</f>
        <v>212.39999999999992</v>
      </c>
      <c r="DP97" s="18">
        <f>DO97*VLOOKUP('Données projet'!$B$14,Paramètres!$A$1:$I$88,3,0)*VLOOKUP('Données projet'!$B$14,Paramètres!$A$1:$I$88,5,0)</f>
        <v>205.43327999999994</v>
      </c>
      <c r="DQ97" s="14">
        <f t="shared" si="97"/>
        <v>50.93636911028532</v>
      </c>
      <c r="DR97" s="22">
        <f t="shared" si="70"/>
        <v>446.51047220041346</v>
      </c>
      <c r="DS97" s="62">
        <f t="shared" si="71"/>
        <v>722.15098727765189</v>
      </c>
      <c r="DT97" s="62">
        <f ca="1">AVERAGE(OFFSET($DS$3,0,0,'Données projet'!$E$14+1,1))-AVERAGE(OFFSET($H$3,0,0,'Données projet'!$E$14+1,1))</f>
        <v>290.89727102147953</v>
      </c>
      <c r="DU97" s="62">
        <f t="shared" si="98"/>
        <v>173.19148969173838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projet'!$B$14,Paramètres!$A$1:$I$88,3,0)*0.475*44/12</f>
        <v>19.923053625579062</v>
      </c>
      <c r="EB97" s="23">
        <f>EXP(-LN(2)/25)*EB96+(1-EXP(-LN(2)/25))/(LN(2)/25)*Calculateur!DW97*Calculateur!DY97*VLOOKUP('Données projet'!$B$14,Paramètres!$A$1:$I$88,3,0)*0.475*44/12</f>
        <v>0</v>
      </c>
      <c r="EC97" s="23">
        <f>EXP(-LN(2)/2)*EC96+(1-EXP(-LN(2)/2))/(LN(2)/2)*DW97*DZ97*VLOOKUP('Données projet'!$B$14,Paramètres!$A$1:$I$88,3,0)*0.475*44/12</f>
        <v>0</v>
      </c>
      <c r="ED97" s="24">
        <f t="shared" si="72"/>
        <v>19.923053625579062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projet'!$B$15,Paramètres!$A$1:$I$88,3,0)*VLOOKUP('Données projet'!$B$15,Paramètres!$A$1:$I$88,5,0)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projet'!$B$15,Paramètres!$A$1:$I$88,3,0)*0.475*44/12</f>
        <v>#N/A</v>
      </c>
      <c r="EW97" s="23" t="e">
        <f>EXP(-LN(2)/25)*EW96+(1-EXP(-LN(2)/25))/(LN(2)/25)*Calculateur!ER97*Calculateur!ET97*VLOOKUP('Données projet'!$B$15,Paramètres!$A$1:$I$88,3,0)*0.475*44/12</f>
        <v>#N/A</v>
      </c>
      <c r="EX97" s="23" t="e">
        <f>EXP(-LN(2)/2)*EX96+(1-EXP(-LN(2)/2))/(LN(2)/2)*ER97*EU97*VLOOKUP('Données projet'!$B$15,Paramètres!$A$1:$I$88,3,0)*0.475*44/12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projet'!$B$16,Paramètres!$A$1:$I$88,3,0)*VLOOKUP('Données projet'!$B$16,Paramètres!$A$1:$I$88,5,0)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projet'!$B$16,Paramètres!$A$1:$I$88,3,0)*0.475*44/12</f>
        <v>#N/A</v>
      </c>
      <c r="FR97" s="23" t="e">
        <f>EXP(-LN(2)/25)*FR96+(1-EXP(-LN(2)/25))/(LN(2)/25)*Calculateur!FM97*Calculateur!FO97*VLOOKUP('Données projet'!$B$16,Paramètres!$A$1:$I$88,3,0)*0.475*44/12</f>
        <v>#N/A</v>
      </c>
      <c r="FS97" s="23" t="e">
        <f>EXP(-LN(2)/2)*FS96+(1-EXP(-LN(2)/2))/(LN(2)/2)*FM97*FP97*VLOOKUP('Données projet'!$B$16,Paramètres!$A$1:$I$88,3,0)*0.475*44/12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projet'!$B$17,Paramètres!$A$1:$I$88,3,0)*VLOOKUP('Données projet'!$B$17,Paramètres!$A$1:$I$88,5,0)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projet'!$B$17,Paramètres!$A$1:$I$88,3,0)*0.475*44/12</f>
        <v>#N/A</v>
      </c>
      <c r="GM97" s="23" t="e">
        <f>EXP(-LN(2)/25)*GM96+(1-EXP(-LN(2)/25))/(LN(2)/25)*Calculateur!GH97*Calculateur!GJ97*VLOOKUP('Données projet'!$B$17,Paramètres!$A$1:$I$88,3,0)*0.475*44/12</f>
        <v>#N/A</v>
      </c>
      <c r="GN97" s="23" t="e">
        <f>EXP(-LN(2)/2)*GN96+(1-EXP(-LN(2)/2))/(LN(2)/2)*GH97*GK97*VLOOKUP('Données projet'!$B$17,Paramètres!$A$1:$I$88,3,0)*0.475*44/12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projet'!$B$18,Paramètres!$A$1:$I$88,3,0)*VLOOKUP('Données projet'!$B$18,Paramètres!$A$1:$I$88,5,0)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projet'!$B$18,Paramètres!$A$1:$I$88,3,0)*0.475*44/12</f>
        <v>#N/A</v>
      </c>
      <c r="HH97" s="23" t="e">
        <f>EXP(-LN(2)/25)*HH96+(1-EXP(-LN(2)/25))/(LN(2)/25)*Calculateur!HC97*Calculateur!HE97*VLOOKUP('Données projet'!$B$18,Paramètres!$A$1:$I$88,3,0)*0.475*44/12</f>
        <v>#N/A</v>
      </c>
      <c r="HI97" s="23" t="e">
        <f>EXP(-LN(2)/2)*HI96+(1-EXP(-LN(2)/2))/(LN(2)/2)*HC97*HF97*VLOOKUP('Données projet'!$B$18,Paramètres!$A$1:$I$88,3,0)*0.475*44/12</f>
        <v>#N/A</v>
      </c>
      <c r="HJ97" s="24" t="e">
        <f t="shared" si="84"/>
        <v>#N/A</v>
      </c>
    </row>
    <row r="98" spans="1:218" s="5" customFormat="1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projet'!$B$9,Paramètres!$A$1:$I$88,3,0)*VLOOKUP('Données projet'!$B$9,Paramètres!$A$1:$I$88,5,0)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275.94744591876702</v>
      </c>
      <c r="S98" s="62">
        <f ca="1">AVERAGE(OFFSET($R$3,0,0,'Données projet'!$E$9+1,1))-AVERAGE(OFFSET($H$3,0,0,'Données projet'!$E$9+1,1))</f>
        <v>301.2688576786212</v>
      </c>
      <c r="T98" s="62">
        <f t="shared" si="88"/>
        <v>417.62172165132927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projet'!$B$9,Paramètres!$A$1:$I$88,7,0))</f>
        <v>0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61.854474260190123</v>
      </c>
      <c r="AA98" s="23">
        <f>EXP(-LN(2)/25)*AA97+(1-EXP(-LN(2)/25))/(LN(2)/25)*Calculateur!V98*Calculateur!X98*VLOOKUP('Données projet'!$B$9,Paramètres!$A$1:$I$88,3,0)*0.475*44/12</f>
        <v>14.286684235284689</v>
      </c>
      <c r="AB98" s="23">
        <f>EXP(-LN(2)/2)*AB97+(1-EXP(-LN(2)/2))/(LN(2)/2)*V98*Y98*VLOOKUP('Données projet'!$B$9,Paramètres!$A$1:$I$88,3,0)*0.475*44/12</f>
        <v>4.9653704429185836E-6</v>
      </c>
      <c r="AC98" s="24">
        <f t="shared" si="57"/>
        <v>76.141163460845249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projet'!$B$10,Paramètres!$A$1:$I$88,3,0)*VLOOKUP('Données projet'!$B$10,Paramètres!$A$1:$I$88,5,0)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170.08673939431091</v>
      </c>
      <c r="AO98" s="62">
        <f t="shared" si="90"/>
        <v>252.97355497077106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projet'!$B$10,Paramètres!$A$1:$I$88,7,0))</f>
        <v>0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projet'!$B$10,Paramètres!$A$1:$I$88,3,0)*0.475*44/12</f>
        <v>25.825942888344851</v>
      </c>
      <c r="AV98" s="23">
        <f>EXP(-LN(2)/25)*AV97+(1-EXP(-LN(2)/25))/(LN(2)/25)*Calculateur!AQ98*Calculateur!AS98*VLOOKUP('Données projet'!$B$10,Paramètres!$A$1:$I$88,3,0)*0.475*44/12</f>
        <v>14.480317682852727</v>
      </c>
      <c r="AW98" s="23">
        <f>EXP(-LN(2)/2)*AW97+(1-EXP(-LN(2)/2))/(LN(2)/2)*AQ98*AT98*VLOOKUP('Données projet'!$B$10,Paramètres!$A$1:$I$88,3,0)*0.475*44/12</f>
        <v>6.3602403469662089E-6</v>
      </c>
      <c r="AX98" s="23">
        <f t="shared" si="60"/>
        <v>40.306266931437925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279</v>
      </c>
      <c r="BB98" s="13">
        <f>VLOOKUP(A98,'Données projet'!$A$87:$I$107,9,0)</f>
        <v>5</v>
      </c>
      <c r="BC98" s="13">
        <f t="array" ref="BC98">INDEX(BB:BB,MIN(IF(ISNUMBER(BB98:BB294),ROW(BB98:BB294),"")))</f>
        <v>5</v>
      </c>
      <c r="BD98" s="13">
        <f>IF('Données projet'!$A$88&gt;35,BD97+BC98-BL97,IF(A98&lt;'Données projet'!$A$88,$BA$205^A98,IF(A98='Données projet'!$A$88,'Données projet'!$B$88,BD97+BC98-BL97)))</f>
        <v>278.99999999999983</v>
      </c>
      <c r="BE98" s="14">
        <f>BD98*VLOOKUP('Données projet'!$B$11,Paramètres!$A$1:$I$88,3,0)*VLOOKUP('Données projet'!$B$11,Paramètres!$A$1:$I$88,5,0)</f>
        <v>252.43919999999983</v>
      </c>
      <c r="BF98" s="14">
        <f t="shared" si="91"/>
        <v>61.107963296116218</v>
      </c>
      <c r="BG98" s="22">
        <f t="shared" si="61"/>
        <v>546.09464274073537</v>
      </c>
      <c r="BH98" s="62">
        <f t="shared" si="62"/>
        <v>822.04208865950136</v>
      </c>
      <c r="BI98" s="62">
        <f ca="1">AVERAGE(OFFSET($BH$3,0,0,'Données projet'!$E$11+1,1))-AVERAGE(OFFSET($H$3,0,0,'Données projet'!$E$11+1,1))</f>
        <v>362.63718589694594</v>
      </c>
      <c r="BJ98" s="62">
        <f t="shared" si="92"/>
        <v>250.47702091764884</v>
      </c>
      <c r="BK98" s="16">
        <f>IF(ISNA(VLOOKUP(A98,'Données projet'!$A$87:$I$107,3,0)),0,VLOOKUP(A98,'Données projet'!$A$87:$I$107,3,0))</f>
        <v>16</v>
      </c>
      <c r="BL98" s="16">
        <f>IF(ISNA(VLOOKUP(A98,'Données projet'!$A$87:$I$107,4,0)),0,VLOOKUP(A98,'Données projet'!$A$87:$I$107,4,0))</f>
        <v>21</v>
      </c>
      <c r="BM98" s="17">
        <f>IF(ISNA(VLOOKUP(A98,'Données projet'!$A$87:$I$107,5,0)),0%,VLOOKUP(A98,'Données projet'!$A$87:$I$107,5,0)*VLOOKUP('Données projet'!$B$11,Paramètres!$A$1:$I$88,7,0))</f>
        <v>0.30099999999999999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projet'!$B$11,Paramètres!$A$1:$I$88,3,0)*0.475*44/12</f>
        <v>33.730783532307484</v>
      </c>
      <c r="BQ98" s="23">
        <f>EXP(-LN(2)/25)*BQ97+(1-EXP(-LN(2)/25))/(LN(2)/25)*Calculateur!BL98*Calculateur!BN98*VLOOKUP('Données projet'!$B$11,Paramètres!$A$1:$I$88,3,0)*0.475*44/12</f>
        <v>0</v>
      </c>
      <c r="BR98" s="23">
        <f>EXP(-LN(2)/2)*BR97+(1-EXP(-LN(2)/2))/(LN(2)/2)*BL98*BO98*VLOOKUP('Données projet'!$B$11,Paramètres!$A$1:$I$88,3,0)*0.475*44/12</f>
        <v>0</v>
      </c>
      <c r="BS98" s="24">
        <f t="shared" si="63"/>
        <v>33.730783532307484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279</v>
      </c>
      <c r="BW98" s="13">
        <f>VLOOKUP(A98,'Données projet'!$A$113:$I$133,9,0)</f>
        <v>5</v>
      </c>
      <c r="BX98" s="13">
        <f t="array" ref="BX98">INDEX(BW:BW,MIN(IF(ISNUMBER(BW98:BW294),ROW(BW98:BW294),"")))</f>
        <v>5</v>
      </c>
      <c r="BY98" s="13">
        <f>IF('Données projet'!$A$114&gt;35,BY97+BX98-CG97,IF(A98&lt;'Données projet'!$A$114,$BV$205^A98,IF(A98='Données projet'!$A$114,'Données projet'!$B$114,BY97+BX98-CG97)))</f>
        <v>278.99999999999983</v>
      </c>
      <c r="BZ98" s="14">
        <f>BY98*VLOOKUP('Données projet'!$B$12,Paramètres!$A$1:$I$88,3,0)*VLOOKUP('Données projet'!$B$12,Paramètres!$A$1:$I$88,5,0)</f>
        <v>282.90599999999989</v>
      </c>
      <c r="CA98" s="14">
        <f t="shared" si="93"/>
        <v>67.580760694123455</v>
      </c>
      <c r="CB98" s="22">
        <f t="shared" si="64"/>
        <v>610.43110820893151</v>
      </c>
      <c r="CC98" s="62">
        <f t="shared" si="65"/>
        <v>886.3785541276975</v>
      </c>
      <c r="CD98" s="62">
        <f ca="1">AVERAGE(OFFSET($CC$3,0,0,'Données projet'!$E$12+1,1))-AVERAGE(OFFSET($H$3,0,0,'Données projet'!$E$12+1,1))</f>
        <v>398.14524781940196</v>
      </c>
      <c r="CE98" s="62">
        <f t="shared" si="94"/>
        <v>273.35778700650792</v>
      </c>
      <c r="CF98" s="16">
        <f>IF(ISNA(VLOOKUP(A98,'Données projet'!$A$113:$I$133,3,0)),0,VLOOKUP(A98,'Données projet'!$A$113:$I$133,3,0))</f>
        <v>16</v>
      </c>
      <c r="CG98" s="16">
        <f>IF(ISNA(VLOOKUP(A98,'Données projet'!$A$113:$I$133,4,0)),0,VLOOKUP(A98,'Données projet'!$A$113:$I$133,4,0))</f>
        <v>21</v>
      </c>
      <c r="CH98" s="17">
        <f>IF(ISNA(VLOOKUP(A98,'Données projet'!$A$113:$I$133,5,0)),0%,VLOOKUP(A98,'Données projet'!$A$113:$I$133,5,0)*VLOOKUP('Données projet'!$B$12,Paramètres!$A$1:$I$88,7,0))</f>
        <v>0.30099999999999999</v>
      </c>
      <c r="CI98" s="17">
        <f>IF(ISNA(VLOOKUP(A98,'Données projet'!$A$113:$I$133,6,0)),0%,VLOOKUP(A98,'Données projet'!$A$113:$I$133,6,0)*VLOOKUP('Données projet'!$B$12,Paramètres!$A$1:$I$88,7,0))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projet'!$B$12,Paramètres!$A$1:$I$88,3,0)*0.475*44/12</f>
        <v>37.80174016551701</v>
      </c>
      <c r="CL98" s="23">
        <f>EXP(-LN(2)/25)*CL97+(1-EXP(-LN(2)/25))/(LN(2)/25)*Calculateur!CG98*Calculateur!CI98*VLOOKUP('Données projet'!$B$12,Paramètres!$A$1:$I$88,3,0)*0.475*44/12</f>
        <v>0</v>
      </c>
      <c r="CM98" s="23">
        <f>EXP(-LN(2)/2)*CM97+(1-EXP(-LN(2)/2))/(LN(2)/2)*CG98*CJ98*VLOOKUP('Données projet'!$B$12,Paramètres!$A$1:$I$88,3,0)*0.475*44/12</f>
        <v>0</v>
      </c>
      <c r="CN98" s="24">
        <f t="shared" si="66"/>
        <v>37.80174016551701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>
        <f>VLOOKUP(A98,'Données projet'!$A$139:$I$159,2,0)</f>
        <v>389</v>
      </c>
      <c r="CR98" s="13">
        <f>VLOOKUP(A98,'Données projet'!$A$139:$I$159,9,0)</f>
        <v>6.6</v>
      </c>
      <c r="CS98" s="13">
        <f t="array" ref="CS98">INDEX(CR:CR,MIN(IF(ISNUMBER(CR98:CR294),ROW(CR98:CR294),"")))</f>
        <v>6.6</v>
      </c>
      <c r="CT98" s="13">
        <f>IF('Données projet'!$A$140&gt;35,CT97+CS98-DB97,IF(A98&lt;'Données projet'!$A$140,$CQ$205^A98,IF(A98='Données projet'!$A$140,'Données projet'!$B$140,CT97+CS98-DB97)))</f>
        <v>389.00000000000011</v>
      </c>
      <c r="CU98" s="18">
        <f>CT98*VLOOKUP('Données projet'!$B$13,Paramètres!$A$1:$I$88,3,0)*VLOOKUP('Données projet'!$B$13,Paramètres!$A$1:$I$88,5,0)</f>
        <v>370.17240000000015</v>
      </c>
      <c r="CV98" s="14">
        <f t="shared" si="95"/>
        <v>85.702574820499876</v>
      </c>
      <c r="CW98" s="22">
        <f t="shared" si="67"/>
        <v>793.98224781237093</v>
      </c>
      <c r="CX98" s="62">
        <f t="shared" si="68"/>
        <v>1069.9296937311369</v>
      </c>
      <c r="CY98" s="62">
        <f ca="1">AVERAGE(OFFSET($CX$3,0,0,'Données projet'!$E$13+1,1))-AVERAGE(OFFSET($H$3,0,0,'Données projet'!$E$13+1,1))</f>
        <v>470.0521927195926</v>
      </c>
      <c r="CZ98" s="62">
        <f t="shared" si="96"/>
        <v>299.27200854723435</v>
      </c>
      <c r="DA98" s="16">
        <f>IF(ISNA(VLOOKUP(A98,'Données projet'!$A$139:$I$159,3,0)),0,VLOOKUP(A98,'Données projet'!$A$139:$I$159,3,0))</f>
        <v>16</v>
      </c>
      <c r="DB98" s="16">
        <f>IF(ISNA(VLOOKUP(A98,'Données projet'!$A$139:$I$159,4,0)),0,VLOOKUP(A98,'Données projet'!$A$139:$I$159,4,0))</f>
        <v>21</v>
      </c>
      <c r="DC98" s="17">
        <f>IF(ISNA(VLOOKUP(A98,'Données projet'!$A$139:$I$159,5,0)),0%,VLOOKUP(A98,'Données projet'!$A$139:$I$159,5,0)*VLOOKUP('Données projet'!$B$13,Paramètres!$A$1:$I$88,7,0))</f>
        <v>0.30099999999999999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projet'!$B$13,Paramètres!$A$1:$I$88,3,0)*0.475*44/12</f>
        <v>35.475479232254415</v>
      </c>
      <c r="DG98" s="23">
        <f>EXP(-LN(2)/25)*DG97+(1-EXP(-LN(2)/25))/(LN(2)/25)*Calculateur!DB98*Calculateur!DD98*VLOOKUP('Données projet'!$B$13,Paramètres!$A$1:$I$88,3,0)*0.475*44/12</f>
        <v>0</v>
      </c>
      <c r="DH98" s="23">
        <f>EXP(-LN(2)/2)*DH97+(1-EXP(-LN(2)/2))/(LN(2)/2)*DB98*DE98*VLOOKUP('Données projet'!$B$13,Paramètres!$A$1:$I$88,3,0)*0.475*44/12</f>
        <v>0</v>
      </c>
      <c r="DI98" s="24">
        <f t="shared" si="69"/>
        <v>35.475479232254415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>
        <f>VLOOKUP(A98,'Données projet'!$A$165:$I$185,2,0)</f>
        <v>216</v>
      </c>
      <c r="DM98" s="13">
        <f>VLOOKUP(A98,'Données projet'!$A$165:$I$185,9,0)</f>
        <v>3.6</v>
      </c>
      <c r="DN98" s="13">
        <f t="array" ref="DN98">INDEX(DM:DM,MIN(IF(ISNUMBER(DM98:DM294),ROW(DM98:DM294),"")))</f>
        <v>3.6</v>
      </c>
      <c r="DO98" s="13">
        <f>IF('Données projet'!$A$166&gt;35,DO97+DN98-DW97,IF(A98&lt;'Données projet'!$A$166,$DL$205^A98,IF(A98='Données projet'!$A$166,'Données projet'!$B$166,DO97+DN98-DW97)))</f>
        <v>215.99999999999991</v>
      </c>
      <c r="DP98" s="18">
        <f>DO98*VLOOKUP('Données projet'!$B$14,Paramètres!$A$1:$I$88,3,0)*VLOOKUP('Données projet'!$B$14,Paramètres!$A$1:$I$88,5,0)</f>
        <v>208.91519999999994</v>
      </c>
      <c r="DQ98" s="14">
        <f t="shared" si="97"/>
        <v>51.698458198123326</v>
      </c>
      <c r="DR98" s="22">
        <f t="shared" si="70"/>
        <v>453.90212136173136</v>
      </c>
      <c r="DS98" s="62">
        <f t="shared" si="71"/>
        <v>729.84956728049724</v>
      </c>
      <c r="DT98" s="62">
        <f ca="1">AVERAGE(OFFSET($DS$3,0,0,'Données projet'!$E$14+1,1))-AVERAGE(OFFSET($H$3,0,0,'Données projet'!$E$14+1,1))</f>
        <v>290.89727102147953</v>
      </c>
      <c r="DU98" s="62">
        <f t="shared" si="98"/>
        <v>173.19148969173838</v>
      </c>
      <c r="DV98" s="16">
        <f>IF(ISNA(VLOOKUP(A98,'Données projet'!$A$165:$I$185,3,0)),0,VLOOKUP(A98,'Données projet'!$A$165:$I$185,3,0))</f>
        <v>16</v>
      </c>
      <c r="DW98" s="16">
        <f>IF(ISNA(VLOOKUP(A98,'Données projet'!$A$165:$I$185,4,0)),0,VLOOKUP(A98,'Données projet'!$A$165:$I$185,4,0))</f>
        <v>14</v>
      </c>
      <c r="DX98" s="17">
        <f>IF(ISNA(VLOOKUP(A98,'Données projet'!$A$165:$I$185,5,0)),0%,VLOOKUP(A98,'Données projet'!$A$165:$I$185,5,0)*VLOOKUP('Données projet'!$B$14,Paramètres!$A$1:$I$88,7,0))</f>
        <v>0.30099999999999999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projet'!$B$14,Paramètres!$A$1:$I$88,3,0)*0.475*44/12</f>
        <v>24.038029643713383</v>
      </c>
      <c r="EB98" s="23">
        <f>EXP(-LN(2)/25)*EB97+(1-EXP(-LN(2)/25))/(LN(2)/25)*Calculateur!DW98*Calculateur!DY98*VLOOKUP('Données projet'!$B$14,Paramètres!$A$1:$I$88,3,0)*0.475*44/12</f>
        <v>0</v>
      </c>
      <c r="EC98" s="23">
        <f>EXP(-LN(2)/2)*EC97+(1-EXP(-LN(2)/2))/(LN(2)/2)*DW98*DZ98*VLOOKUP('Données projet'!$B$14,Paramètres!$A$1:$I$88,3,0)*0.475*44/12</f>
        <v>0</v>
      </c>
      <c r="ED98" s="24">
        <f t="shared" si="72"/>
        <v>24.038029643713383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projet'!$B$15,Paramètres!$A$1:$I$88,3,0)*VLOOKUP('Données projet'!$B$15,Paramètres!$A$1:$I$88,5,0)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projet'!$B$15,Paramètres!$A$1:$I$88,3,0)*0.475*44/12</f>
        <v>#N/A</v>
      </c>
      <c r="EW98" s="23" t="e">
        <f>EXP(-LN(2)/25)*EW97+(1-EXP(-LN(2)/25))/(LN(2)/25)*Calculateur!ER98*Calculateur!ET98*VLOOKUP('Données projet'!$B$15,Paramètres!$A$1:$I$88,3,0)*0.475*44/12</f>
        <v>#N/A</v>
      </c>
      <c r="EX98" s="23" t="e">
        <f>EXP(-LN(2)/2)*EX97+(1-EXP(-LN(2)/2))/(LN(2)/2)*ER98*EU98*VLOOKUP('Données projet'!$B$15,Paramètres!$A$1:$I$88,3,0)*0.475*44/12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projet'!$B$16,Paramètres!$A$1:$I$88,3,0)*VLOOKUP('Données projet'!$B$16,Paramètres!$A$1:$I$88,5,0)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projet'!$B$16,Paramètres!$A$1:$I$88,7,0))</f>
        <v>0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projet'!$B$16,Paramètres!$A$1:$I$88,3,0)*0.475*44/12</f>
        <v>#N/A</v>
      </c>
      <c r="FR98" s="23" t="e">
        <f>EXP(-LN(2)/25)*FR97+(1-EXP(-LN(2)/25))/(LN(2)/25)*Calculateur!FM98*Calculateur!FO98*VLOOKUP('Données projet'!$B$16,Paramètres!$A$1:$I$88,3,0)*0.475*44/12</f>
        <v>#N/A</v>
      </c>
      <c r="FS98" s="23" t="e">
        <f>EXP(-LN(2)/2)*FS97+(1-EXP(-LN(2)/2))/(LN(2)/2)*FM98*FP98*VLOOKUP('Données projet'!$B$16,Paramètres!$A$1:$I$88,3,0)*0.475*44/12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projet'!$B$17,Paramètres!$A$1:$I$88,3,0)*VLOOKUP('Données projet'!$B$17,Paramètres!$A$1:$I$88,5,0)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projet'!$B$17,Paramètres!$A$1:$I$88,3,0)*0.475*44/12</f>
        <v>#N/A</v>
      </c>
      <c r="GM98" s="23" t="e">
        <f>EXP(-LN(2)/25)*GM97+(1-EXP(-LN(2)/25))/(LN(2)/25)*Calculateur!GH98*Calculateur!GJ98*VLOOKUP('Données projet'!$B$17,Paramètres!$A$1:$I$88,3,0)*0.475*44/12</f>
        <v>#N/A</v>
      </c>
      <c r="GN98" s="23" t="e">
        <f>EXP(-LN(2)/2)*GN97+(1-EXP(-LN(2)/2))/(LN(2)/2)*GH98*GK98*VLOOKUP('Données projet'!$B$17,Paramètres!$A$1:$I$88,3,0)*0.475*44/12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projet'!$B$18,Paramètres!$A$1:$I$88,3,0)*VLOOKUP('Données projet'!$B$18,Paramètres!$A$1:$I$88,5,0)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projet'!$B$18,Paramètres!$A$1:$I$88,3,0)*0.475*44/12</f>
        <v>#N/A</v>
      </c>
      <c r="HH98" s="23" t="e">
        <f>EXP(-LN(2)/25)*HH97+(1-EXP(-LN(2)/25))/(LN(2)/25)*Calculateur!HC98*Calculateur!HE98*VLOOKUP('Données projet'!$B$18,Paramètres!$A$1:$I$88,3,0)*0.475*44/12</f>
        <v>#N/A</v>
      </c>
      <c r="HI98" s="23" t="e">
        <f>EXP(-LN(2)/2)*HI97+(1-EXP(-LN(2)/2))/(LN(2)/2)*HC98*HF98*VLOOKUP('Données projet'!$B$18,Paramètres!$A$1:$I$88,3,0)*0.475*44/12</f>
        <v>#N/A</v>
      </c>
      <c r="HJ98" s="24" t="e">
        <f t="shared" si="84"/>
        <v>#N/A</v>
      </c>
    </row>
    <row r="99" spans="1:218" s="5" customFormat="1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projet'!$B$9,Paramètres!$A$1:$I$88,3,0)*VLOOKUP('Données projet'!$B$9,Paramètres!$A$1:$I$88,5,0)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276.2490521963885</v>
      </c>
      <c r="S99" s="62">
        <f ca="1">AVERAGE(OFFSET($R$3,0,0,'Données projet'!$E$9+1,1))-AVERAGE(OFFSET($H$3,0,0,'Données projet'!$E$9+1,1))</f>
        <v>301.2688576786212</v>
      </c>
      <c r="T99" s="62">
        <f t="shared" si="88"/>
        <v>417.62172165132927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60.641545747451815</v>
      </c>
      <c r="AA99" s="23">
        <f>EXP(-LN(2)/25)*AA98+(1-EXP(-LN(2)/25))/(LN(2)/25)*Calculateur!V99*Calculateur!X99*VLOOKUP('Données projet'!$B$9,Paramètres!$A$1:$I$88,3,0)*0.475*44/12</f>
        <v>13.896014103566758</v>
      </c>
      <c r="AB99" s="23">
        <f>EXP(-LN(2)/2)*AB98+(1-EXP(-LN(2)/2))/(LN(2)/2)*V99*Y99*VLOOKUP('Données projet'!$B$9,Paramètres!$A$1:$I$88,3,0)*0.475*44/12</f>
        <v>3.5110471112909815E-6</v>
      </c>
      <c r="AC99" s="24">
        <f t="shared" si="57"/>
        <v>74.537563362065683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projet'!$B$10,Paramètres!$A$1:$I$88,3,0)*VLOOKUP('Données projet'!$B$10,Paramètres!$A$1:$I$88,5,0)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170.08673939431091</v>
      </c>
      <c r="AO99" s="62">
        <f t="shared" si="90"/>
        <v>252.97355497077106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projet'!$B$10,Paramètres!$A$1:$I$88,3,0)*0.475*44/12</f>
        <v>25.319511900574163</v>
      </c>
      <c r="AV99" s="23">
        <f>EXP(-LN(2)/25)*AV98+(1-EXP(-LN(2)/25))/(LN(2)/25)*Calculateur!AQ99*Calculateur!AS99*VLOOKUP('Données projet'!$B$10,Paramètres!$A$1:$I$88,3,0)*0.475*44/12</f>
        <v>14.084352634328306</v>
      </c>
      <c r="AW99" s="23">
        <f>EXP(-LN(2)/2)*AW98+(1-EXP(-LN(2)/2))/(LN(2)/2)*AQ99*AT99*VLOOKUP('Données projet'!$B$10,Paramètres!$A$1:$I$88,3,0)*0.475*44/12</f>
        <v>4.4973690793160861E-6</v>
      </c>
      <c r="AX99" s="23">
        <f t="shared" si="60"/>
        <v>39.403869032271544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4.8</v>
      </c>
      <c r="BD99" s="13">
        <f>IF('Données projet'!$A$88&gt;35,BD98+BC99-BL98,IF(A99&lt;'Données projet'!$A$88,$BA$205^A99,IF(A99='Données projet'!$A$88,'Données projet'!$B$88,BD98+BC99-BL98)))</f>
        <v>262.79999999999984</v>
      </c>
      <c r="BE99" s="14">
        <f>BD99*VLOOKUP('Données projet'!$B$11,Paramètres!$A$1:$I$88,3,0)*VLOOKUP('Données projet'!$B$11,Paramètres!$A$1:$I$88,5,0)</f>
        <v>237.78143999999983</v>
      </c>
      <c r="BF99" s="14">
        <f t="shared" si="91"/>
        <v>57.9619387969109</v>
      </c>
      <c r="BG99" s="22">
        <f t="shared" si="61"/>
        <v>515.08638473795281</v>
      </c>
      <c r="BH99" s="62">
        <f t="shared" si="62"/>
        <v>791.33543693434024</v>
      </c>
      <c r="BI99" s="62">
        <f ca="1">AVERAGE(OFFSET($BH$3,0,0,'Données projet'!$E$11+1,1))-AVERAGE(OFFSET($H$3,0,0,'Données projet'!$E$11+1,1))</f>
        <v>362.63718589694594</v>
      </c>
      <c r="BJ99" s="62">
        <f t="shared" si="92"/>
        <v>250.47702091764884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projet'!$B$11,Paramètres!$A$1:$I$88,3,0)*0.475*44/12</f>
        <v>33.069343440985399</v>
      </c>
      <c r="BQ99" s="23">
        <f>EXP(-LN(2)/25)*BQ98+(1-EXP(-LN(2)/25))/(LN(2)/25)*Calculateur!BL99*Calculateur!BN99*VLOOKUP('Données projet'!$B$11,Paramètres!$A$1:$I$88,3,0)*0.475*44/12</f>
        <v>0</v>
      </c>
      <c r="BR99" s="23">
        <f>EXP(-LN(2)/2)*BR98+(1-EXP(-LN(2)/2))/(LN(2)/2)*BL99*BO99*VLOOKUP('Données projet'!$B$11,Paramètres!$A$1:$I$88,3,0)*0.475*44/12</f>
        <v>0</v>
      </c>
      <c r="BS99" s="24">
        <f t="shared" si="63"/>
        <v>33.069343440985399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4.8</v>
      </c>
      <c r="BY99" s="13">
        <f>IF('Données projet'!$A$114&gt;35,BY98+BX99-CG98,IF(A99&lt;'Données projet'!$A$114,$BV$205^A99,IF(A99='Données projet'!$A$114,'Données projet'!$B$114,BY98+BX99-CG98)))</f>
        <v>262.79999999999984</v>
      </c>
      <c r="BZ99" s="14">
        <f>BY99*VLOOKUP('Données projet'!$B$12,Paramètres!$A$1:$I$88,3,0)*VLOOKUP('Données projet'!$B$12,Paramètres!$A$1:$I$88,5,0)</f>
        <v>266.47919999999988</v>
      </c>
      <c r="CA99" s="14">
        <f t="shared" si="93"/>
        <v>64.101496824889622</v>
      </c>
      <c r="CB99" s="22">
        <f t="shared" si="64"/>
        <v>575.76138030334926</v>
      </c>
      <c r="CC99" s="62">
        <f t="shared" si="65"/>
        <v>852.01043249973668</v>
      </c>
      <c r="CD99" s="62">
        <f ca="1">AVERAGE(OFFSET($CC$3,0,0,'Données projet'!$E$12+1,1))-AVERAGE(OFFSET($H$3,0,0,'Données projet'!$E$12+1,1))</f>
        <v>398.14524781940196</v>
      </c>
      <c r="CE99" s="62">
        <f t="shared" si="94"/>
        <v>273.35778700650792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projet'!$B$12,Paramètres!$A$1:$I$88,3,0)*0.475*44/12</f>
        <v>37.060471097656055</v>
      </c>
      <c r="CL99" s="23">
        <f>EXP(-LN(2)/25)*CL98+(1-EXP(-LN(2)/25))/(LN(2)/25)*Calculateur!CG99*Calculateur!CI99*VLOOKUP('Données projet'!$B$12,Paramètres!$A$1:$I$88,3,0)*0.475*44/12</f>
        <v>0</v>
      </c>
      <c r="CM99" s="23">
        <f>EXP(-LN(2)/2)*CM98+(1-EXP(-LN(2)/2))/(LN(2)/2)*CG99*CJ99*VLOOKUP('Données projet'!$B$12,Paramètres!$A$1:$I$88,3,0)*0.475*44/12</f>
        <v>0</v>
      </c>
      <c r="CN99" s="24">
        <f t="shared" si="66"/>
        <v>37.060471097656055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6.4</v>
      </c>
      <c r="CT99" s="13">
        <f>IF('Données projet'!$A$140&gt;35,CT98+CS99-DB98,IF(A99&lt;'Données projet'!$A$140,$CQ$205^A99,IF(A99='Données projet'!$A$140,'Données projet'!$B$140,CT98+CS99-DB98)))</f>
        <v>374.40000000000009</v>
      </c>
      <c r="CU99" s="18">
        <f>CT99*VLOOKUP('Données projet'!$B$13,Paramètres!$A$1:$I$88,3,0)*VLOOKUP('Données projet'!$B$13,Paramètres!$A$1:$I$88,5,0)</f>
        <v>356.27904000000007</v>
      </c>
      <c r="CV99" s="14">
        <f t="shared" si="95"/>
        <v>82.854089756731526</v>
      </c>
      <c r="CW99" s="22">
        <f t="shared" si="67"/>
        <v>764.82353432630759</v>
      </c>
      <c r="CX99" s="62">
        <f t="shared" si="68"/>
        <v>1041.072586522695</v>
      </c>
      <c r="CY99" s="62">
        <f ca="1">AVERAGE(OFFSET($CX$3,0,0,'Données projet'!$E$13+1,1))-AVERAGE(OFFSET($H$3,0,0,'Données projet'!$E$13+1,1))</f>
        <v>470.0521927195926</v>
      </c>
      <c r="CZ99" s="62">
        <f t="shared" si="96"/>
        <v>299.27200854723435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projet'!$B$13,Paramètres!$A$1:$I$88,3,0)*0.475*44/12</f>
        <v>34.77982672241567</v>
      </c>
      <c r="DG99" s="23">
        <f>EXP(-LN(2)/25)*DG98+(1-EXP(-LN(2)/25))/(LN(2)/25)*Calculateur!DB99*Calculateur!DD99*VLOOKUP('Données projet'!$B$13,Paramètres!$A$1:$I$88,3,0)*0.475*44/12</f>
        <v>0</v>
      </c>
      <c r="DH99" s="23">
        <f>EXP(-LN(2)/2)*DH98+(1-EXP(-LN(2)/2))/(LN(2)/2)*DB99*DE99*VLOOKUP('Données projet'!$B$13,Paramètres!$A$1:$I$88,3,0)*0.475*44/12</f>
        <v>0</v>
      </c>
      <c r="DI99" s="24">
        <f t="shared" si="69"/>
        <v>34.77982672241567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3.2</v>
      </c>
      <c r="DO99" s="13">
        <f>IF('Données projet'!$A$166&gt;35,DO98+DN99-DW98,IF(A99&lt;'Données projet'!$A$166,$DL$205^A99,IF(A99='Données projet'!$A$166,'Données projet'!$B$166,DO98+DN99-DW98)))</f>
        <v>205.1999999999999</v>
      </c>
      <c r="DP99" s="18">
        <f>DO99*VLOOKUP('Données projet'!$B$14,Paramètres!$A$1:$I$88,3,0)*VLOOKUP('Données projet'!$B$14,Paramètres!$A$1:$I$88,5,0)</f>
        <v>198.46943999999991</v>
      </c>
      <c r="DQ99" s="14">
        <f t="shared" si="97"/>
        <v>49.407646717262132</v>
      </c>
      <c r="DR99" s="22">
        <f t="shared" si="70"/>
        <v>431.71925936589804</v>
      </c>
      <c r="DS99" s="62">
        <f t="shared" si="71"/>
        <v>707.96831156228541</v>
      </c>
      <c r="DT99" s="62">
        <f ca="1">AVERAGE(OFFSET($DS$3,0,0,'Données projet'!$E$14+1,1))-AVERAGE(OFFSET($H$3,0,0,'Données projet'!$E$14+1,1))</f>
        <v>290.89727102147953</v>
      </c>
      <c r="DU99" s="62">
        <f t="shared" si="98"/>
        <v>173.19148969173838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projet'!$B$14,Paramètres!$A$1:$I$88,3,0)*0.475*44/12</f>
        <v>23.566658544150517</v>
      </c>
      <c r="EB99" s="23">
        <f>EXP(-LN(2)/25)*EB98+(1-EXP(-LN(2)/25))/(LN(2)/25)*Calculateur!DW99*Calculateur!DY99*VLOOKUP('Données projet'!$B$14,Paramètres!$A$1:$I$88,3,0)*0.475*44/12</f>
        <v>0</v>
      </c>
      <c r="EC99" s="23">
        <f>EXP(-LN(2)/2)*EC98+(1-EXP(-LN(2)/2))/(LN(2)/2)*DW99*DZ99*VLOOKUP('Données projet'!$B$14,Paramètres!$A$1:$I$88,3,0)*0.475*44/12</f>
        <v>0</v>
      </c>
      <c r="ED99" s="24">
        <f t="shared" si="72"/>
        <v>23.566658544150517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projet'!$B$15,Paramètres!$A$1:$I$88,3,0)*VLOOKUP('Données projet'!$B$15,Paramètres!$A$1:$I$88,5,0)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projet'!$B$15,Paramètres!$A$1:$I$88,3,0)*0.475*44/12</f>
        <v>#N/A</v>
      </c>
      <c r="EW99" s="23" t="e">
        <f>EXP(-LN(2)/25)*EW98+(1-EXP(-LN(2)/25))/(LN(2)/25)*Calculateur!ER99*Calculateur!ET99*VLOOKUP('Données projet'!$B$15,Paramètres!$A$1:$I$88,3,0)*0.475*44/12</f>
        <v>#N/A</v>
      </c>
      <c r="EX99" s="23" t="e">
        <f>EXP(-LN(2)/2)*EX98+(1-EXP(-LN(2)/2))/(LN(2)/2)*ER99*EU99*VLOOKUP('Données projet'!$B$15,Paramètres!$A$1:$I$88,3,0)*0.475*44/12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projet'!$B$16,Paramètres!$A$1:$I$88,3,0)*VLOOKUP('Données projet'!$B$16,Paramètres!$A$1:$I$88,5,0)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projet'!$B$16,Paramètres!$A$1:$I$88,3,0)*0.475*44/12</f>
        <v>#N/A</v>
      </c>
      <c r="FR99" s="23" t="e">
        <f>EXP(-LN(2)/25)*FR98+(1-EXP(-LN(2)/25))/(LN(2)/25)*Calculateur!FM99*Calculateur!FO99*VLOOKUP('Données projet'!$B$16,Paramètres!$A$1:$I$88,3,0)*0.475*44/12</f>
        <v>#N/A</v>
      </c>
      <c r="FS99" s="23" t="e">
        <f>EXP(-LN(2)/2)*FS98+(1-EXP(-LN(2)/2))/(LN(2)/2)*FM99*FP99*VLOOKUP('Données projet'!$B$16,Paramètres!$A$1:$I$88,3,0)*0.475*44/12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projet'!$B$17,Paramètres!$A$1:$I$88,3,0)*VLOOKUP('Données projet'!$B$17,Paramètres!$A$1:$I$88,5,0)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projet'!$B$17,Paramètres!$A$1:$I$88,3,0)*0.475*44/12</f>
        <v>#N/A</v>
      </c>
      <c r="GM99" s="23" t="e">
        <f>EXP(-LN(2)/25)*GM98+(1-EXP(-LN(2)/25))/(LN(2)/25)*Calculateur!GH99*Calculateur!GJ99*VLOOKUP('Données projet'!$B$17,Paramètres!$A$1:$I$88,3,0)*0.475*44/12</f>
        <v>#N/A</v>
      </c>
      <c r="GN99" s="23" t="e">
        <f>EXP(-LN(2)/2)*GN98+(1-EXP(-LN(2)/2))/(LN(2)/2)*GH99*GK99*VLOOKUP('Données projet'!$B$17,Paramètres!$A$1:$I$88,3,0)*0.475*44/12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projet'!$B$18,Paramètres!$A$1:$I$88,3,0)*VLOOKUP('Données projet'!$B$18,Paramètres!$A$1:$I$88,5,0)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projet'!$B$18,Paramètres!$A$1:$I$88,3,0)*0.475*44/12</f>
        <v>#N/A</v>
      </c>
      <c r="HH99" s="23" t="e">
        <f>EXP(-LN(2)/25)*HH98+(1-EXP(-LN(2)/25))/(LN(2)/25)*Calculateur!HC99*Calculateur!HE99*VLOOKUP('Données projet'!$B$18,Paramètres!$A$1:$I$88,3,0)*0.475*44/12</f>
        <v>#N/A</v>
      </c>
      <c r="HI99" s="23" t="e">
        <f>EXP(-LN(2)/2)*HI98+(1-EXP(-LN(2)/2))/(LN(2)/2)*HC99*HF99*VLOOKUP('Données projet'!$B$18,Paramètres!$A$1:$I$88,3,0)*0.475*44/12</f>
        <v>#N/A</v>
      </c>
      <c r="HJ99" s="24" t="e">
        <f t="shared" si="84"/>
        <v>#N/A</v>
      </c>
    </row>
    <row r="100" spans="1:218" s="5" customFormat="1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projet'!$B$9,Paramètres!$A$1:$I$88,3,0)*VLOOKUP('Données projet'!$B$9,Paramètres!$A$1:$I$88,5,0)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276.54542627938389</v>
      </c>
      <c r="S100" s="62">
        <f ca="1">AVERAGE(OFFSET($R$3,0,0,'Données projet'!$E$9+1,1))-AVERAGE(OFFSET($H$3,0,0,'Données projet'!$E$9+1,1))</f>
        <v>301.2688576786212</v>
      </c>
      <c r="T100" s="62">
        <f t="shared" si="88"/>
        <v>417.62172165132927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projet'!$B$9,Paramètres!$A$1:$I$88,7,0))</f>
        <v>0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59.452402023034956</v>
      </c>
      <c r="AA100" s="23">
        <f>EXP(-LN(2)/25)*AA99+(1-EXP(-LN(2)/25))/(LN(2)/25)*Calculateur!V100*Calculateur!X100*VLOOKUP('Données projet'!$B$9,Paramètres!$A$1:$I$88,3,0)*0.475*44/12</f>
        <v>13.516026867145102</v>
      </c>
      <c r="AB100" s="23">
        <f>EXP(-LN(2)/2)*AB99+(1-EXP(-LN(2)/2))/(LN(2)/2)*V100*Y100*VLOOKUP('Données projet'!$B$9,Paramètres!$A$1:$I$88,3,0)*0.475*44/12</f>
        <v>2.4826852214592918E-6</v>
      </c>
      <c r="AC100" s="24">
        <f t="shared" si="57"/>
        <v>72.968431372865282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projet'!$B$10,Paramètres!$A$1:$I$88,3,0)*VLOOKUP('Données projet'!$B$10,Paramètres!$A$1:$I$88,5,0)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170.08673939431091</v>
      </c>
      <c r="AO100" s="62">
        <f t="shared" si="90"/>
        <v>252.97355497077106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projet'!$B$10,Paramètres!$A$1:$I$88,3,0)*0.475*44/12</f>
        <v>24.823011715581256</v>
      </c>
      <c r="AV100" s="23">
        <f>EXP(-LN(2)/25)*AV99+(1-EXP(-LN(2)/25))/(LN(2)/25)*Calculateur!AQ100*Calculateur!AS100*VLOOKUP('Données projet'!$B$10,Paramètres!$A$1:$I$88,3,0)*0.475*44/12</f>
        <v>13.699215270878684</v>
      </c>
      <c r="AW100" s="23">
        <f>EXP(-LN(2)/2)*AW99+(1-EXP(-LN(2)/2))/(LN(2)/2)*AQ100*AT100*VLOOKUP('Données projet'!$B$10,Paramètres!$A$1:$I$88,3,0)*0.475*44/12</f>
        <v>3.1801201734831045E-6</v>
      </c>
      <c r="AX100" s="23">
        <f t="shared" si="60"/>
        <v>38.522230166580115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4.8</v>
      </c>
      <c r="BD100" s="13">
        <f>IF('Données projet'!$A$88&gt;35,BD99+BC100-BL99,IF(A100&lt;'Données projet'!$A$88,$BA$205^A100,IF(A100='Données projet'!$A$88,'Données projet'!$B$88,BD99+BC100-BL99)))</f>
        <v>267.59999999999985</v>
      </c>
      <c r="BE100" s="14">
        <f>BD100*VLOOKUP('Données projet'!$B$11,Paramètres!$A$1:$I$88,3,0)*VLOOKUP('Données projet'!$B$11,Paramètres!$A$1:$I$88,5,0)</f>
        <v>242.12447999999986</v>
      </c>
      <c r="BF100" s="14">
        <f t="shared" si="91"/>
        <v>58.896387987806008</v>
      </c>
      <c r="BG100" s="22">
        <f t="shared" si="61"/>
        <v>524.27801174542856</v>
      </c>
      <c r="BH100" s="62">
        <f t="shared" si="62"/>
        <v>800.82343802481137</v>
      </c>
      <c r="BI100" s="62">
        <f ca="1">AVERAGE(OFFSET($BH$3,0,0,'Données projet'!$E$11+1,1))-AVERAGE(OFFSET($H$3,0,0,'Données projet'!$E$11+1,1))</f>
        <v>362.63718589694594</v>
      </c>
      <c r="BJ100" s="62">
        <f t="shared" si="92"/>
        <v>250.47702091764884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projet'!$B$11,Paramètres!$A$1:$I$88,3,0)*0.475*44/12</f>
        <v>32.42087378641552</v>
      </c>
      <c r="BQ100" s="23">
        <f>EXP(-LN(2)/25)*BQ99+(1-EXP(-LN(2)/25))/(LN(2)/25)*Calculateur!BL100*Calculateur!BN100*VLOOKUP('Données projet'!$B$11,Paramètres!$A$1:$I$88,3,0)*0.475*44/12</f>
        <v>0</v>
      </c>
      <c r="BR100" s="23">
        <f>EXP(-LN(2)/2)*BR99+(1-EXP(-LN(2)/2))/(LN(2)/2)*BL100*BO100*VLOOKUP('Données projet'!$B$11,Paramètres!$A$1:$I$88,3,0)*0.475*44/12</f>
        <v>0</v>
      </c>
      <c r="BS100" s="24">
        <f t="shared" si="63"/>
        <v>32.42087378641552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4.8</v>
      </c>
      <c r="BY100" s="13">
        <f>IF('Données projet'!$A$114&gt;35,BY99+BX100-CG99,IF(A100&lt;'Données projet'!$A$114,$BV$205^A100,IF(A100='Données projet'!$A$114,'Données projet'!$B$114,BY99+BX100-CG99)))</f>
        <v>267.59999999999985</v>
      </c>
      <c r="BZ100" s="14">
        <f>BY100*VLOOKUP('Données projet'!$B$12,Paramètres!$A$1:$I$88,3,0)*VLOOKUP('Données projet'!$B$12,Paramètres!$A$1:$I$88,5,0)</f>
        <v>271.34639999999985</v>
      </c>
      <c r="CA100" s="14">
        <f t="shared" si="93"/>
        <v>65.134926573557308</v>
      </c>
      <c r="CB100" s="22">
        <f t="shared" si="64"/>
        <v>586.03831044894537</v>
      </c>
      <c r="CC100" s="62">
        <f t="shared" si="65"/>
        <v>862.58373672832818</v>
      </c>
      <c r="CD100" s="62">
        <f ca="1">AVERAGE(OFFSET($CC$3,0,0,'Données projet'!$E$12+1,1))-AVERAGE(OFFSET($H$3,0,0,'Données projet'!$E$12+1,1))</f>
        <v>398.14524781940196</v>
      </c>
      <c r="CE100" s="62">
        <f t="shared" si="94"/>
        <v>273.35778700650792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projet'!$B$12,Paramètres!$A$1:$I$88,3,0)*0.475*44/12</f>
        <v>36.333737864086366</v>
      </c>
      <c r="CL100" s="23">
        <f>EXP(-LN(2)/25)*CL99+(1-EXP(-LN(2)/25))/(LN(2)/25)*Calculateur!CG100*Calculateur!CI100*VLOOKUP('Données projet'!$B$12,Paramètres!$A$1:$I$88,3,0)*0.475*44/12</f>
        <v>0</v>
      </c>
      <c r="CM100" s="23">
        <f>EXP(-LN(2)/2)*CM99+(1-EXP(-LN(2)/2))/(LN(2)/2)*CG100*CJ100*VLOOKUP('Données projet'!$B$12,Paramètres!$A$1:$I$88,3,0)*0.475*44/12</f>
        <v>0</v>
      </c>
      <c r="CN100" s="24">
        <f t="shared" si="66"/>
        <v>36.333737864086366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6.4</v>
      </c>
      <c r="CT100" s="13">
        <f>IF('Données projet'!$A$140&gt;35,CT99+CS100-DB99,IF(A100&lt;'Données projet'!$A$140,$CQ$205^A100,IF(A100='Données projet'!$A$140,'Données projet'!$B$140,CT99+CS100-DB99)))</f>
        <v>380.80000000000007</v>
      </c>
      <c r="CU100" s="18">
        <f>CT100*VLOOKUP('Données projet'!$B$13,Paramètres!$A$1:$I$88,3,0)*VLOOKUP('Données projet'!$B$13,Paramètres!$A$1:$I$88,5,0)</f>
        <v>362.36928000000006</v>
      </c>
      <c r="CV100" s="14">
        <f t="shared" si="95"/>
        <v>84.104303405322824</v>
      </c>
      <c r="CW100" s="22">
        <f t="shared" si="67"/>
        <v>777.60815776427069</v>
      </c>
      <c r="CX100" s="62">
        <f t="shared" si="68"/>
        <v>1054.1535840436536</v>
      </c>
      <c r="CY100" s="62">
        <f ca="1">AVERAGE(OFFSET($CX$3,0,0,'Données projet'!$E$13+1,1))-AVERAGE(OFFSET($H$3,0,0,'Données projet'!$E$13+1,1))</f>
        <v>470.0521927195926</v>
      </c>
      <c r="CZ100" s="62">
        <f t="shared" si="96"/>
        <v>299.27200854723435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projet'!$B$13,Paramètres!$A$1:$I$88,3,0)*0.475*44/12</f>
        <v>34.097815533988729</v>
      </c>
      <c r="DG100" s="23">
        <f>EXP(-LN(2)/25)*DG99+(1-EXP(-LN(2)/25))/(LN(2)/25)*Calculateur!DB100*Calculateur!DD100*VLOOKUP('Données projet'!$B$13,Paramètres!$A$1:$I$88,3,0)*0.475*44/12</f>
        <v>0</v>
      </c>
      <c r="DH100" s="23">
        <f>EXP(-LN(2)/2)*DH99+(1-EXP(-LN(2)/2))/(LN(2)/2)*DB100*DE100*VLOOKUP('Données projet'!$B$13,Paramètres!$A$1:$I$88,3,0)*0.475*44/12</f>
        <v>0</v>
      </c>
      <c r="DI100" s="24">
        <f t="shared" si="69"/>
        <v>34.097815533988729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3.2</v>
      </c>
      <c r="DO100" s="13">
        <f>IF('Données projet'!$A$166&gt;35,DO99+DN100-DW99,IF(A100&lt;'Données projet'!$A$166,$DL$205^A100,IF(A100='Données projet'!$A$166,'Données projet'!$B$166,DO99+DN100-DW99)))</f>
        <v>208.39999999999989</v>
      </c>
      <c r="DP100" s="18">
        <f>DO100*VLOOKUP('Données projet'!$B$14,Paramètres!$A$1:$I$88,3,0)*VLOOKUP('Données projet'!$B$14,Paramètres!$A$1:$I$88,5,0)</f>
        <v>201.56447999999992</v>
      </c>
      <c r="DQ100" s="14">
        <f t="shared" si="97"/>
        <v>50.087836999870589</v>
      </c>
      <c r="DR100" s="22">
        <f t="shared" si="70"/>
        <v>438.29445210810769</v>
      </c>
      <c r="DS100" s="62">
        <f t="shared" si="71"/>
        <v>714.83987838749044</v>
      </c>
      <c r="DT100" s="62">
        <f ca="1">AVERAGE(OFFSET($DS$3,0,0,'Données projet'!$E$14+1,1))-AVERAGE(OFFSET($H$3,0,0,'Données projet'!$E$14+1,1))</f>
        <v>290.89727102147953</v>
      </c>
      <c r="DU100" s="62">
        <f t="shared" si="98"/>
        <v>173.19148969173838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projet'!$B$14,Paramètres!$A$1:$I$88,3,0)*0.475*44/12</f>
        <v>23.1045307443421</v>
      </c>
      <c r="EB100" s="23">
        <f>EXP(-LN(2)/25)*EB99+(1-EXP(-LN(2)/25))/(LN(2)/25)*Calculateur!DW100*Calculateur!DY100*VLOOKUP('Données projet'!$B$14,Paramètres!$A$1:$I$88,3,0)*0.475*44/12</f>
        <v>0</v>
      </c>
      <c r="EC100" s="23">
        <f>EXP(-LN(2)/2)*EC99+(1-EXP(-LN(2)/2))/(LN(2)/2)*DW100*DZ100*VLOOKUP('Données projet'!$B$14,Paramètres!$A$1:$I$88,3,0)*0.475*44/12</f>
        <v>0</v>
      </c>
      <c r="ED100" s="24">
        <f t="shared" si="72"/>
        <v>23.1045307443421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projet'!$B$15,Paramètres!$A$1:$I$88,3,0)*VLOOKUP('Données projet'!$B$15,Paramètres!$A$1:$I$88,5,0)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projet'!$B$15,Paramètres!$A$1:$I$88,3,0)*0.475*44/12</f>
        <v>#N/A</v>
      </c>
      <c r="EW100" s="23" t="e">
        <f>EXP(-LN(2)/25)*EW99+(1-EXP(-LN(2)/25))/(LN(2)/25)*Calculateur!ER100*Calculateur!ET100*VLOOKUP('Données projet'!$B$15,Paramètres!$A$1:$I$88,3,0)*0.475*44/12</f>
        <v>#N/A</v>
      </c>
      <c r="EX100" s="23" t="e">
        <f>EXP(-LN(2)/2)*EX99+(1-EXP(-LN(2)/2))/(LN(2)/2)*ER100*EU100*VLOOKUP('Données projet'!$B$15,Paramètres!$A$1:$I$88,3,0)*0.475*44/12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projet'!$B$16,Paramètres!$A$1:$I$88,3,0)*VLOOKUP('Données projet'!$B$16,Paramètres!$A$1:$I$88,5,0)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projet'!$B$16,Paramètres!$A$1:$I$88,3,0)*0.475*44/12</f>
        <v>#N/A</v>
      </c>
      <c r="FR100" s="23" t="e">
        <f>EXP(-LN(2)/25)*FR99+(1-EXP(-LN(2)/25))/(LN(2)/25)*Calculateur!FM100*Calculateur!FO100*VLOOKUP('Données projet'!$B$16,Paramètres!$A$1:$I$88,3,0)*0.475*44/12</f>
        <v>#N/A</v>
      </c>
      <c r="FS100" s="23" t="e">
        <f>EXP(-LN(2)/2)*FS99+(1-EXP(-LN(2)/2))/(LN(2)/2)*FM100*FP100*VLOOKUP('Données projet'!$B$16,Paramètres!$A$1:$I$88,3,0)*0.475*44/12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projet'!$B$17,Paramètres!$A$1:$I$88,3,0)*VLOOKUP('Données projet'!$B$17,Paramètres!$A$1:$I$88,5,0)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projet'!$B$17,Paramètres!$A$1:$I$88,3,0)*0.475*44/12</f>
        <v>#N/A</v>
      </c>
      <c r="GM100" s="23" t="e">
        <f>EXP(-LN(2)/25)*GM99+(1-EXP(-LN(2)/25))/(LN(2)/25)*Calculateur!GH100*Calculateur!GJ100*VLOOKUP('Données projet'!$B$17,Paramètres!$A$1:$I$88,3,0)*0.475*44/12</f>
        <v>#N/A</v>
      </c>
      <c r="GN100" s="23" t="e">
        <f>EXP(-LN(2)/2)*GN99+(1-EXP(-LN(2)/2))/(LN(2)/2)*GH100*GK100*VLOOKUP('Données projet'!$B$17,Paramètres!$A$1:$I$88,3,0)*0.475*44/12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projet'!$B$18,Paramètres!$A$1:$I$88,3,0)*VLOOKUP('Données projet'!$B$18,Paramètres!$A$1:$I$88,5,0)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projet'!$B$18,Paramètres!$A$1:$I$88,3,0)*0.475*44/12</f>
        <v>#N/A</v>
      </c>
      <c r="HH100" s="23" t="e">
        <f>EXP(-LN(2)/25)*HH99+(1-EXP(-LN(2)/25))/(LN(2)/25)*Calculateur!HC100*Calculateur!HE100*VLOOKUP('Données projet'!$B$18,Paramètres!$A$1:$I$88,3,0)*0.475*44/12</f>
        <v>#N/A</v>
      </c>
      <c r="HI100" s="23" t="e">
        <f>EXP(-LN(2)/2)*HI99+(1-EXP(-LN(2)/2))/(LN(2)/2)*HC100*HF100*VLOOKUP('Données projet'!$B$18,Paramètres!$A$1:$I$88,3,0)*0.475*44/12</f>
        <v>#N/A</v>
      </c>
      <c r="HJ100" s="24" t="e">
        <f t="shared" si="84"/>
        <v>#N/A</v>
      </c>
    </row>
    <row r="101" spans="1:218" s="5" customFormat="1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projet'!$B$9,Paramètres!$A$1:$I$88,3,0)*VLOOKUP('Données projet'!$B$9,Paramètres!$A$1:$I$88,5,0)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276.83665893463245</v>
      </c>
      <c r="S101" s="62">
        <f ca="1">AVERAGE(OFFSET($R$3,0,0,'Données projet'!$E$9+1,1))-AVERAGE(OFFSET($H$3,0,0,'Données projet'!$E$9+1,1))</f>
        <v>301.2688576786212</v>
      </c>
      <c r="T101" s="62">
        <f t="shared" si="88"/>
        <v>417.62172165132927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58.28657668174786</v>
      </c>
      <c r="AA101" s="23">
        <f>EXP(-LN(2)/25)*AA100+(1-EXP(-LN(2)/25))/(LN(2)/25)*Calculateur!V101*Calculateur!X101*VLOOKUP('Données projet'!$B$9,Paramètres!$A$1:$I$88,3,0)*0.475*44/12</f>
        <v>13.146430401686057</v>
      </c>
      <c r="AB101" s="23">
        <f>EXP(-LN(2)/2)*AB100+(1-EXP(-LN(2)/2))/(LN(2)/2)*V101*Y101*VLOOKUP('Données projet'!$B$9,Paramètres!$A$1:$I$88,3,0)*0.475*44/12</f>
        <v>1.7555235556454907E-6</v>
      </c>
      <c r="AC101" s="24">
        <f t="shared" si="57"/>
        <v>71.433008838957477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projet'!$B$10,Paramètres!$A$1:$I$88,3,0)*VLOOKUP('Données projet'!$B$10,Paramètres!$A$1:$I$88,5,0)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170.08673939431091</v>
      </c>
      <c r="AO101" s="62">
        <f t="shared" si="90"/>
        <v>252.97355497077106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projet'!$B$10,Paramètres!$A$1:$I$88,3,0)*0.475*44/12</f>
        <v>24.336247596380851</v>
      </c>
      <c r="AV101" s="23">
        <f>EXP(-LN(2)/25)*AV100+(1-EXP(-LN(2)/25))/(LN(2)/25)*Calculateur!AQ101*Calculateur!AS101*VLOOKUP('Données projet'!$B$10,Paramètres!$A$1:$I$88,3,0)*0.475*44/12</f>
        <v>13.324609508886084</v>
      </c>
      <c r="AW101" s="23">
        <f>EXP(-LN(2)/2)*AW100+(1-EXP(-LN(2)/2))/(LN(2)/2)*AQ101*AT101*VLOOKUP('Données projet'!$B$10,Paramètres!$A$1:$I$88,3,0)*0.475*44/12</f>
        <v>2.2486845396580431E-6</v>
      </c>
      <c r="AX101" s="23">
        <f t="shared" si="60"/>
        <v>37.660859353951473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4.8</v>
      </c>
      <c r="BD101" s="13">
        <f>IF('Données projet'!$A$88&gt;35,BD100+BC101-BL100,IF(A101&lt;'Données projet'!$A$88,$BA$205^A101,IF(A101='Données projet'!$A$88,'Données projet'!$B$88,BD100+BC101-BL100)))</f>
        <v>272.39999999999986</v>
      </c>
      <c r="BE101" s="14">
        <f>BD101*VLOOKUP('Données projet'!$B$11,Paramètres!$A$1:$I$88,3,0)*VLOOKUP('Données projet'!$B$11,Paramètres!$A$1:$I$88,5,0)</f>
        <v>246.46751999999987</v>
      </c>
      <c r="BF101" s="14">
        <f t="shared" si="91"/>
        <v>59.828888074216977</v>
      </c>
      <c r="BG101" s="22">
        <f t="shared" si="61"/>
        <v>533.46624406259423</v>
      </c>
      <c r="BH101" s="62">
        <f t="shared" si="62"/>
        <v>810.3029029972256</v>
      </c>
      <c r="BI101" s="62">
        <f ca="1">AVERAGE(OFFSET($BH$3,0,0,'Données projet'!$E$11+1,1))-AVERAGE(OFFSET($H$3,0,0,'Données projet'!$E$11+1,1))</f>
        <v>362.63718589694594</v>
      </c>
      <c r="BJ101" s="62">
        <f t="shared" si="92"/>
        <v>250.47702091764884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projet'!$B$11,Paramètres!$A$1:$I$88,3,0)*0.475*44/12</f>
        <v>31.785120226244324</v>
      </c>
      <c r="BQ101" s="23">
        <f>EXP(-LN(2)/25)*BQ100+(1-EXP(-LN(2)/25))/(LN(2)/25)*Calculateur!BL101*Calculateur!BN101*VLOOKUP('Données projet'!$B$11,Paramètres!$A$1:$I$88,3,0)*0.475*44/12</f>
        <v>0</v>
      </c>
      <c r="BR101" s="23">
        <f>EXP(-LN(2)/2)*BR100+(1-EXP(-LN(2)/2))/(LN(2)/2)*BL101*BO101*VLOOKUP('Données projet'!$B$11,Paramètres!$A$1:$I$88,3,0)*0.475*44/12</f>
        <v>0</v>
      </c>
      <c r="BS101" s="24">
        <f t="shared" si="63"/>
        <v>31.785120226244324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4.8</v>
      </c>
      <c r="BY101" s="13">
        <f>IF('Données projet'!$A$114&gt;35,BY100+BX101-CG100,IF(A101&lt;'Données projet'!$A$114,$BV$205^A101,IF(A101='Données projet'!$A$114,'Données projet'!$B$114,BY100+BX101-CG100)))</f>
        <v>272.39999999999986</v>
      </c>
      <c r="BZ101" s="14">
        <f>BY101*VLOOKUP('Données projet'!$B$12,Paramètres!$A$1:$I$88,3,0)*VLOOKUP('Données projet'!$B$12,Paramètres!$A$1:$I$88,5,0)</f>
        <v>276.21359999999987</v>
      </c>
      <c r="CA101" s="14">
        <f t="shared" si="93"/>
        <v>66.166200760877416</v>
      </c>
      <c r="CB101" s="22">
        <f t="shared" si="64"/>
        <v>596.31148632519455</v>
      </c>
      <c r="CC101" s="62">
        <f t="shared" si="65"/>
        <v>873.14814525982592</v>
      </c>
      <c r="CD101" s="62">
        <f ca="1">AVERAGE(OFFSET($CC$3,0,0,'Données projet'!$E$12+1,1))-AVERAGE(OFFSET($H$3,0,0,'Données projet'!$E$12+1,1))</f>
        <v>398.14524781940196</v>
      </c>
      <c r="CE101" s="62">
        <f t="shared" si="94"/>
        <v>273.35778700650792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projet'!$B$12,Paramètres!$A$1:$I$88,3,0)*0.475*44/12</f>
        <v>35.621255425963476</v>
      </c>
      <c r="CL101" s="23">
        <f>EXP(-LN(2)/25)*CL100+(1-EXP(-LN(2)/25))/(LN(2)/25)*Calculateur!CG101*Calculateur!CI101*VLOOKUP('Données projet'!$B$12,Paramètres!$A$1:$I$88,3,0)*0.475*44/12</f>
        <v>0</v>
      </c>
      <c r="CM101" s="23">
        <f>EXP(-LN(2)/2)*CM100+(1-EXP(-LN(2)/2))/(LN(2)/2)*CG101*CJ101*VLOOKUP('Données projet'!$B$12,Paramètres!$A$1:$I$88,3,0)*0.475*44/12</f>
        <v>0</v>
      </c>
      <c r="CN101" s="24">
        <f t="shared" si="66"/>
        <v>35.621255425963476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6.4</v>
      </c>
      <c r="CT101" s="13">
        <f>IF('Données projet'!$A$140&gt;35,CT100+CS101-DB100,IF(A101&lt;'Données projet'!$A$140,$CQ$205^A101,IF(A101='Données projet'!$A$140,'Données projet'!$B$140,CT100+CS101-DB100)))</f>
        <v>387.20000000000005</v>
      </c>
      <c r="CU101" s="18">
        <f>CT101*VLOOKUP('Données projet'!$B$13,Paramètres!$A$1:$I$88,3,0)*VLOOKUP('Données projet'!$B$13,Paramètres!$A$1:$I$88,5,0)</f>
        <v>368.45952000000005</v>
      </c>
      <c r="CV101" s="14">
        <f t="shared" si="95"/>
        <v>85.352073526980931</v>
      </c>
      <c r="CW101" s="22">
        <f t="shared" si="67"/>
        <v>790.38852539282516</v>
      </c>
      <c r="CX101" s="62">
        <f t="shared" si="68"/>
        <v>1067.2251843274566</v>
      </c>
      <c r="CY101" s="62">
        <f ca="1">AVERAGE(OFFSET($CX$3,0,0,'Données projet'!$E$13+1,1))-AVERAGE(OFFSET($H$3,0,0,'Données projet'!$E$13+1,1))</f>
        <v>470.0521927195926</v>
      </c>
      <c r="CZ101" s="62">
        <f t="shared" si="96"/>
        <v>299.27200854723435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projet'!$B$13,Paramètres!$A$1:$I$88,3,0)*0.475*44/12</f>
        <v>33.429178168981089</v>
      </c>
      <c r="DG101" s="23">
        <f>EXP(-LN(2)/25)*DG100+(1-EXP(-LN(2)/25))/(LN(2)/25)*Calculateur!DB101*Calculateur!DD101*VLOOKUP('Données projet'!$B$13,Paramètres!$A$1:$I$88,3,0)*0.475*44/12</f>
        <v>0</v>
      </c>
      <c r="DH101" s="23">
        <f>EXP(-LN(2)/2)*DH100+(1-EXP(-LN(2)/2))/(LN(2)/2)*DB101*DE101*VLOOKUP('Données projet'!$B$13,Paramètres!$A$1:$I$88,3,0)*0.475*44/12</f>
        <v>0</v>
      </c>
      <c r="DI101" s="24">
        <f t="shared" si="69"/>
        <v>33.429178168981089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3.2</v>
      </c>
      <c r="DO101" s="13">
        <f>IF('Données projet'!$A$166&gt;35,DO100+DN101-DW100,IF(A101&lt;'Données projet'!$A$166,$DL$205^A101,IF(A101='Données projet'!$A$166,'Données projet'!$B$166,DO100+DN101-DW100)))</f>
        <v>211.59999999999988</v>
      </c>
      <c r="DP101" s="18">
        <f>DO101*VLOOKUP('Données projet'!$B$14,Paramètres!$A$1:$I$88,3,0)*VLOOKUP('Données projet'!$B$14,Paramètres!$A$1:$I$88,5,0)</f>
        <v>204.65951999999987</v>
      </c>
      <c r="DQ101" s="14">
        <f t="shared" si="97"/>
        <v>50.766812591921344</v>
      </c>
      <c r="DR101" s="22">
        <f t="shared" si="70"/>
        <v>444.86752926426271</v>
      </c>
      <c r="DS101" s="62">
        <f t="shared" si="71"/>
        <v>721.70418819889414</v>
      </c>
      <c r="DT101" s="62">
        <f ca="1">AVERAGE(OFFSET($DS$3,0,0,'Données projet'!$E$14+1,1))-AVERAGE(OFFSET($H$3,0,0,'Données projet'!$E$14+1,1))</f>
        <v>290.89727102147953</v>
      </c>
      <c r="DU101" s="62">
        <f t="shared" si="98"/>
        <v>173.19148969173838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projet'!$B$14,Paramètres!$A$1:$I$88,3,0)*0.475*44/12</f>
        <v>22.6514649888178</v>
      </c>
      <c r="EB101" s="23">
        <f>EXP(-LN(2)/25)*EB100+(1-EXP(-LN(2)/25))/(LN(2)/25)*Calculateur!DW101*Calculateur!DY101*VLOOKUP('Données projet'!$B$14,Paramètres!$A$1:$I$88,3,0)*0.475*44/12</f>
        <v>0</v>
      </c>
      <c r="EC101" s="23">
        <f>EXP(-LN(2)/2)*EC100+(1-EXP(-LN(2)/2))/(LN(2)/2)*DW101*DZ101*VLOOKUP('Données projet'!$B$14,Paramètres!$A$1:$I$88,3,0)*0.475*44/12</f>
        <v>0</v>
      </c>
      <c r="ED101" s="24">
        <f t="shared" si="72"/>
        <v>22.6514649888178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projet'!$B$15,Paramètres!$A$1:$I$88,3,0)*VLOOKUP('Données projet'!$B$15,Paramètres!$A$1:$I$88,5,0)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projet'!$B$15,Paramètres!$A$1:$I$88,3,0)*0.475*44/12</f>
        <v>#N/A</v>
      </c>
      <c r="EW101" s="23" t="e">
        <f>EXP(-LN(2)/25)*EW100+(1-EXP(-LN(2)/25))/(LN(2)/25)*Calculateur!ER101*Calculateur!ET101*VLOOKUP('Données projet'!$B$15,Paramètres!$A$1:$I$88,3,0)*0.475*44/12</f>
        <v>#N/A</v>
      </c>
      <c r="EX101" s="23" t="e">
        <f>EXP(-LN(2)/2)*EX100+(1-EXP(-LN(2)/2))/(LN(2)/2)*ER101*EU101*VLOOKUP('Données projet'!$B$15,Paramètres!$A$1:$I$88,3,0)*0.475*44/12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projet'!$B$16,Paramètres!$A$1:$I$88,3,0)*VLOOKUP('Données projet'!$B$16,Paramètres!$A$1:$I$88,5,0)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projet'!$B$16,Paramètres!$A$1:$I$88,3,0)*0.475*44/12</f>
        <v>#N/A</v>
      </c>
      <c r="FR101" s="23" t="e">
        <f>EXP(-LN(2)/25)*FR100+(1-EXP(-LN(2)/25))/(LN(2)/25)*Calculateur!FM101*Calculateur!FO101*VLOOKUP('Données projet'!$B$16,Paramètres!$A$1:$I$88,3,0)*0.475*44/12</f>
        <v>#N/A</v>
      </c>
      <c r="FS101" s="23" t="e">
        <f>EXP(-LN(2)/2)*FS100+(1-EXP(-LN(2)/2))/(LN(2)/2)*FM101*FP101*VLOOKUP('Données projet'!$B$16,Paramètres!$A$1:$I$88,3,0)*0.475*44/12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projet'!$B$17,Paramètres!$A$1:$I$88,3,0)*VLOOKUP('Données projet'!$B$17,Paramètres!$A$1:$I$88,5,0)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projet'!$B$17,Paramètres!$A$1:$I$88,3,0)*0.475*44/12</f>
        <v>#N/A</v>
      </c>
      <c r="GM101" s="23" t="e">
        <f>EXP(-LN(2)/25)*GM100+(1-EXP(-LN(2)/25))/(LN(2)/25)*Calculateur!GH101*Calculateur!GJ101*VLOOKUP('Données projet'!$B$17,Paramètres!$A$1:$I$88,3,0)*0.475*44/12</f>
        <v>#N/A</v>
      </c>
      <c r="GN101" s="23" t="e">
        <f>EXP(-LN(2)/2)*GN100+(1-EXP(-LN(2)/2))/(LN(2)/2)*GH101*GK101*VLOOKUP('Données projet'!$B$17,Paramètres!$A$1:$I$88,3,0)*0.475*44/12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projet'!$B$18,Paramètres!$A$1:$I$88,3,0)*VLOOKUP('Données projet'!$B$18,Paramètres!$A$1:$I$88,5,0)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projet'!$B$18,Paramètres!$A$1:$I$88,3,0)*0.475*44/12</f>
        <v>#N/A</v>
      </c>
      <c r="HH101" s="23" t="e">
        <f>EXP(-LN(2)/25)*HH100+(1-EXP(-LN(2)/25))/(LN(2)/25)*Calculateur!HC101*Calculateur!HE101*VLOOKUP('Données projet'!$B$18,Paramètres!$A$1:$I$88,3,0)*0.475*44/12</f>
        <v>#N/A</v>
      </c>
      <c r="HI101" s="23" t="e">
        <f>EXP(-LN(2)/2)*HI100+(1-EXP(-LN(2)/2))/(LN(2)/2)*HC101*HF101*VLOOKUP('Données projet'!$B$18,Paramètres!$A$1:$I$88,3,0)*0.475*44/12</f>
        <v>#N/A</v>
      </c>
      <c r="HJ101" s="24" t="e">
        <f t="shared" si="84"/>
        <v>#N/A</v>
      </c>
    </row>
    <row r="102" spans="1:218" s="5" customFormat="1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projet'!$B$9,Paramètres!$A$1:$I$88,3,0)*VLOOKUP('Données projet'!$B$9,Paramètres!$A$1:$I$88,5,0)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277.12283935441121</v>
      </c>
      <c r="S102" s="62">
        <f ca="1">AVERAGE(OFFSET($R$3,0,0,'Données projet'!$E$9+1,1))-AVERAGE(OFFSET($H$3,0,0,'Données projet'!$E$9+1,1))</f>
        <v>301.2688576786212</v>
      </c>
      <c r="T102" s="62">
        <f t="shared" si="88"/>
        <v>417.62172165132927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57.143612464320164</v>
      </c>
      <c r="AA102" s="23">
        <f>EXP(-LN(2)/25)*AA101+(1-EXP(-LN(2)/25))/(LN(2)/25)*Calculateur!V102*Calculateur!X102*VLOOKUP('Données projet'!$B$9,Paramètres!$A$1:$I$88,3,0)*0.475*44/12</f>
        <v>12.786940571011224</v>
      </c>
      <c r="AB102" s="23">
        <f>EXP(-LN(2)/2)*AB101+(1-EXP(-LN(2)/2))/(LN(2)/2)*V102*Y102*VLOOKUP('Données projet'!$B$9,Paramètres!$A$1:$I$88,3,0)*0.475*44/12</f>
        <v>1.2413426107296459E-6</v>
      </c>
      <c r="AC102" s="24">
        <f t="shared" si="57"/>
        <v>69.930554276674002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projet'!$B$10,Paramètres!$A$1:$I$88,3,0)*VLOOKUP('Données projet'!$B$10,Paramètres!$A$1:$I$88,5,0)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170.08673939431091</v>
      </c>
      <c r="AO102" s="62">
        <f t="shared" si="90"/>
        <v>252.97355497077106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projet'!$B$10,Paramètres!$A$1:$I$88,3,0)*0.475*44/12</f>
        <v>23.859028624661168</v>
      </c>
      <c r="AV102" s="23">
        <f>EXP(-LN(2)/25)*AV101+(1-EXP(-LN(2)/25))/(LN(2)/25)*Calculateur!AQ102*Calculateur!AS102*VLOOKUP('Données projet'!$B$10,Paramètres!$A$1:$I$88,3,0)*0.475*44/12</f>
        <v>12.960247361154833</v>
      </c>
      <c r="AW102" s="23">
        <f>EXP(-LN(2)/2)*AW101+(1-EXP(-LN(2)/2))/(LN(2)/2)*AQ102*AT102*VLOOKUP('Données projet'!$B$10,Paramètres!$A$1:$I$88,3,0)*0.475*44/12</f>
        <v>1.5900600867415522E-6</v>
      </c>
      <c r="AX102" s="23">
        <f t="shared" si="60"/>
        <v>36.819277575876086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4.8</v>
      </c>
      <c r="BD102" s="13">
        <f>IF('Données projet'!$A$88&gt;35,BD101+BC102-BL101,IF(A102&lt;'Données projet'!$A$88,$BA$205^A102,IF(A102='Données projet'!$A$88,'Données projet'!$B$88,BD101+BC102-BL101)))</f>
        <v>277.19999999999987</v>
      </c>
      <c r="BE102" s="14">
        <f>BD102*VLOOKUP('Données projet'!$B$11,Paramètres!$A$1:$I$88,3,0)*VLOOKUP('Données projet'!$B$11,Paramètres!$A$1:$I$88,5,0)</f>
        <v>250.8105599999999</v>
      </c>
      <c r="BF102" s="14">
        <f t="shared" si="91"/>
        <v>60.75947736410869</v>
      </c>
      <c r="BG102" s="22">
        <f t="shared" si="61"/>
        <v>542.65114840915578</v>
      </c>
      <c r="BH102" s="62">
        <f t="shared" si="62"/>
        <v>819.77398776356586</v>
      </c>
      <c r="BI102" s="62">
        <f ca="1">AVERAGE(OFFSET($BH$3,0,0,'Données projet'!$E$11+1,1))-AVERAGE(OFFSET($H$3,0,0,'Données projet'!$E$11+1,1))</f>
        <v>362.63718589694594</v>
      </c>
      <c r="BJ102" s="62">
        <f t="shared" si="92"/>
        <v>250.47702091764884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projet'!$B$11,Paramètres!$A$1:$I$88,7,0))</f>
        <v>0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projet'!$B$11,Paramètres!$A$1:$I$88,3,0)*0.475*44/12</f>
        <v>31.161833405616701</v>
      </c>
      <c r="BQ102" s="23">
        <f>EXP(-LN(2)/25)*BQ101+(1-EXP(-LN(2)/25))/(LN(2)/25)*Calculateur!BL102*Calculateur!BN102*VLOOKUP('Données projet'!$B$11,Paramètres!$A$1:$I$88,3,0)*0.475*44/12</f>
        <v>0</v>
      </c>
      <c r="BR102" s="23">
        <f>EXP(-LN(2)/2)*BR101+(1-EXP(-LN(2)/2))/(LN(2)/2)*BL102*BO102*VLOOKUP('Données projet'!$B$11,Paramètres!$A$1:$I$88,3,0)*0.475*44/12</f>
        <v>0</v>
      </c>
      <c r="BS102" s="24">
        <f t="shared" si="63"/>
        <v>31.161833405616701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4.8</v>
      </c>
      <c r="BY102" s="13">
        <f>IF('Données projet'!$A$114&gt;35,BY101+BX102-CG101,IF(A102&lt;'Données projet'!$A$114,$BV$205^A102,IF(A102='Données projet'!$A$114,'Données projet'!$B$114,BY101+BX102-CG101)))</f>
        <v>277.19999999999987</v>
      </c>
      <c r="BZ102" s="14">
        <f>BY102*VLOOKUP('Données projet'!$B$12,Paramètres!$A$1:$I$88,3,0)*VLOOKUP('Données projet'!$B$12,Paramètres!$A$1:$I$88,5,0)</f>
        <v>281.0807999999999</v>
      </c>
      <c r="CA102" s="14">
        <f t="shared" si="93"/>
        <v>67.19536175254612</v>
      </c>
      <c r="CB102" s="22">
        <f t="shared" si="64"/>
        <v>606.58098171901759</v>
      </c>
      <c r="CC102" s="62">
        <f t="shared" si="65"/>
        <v>883.70382107342766</v>
      </c>
      <c r="CD102" s="62">
        <f ca="1">AVERAGE(OFFSET($CC$3,0,0,'Données projet'!$E$12+1,1))-AVERAGE(OFFSET($H$3,0,0,'Données projet'!$E$12+1,1))</f>
        <v>398.14524781940196</v>
      </c>
      <c r="CE102" s="62">
        <f t="shared" si="94"/>
        <v>273.35778700650792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projet'!$B$12,Paramètres!$A$1:$I$88,3,0)*0.475*44/12</f>
        <v>34.922744333880793</v>
      </c>
      <c r="CL102" s="23">
        <f>EXP(-LN(2)/25)*CL101+(1-EXP(-LN(2)/25))/(LN(2)/25)*Calculateur!CG102*Calculateur!CI102*VLOOKUP('Données projet'!$B$12,Paramètres!$A$1:$I$88,3,0)*0.475*44/12</f>
        <v>0</v>
      </c>
      <c r="CM102" s="23">
        <f>EXP(-LN(2)/2)*CM101+(1-EXP(-LN(2)/2))/(LN(2)/2)*CG102*CJ102*VLOOKUP('Données projet'!$B$12,Paramètres!$A$1:$I$88,3,0)*0.475*44/12</f>
        <v>0</v>
      </c>
      <c r="CN102" s="24">
        <f t="shared" si="66"/>
        <v>34.922744333880793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6.4</v>
      </c>
      <c r="CT102" s="13">
        <f>IF('Données projet'!$A$140&gt;35,CT101+CS102-DB101,IF(A102&lt;'Données projet'!$A$140,$CQ$205^A102,IF(A102='Données projet'!$A$140,'Données projet'!$B$140,CT101+CS102-DB101)))</f>
        <v>393.6</v>
      </c>
      <c r="CU102" s="18">
        <f>CT102*VLOOKUP('Données projet'!$B$13,Paramètres!$A$1:$I$88,3,0)*VLOOKUP('Données projet'!$B$13,Paramètres!$A$1:$I$88,5,0)</f>
        <v>374.54975999999999</v>
      </c>
      <c r="CV102" s="14">
        <f t="shared" si="95"/>
        <v>86.59744517263124</v>
      </c>
      <c r="CW102" s="22">
        <f t="shared" si="67"/>
        <v>803.16471567566589</v>
      </c>
      <c r="CX102" s="62">
        <f t="shared" si="68"/>
        <v>1080.287555030076</v>
      </c>
      <c r="CY102" s="62">
        <f ca="1">AVERAGE(OFFSET($CX$3,0,0,'Données projet'!$E$13+1,1))-AVERAGE(OFFSET($H$3,0,0,'Données projet'!$E$13+1,1))</f>
        <v>470.0521927195926</v>
      </c>
      <c r="CZ102" s="62">
        <f t="shared" si="96"/>
        <v>299.27200854723435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projet'!$B$13,Paramètres!$A$1:$I$88,3,0)*0.475*44/12</f>
        <v>32.773652374872732</v>
      </c>
      <c r="DG102" s="23">
        <f>EXP(-LN(2)/25)*DG101+(1-EXP(-LN(2)/25))/(LN(2)/25)*Calculateur!DB102*Calculateur!DD102*VLOOKUP('Données projet'!$B$13,Paramètres!$A$1:$I$88,3,0)*0.475*44/12</f>
        <v>0</v>
      </c>
      <c r="DH102" s="23">
        <f>EXP(-LN(2)/2)*DH101+(1-EXP(-LN(2)/2))/(LN(2)/2)*DB102*DE102*VLOOKUP('Données projet'!$B$13,Paramètres!$A$1:$I$88,3,0)*0.475*44/12</f>
        <v>0</v>
      </c>
      <c r="DI102" s="24">
        <f t="shared" si="69"/>
        <v>32.773652374872732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3.2</v>
      </c>
      <c r="DO102" s="13">
        <f>IF('Données projet'!$A$166&gt;35,DO101+DN102-DW101,IF(A102&lt;'Données projet'!$A$166,$DL$205^A102,IF(A102='Données projet'!$A$166,'Données projet'!$B$166,DO101+DN102-DW101)))</f>
        <v>214.79999999999987</v>
      </c>
      <c r="DP102" s="18">
        <f>DO102*VLOOKUP('Données projet'!$B$14,Paramètres!$A$1:$I$88,3,0)*VLOOKUP('Données projet'!$B$14,Paramètres!$A$1:$I$88,5,0)</f>
        <v>207.75455999999991</v>
      </c>
      <c r="DQ102" s="14">
        <f t="shared" si="97"/>
        <v>51.444593984782131</v>
      </c>
      <c r="DR102" s="22">
        <f t="shared" si="70"/>
        <v>451.43852652349534</v>
      </c>
      <c r="DS102" s="62">
        <f t="shared" si="71"/>
        <v>728.56136587790547</v>
      </c>
      <c r="DT102" s="62">
        <f ca="1">AVERAGE(OFFSET($DS$3,0,0,'Données projet'!$E$14+1,1))-AVERAGE(OFFSET($H$3,0,0,'Données projet'!$E$14+1,1))</f>
        <v>290.89727102147953</v>
      </c>
      <c r="DU102" s="62">
        <f t="shared" si="98"/>
        <v>173.19148969173838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projet'!$B$14,Paramètres!$A$1:$I$88,3,0)*0.475*44/12</f>
        <v>22.207283576416508</v>
      </c>
      <c r="EB102" s="23">
        <f>EXP(-LN(2)/25)*EB101+(1-EXP(-LN(2)/25))/(LN(2)/25)*Calculateur!DW102*Calculateur!DY102*VLOOKUP('Données projet'!$B$14,Paramètres!$A$1:$I$88,3,0)*0.475*44/12</f>
        <v>0</v>
      </c>
      <c r="EC102" s="23">
        <f>EXP(-LN(2)/2)*EC101+(1-EXP(-LN(2)/2))/(LN(2)/2)*DW102*DZ102*VLOOKUP('Données projet'!$B$14,Paramètres!$A$1:$I$88,3,0)*0.475*44/12</f>
        <v>0</v>
      </c>
      <c r="ED102" s="24">
        <f t="shared" si="72"/>
        <v>22.207283576416508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projet'!$B$15,Paramètres!$A$1:$I$88,3,0)*VLOOKUP('Données projet'!$B$15,Paramètres!$A$1:$I$88,5,0)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projet'!$B$15,Paramètres!$A$1:$I$88,3,0)*0.475*44/12</f>
        <v>#N/A</v>
      </c>
      <c r="EW102" s="23" t="e">
        <f>EXP(-LN(2)/25)*EW101+(1-EXP(-LN(2)/25))/(LN(2)/25)*Calculateur!ER102*Calculateur!ET102*VLOOKUP('Données projet'!$B$15,Paramètres!$A$1:$I$88,3,0)*0.475*44/12</f>
        <v>#N/A</v>
      </c>
      <c r="EX102" s="23" t="e">
        <f>EXP(-LN(2)/2)*EX101+(1-EXP(-LN(2)/2))/(LN(2)/2)*ER102*EU102*VLOOKUP('Données projet'!$B$15,Paramètres!$A$1:$I$88,3,0)*0.475*44/12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projet'!$B$16,Paramètres!$A$1:$I$88,3,0)*VLOOKUP('Données projet'!$B$16,Paramètres!$A$1:$I$88,5,0)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projet'!$B$16,Paramètres!$A$1:$I$88,3,0)*0.475*44/12</f>
        <v>#N/A</v>
      </c>
      <c r="FR102" s="23" t="e">
        <f>EXP(-LN(2)/25)*FR101+(1-EXP(-LN(2)/25))/(LN(2)/25)*Calculateur!FM102*Calculateur!FO102*VLOOKUP('Données projet'!$B$16,Paramètres!$A$1:$I$88,3,0)*0.475*44/12</f>
        <v>#N/A</v>
      </c>
      <c r="FS102" s="23" t="e">
        <f>EXP(-LN(2)/2)*FS101+(1-EXP(-LN(2)/2))/(LN(2)/2)*FM102*FP102*VLOOKUP('Données projet'!$B$16,Paramètres!$A$1:$I$88,3,0)*0.475*44/12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projet'!$B$17,Paramètres!$A$1:$I$88,3,0)*VLOOKUP('Données projet'!$B$17,Paramètres!$A$1:$I$88,5,0)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projet'!$B$17,Paramètres!$A$1:$I$88,3,0)*0.475*44/12</f>
        <v>#N/A</v>
      </c>
      <c r="GM102" s="23" t="e">
        <f>EXP(-LN(2)/25)*GM101+(1-EXP(-LN(2)/25))/(LN(2)/25)*Calculateur!GH102*Calculateur!GJ102*VLOOKUP('Données projet'!$B$17,Paramètres!$A$1:$I$88,3,0)*0.475*44/12</f>
        <v>#N/A</v>
      </c>
      <c r="GN102" s="23" t="e">
        <f>EXP(-LN(2)/2)*GN101+(1-EXP(-LN(2)/2))/(LN(2)/2)*GH102*GK102*VLOOKUP('Données projet'!$B$17,Paramètres!$A$1:$I$88,3,0)*0.475*44/12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projet'!$B$18,Paramètres!$A$1:$I$88,3,0)*VLOOKUP('Données projet'!$B$18,Paramètres!$A$1:$I$88,5,0)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projet'!$B$18,Paramètres!$A$1:$I$88,3,0)*0.475*44/12</f>
        <v>#N/A</v>
      </c>
      <c r="HH102" s="23" t="e">
        <f>EXP(-LN(2)/25)*HH101+(1-EXP(-LN(2)/25))/(LN(2)/25)*Calculateur!HC102*Calculateur!HE102*VLOOKUP('Données projet'!$B$18,Paramètres!$A$1:$I$88,3,0)*0.475*44/12</f>
        <v>#N/A</v>
      </c>
      <c r="HI102" s="23" t="e">
        <f>EXP(-LN(2)/2)*HI101+(1-EXP(-LN(2)/2))/(LN(2)/2)*HC102*HF102*VLOOKUP('Données projet'!$B$18,Paramètres!$A$1:$I$88,3,0)*0.475*44/12</f>
        <v>#N/A</v>
      </c>
      <c r="HJ102" s="24" t="e">
        <f t="shared" si="84"/>
        <v>#N/A</v>
      </c>
    </row>
    <row r="103" spans="1:218" s="5" customFormat="1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projet'!$B$9,Paramètres!$A$1:$I$88,3,0)*VLOOKUP('Données projet'!$B$9,Paramètres!$A$1:$I$88,5,0)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277.40405518371028</v>
      </c>
      <c r="S103" s="62">
        <f ca="1">AVERAGE(OFFSET($R$3,0,0,'Données projet'!$E$9+1,1))-AVERAGE(OFFSET($H$3,0,0,'Données projet'!$E$9+1,1))</f>
        <v>301.2688576786212</v>
      </c>
      <c r="T103" s="62">
        <f t="shared" si="88"/>
        <v>417.62172165132927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projet'!$B$9,Paramètres!$A$1:$I$88,7,0))</f>
        <v>0</v>
      </c>
      <c r="X103" s="17">
        <f>IF(ISNA(VLOOKUP(A103,'Données projet'!$A$35:$I$55,6,0)),0%,VLOOKUP(A103,'Données projet'!$A$35:$I$55,6,0)*VLOOKUP('Données projet'!$B$9,Paramètres!$A$1:$I$88,7,0))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projet'!$B$9,Paramètres!$A$1:$I$88,3,0)*0.475*44/12</f>
        <v>56.023061078056884</v>
      </c>
      <c r="AA103" s="23">
        <f>EXP(-LN(2)/25)*AA102+(1-EXP(-LN(2)/25))/(LN(2)/25)*Calculateur!V103*Calculateur!X103*VLOOKUP('Données projet'!$B$9,Paramètres!$A$1:$I$88,3,0)*0.475*44/12</f>
        <v>12.437281008660943</v>
      </c>
      <c r="AB103" s="23">
        <f>EXP(-LN(2)/2)*AB102+(1-EXP(-LN(2)/2))/(LN(2)/2)*V103*Y103*VLOOKUP('Données projet'!$B$9,Paramètres!$A$1:$I$88,3,0)*0.475*44/12</f>
        <v>8.7776177782274537E-7</v>
      </c>
      <c r="AC103" s="24">
        <f t="shared" si="57"/>
        <v>68.460342964479608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projet'!$B$10,Paramètres!$A$1:$I$88,3,0)*VLOOKUP('Données projet'!$B$10,Paramètres!$A$1:$I$88,5,0)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170.08673939431091</v>
      </c>
      <c r="AO103" s="62">
        <f t="shared" si="90"/>
        <v>252.97355497077106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projet'!$B$10,Paramètres!$A$1:$I$88,7,0))</f>
        <v>0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projet'!$B$10,Paramètres!$A$1:$I$88,3,0)*0.475*44/12</f>
        <v>23.391167625902074</v>
      </c>
      <c r="AV103" s="23">
        <f>EXP(-LN(2)/25)*AV102+(1-EXP(-LN(2)/25))/(LN(2)/25)*Calculateur!AQ103*Calculateur!AS103*VLOOKUP('Données projet'!$B$10,Paramètres!$A$1:$I$88,3,0)*0.475*44/12</f>
        <v>12.605848715514266</v>
      </c>
      <c r="AW103" s="23">
        <f>EXP(-LN(2)/2)*AW102+(1-EXP(-LN(2)/2))/(LN(2)/2)*AQ103*AT103*VLOOKUP('Données projet'!$B$10,Paramètres!$A$1:$I$88,3,0)*0.475*44/12</f>
        <v>1.1243422698290215E-6</v>
      </c>
      <c r="AX103" s="23">
        <f t="shared" si="60"/>
        <v>35.99701746575861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282</v>
      </c>
      <c r="BB103" s="13">
        <f>VLOOKUP(A103,'Données projet'!$A$87:$I$107,9,0)</f>
        <v>4.8</v>
      </c>
      <c r="BC103" s="13">
        <f t="array" ref="BC103">INDEX(BB:BB,MIN(IF(ISNUMBER(BB103:BB299),ROW(BB103:BB299),"")))</f>
        <v>4.8</v>
      </c>
      <c r="BD103" s="13">
        <f>IF('Données projet'!$A$88&gt;35,BD102+BC103-BL102,IF(A103&lt;'Données projet'!$A$88,$BA$205^A103,IF(A103='Données projet'!$A$88,'Données projet'!$B$88,BD102+BC103-BL102)))</f>
        <v>281.99999999999989</v>
      </c>
      <c r="BE103" s="14">
        <f>BD103*VLOOKUP('Données projet'!$B$11,Paramètres!$A$1:$I$88,3,0)*VLOOKUP('Données projet'!$B$11,Paramètres!$A$1:$I$88,5,0)</f>
        <v>255.15359999999987</v>
      </c>
      <c r="BF103" s="14">
        <f t="shared" si="91"/>
        <v>61.688192762754376</v>
      </c>
      <c r="BG103" s="22">
        <f t="shared" si="61"/>
        <v>551.83278906179692</v>
      </c>
      <c r="BH103" s="62">
        <f t="shared" si="62"/>
        <v>829.23684424550606</v>
      </c>
      <c r="BI103" s="62">
        <f ca="1">AVERAGE(OFFSET($BH$3,0,0,'Données projet'!$E$11+1,1))-AVERAGE(OFFSET($H$3,0,0,'Données projet'!$E$11+1,1))</f>
        <v>362.63718589694594</v>
      </c>
      <c r="BJ103" s="62">
        <f t="shared" si="92"/>
        <v>250.47702091764884</v>
      </c>
      <c r="BK103" s="16">
        <f>IF(ISNA(VLOOKUP(A103,'Données projet'!$A$87:$I$107,3,0)),0,VLOOKUP(A103,'Données projet'!$A$87:$I$107,3,0))</f>
        <v>17</v>
      </c>
      <c r="BL103" s="16">
        <f>IF(ISNA(VLOOKUP(A103,'Données projet'!$A$87:$I$107,4,0)),0,VLOOKUP(A103,'Données projet'!$A$87:$I$107,4,0))</f>
        <v>282</v>
      </c>
      <c r="BM103" s="17">
        <f>IF(ISNA(VLOOKUP(A103,'Données projet'!$A$87:$I$107,5,0)),0%,VLOOKUP(A103,'Données projet'!$A$87:$I$107,5,0)*VLOOKUP('Données projet'!$B$11,Paramètres!$A$1:$I$88,7,0))</f>
        <v>0.34400000000000003</v>
      </c>
      <c r="BN103" s="17">
        <f>IF(ISNA(VLOOKUP(A103,'Données projet'!$A$87:$I$107,6,0)),0%,VLOOKUP(A103,'Données projet'!$A$87:$I$107,6,0)*VLOOKUP('Données projet'!$B$11,Paramètres!$A$1:$I$88,7,0))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projet'!$B$11,Paramètres!$A$1:$I$88,3,0)*0.475*44/12</f>
        <v>127.58104183810647</v>
      </c>
      <c r="BQ103" s="23">
        <f>EXP(-LN(2)/25)*BQ102+(1-EXP(-LN(2)/25))/(LN(2)/25)*Calculateur!BL103*Calculateur!BN103*VLOOKUP('Données projet'!$B$11,Paramètres!$A$1:$I$88,3,0)*0.475*44/12</f>
        <v>0</v>
      </c>
      <c r="BR103" s="23">
        <f>EXP(-LN(2)/2)*BR102+(1-EXP(-LN(2)/2))/(LN(2)/2)*BL103*BO103*VLOOKUP('Données projet'!$B$11,Paramètres!$A$1:$I$88,3,0)*0.475*44/12</f>
        <v>0</v>
      </c>
      <c r="BS103" s="24">
        <f t="shared" si="63"/>
        <v>127.58104183810647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282</v>
      </c>
      <c r="BW103" s="13">
        <f>VLOOKUP(A103,'Données projet'!$A$113:$I$133,9,0)</f>
        <v>4.8</v>
      </c>
      <c r="BX103" s="13">
        <f t="array" ref="BX103">INDEX(BW:BW,MIN(IF(ISNUMBER(BW103:BW299),ROW(BW103:BW299),"")))</f>
        <v>4.8</v>
      </c>
      <c r="BY103" s="13">
        <f>IF('Données projet'!$A$114&gt;35,BY102+BX103-CG102,IF(A103&lt;'Données projet'!$A$114,$BV$205^A103,IF(A103='Données projet'!$A$114,'Données projet'!$B$114,BY102+BX103-CG102)))</f>
        <v>281.99999999999989</v>
      </c>
      <c r="BZ103" s="14">
        <f>BY103*VLOOKUP('Données projet'!$B$12,Paramètres!$A$1:$I$88,3,0)*VLOOKUP('Données projet'!$B$12,Paramètres!$A$1:$I$88,5,0)</f>
        <v>285.94799999999992</v>
      </c>
      <c r="CA103" s="14">
        <f t="shared" si="93"/>
        <v>68.222450362989363</v>
      </c>
      <c r="CB103" s="22">
        <f t="shared" si="64"/>
        <v>616.84686771553959</v>
      </c>
      <c r="CC103" s="62">
        <f t="shared" si="65"/>
        <v>894.25092289924874</v>
      </c>
      <c r="CD103" s="62">
        <f ca="1">AVERAGE(OFFSET($CC$3,0,0,'Données projet'!$E$12+1,1))-AVERAGE(OFFSET($H$3,0,0,'Données projet'!$E$12+1,1))</f>
        <v>398.14524781940196</v>
      </c>
      <c r="CE103" s="62">
        <f t="shared" si="94"/>
        <v>273.35778700650792</v>
      </c>
      <c r="CF103" s="16">
        <f>IF(ISNA(VLOOKUP(A103,'Données projet'!$A$113:$I$133,3,0)),0,VLOOKUP(A103,'Données projet'!$A$113:$I$133,3,0))</f>
        <v>17</v>
      </c>
      <c r="CG103" s="16">
        <f>IF(ISNA(VLOOKUP(A103,'Données projet'!$A$113:$I$133,4,0)),0,VLOOKUP(A103,'Données projet'!$A$113:$I$133,4,0))</f>
        <v>282</v>
      </c>
      <c r="CH103" s="17">
        <f>IF(ISNA(VLOOKUP(A103,'Données projet'!$A$113:$I$133,5,0)),0%,VLOOKUP(A103,'Données projet'!$A$113:$I$133,5,0)*VLOOKUP('Données projet'!$B$12,Paramètres!$A$1:$I$88,7,0))</f>
        <v>0.34400000000000003</v>
      </c>
      <c r="CI103" s="17">
        <f>IF(ISNA(VLOOKUP(A103,'Données projet'!$A$113:$I$133,6,0)),0%,VLOOKUP(A103,'Données projet'!$A$113:$I$133,6,0)*VLOOKUP('Données projet'!$B$12,Paramètres!$A$1:$I$88,7,0))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projet'!$B$12,Paramètres!$A$1:$I$88,3,0)*0.475*44/12</f>
        <v>142.97875378408486</v>
      </c>
      <c r="CL103" s="23">
        <f>EXP(-LN(2)/25)*CL102+(1-EXP(-LN(2)/25))/(LN(2)/25)*Calculateur!CG103*Calculateur!CI103*VLOOKUP('Données projet'!$B$12,Paramètres!$A$1:$I$88,3,0)*0.475*44/12</f>
        <v>0</v>
      </c>
      <c r="CM103" s="23">
        <f>EXP(-LN(2)/2)*CM102+(1-EXP(-LN(2)/2))/(LN(2)/2)*CG103*CJ103*VLOOKUP('Données projet'!$B$12,Paramètres!$A$1:$I$88,3,0)*0.475*44/12</f>
        <v>0</v>
      </c>
      <c r="CN103" s="24">
        <f t="shared" si="66"/>
        <v>142.97875378408486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400</v>
      </c>
      <c r="CR103" s="13">
        <f>VLOOKUP(A103,'Données projet'!$A$139:$I$159,9,0)</f>
        <v>6.4</v>
      </c>
      <c r="CS103" s="13">
        <f t="array" ref="CS103">INDEX(CR:CR,MIN(IF(ISNUMBER(CR103:CR299),ROW(CR103:CR299),"")))</f>
        <v>6.4</v>
      </c>
      <c r="CT103" s="13">
        <f>IF('Données projet'!$A$140&gt;35,CT102+CS103-DB102,IF(A103&lt;'Données projet'!$A$140,$CQ$205^A103,IF(A103='Données projet'!$A$140,'Données projet'!$B$140,CT102+CS103-DB102)))</f>
        <v>400</v>
      </c>
      <c r="CU103" s="18">
        <f>CT103*VLOOKUP('Données projet'!$B$13,Paramètres!$A$1:$I$88,3,0)*VLOOKUP('Données projet'!$B$13,Paramètres!$A$1:$I$88,5,0)</f>
        <v>380.64</v>
      </c>
      <c r="CV103" s="14">
        <f t="shared" si="95"/>
        <v>87.840461844123254</v>
      </c>
      <c r="CW103" s="22">
        <f t="shared" si="67"/>
        <v>815.93680437851447</v>
      </c>
      <c r="CX103" s="62">
        <f t="shared" si="68"/>
        <v>1093.3408595622236</v>
      </c>
      <c r="CY103" s="62">
        <f ca="1">AVERAGE(OFFSET($CX$3,0,0,'Données projet'!$E$13+1,1))-AVERAGE(OFFSET($H$3,0,0,'Données projet'!$E$13+1,1))</f>
        <v>470.0521927195926</v>
      </c>
      <c r="CZ103" s="62">
        <f t="shared" si="96"/>
        <v>299.27200854723435</v>
      </c>
      <c r="DA103" s="16">
        <f>IF(ISNA(VLOOKUP(A103,'Données projet'!$A$139:$I$159,3,0)),0,VLOOKUP(A103,'Données projet'!$A$139:$I$159,3,0))</f>
        <v>17</v>
      </c>
      <c r="DB103" s="16">
        <f>IF(ISNA(VLOOKUP(A103,'Données projet'!$A$139:$I$159,4,0)),0,VLOOKUP(A103,'Données projet'!$A$139:$I$159,4,0))</f>
        <v>282</v>
      </c>
      <c r="DC103" s="17">
        <f>IF(ISNA(VLOOKUP(A103,'Données projet'!$A$139:$I$159,5,0)),0%,VLOOKUP(A103,'Données projet'!$A$139:$I$159,5,0)*VLOOKUP('Données projet'!$B$13,Paramètres!$A$1:$I$88,7,0))</f>
        <v>0.34400000000000003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projet'!$B$13,Paramètres!$A$1:$I$88,3,0)*0.475*44/12</f>
        <v>134.18006124352578</v>
      </c>
      <c r="DG103" s="23">
        <f>EXP(-LN(2)/25)*DG102+(1-EXP(-LN(2)/25))/(LN(2)/25)*Calculateur!DB103*Calculateur!DD103*VLOOKUP('Données projet'!$B$13,Paramètres!$A$1:$I$88,3,0)*0.475*44/12</f>
        <v>0</v>
      </c>
      <c r="DH103" s="23">
        <f>EXP(-LN(2)/2)*DH102+(1-EXP(-LN(2)/2))/(LN(2)/2)*DB103*DE103*VLOOKUP('Données projet'!$B$13,Paramètres!$A$1:$I$88,3,0)*0.475*44/12</f>
        <v>0</v>
      </c>
      <c r="DI103" s="24">
        <f t="shared" si="69"/>
        <v>134.18006124352578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218</v>
      </c>
      <c r="DM103" s="13">
        <f>VLOOKUP(A103,'Données projet'!$A$165:$I$185,9,0)</f>
        <v>3.2</v>
      </c>
      <c r="DN103" s="13">
        <f t="array" ref="DN103">INDEX(DM:DM,MIN(IF(ISNUMBER(DM103:DM299),ROW(DM103:DM299),"")))</f>
        <v>3.2</v>
      </c>
      <c r="DO103" s="13">
        <f>IF('Données projet'!$A$166&gt;35,DO102+DN103-DW102,IF(A103&lt;'Données projet'!$A$166,$DL$205^A103,IF(A103='Données projet'!$A$166,'Données projet'!$B$166,DO102+DN103-DW102)))</f>
        <v>217.99999999999986</v>
      </c>
      <c r="DP103" s="18">
        <f>DO103*VLOOKUP('Données projet'!$B$14,Paramètres!$A$1:$I$88,3,0)*VLOOKUP('Données projet'!$B$14,Paramètres!$A$1:$I$88,5,0)</f>
        <v>210.84959999999987</v>
      </c>
      <c r="DQ103" s="14">
        <f t="shared" si="97"/>
        <v>52.12120102423188</v>
      </c>
      <c r="DR103" s="22">
        <f t="shared" si="70"/>
        <v>458.00747845053689</v>
      </c>
      <c r="DS103" s="62">
        <f t="shared" si="71"/>
        <v>735.4115336342461</v>
      </c>
      <c r="DT103" s="62">
        <f ca="1">AVERAGE(OFFSET($DS$3,0,0,'Données projet'!$E$14+1,1))-AVERAGE(OFFSET($H$3,0,0,'Données projet'!$E$14+1,1))</f>
        <v>290.89727102147953</v>
      </c>
      <c r="DU103" s="62">
        <f t="shared" si="98"/>
        <v>173.19148969173838</v>
      </c>
      <c r="DV103" s="16">
        <f>IF(ISNA(VLOOKUP(A103,'Données projet'!$A$165:$I$185,3,0)),0,VLOOKUP(A103,'Données projet'!$A$165:$I$185,3,0))</f>
        <v>17</v>
      </c>
      <c r="DW103" s="16">
        <f>IF(ISNA(VLOOKUP(A103,'Données projet'!$A$165:$I$185,4,0)),0,VLOOKUP(A103,'Données projet'!$A$165:$I$185,4,0))</f>
        <v>218</v>
      </c>
      <c r="DX103" s="17">
        <f>IF(ISNA(VLOOKUP(A103,'Données projet'!$A$165:$I$185,5,0)),0%,VLOOKUP(A103,'Données projet'!$A$165:$I$185,5,0)*VLOOKUP('Données projet'!$B$14,Paramètres!$A$1:$I$88,7,0))</f>
        <v>0.34400000000000003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projet'!$B$14,Paramètres!$A$1:$I$88,3,0)*0.475*44/12</f>
        <v>101.95407993430004</v>
      </c>
      <c r="EB103" s="23">
        <f>EXP(-LN(2)/25)*EB102+(1-EXP(-LN(2)/25))/(LN(2)/25)*Calculateur!DW103*Calculateur!DY103*VLOOKUP('Données projet'!$B$14,Paramètres!$A$1:$I$88,3,0)*0.475*44/12</f>
        <v>0</v>
      </c>
      <c r="EC103" s="23">
        <f>EXP(-LN(2)/2)*EC102+(1-EXP(-LN(2)/2))/(LN(2)/2)*DW103*DZ103*VLOOKUP('Données projet'!$B$14,Paramètres!$A$1:$I$88,3,0)*0.475*44/12</f>
        <v>0</v>
      </c>
      <c r="ED103" s="24">
        <f t="shared" si="72"/>
        <v>101.95407993430004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projet'!$B$15,Paramètres!$A$1:$I$88,3,0)*VLOOKUP('Données projet'!$B$15,Paramètres!$A$1:$I$88,5,0)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projet'!$B$15,Paramètres!$A$1:$I$88,3,0)*0.475*44/12</f>
        <v>#N/A</v>
      </c>
      <c r="EW103" s="23" t="e">
        <f>EXP(-LN(2)/25)*EW102+(1-EXP(-LN(2)/25))/(LN(2)/25)*Calculateur!ER103*Calculateur!ET103*VLOOKUP('Données projet'!$B$15,Paramètres!$A$1:$I$88,3,0)*0.475*44/12</f>
        <v>#N/A</v>
      </c>
      <c r="EX103" s="23" t="e">
        <f>EXP(-LN(2)/2)*EX102+(1-EXP(-LN(2)/2))/(LN(2)/2)*ER103*EU103*VLOOKUP('Données projet'!$B$15,Paramètres!$A$1:$I$88,3,0)*0.475*44/12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projet'!$B$16,Paramètres!$A$1:$I$88,3,0)*VLOOKUP('Données projet'!$B$16,Paramètres!$A$1:$I$88,5,0)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projet'!$B$16,Paramètres!$A$1:$I$88,7,0))</f>
        <v>0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projet'!$B$16,Paramètres!$A$1:$I$88,3,0)*0.475*44/12</f>
        <v>#N/A</v>
      </c>
      <c r="FR103" s="23" t="e">
        <f>EXP(-LN(2)/25)*FR102+(1-EXP(-LN(2)/25))/(LN(2)/25)*Calculateur!FM103*Calculateur!FO103*VLOOKUP('Données projet'!$B$16,Paramètres!$A$1:$I$88,3,0)*0.475*44/12</f>
        <v>#N/A</v>
      </c>
      <c r="FS103" s="23" t="e">
        <f>EXP(-LN(2)/2)*FS102+(1-EXP(-LN(2)/2))/(LN(2)/2)*FM103*FP103*VLOOKUP('Données projet'!$B$16,Paramètres!$A$1:$I$88,3,0)*0.475*44/12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projet'!$B$17,Paramètres!$A$1:$I$88,3,0)*VLOOKUP('Données projet'!$B$17,Paramètres!$A$1:$I$88,5,0)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projet'!$B$17,Paramètres!$A$1:$I$88,3,0)*0.475*44/12</f>
        <v>#N/A</v>
      </c>
      <c r="GM103" s="23" t="e">
        <f>EXP(-LN(2)/25)*GM102+(1-EXP(-LN(2)/25))/(LN(2)/25)*Calculateur!GH103*Calculateur!GJ103*VLOOKUP('Données projet'!$B$17,Paramètres!$A$1:$I$88,3,0)*0.475*44/12</f>
        <v>#N/A</v>
      </c>
      <c r="GN103" s="23" t="e">
        <f>EXP(-LN(2)/2)*GN102+(1-EXP(-LN(2)/2))/(LN(2)/2)*GH103*GK103*VLOOKUP('Données projet'!$B$17,Paramètres!$A$1:$I$88,3,0)*0.475*44/12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projet'!$B$18,Paramètres!$A$1:$I$88,3,0)*VLOOKUP('Données projet'!$B$18,Paramètres!$A$1:$I$88,5,0)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projet'!$B$18,Paramètres!$A$1:$I$88,3,0)*0.475*44/12</f>
        <v>#N/A</v>
      </c>
      <c r="HH103" s="23" t="e">
        <f>EXP(-LN(2)/25)*HH102+(1-EXP(-LN(2)/25))/(LN(2)/25)*Calculateur!HC103*Calculateur!HE103*VLOOKUP('Données projet'!$B$18,Paramètres!$A$1:$I$88,3,0)*0.475*44/12</f>
        <v>#N/A</v>
      </c>
      <c r="HI103" s="23" t="e">
        <f>EXP(-LN(2)/2)*HI102+(1-EXP(-LN(2)/2))/(LN(2)/2)*HC103*HF103*VLOOKUP('Données projet'!$B$18,Paramètres!$A$1:$I$88,3,0)*0.475*44/12</f>
        <v>#N/A</v>
      </c>
      <c r="HJ103" s="24" t="e">
        <f t="shared" si="84"/>
        <v>#N/A</v>
      </c>
    </row>
    <row r="104" spans="1:218" s="5" customFormat="1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projet'!$B$9,Paramètres!$A$1:$I$88,3,0)*VLOOKUP('Données projet'!$B$9,Paramètres!$A$1:$I$88,5,0)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277.68039254707548</v>
      </c>
      <c r="S104" s="62">
        <f ca="1">AVERAGE(OFFSET($R$3,0,0,'Données projet'!$E$9+1,1))-AVERAGE(OFFSET($H$3,0,0,'Données projet'!$E$9+1,1))</f>
        <v>301.2688576786212</v>
      </c>
      <c r="T104" s="62">
        <f t="shared" si="88"/>
        <v>417.62172165132927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54.924483021009372</v>
      </c>
      <c r="AA104" s="23">
        <f>EXP(-LN(2)/25)*AA103+(1-EXP(-LN(2)/25))/(LN(2)/25)*Calculateur!V104*Calculateur!X104*VLOOKUP('Données projet'!$B$9,Paramètres!$A$1:$I$88,3,0)*0.475*44/12</f>
        <v>12.097182905430927</v>
      </c>
      <c r="AB104" s="23">
        <f>EXP(-LN(2)/2)*AB103+(1-EXP(-LN(2)/2))/(LN(2)/2)*V104*Y104*VLOOKUP('Données projet'!$B$9,Paramètres!$A$1:$I$88,3,0)*0.475*44/12</f>
        <v>6.2067130536482295E-7</v>
      </c>
      <c r="AC104" s="24">
        <f t="shared" si="57"/>
        <v>67.021666547111607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projet'!$B$10,Paramètres!$A$1:$I$88,3,0)*VLOOKUP('Données projet'!$B$10,Paramètres!$A$1:$I$88,5,0)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170.08673939431091</v>
      </c>
      <c r="AO104" s="62">
        <f t="shared" si="90"/>
        <v>252.97355497077106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projet'!$B$10,Paramètres!$A$1:$I$88,7,0))</f>
        <v>0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projet'!$B$10,Paramètres!$A$1:$I$88,3,0)*0.475*44/12</f>
        <v>22.932481095961617</v>
      </c>
      <c r="AV104" s="23">
        <f>EXP(-LN(2)/25)*AV103+(1-EXP(-LN(2)/25))/(LN(2)/25)*Calculateur!AQ104*Calculateur!AS104*VLOOKUP('Données projet'!$B$10,Paramètres!$A$1:$I$88,3,0)*0.475*44/12</f>
        <v>12.261141119475756</v>
      </c>
      <c r="AW104" s="23">
        <f>EXP(-LN(2)/2)*AW103+(1-EXP(-LN(2)/2))/(LN(2)/2)*AQ104*AT104*VLOOKUP('Données projet'!$B$10,Paramètres!$A$1:$I$88,3,0)*0.475*44/12</f>
        <v>7.9503004337077612E-7</v>
      </c>
      <c r="AX104" s="23">
        <f t="shared" si="60"/>
        <v>35.193623010467412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-1.1368683772161603E-13</v>
      </c>
      <c r="BE104" s="14">
        <f>BD104*VLOOKUP('Données projet'!$B$11,Paramètres!$A$1:$I$88,3,0)*VLOOKUP('Données projet'!$B$11,Paramètres!$A$1:$I$88,5,0)</f>
        <v>-1.0286385077051818E-13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362.63718589694594</v>
      </c>
      <c r="BJ104" s="62">
        <f t="shared" si="92"/>
        <v>250.47702091764884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projet'!$B$11,Paramètres!$A$1:$I$88,7,0))</f>
        <v>0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projet'!$B$11,Paramètres!$A$1:$I$88,3,0)*0.475*44/12</f>
        <v>125.07925542441296</v>
      </c>
      <c r="BQ104" s="23">
        <f>EXP(-LN(2)/25)*BQ103+(1-EXP(-LN(2)/25))/(LN(2)/25)*Calculateur!BL104*Calculateur!BN104*VLOOKUP('Données projet'!$B$11,Paramètres!$A$1:$I$88,3,0)*0.475*44/12</f>
        <v>0</v>
      </c>
      <c r="BR104" s="23">
        <f>EXP(-LN(2)/2)*BR103+(1-EXP(-LN(2)/2))/(LN(2)/2)*BL104*BO104*VLOOKUP('Données projet'!$B$11,Paramètres!$A$1:$I$88,3,0)*0.475*44/12</f>
        <v>0</v>
      </c>
      <c r="BS104" s="24">
        <f t="shared" si="63"/>
        <v>125.07925542441296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-1.1368683772161603E-13</v>
      </c>
      <c r="BZ104" s="14">
        <f>BY104*VLOOKUP('Données projet'!$B$12,Paramètres!$A$1:$I$88,3,0)*VLOOKUP('Données projet'!$B$12,Paramètres!$A$1:$I$88,5,0)</f>
        <v>-1.1527845344971866E-13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398.14524781940196</v>
      </c>
      <c r="CE104" s="62">
        <f t="shared" si="94"/>
        <v>273.35778700650792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projet'!$B$12,Paramètres!$A$1:$I$88,3,0)*0.475*44/12</f>
        <v>140.17502763080765</v>
      </c>
      <c r="CL104" s="23">
        <f>EXP(-LN(2)/25)*CL103+(1-EXP(-LN(2)/25))/(LN(2)/25)*Calculateur!CG104*Calculateur!CI104*VLOOKUP('Données projet'!$B$12,Paramètres!$A$1:$I$88,3,0)*0.475*44/12</f>
        <v>0</v>
      </c>
      <c r="CM104" s="23">
        <f>EXP(-LN(2)/2)*CM103+(1-EXP(-LN(2)/2))/(LN(2)/2)*CG104*CJ104*VLOOKUP('Données projet'!$B$12,Paramètres!$A$1:$I$88,3,0)*0.475*44/12</f>
        <v>0</v>
      </c>
      <c r="CN104" s="24">
        <f t="shared" si="66"/>
        <v>140.17502763080765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118</v>
      </c>
      <c r="CU104" s="18">
        <f>CT104*VLOOKUP('Données projet'!$B$13,Paramètres!$A$1:$I$88,3,0)*VLOOKUP('Données projet'!$B$13,Paramètres!$A$1:$I$88,5,0)</f>
        <v>112.28880000000001</v>
      </c>
      <c r="CV104" s="14">
        <f t="shared" si="95"/>
        <v>29.869595672288149</v>
      </c>
      <c r="CW104" s="22">
        <f t="shared" si="67"/>
        <v>247.59253912923518</v>
      </c>
      <c r="CX104" s="62">
        <f t="shared" si="68"/>
        <v>525.27293167630955</v>
      </c>
      <c r="CY104" s="62">
        <f ca="1">AVERAGE(OFFSET($CX$3,0,0,'Données projet'!$E$13+1,1))-AVERAGE(OFFSET($H$3,0,0,'Données projet'!$E$13+1,1))</f>
        <v>470.0521927195926</v>
      </c>
      <c r="CZ104" s="62">
        <f t="shared" si="96"/>
        <v>299.27200854723435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projet'!$B$13,Paramètres!$A$1:$I$88,3,0)*0.475*44/12</f>
        <v>131.54887208429639</v>
      </c>
      <c r="DG104" s="23">
        <f>EXP(-LN(2)/25)*DG103+(1-EXP(-LN(2)/25))/(LN(2)/25)*Calculateur!DB104*Calculateur!DD104*VLOOKUP('Données projet'!$B$13,Paramètres!$A$1:$I$88,3,0)*0.475*44/12</f>
        <v>0</v>
      </c>
      <c r="DH104" s="23">
        <f>EXP(-LN(2)/2)*DH103+(1-EXP(-LN(2)/2))/(LN(2)/2)*DB104*DE104*VLOOKUP('Données projet'!$B$13,Paramètres!$A$1:$I$88,3,0)*0.475*44/12</f>
        <v>0</v>
      </c>
      <c r="DI104" s="24">
        <f t="shared" si="69"/>
        <v>131.54887208429639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-1.4210854715202004E-13</v>
      </c>
      <c r="DP104" s="18">
        <f>DO104*VLOOKUP('Données projet'!$B$14,Paramètres!$A$1:$I$88,3,0)*VLOOKUP('Données projet'!$B$14,Paramètres!$A$1:$I$88,5,0)</f>
        <v>-1.3744738680543379E-13</v>
      </c>
      <c r="DQ104" s="14" t="e">
        <f t="shared" si="97"/>
        <v>#NUM!</v>
      </c>
      <c r="DR104" s="22" t="e">
        <f t="shared" si="70"/>
        <v>#NUM!</v>
      </c>
      <c r="DS104" s="62" t="e">
        <f t="shared" si="71"/>
        <v>#NUM!</v>
      </c>
      <c r="DT104" s="62">
        <f ca="1">AVERAGE(OFFSET($DS$3,0,0,'Données projet'!$E$14+1,1))-AVERAGE(OFFSET($H$3,0,0,'Données projet'!$E$14+1,1))</f>
        <v>290.89727102147953</v>
      </c>
      <c r="DU104" s="62">
        <f t="shared" si="98"/>
        <v>173.19148969173838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projet'!$B$14,Paramètres!$A$1:$I$88,3,0)*0.475*44/12</f>
        <v>99.954822612636832</v>
      </c>
      <c r="EB104" s="23">
        <f>EXP(-LN(2)/25)*EB103+(1-EXP(-LN(2)/25))/(LN(2)/25)*Calculateur!DW104*Calculateur!DY104*VLOOKUP('Données projet'!$B$14,Paramètres!$A$1:$I$88,3,0)*0.475*44/12</f>
        <v>0</v>
      </c>
      <c r="EC104" s="23">
        <f>EXP(-LN(2)/2)*EC103+(1-EXP(-LN(2)/2))/(LN(2)/2)*DW104*DZ104*VLOOKUP('Données projet'!$B$14,Paramètres!$A$1:$I$88,3,0)*0.475*44/12</f>
        <v>0</v>
      </c>
      <c r="ED104" s="24">
        <f t="shared" si="72"/>
        <v>99.954822612636832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projet'!$B$15,Paramètres!$A$1:$I$88,3,0)*VLOOKUP('Données projet'!$B$15,Paramètres!$A$1:$I$88,5,0)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projet'!$B$15,Paramètres!$A$1:$I$88,3,0)*0.475*44/12</f>
        <v>#N/A</v>
      </c>
      <c r="EW104" s="23" t="e">
        <f>EXP(-LN(2)/25)*EW103+(1-EXP(-LN(2)/25))/(LN(2)/25)*Calculateur!ER104*Calculateur!ET104*VLOOKUP('Données projet'!$B$15,Paramètres!$A$1:$I$88,3,0)*0.475*44/12</f>
        <v>#N/A</v>
      </c>
      <c r="EX104" s="23" t="e">
        <f>EXP(-LN(2)/2)*EX103+(1-EXP(-LN(2)/2))/(LN(2)/2)*ER104*EU104*VLOOKUP('Données projet'!$B$15,Paramètres!$A$1:$I$88,3,0)*0.475*44/12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projet'!$B$16,Paramètres!$A$1:$I$88,3,0)*VLOOKUP('Données projet'!$B$16,Paramètres!$A$1:$I$88,5,0)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projet'!$B$16,Paramètres!$A$1:$I$88,3,0)*0.475*44/12</f>
        <v>#N/A</v>
      </c>
      <c r="FR104" s="23" t="e">
        <f>EXP(-LN(2)/25)*FR103+(1-EXP(-LN(2)/25))/(LN(2)/25)*Calculateur!FM104*Calculateur!FO104*VLOOKUP('Données projet'!$B$16,Paramètres!$A$1:$I$88,3,0)*0.475*44/12</f>
        <v>#N/A</v>
      </c>
      <c r="FS104" s="23" t="e">
        <f>EXP(-LN(2)/2)*FS103+(1-EXP(-LN(2)/2))/(LN(2)/2)*FM104*FP104*VLOOKUP('Données projet'!$B$16,Paramètres!$A$1:$I$88,3,0)*0.475*44/12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projet'!$B$17,Paramètres!$A$1:$I$88,3,0)*VLOOKUP('Données projet'!$B$17,Paramètres!$A$1:$I$88,5,0)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projet'!$B$17,Paramètres!$A$1:$I$88,3,0)*0.475*44/12</f>
        <v>#N/A</v>
      </c>
      <c r="GM104" s="23" t="e">
        <f>EXP(-LN(2)/25)*GM103+(1-EXP(-LN(2)/25))/(LN(2)/25)*Calculateur!GH104*Calculateur!GJ104*VLOOKUP('Données projet'!$B$17,Paramètres!$A$1:$I$88,3,0)*0.475*44/12</f>
        <v>#N/A</v>
      </c>
      <c r="GN104" s="23" t="e">
        <f>EXP(-LN(2)/2)*GN103+(1-EXP(-LN(2)/2))/(LN(2)/2)*GH104*GK104*VLOOKUP('Données projet'!$B$17,Paramètres!$A$1:$I$88,3,0)*0.475*44/12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projet'!$B$18,Paramètres!$A$1:$I$88,3,0)*VLOOKUP('Données projet'!$B$18,Paramètres!$A$1:$I$88,5,0)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projet'!$B$18,Paramètres!$A$1:$I$88,3,0)*0.475*44/12</f>
        <v>#N/A</v>
      </c>
      <c r="HH104" s="23" t="e">
        <f>EXP(-LN(2)/25)*HH103+(1-EXP(-LN(2)/25))/(LN(2)/25)*Calculateur!HC104*Calculateur!HE104*VLOOKUP('Données projet'!$B$18,Paramètres!$A$1:$I$88,3,0)*0.475*44/12</f>
        <v>#N/A</v>
      </c>
      <c r="HI104" s="23" t="e">
        <f>EXP(-LN(2)/2)*HI103+(1-EXP(-LN(2)/2))/(LN(2)/2)*HC104*HF104*VLOOKUP('Données projet'!$B$18,Paramètres!$A$1:$I$88,3,0)*0.475*44/12</f>
        <v>#N/A</v>
      </c>
      <c r="HJ104" s="24" t="e">
        <f t="shared" si="84"/>
        <v>#N/A</v>
      </c>
    </row>
    <row r="105" spans="1:218" s="5" customFormat="1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projet'!$B$9,Paramètres!$A$1:$I$88,3,0)*VLOOKUP('Données projet'!$B$9,Paramètres!$A$1:$I$88,5,0)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277.95193607498402</v>
      </c>
      <c r="S105" s="62">
        <f ca="1">AVERAGE(OFFSET($R$3,0,0,'Données projet'!$E$9+1,1))-AVERAGE(OFFSET($H$3,0,0,'Données projet'!$E$9+1,1))</f>
        <v>301.2688576786212</v>
      </c>
      <c r="T105" s="62">
        <f t="shared" si="88"/>
        <v>417.62172165132927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projet'!$B$9,Paramètres!$A$1:$I$88,7,0))</f>
        <v>0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53.84744740959411</v>
      </c>
      <c r="AA105" s="23">
        <f>EXP(-LN(2)/25)*AA104+(1-EXP(-LN(2)/25))/(LN(2)/25)*Calculateur!V105*Calculateur!X105*VLOOKUP('Données projet'!$B$9,Paramètres!$A$1:$I$88,3,0)*0.475*44/12</f>
        <v>11.766384802718717</v>
      </c>
      <c r="AB105" s="23">
        <f>EXP(-LN(2)/2)*AB104+(1-EXP(-LN(2)/2))/(LN(2)/2)*V105*Y105*VLOOKUP('Données projet'!$B$9,Paramètres!$A$1:$I$88,3,0)*0.475*44/12</f>
        <v>4.3888088891137268E-7</v>
      </c>
      <c r="AC105" s="24">
        <f t="shared" si="57"/>
        <v>65.613832651193718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projet'!$B$10,Paramètres!$A$1:$I$88,3,0)*VLOOKUP('Données projet'!$B$10,Paramètres!$A$1:$I$88,5,0)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170.08673939431091</v>
      </c>
      <c r="AO105" s="62">
        <f t="shared" si="90"/>
        <v>252.97355497077106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projet'!$B$10,Paramètres!$A$1:$I$88,3,0)*0.475*44/12</f>
        <v>22.482789129102134</v>
      </c>
      <c r="AV105" s="23">
        <f>EXP(-LN(2)/25)*AV104+(1-EXP(-LN(2)/25))/(LN(2)/25)*Calculateur!AQ105*Calculateur!AS105*VLOOKUP('Données projet'!$B$10,Paramètres!$A$1:$I$88,3,0)*0.475*44/12</f>
        <v>11.925859570778304</v>
      </c>
      <c r="AW105" s="23">
        <f>EXP(-LN(2)/2)*AW104+(1-EXP(-LN(2)/2))/(LN(2)/2)*AQ105*AT105*VLOOKUP('Données projet'!$B$10,Paramètres!$A$1:$I$88,3,0)*0.475*44/12</f>
        <v>5.6217113491451076E-7</v>
      </c>
      <c r="AX105" s="23">
        <f t="shared" si="60"/>
        <v>34.408649262051576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-1.1368683772161603E-13</v>
      </c>
      <c r="BE105" s="14">
        <f>BD105*VLOOKUP('Données projet'!$B$11,Paramètres!$A$1:$I$88,3,0)*VLOOKUP('Données projet'!$B$11,Paramètres!$A$1:$I$88,5,0)</f>
        <v>-1.0286385077051818E-13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362.63718589694594</v>
      </c>
      <c r="BJ105" s="62">
        <f t="shared" si="92"/>
        <v>250.47702091764884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projet'!$B$11,Paramètres!$A$1:$I$88,3,0)*0.475*44/12</f>
        <v>122.62652751635294</v>
      </c>
      <c r="BQ105" s="23">
        <f>EXP(-LN(2)/25)*BQ104+(1-EXP(-LN(2)/25))/(LN(2)/25)*Calculateur!BL105*Calculateur!BN105*VLOOKUP('Données projet'!$B$11,Paramètres!$A$1:$I$88,3,0)*0.475*44/12</f>
        <v>0</v>
      </c>
      <c r="BR105" s="23">
        <f>EXP(-LN(2)/2)*BR104+(1-EXP(-LN(2)/2))/(LN(2)/2)*BL105*BO105*VLOOKUP('Données projet'!$B$11,Paramètres!$A$1:$I$88,3,0)*0.475*44/12</f>
        <v>0</v>
      </c>
      <c r="BS105" s="24">
        <f t="shared" si="63"/>
        <v>122.62652751635294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-1.1368683772161603E-13</v>
      </c>
      <c r="BZ105" s="14">
        <f>BY105*VLOOKUP('Données projet'!$B$12,Paramètres!$A$1:$I$88,3,0)*VLOOKUP('Données projet'!$B$12,Paramètres!$A$1:$I$88,5,0)</f>
        <v>-1.1527845344971866E-13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398.14524781940196</v>
      </c>
      <c r="CE105" s="62">
        <f t="shared" si="94"/>
        <v>273.35778700650792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projet'!$B$12,Paramètres!$A$1:$I$88,3,0)*0.475*44/12</f>
        <v>137.4262808372921</v>
      </c>
      <c r="CL105" s="23">
        <f>EXP(-LN(2)/25)*CL104+(1-EXP(-LN(2)/25))/(LN(2)/25)*Calculateur!CG105*Calculateur!CI105*VLOOKUP('Données projet'!$B$12,Paramètres!$A$1:$I$88,3,0)*0.475*44/12</f>
        <v>0</v>
      </c>
      <c r="CM105" s="23">
        <f>EXP(-LN(2)/2)*CM104+(1-EXP(-LN(2)/2))/(LN(2)/2)*CG105*CJ105*VLOOKUP('Données projet'!$B$12,Paramètres!$A$1:$I$88,3,0)*0.475*44/12</f>
        <v>0</v>
      </c>
      <c r="CN105" s="24">
        <f t="shared" si="66"/>
        <v>137.4262808372921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118</v>
      </c>
      <c r="CU105" s="18">
        <f>CT105*VLOOKUP('Données projet'!$B$13,Paramètres!$A$1:$I$88,3,0)*VLOOKUP('Données projet'!$B$13,Paramètres!$A$1:$I$88,5,0)</f>
        <v>112.28880000000001</v>
      </c>
      <c r="CV105" s="14">
        <f t="shared" si="95"/>
        <v>29.869595672288149</v>
      </c>
      <c r="CW105" s="22">
        <f t="shared" si="67"/>
        <v>247.59253912923518</v>
      </c>
      <c r="CX105" s="62">
        <f t="shared" si="68"/>
        <v>525.54447520421809</v>
      </c>
      <c r="CY105" s="62">
        <f ca="1">AVERAGE(OFFSET($CX$3,0,0,'Données projet'!$E$13+1,1))-AVERAGE(OFFSET($H$3,0,0,'Données projet'!$E$13+1,1))</f>
        <v>470.0521927195926</v>
      </c>
      <c r="CZ105" s="62">
        <f t="shared" si="96"/>
        <v>299.27200854723435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projet'!$B$13,Paramètres!$A$1:$I$88,3,0)*0.475*44/12</f>
        <v>128.96927893961256</v>
      </c>
      <c r="DG105" s="23">
        <f>EXP(-LN(2)/25)*DG104+(1-EXP(-LN(2)/25))/(LN(2)/25)*Calculateur!DB105*Calculateur!DD105*VLOOKUP('Données projet'!$B$13,Paramètres!$A$1:$I$88,3,0)*0.475*44/12</f>
        <v>0</v>
      </c>
      <c r="DH105" s="23">
        <f>EXP(-LN(2)/2)*DH104+(1-EXP(-LN(2)/2))/(LN(2)/2)*DB105*DE105*VLOOKUP('Données projet'!$B$13,Paramètres!$A$1:$I$88,3,0)*0.475*44/12</f>
        <v>0</v>
      </c>
      <c r="DI105" s="24">
        <f t="shared" si="69"/>
        <v>128.96927893961256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-1.4210854715202004E-13</v>
      </c>
      <c r="DP105" s="18">
        <f>DO105*VLOOKUP('Données projet'!$B$14,Paramètres!$A$1:$I$88,3,0)*VLOOKUP('Données projet'!$B$14,Paramètres!$A$1:$I$88,5,0)</f>
        <v>-1.3744738680543379E-13</v>
      </c>
      <c r="DQ105" s="14" t="e">
        <f t="shared" si="97"/>
        <v>#NUM!</v>
      </c>
      <c r="DR105" s="22" t="e">
        <f t="shared" si="70"/>
        <v>#NUM!</v>
      </c>
      <c r="DS105" s="62" t="e">
        <f t="shared" si="71"/>
        <v>#NUM!</v>
      </c>
      <c r="DT105" s="62">
        <f ca="1">AVERAGE(OFFSET($DS$3,0,0,'Données projet'!$E$14+1,1))-AVERAGE(OFFSET($H$3,0,0,'Données projet'!$E$14+1,1))</f>
        <v>290.89727102147953</v>
      </c>
      <c r="DU105" s="62">
        <f t="shared" si="98"/>
        <v>173.19148969173838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projet'!$B$14,Paramètres!$A$1:$I$88,3,0)*0.475*44/12</f>
        <v>97.994769507624881</v>
      </c>
      <c r="EB105" s="23">
        <f>EXP(-LN(2)/25)*EB104+(1-EXP(-LN(2)/25))/(LN(2)/25)*Calculateur!DW105*Calculateur!DY105*VLOOKUP('Données projet'!$B$14,Paramètres!$A$1:$I$88,3,0)*0.475*44/12</f>
        <v>0</v>
      </c>
      <c r="EC105" s="23">
        <f>EXP(-LN(2)/2)*EC104+(1-EXP(-LN(2)/2))/(LN(2)/2)*DW105*DZ105*VLOOKUP('Données projet'!$B$14,Paramètres!$A$1:$I$88,3,0)*0.475*44/12</f>
        <v>0</v>
      </c>
      <c r="ED105" s="24">
        <f t="shared" si="72"/>
        <v>97.994769507624881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projet'!$B$15,Paramètres!$A$1:$I$88,3,0)*VLOOKUP('Données projet'!$B$15,Paramètres!$A$1:$I$88,5,0)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projet'!$B$15,Paramètres!$A$1:$I$88,3,0)*0.475*44/12</f>
        <v>#N/A</v>
      </c>
      <c r="EW105" s="23" t="e">
        <f>EXP(-LN(2)/25)*EW104+(1-EXP(-LN(2)/25))/(LN(2)/25)*Calculateur!ER105*Calculateur!ET105*VLOOKUP('Données projet'!$B$15,Paramètres!$A$1:$I$88,3,0)*0.475*44/12</f>
        <v>#N/A</v>
      </c>
      <c r="EX105" s="23" t="e">
        <f>EXP(-LN(2)/2)*EX104+(1-EXP(-LN(2)/2))/(LN(2)/2)*ER105*EU105*VLOOKUP('Données projet'!$B$15,Paramètres!$A$1:$I$88,3,0)*0.475*44/12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projet'!$B$16,Paramètres!$A$1:$I$88,3,0)*VLOOKUP('Données projet'!$B$16,Paramètres!$A$1:$I$88,5,0)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projet'!$B$16,Paramètres!$A$1:$I$88,3,0)*0.475*44/12</f>
        <v>#N/A</v>
      </c>
      <c r="FR105" s="23" t="e">
        <f>EXP(-LN(2)/25)*FR104+(1-EXP(-LN(2)/25))/(LN(2)/25)*Calculateur!FM105*Calculateur!FO105*VLOOKUP('Données projet'!$B$16,Paramètres!$A$1:$I$88,3,0)*0.475*44/12</f>
        <v>#N/A</v>
      </c>
      <c r="FS105" s="23" t="e">
        <f>EXP(-LN(2)/2)*FS104+(1-EXP(-LN(2)/2))/(LN(2)/2)*FM105*FP105*VLOOKUP('Données projet'!$B$16,Paramètres!$A$1:$I$88,3,0)*0.475*44/12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projet'!$B$17,Paramètres!$A$1:$I$88,3,0)*VLOOKUP('Données projet'!$B$17,Paramètres!$A$1:$I$88,5,0)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projet'!$B$17,Paramètres!$A$1:$I$88,3,0)*0.475*44/12</f>
        <v>#N/A</v>
      </c>
      <c r="GM105" s="23" t="e">
        <f>EXP(-LN(2)/25)*GM104+(1-EXP(-LN(2)/25))/(LN(2)/25)*Calculateur!GH105*Calculateur!GJ105*VLOOKUP('Données projet'!$B$17,Paramètres!$A$1:$I$88,3,0)*0.475*44/12</f>
        <v>#N/A</v>
      </c>
      <c r="GN105" s="23" t="e">
        <f>EXP(-LN(2)/2)*GN104+(1-EXP(-LN(2)/2))/(LN(2)/2)*GH105*GK105*VLOOKUP('Données projet'!$B$17,Paramètres!$A$1:$I$88,3,0)*0.475*44/12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projet'!$B$18,Paramètres!$A$1:$I$88,3,0)*VLOOKUP('Données projet'!$B$18,Paramètres!$A$1:$I$88,5,0)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projet'!$B$18,Paramètres!$A$1:$I$88,3,0)*0.475*44/12</f>
        <v>#N/A</v>
      </c>
      <c r="HH105" s="23" t="e">
        <f>EXP(-LN(2)/25)*HH104+(1-EXP(-LN(2)/25))/(LN(2)/25)*Calculateur!HC105*Calculateur!HE105*VLOOKUP('Données projet'!$B$18,Paramètres!$A$1:$I$88,3,0)*0.475*44/12</f>
        <v>#N/A</v>
      </c>
      <c r="HI105" s="23" t="e">
        <f>EXP(-LN(2)/2)*HI104+(1-EXP(-LN(2)/2))/(LN(2)/2)*HC105*HF105*VLOOKUP('Données projet'!$B$18,Paramètres!$A$1:$I$88,3,0)*0.475*44/12</f>
        <v>#N/A</v>
      </c>
      <c r="HJ105" s="24" t="e">
        <f t="shared" si="84"/>
        <v>#N/A</v>
      </c>
    </row>
    <row r="106" spans="1:218" s="5" customFormat="1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projet'!$B$9,Paramètres!$A$1:$I$88,3,0)*VLOOKUP('Données projet'!$B$9,Paramètres!$A$1:$I$88,5,0)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278.21876892976377</v>
      </c>
      <c r="S106" s="62">
        <f ca="1">AVERAGE(OFFSET($R$3,0,0,'Données projet'!$E$9+1,1))-AVERAGE(OFFSET($H$3,0,0,'Données projet'!$E$9+1,1))</f>
        <v>301.2688576786212</v>
      </c>
      <c r="T106" s="62">
        <f t="shared" si="88"/>
        <v>417.62172165132927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projet'!$B$9,Paramètres!$A$1:$I$88,7,0))</f>
        <v>0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52.791531809591845</v>
      </c>
      <c r="AA106" s="23">
        <f>EXP(-LN(2)/25)*AA105+(1-EXP(-LN(2)/25))/(LN(2)/25)*Calculateur!V106*Calculateur!X106*VLOOKUP('Données projet'!$B$9,Paramètres!$A$1:$I$88,3,0)*0.475*44/12</f>
        <v>11.44463239152109</v>
      </c>
      <c r="AB106" s="23">
        <f>EXP(-LN(2)/2)*AB105+(1-EXP(-LN(2)/2))/(LN(2)/2)*V106*Y106*VLOOKUP('Données projet'!$B$9,Paramètres!$A$1:$I$88,3,0)*0.475*44/12</f>
        <v>3.1033565268241147E-7</v>
      </c>
      <c r="AC106" s="24">
        <f t="shared" si="57"/>
        <v>64.236164511448578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projet'!$B$10,Paramètres!$A$1:$I$88,3,0)*VLOOKUP('Données projet'!$B$10,Paramètres!$A$1:$I$88,5,0)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170.08673939431091</v>
      </c>
      <c r="AO106" s="62">
        <f t="shared" si="90"/>
        <v>252.97355497077106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projet'!$B$10,Paramètres!$A$1:$I$88,3,0)*0.475*44/12</f>
        <v>22.04191534742775</v>
      </c>
      <c r="AV106" s="23">
        <f>EXP(-LN(2)/25)*AV105+(1-EXP(-LN(2)/25))/(LN(2)/25)*Calculateur!AQ106*Calculateur!AS106*VLOOKUP('Données projet'!$B$10,Paramètres!$A$1:$I$88,3,0)*0.475*44/12</f>
        <v>11.599746313661672</v>
      </c>
      <c r="AW106" s="23">
        <f>EXP(-LN(2)/2)*AW105+(1-EXP(-LN(2)/2))/(LN(2)/2)*AQ106*AT106*VLOOKUP('Données projet'!$B$10,Paramètres!$A$1:$I$88,3,0)*0.475*44/12</f>
        <v>3.9751502168538806E-7</v>
      </c>
      <c r="AX106" s="23">
        <f t="shared" si="60"/>
        <v>33.641662058604446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-1.1368683772161603E-13</v>
      </c>
      <c r="BE106" s="14">
        <f>BD106*VLOOKUP('Données projet'!$B$11,Paramètres!$A$1:$I$88,3,0)*VLOOKUP('Données projet'!$B$11,Paramètres!$A$1:$I$88,5,0)</f>
        <v>-1.0286385077051818E-13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362.63718589694594</v>
      </c>
      <c r="BJ106" s="62">
        <f t="shared" si="92"/>
        <v>250.47702091764884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projet'!$B$11,Paramètres!$A$1:$I$88,7,0))</f>
        <v>0</v>
      </c>
      <c r="BN106" s="17">
        <f>IF(ISNA(VLOOKUP(A106,'Données projet'!$A$87:$I$107,6,0)),0%,VLOOKUP(A106,'Données projet'!$A$87:$I$107,6,0)*VLOOKUP('Données projet'!$B$11,Paramètres!$A$1:$I$88,7,0))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projet'!$B$11,Paramètres!$A$1:$I$88,3,0)*0.475*44/12</f>
        <v>120.22189610655367</v>
      </c>
      <c r="BQ106" s="23">
        <f>EXP(-LN(2)/25)*BQ105+(1-EXP(-LN(2)/25))/(LN(2)/25)*Calculateur!BL106*Calculateur!BN106*VLOOKUP('Données projet'!$B$11,Paramètres!$A$1:$I$88,3,0)*0.475*44/12</f>
        <v>0</v>
      </c>
      <c r="BR106" s="23">
        <f>EXP(-LN(2)/2)*BR105+(1-EXP(-LN(2)/2))/(LN(2)/2)*BL106*BO106*VLOOKUP('Données projet'!$B$11,Paramètres!$A$1:$I$88,3,0)*0.475*44/12</f>
        <v>0</v>
      </c>
      <c r="BS106" s="24">
        <f t="shared" si="63"/>
        <v>120.22189610655367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-1.1368683772161603E-13</v>
      </c>
      <c r="BZ106" s="14">
        <f>BY106*VLOOKUP('Données projet'!$B$12,Paramètres!$A$1:$I$88,3,0)*VLOOKUP('Données projet'!$B$12,Paramètres!$A$1:$I$88,5,0)</f>
        <v>-1.1527845344971866E-13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398.14524781940196</v>
      </c>
      <c r="CE106" s="62">
        <f t="shared" si="94"/>
        <v>273.35778700650792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projet'!$B$12,Paramètres!$A$1:$I$88,3,0)*0.475*44/12</f>
        <v>134.73143529182741</v>
      </c>
      <c r="CL106" s="23">
        <f>EXP(-LN(2)/25)*CL105+(1-EXP(-LN(2)/25))/(LN(2)/25)*Calculateur!CG106*Calculateur!CI106*VLOOKUP('Données projet'!$B$12,Paramètres!$A$1:$I$88,3,0)*0.475*44/12</f>
        <v>0</v>
      </c>
      <c r="CM106" s="23">
        <f>EXP(-LN(2)/2)*CM105+(1-EXP(-LN(2)/2))/(LN(2)/2)*CG106*CJ106*VLOOKUP('Données projet'!$B$12,Paramètres!$A$1:$I$88,3,0)*0.475*44/12</f>
        <v>0</v>
      </c>
      <c r="CN106" s="24">
        <f t="shared" si="66"/>
        <v>134.73143529182741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118</v>
      </c>
      <c r="CU106" s="18">
        <f>CT106*VLOOKUP('Données projet'!$B$13,Paramètres!$A$1:$I$88,3,0)*VLOOKUP('Données projet'!$B$13,Paramètres!$A$1:$I$88,5,0)</f>
        <v>112.28880000000001</v>
      </c>
      <c r="CV106" s="14">
        <f t="shared" si="95"/>
        <v>29.869595672288149</v>
      </c>
      <c r="CW106" s="22">
        <f t="shared" si="67"/>
        <v>247.59253912923518</v>
      </c>
      <c r="CX106" s="62">
        <f t="shared" si="68"/>
        <v>525.81130805899784</v>
      </c>
      <c r="CY106" s="62">
        <f ca="1">AVERAGE(OFFSET($CX$3,0,0,'Données projet'!$E$13+1,1))-AVERAGE(OFFSET($H$3,0,0,'Données projet'!$E$13+1,1))</f>
        <v>470.0521927195926</v>
      </c>
      <c r="CZ106" s="62">
        <f t="shared" si="96"/>
        <v>299.27200854723435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projet'!$B$13,Paramètres!$A$1:$I$88,7,0))</f>
        <v>0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projet'!$B$13,Paramètres!$A$1:$I$88,3,0)*0.475*44/12</f>
        <v>126.44027004309955</v>
      </c>
      <c r="DG106" s="23">
        <f>EXP(-LN(2)/25)*DG105+(1-EXP(-LN(2)/25))/(LN(2)/25)*Calculateur!DB106*Calculateur!DD106*VLOOKUP('Données projet'!$B$13,Paramètres!$A$1:$I$88,3,0)*0.475*44/12</f>
        <v>0</v>
      </c>
      <c r="DH106" s="23">
        <f>EXP(-LN(2)/2)*DH105+(1-EXP(-LN(2)/2))/(LN(2)/2)*DB106*DE106*VLOOKUP('Données projet'!$B$13,Paramètres!$A$1:$I$88,3,0)*0.475*44/12</f>
        <v>0</v>
      </c>
      <c r="DI106" s="24">
        <f t="shared" si="69"/>
        <v>126.44027004309955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-1.4210854715202004E-13</v>
      </c>
      <c r="DP106" s="18">
        <f>DO106*VLOOKUP('Données projet'!$B$14,Paramètres!$A$1:$I$88,3,0)*VLOOKUP('Données projet'!$B$14,Paramètres!$A$1:$I$88,5,0)</f>
        <v>-1.3744738680543379E-13</v>
      </c>
      <c r="DQ106" s="14" t="e">
        <f t="shared" si="97"/>
        <v>#NUM!</v>
      </c>
      <c r="DR106" s="22" t="e">
        <f t="shared" si="70"/>
        <v>#NUM!</v>
      </c>
      <c r="DS106" s="62" t="e">
        <f t="shared" si="71"/>
        <v>#NUM!</v>
      </c>
      <c r="DT106" s="62">
        <f ca="1">AVERAGE(OFFSET($DS$3,0,0,'Données projet'!$E$14+1,1))-AVERAGE(OFFSET($H$3,0,0,'Données projet'!$E$14+1,1))</f>
        <v>290.89727102147953</v>
      </c>
      <c r="DU106" s="62">
        <f t="shared" si="98"/>
        <v>173.19148969173838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projet'!$B$14,Paramètres!$A$1:$I$88,3,0)*0.475*44/12</f>
        <v>96.073151848487868</v>
      </c>
      <c r="EB106" s="23">
        <f>EXP(-LN(2)/25)*EB105+(1-EXP(-LN(2)/25))/(LN(2)/25)*Calculateur!DW106*Calculateur!DY106*VLOOKUP('Données projet'!$B$14,Paramètres!$A$1:$I$88,3,0)*0.475*44/12</f>
        <v>0</v>
      </c>
      <c r="EC106" s="23">
        <f>EXP(-LN(2)/2)*EC105+(1-EXP(-LN(2)/2))/(LN(2)/2)*DW106*DZ106*VLOOKUP('Données projet'!$B$14,Paramètres!$A$1:$I$88,3,0)*0.475*44/12</f>
        <v>0</v>
      </c>
      <c r="ED106" s="24">
        <f t="shared" si="72"/>
        <v>96.073151848487868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projet'!$B$15,Paramètres!$A$1:$I$88,3,0)*VLOOKUP('Données projet'!$B$15,Paramètres!$A$1:$I$88,5,0)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projet'!$B$15,Paramètres!$A$1:$I$88,3,0)*0.475*44/12</f>
        <v>#N/A</v>
      </c>
      <c r="EW106" s="23" t="e">
        <f>EXP(-LN(2)/25)*EW105+(1-EXP(-LN(2)/25))/(LN(2)/25)*Calculateur!ER106*Calculateur!ET106*VLOOKUP('Données projet'!$B$15,Paramètres!$A$1:$I$88,3,0)*0.475*44/12</f>
        <v>#N/A</v>
      </c>
      <c r="EX106" s="23" t="e">
        <f>EXP(-LN(2)/2)*EX105+(1-EXP(-LN(2)/2))/(LN(2)/2)*ER106*EU106*VLOOKUP('Données projet'!$B$15,Paramètres!$A$1:$I$88,3,0)*0.475*44/12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projet'!$B$16,Paramètres!$A$1:$I$88,3,0)*VLOOKUP('Données projet'!$B$16,Paramètres!$A$1:$I$88,5,0)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projet'!$B$16,Paramètres!$A$1:$I$88,3,0)*0.475*44/12</f>
        <v>#N/A</v>
      </c>
      <c r="FR106" s="23" t="e">
        <f>EXP(-LN(2)/25)*FR105+(1-EXP(-LN(2)/25))/(LN(2)/25)*Calculateur!FM106*Calculateur!FO106*VLOOKUP('Données projet'!$B$16,Paramètres!$A$1:$I$88,3,0)*0.475*44/12</f>
        <v>#N/A</v>
      </c>
      <c r="FS106" s="23" t="e">
        <f>EXP(-LN(2)/2)*FS105+(1-EXP(-LN(2)/2))/(LN(2)/2)*FM106*FP106*VLOOKUP('Données projet'!$B$16,Paramètres!$A$1:$I$88,3,0)*0.475*44/12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projet'!$B$17,Paramètres!$A$1:$I$88,3,0)*VLOOKUP('Données projet'!$B$17,Paramètres!$A$1:$I$88,5,0)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projet'!$B$17,Paramètres!$A$1:$I$88,3,0)*0.475*44/12</f>
        <v>#N/A</v>
      </c>
      <c r="GM106" s="23" t="e">
        <f>EXP(-LN(2)/25)*GM105+(1-EXP(-LN(2)/25))/(LN(2)/25)*Calculateur!GH106*Calculateur!GJ106*VLOOKUP('Données projet'!$B$17,Paramètres!$A$1:$I$88,3,0)*0.475*44/12</f>
        <v>#N/A</v>
      </c>
      <c r="GN106" s="23" t="e">
        <f>EXP(-LN(2)/2)*GN105+(1-EXP(-LN(2)/2))/(LN(2)/2)*GH106*GK106*VLOOKUP('Données projet'!$B$17,Paramètres!$A$1:$I$88,3,0)*0.475*44/12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projet'!$B$18,Paramètres!$A$1:$I$88,3,0)*VLOOKUP('Données projet'!$B$18,Paramètres!$A$1:$I$88,5,0)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projet'!$B$18,Paramètres!$A$1:$I$88,3,0)*0.475*44/12</f>
        <v>#N/A</v>
      </c>
      <c r="HH106" s="23" t="e">
        <f>EXP(-LN(2)/25)*HH105+(1-EXP(-LN(2)/25))/(LN(2)/25)*Calculateur!HC106*Calculateur!HE106*VLOOKUP('Données projet'!$B$18,Paramètres!$A$1:$I$88,3,0)*0.475*44/12</f>
        <v>#N/A</v>
      </c>
      <c r="HI106" s="23" t="e">
        <f>EXP(-LN(2)/2)*HI105+(1-EXP(-LN(2)/2))/(LN(2)/2)*HC106*HF106*VLOOKUP('Données projet'!$B$18,Paramètres!$A$1:$I$88,3,0)*0.475*44/12</f>
        <v>#N/A</v>
      </c>
      <c r="HJ106" s="24" t="e">
        <f t="shared" si="84"/>
        <v>#N/A</v>
      </c>
    </row>
    <row r="107" spans="1:218" s="5" customFormat="1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projet'!$B$9,Paramètres!$A$1:$I$88,3,0)*VLOOKUP('Données projet'!$B$9,Paramètres!$A$1:$I$88,5,0)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278.48097283106199</v>
      </c>
      <c r="S107" s="62">
        <f ca="1">AVERAGE(OFFSET($R$3,0,0,'Données projet'!$E$9+1,1))-AVERAGE(OFFSET($H$3,0,0,'Données projet'!$E$9+1,1))</f>
        <v>301.2688576786212</v>
      </c>
      <c r="T107" s="62">
        <f t="shared" si="88"/>
        <v>417.62172165132927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projet'!$B$9,Paramètres!$A$1:$I$88,7,0))</f>
        <v>0</v>
      </c>
      <c r="X107" s="17">
        <f>IF(ISNA(VLOOKUP(A107,'Données projet'!$A$35:$I$55,6,0)),0%,VLOOKUP(A107,'Données projet'!$A$35:$I$55,6,0)*VLOOKUP('Données projet'!$B$9,Paramètres!$A$1:$I$88,7,0))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51.756322070460698</v>
      </c>
      <c r="AA107" s="23">
        <f>EXP(-LN(2)/25)*AA106+(1-EXP(-LN(2)/25))/(LN(2)/25)*Calculateur!V107*Calculateur!X107*VLOOKUP('Données projet'!$B$9,Paramètres!$A$1:$I$88,3,0)*0.475*44/12</f>
        <v>11.131678316927886</v>
      </c>
      <c r="AB107" s="23">
        <f>EXP(-LN(2)/2)*AB106+(1-EXP(-LN(2)/2))/(LN(2)/2)*V107*Y107*VLOOKUP('Données projet'!$B$9,Paramètres!$A$1:$I$88,3,0)*0.475*44/12</f>
        <v>2.1944044445568634E-7</v>
      </c>
      <c r="AC107" s="24">
        <f t="shared" si="57"/>
        <v>62.888000606829031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projet'!$B$10,Paramètres!$A$1:$I$88,3,0)*VLOOKUP('Données projet'!$B$10,Paramètres!$A$1:$I$88,5,0)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170.08673939431091</v>
      </c>
      <c r="AO107" s="62">
        <f t="shared" si="90"/>
        <v>252.97355497077106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projet'!$B$10,Paramètres!$A$1:$I$88,3,0)*0.475*44/12</f>
        <v>21.609686831705545</v>
      </c>
      <c r="AV107" s="23">
        <f>EXP(-LN(2)/25)*AV106+(1-EXP(-LN(2)/25))/(LN(2)/25)*Calculateur!AQ107*Calculateur!AS107*VLOOKUP('Données projet'!$B$10,Paramètres!$A$1:$I$88,3,0)*0.475*44/12</f>
        <v>11.282550640710447</v>
      </c>
      <c r="AW107" s="23">
        <f>EXP(-LN(2)/2)*AW106+(1-EXP(-LN(2)/2))/(LN(2)/2)*AQ107*AT107*VLOOKUP('Données projet'!$B$10,Paramètres!$A$1:$I$88,3,0)*0.475*44/12</f>
        <v>2.8108556745725538E-7</v>
      </c>
      <c r="AX107" s="23">
        <f t="shared" si="60"/>
        <v>32.892237753501561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-1.1368683772161603E-13</v>
      </c>
      <c r="BE107" s="14">
        <f>BD107*VLOOKUP('Données projet'!$B$11,Paramètres!$A$1:$I$88,3,0)*VLOOKUP('Données projet'!$B$11,Paramètres!$A$1:$I$88,5,0)</f>
        <v>-1.0286385077051818E-13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362.63718589694594</v>
      </c>
      <c r="BJ107" s="62">
        <f t="shared" si="92"/>
        <v>250.47702091764884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projet'!$B$11,Paramètres!$A$1:$I$88,3,0)*0.475*44/12</f>
        <v>117.86441805202023</v>
      </c>
      <c r="BQ107" s="23">
        <f>EXP(-LN(2)/25)*BQ106+(1-EXP(-LN(2)/25))/(LN(2)/25)*Calculateur!BL107*Calculateur!BN107*VLOOKUP('Données projet'!$B$11,Paramètres!$A$1:$I$88,3,0)*0.475*44/12</f>
        <v>0</v>
      </c>
      <c r="BR107" s="23">
        <f>EXP(-LN(2)/2)*BR106+(1-EXP(-LN(2)/2))/(LN(2)/2)*BL107*BO107*VLOOKUP('Données projet'!$B$11,Paramètres!$A$1:$I$88,3,0)*0.475*44/12</f>
        <v>0</v>
      </c>
      <c r="BS107" s="24">
        <f t="shared" si="63"/>
        <v>117.86441805202023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-1.1368683772161603E-13</v>
      </c>
      <c r="BZ107" s="14">
        <f>BY107*VLOOKUP('Données projet'!$B$12,Paramètres!$A$1:$I$88,3,0)*VLOOKUP('Données projet'!$B$12,Paramètres!$A$1:$I$88,5,0)</f>
        <v>-1.1527845344971866E-13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398.14524781940196</v>
      </c>
      <c r="CE107" s="62">
        <f t="shared" si="94"/>
        <v>273.35778700650792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projet'!$B$12,Paramètres!$A$1:$I$88,3,0)*0.475*44/12</f>
        <v>132.08943402381578</v>
      </c>
      <c r="CL107" s="23">
        <f>EXP(-LN(2)/25)*CL106+(1-EXP(-LN(2)/25))/(LN(2)/25)*Calculateur!CG107*Calculateur!CI107*VLOOKUP('Données projet'!$B$12,Paramètres!$A$1:$I$88,3,0)*0.475*44/12</f>
        <v>0</v>
      </c>
      <c r="CM107" s="23">
        <f>EXP(-LN(2)/2)*CM106+(1-EXP(-LN(2)/2))/(LN(2)/2)*CG107*CJ107*VLOOKUP('Données projet'!$B$12,Paramètres!$A$1:$I$88,3,0)*0.475*44/12</f>
        <v>0</v>
      </c>
      <c r="CN107" s="24">
        <f t="shared" si="66"/>
        <v>132.08943402381578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118</v>
      </c>
      <c r="CU107" s="18">
        <f>CT107*VLOOKUP('Données projet'!$B$13,Paramètres!$A$1:$I$88,3,0)*VLOOKUP('Données projet'!$B$13,Paramètres!$A$1:$I$88,5,0)</f>
        <v>112.28880000000001</v>
      </c>
      <c r="CV107" s="14">
        <f t="shared" si="95"/>
        <v>29.869595672288149</v>
      </c>
      <c r="CW107" s="22">
        <f t="shared" si="67"/>
        <v>247.59253912923518</v>
      </c>
      <c r="CX107" s="62">
        <f t="shared" si="68"/>
        <v>526.07351196029606</v>
      </c>
      <c r="CY107" s="62">
        <f ca="1">AVERAGE(OFFSET($CX$3,0,0,'Données projet'!$E$13+1,1))-AVERAGE(OFFSET($H$3,0,0,'Données projet'!$E$13+1,1))</f>
        <v>470.0521927195926</v>
      </c>
      <c r="CZ107" s="62">
        <f t="shared" si="96"/>
        <v>299.27200854723435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projet'!$B$13,Paramètres!$A$1:$I$88,3,0)*0.475*44/12</f>
        <v>123.96085346850403</v>
      </c>
      <c r="DG107" s="23">
        <f>EXP(-LN(2)/25)*DG106+(1-EXP(-LN(2)/25))/(LN(2)/25)*Calculateur!DB107*Calculateur!DD107*VLOOKUP('Données projet'!$B$13,Paramètres!$A$1:$I$88,3,0)*0.475*44/12</f>
        <v>0</v>
      </c>
      <c r="DH107" s="23">
        <f>EXP(-LN(2)/2)*DH106+(1-EXP(-LN(2)/2))/(LN(2)/2)*DB107*DE107*VLOOKUP('Données projet'!$B$13,Paramètres!$A$1:$I$88,3,0)*0.475*44/12</f>
        <v>0</v>
      </c>
      <c r="DI107" s="24">
        <f t="shared" si="69"/>
        <v>123.96085346850403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-1.4210854715202004E-13</v>
      </c>
      <c r="DP107" s="18">
        <f>DO107*VLOOKUP('Données projet'!$B$14,Paramètres!$A$1:$I$88,3,0)*VLOOKUP('Données projet'!$B$14,Paramètres!$A$1:$I$88,5,0)</f>
        <v>-1.3744738680543379E-13</v>
      </c>
      <c r="DQ107" s="14" t="e">
        <f t="shared" si="97"/>
        <v>#NUM!</v>
      </c>
      <c r="DR107" s="22" t="e">
        <f t="shared" si="70"/>
        <v>#NUM!</v>
      </c>
      <c r="DS107" s="62" t="e">
        <f t="shared" si="71"/>
        <v>#NUM!</v>
      </c>
      <c r="DT107" s="62">
        <f ca="1">AVERAGE(OFFSET($DS$3,0,0,'Données projet'!$E$14+1,1))-AVERAGE(OFFSET($H$3,0,0,'Données projet'!$E$14+1,1))</f>
        <v>290.89727102147953</v>
      </c>
      <c r="DU107" s="62">
        <f t="shared" si="98"/>
        <v>173.19148969173838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projet'!$B$14,Paramètres!$A$1:$I$88,3,0)*0.475*44/12</f>
        <v>94.18921593957549</v>
      </c>
      <c r="EB107" s="23">
        <f>EXP(-LN(2)/25)*EB106+(1-EXP(-LN(2)/25))/(LN(2)/25)*Calculateur!DW107*Calculateur!DY107*VLOOKUP('Données projet'!$B$14,Paramètres!$A$1:$I$88,3,0)*0.475*44/12</f>
        <v>0</v>
      </c>
      <c r="EC107" s="23">
        <f>EXP(-LN(2)/2)*EC106+(1-EXP(-LN(2)/2))/(LN(2)/2)*DW107*DZ107*VLOOKUP('Données projet'!$B$14,Paramètres!$A$1:$I$88,3,0)*0.475*44/12</f>
        <v>0</v>
      </c>
      <c r="ED107" s="24">
        <f t="shared" si="72"/>
        <v>94.18921593957549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projet'!$B$15,Paramètres!$A$1:$I$88,3,0)*VLOOKUP('Données projet'!$B$15,Paramètres!$A$1:$I$88,5,0)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projet'!$B$15,Paramètres!$A$1:$I$88,3,0)*0.475*44/12</f>
        <v>#N/A</v>
      </c>
      <c r="EW107" s="23" t="e">
        <f>EXP(-LN(2)/25)*EW106+(1-EXP(-LN(2)/25))/(LN(2)/25)*Calculateur!ER107*Calculateur!ET107*VLOOKUP('Données projet'!$B$15,Paramètres!$A$1:$I$88,3,0)*0.475*44/12</f>
        <v>#N/A</v>
      </c>
      <c r="EX107" s="23" t="e">
        <f>EXP(-LN(2)/2)*EX106+(1-EXP(-LN(2)/2))/(LN(2)/2)*ER107*EU107*VLOOKUP('Données projet'!$B$15,Paramètres!$A$1:$I$88,3,0)*0.475*44/12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projet'!$B$16,Paramètres!$A$1:$I$88,3,0)*VLOOKUP('Données projet'!$B$16,Paramètres!$A$1:$I$88,5,0)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projet'!$B$16,Paramètres!$A$1:$I$88,3,0)*0.475*44/12</f>
        <v>#N/A</v>
      </c>
      <c r="FR107" s="23" t="e">
        <f>EXP(-LN(2)/25)*FR106+(1-EXP(-LN(2)/25))/(LN(2)/25)*Calculateur!FM107*Calculateur!FO107*VLOOKUP('Données projet'!$B$16,Paramètres!$A$1:$I$88,3,0)*0.475*44/12</f>
        <v>#N/A</v>
      </c>
      <c r="FS107" s="23" t="e">
        <f>EXP(-LN(2)/2)*FS106+(1-EXP(-LN(2)/2))/(LN(2)/2)*FM107*FP107*VLOOKUP('Données projet'!$B$16,Paramètres!$A$1:$I$88,3,0)*0.475*44/12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projet'!$B$17,Paramètres!$A$1:$I$88,3,0)*VLOOKUP('Données projet'!$B$17,Paramètres!$A$1:$I$88,5,0)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projet'!$B$17,Paramètres!$A$1:$I$88,3,0)*0.475*44/12</f>
        <v>#N/A</v>
      </c>
      <c r="GM107" s="23" t="e">
        <f>EXP(-LN(2)/25)*GM106+(1-EXP(-LN(2)/25))/(LN(2)/25)*Calculateur!GH107*Calculateur!GJ107*VLOOKUP('Données projet'!$B$17,Paramètres!$A$1:$I$88,3,0)*0.475*44/12</f>
        <v>#N/A</v>
      </c>
      <c r="GN107" s="23" t="e">
        <f>EXP(-LN(2)/2)*GN106+(1-EXP(-LN(2)/2))/(LN(2)/2)*GH107*GK107*VLOOKUP('Données projet'!$B$17,Paramètres!$A$1:$I$88,3,0)*0.475*44/12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projet'!$B$18,Paramètres!$A$1:$I$88,3,0)*VLOOKUP('Données projet'!$B$18,Paramètres!$A$1:$I$88,5,0)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projet'!$B$18,Paramètres!$A$1:$I$88,3,0)*0.475*44/12</f>
        <v>#N/A</v>
      </c>
      <c r="HH107" s="23" t="e">
        <f>EXP(-LN(2)/25)*HH106+(1-EXP(-LN(2)/25))/(LN(2)/25)*Calculateur!HC107*Calculateur!HE107*VLOOKUP('Données projet'!$B$18,Paramètres!$A$1:$I$88,3,0)*0.475*44/12</f>
        <v>#N/A</v>
      </c>
      <c r="HI107" s="23" t="e">
        <f>EXP(-LN(2)/2)*HI106+(1-EXP(-LN(2)/2))/(LN(2)/2)*HC107*HF107*VLOOKUP('Données projet'!$B$18,Paramètres!$A$1:$I$88,3,0)*0.475*44/12</f>
        <v>#N/A</v>
      </c>
      <c r="HJ107" s="24" t="e">
        <f t="shared" si="84"/>
        <v>#N/A</v>
      </c>
    </row>
    <row r="108" spans="1:218" s="5" customFormat="1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projet'!$B$9,Paramètres!$A$1:$I$88,3,0)*VLOOKUP('Données projet'!$B$9,Paramètres!$A$1:$I$88,5,0)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278.73862808087284</v>
      </c>
      <c r="S108" s="62">
        <f ca="1">AVERAGE(OFFSET($R$3,0,0,'Données projet'!$E$9+1,1))-AVERAGE(OFFSET($H$3,0,0,'Données projet'!$E$9+1,1))</f>
        <v>301.2688576786212</v>
      </c>
      <c r="T108" s="62">
        <f t="shared" si="88"/>
        <v>417.62172165132927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projet'!$B$9,Paramètres!$A$1:$I$88,7,0))</f>
        <v>0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50.741412162898321</v>
      </c>
      <c r="AA108" s="23">
        <f>EXP(-LN(2)/25)*AA107+(1-EXP(-LN(2)/25))/(LN(2)/25)*Calculateur!V108*Calculateur!X108*VLOOKUP('Données projet'!$B$9,Paramètres!$A$1:$I$88,3,0)*0.475*44/12</f>
        <v>10.827281987961971</v>
      </c>
      <c r="AB108" s="23">
        <f>EXP(-LN(2)/2)*AB107+(1-EXP(-LN(2)/2))/(LN(2)/2)*V108*Y108*VLOOKUP('Données projet'!$B$9,Paramètres!$A$1:$I$88,3,0)*0.475*44/12</f>
        <v>1.5516782634120574E-7</v>
      </c>
      <c r="AC108" s="24">
        <f t="shared" si="57"/>
        <v>61.568694306028121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projet'!$B$10,Paramètres!$A$1:$I$88,3,0)*VLOOKUP('Données projet'!$B$10,Paramètres!$A$1:$I$88,5,0)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170.08673939431091</v>
      </c>
      <c r="AO108" s="62">
        <f t="shared" si="90"/>
        <v>252.97355497077106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projet'!$B$10,Paramètres!$A$1:$I$88,7,0))</f>
        <v>0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projet'!$B$10,Paramètres!$A$1:$I$88,3,0)*0.475*44/12</f>
        <v>21.185934053543289</v>
      </c>
      <c r="AV108" s="23">
        <f>EXP(-LN(2)/25)*AV107+(1-EXP(-LN(2)/25))/(LN(2)/25)*Calculateur!AQ108*Calculateur!AS108*VLOOKUP('Données projet'!$B$10,Paramètres!$A$1:$I$88,3,0)*0.475*44/12</f>
        <v>10.974028700116667</v>
      </c>
      <c r="AW108" s="23">
        <f>EXP(-LN(2)/2)*AW107+(1-EXP(-LN(2)/2))/(LN(2)/2)*AQ108*AT108*VLOOKUP('Données projet'!$B$10,Paramètres!$A$1:$I$88,3,0)*0.475*44/12</f>
        <v>1.9875751084269403E-7</v>
      </c>
      <c r="AX108" s="23">
        <f t="shared" si="60"/>
        <v>32.159962952417466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-1.1368683772161603E-13</v>
      </c>
      <c r="BE108" s="14">
        <f>BD108*VLOOKUP('Données projet'!$B$11,Paramètres!$A$1:$I$88,3,0)*VLOOKUP('Données projet'!$B$11,Paramètres!$A$1:$I$88,5,0)</f>
        <v>-1.0286385077051818E-13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362.63718589694594</v>
      </c>
      <c r="BJ108" s="62">
        <f t="shared" si="92"/>
        <v>250.47702091764884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projet'!$B$11,Paramètres!$A$1:$I$88,7,0))</f>
        <v>0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projet'!$B$11,Paramètres!$A$1:$I$88,3,0)*0.475*44/12</f>
        <v>115.55316870421656</v>
      </c>
      <c r="BQ108" s="23">
        <f>EXP(-LN(2)/25)*BQ107+(1-EXP(-LN(2)/25))/(LN(2)/25)*Calculateur!BL108*Calculateur!BN108*VLOOKUP('Données projet'!$B$11,Paramètres!$A$1:$I$88,3,0)*0.475*44/12</f>
        <v>0</v>
      </c>
      <c r="BR108" s="23">
        <f>EXP(-LN(2)/2)*BR107+(1-EXP(-LN(2)/2))/(LN(2)/2)*BL108*BO108*VLOOKUP('Données projet'!$B$11,Paramètres!$A$1:$I$88,3,0)*0.475*44/12</f>
        <v>0</v>
      </c>
      <c r="BS108" s="24">
        <f t="shared" si="63"/>
        <v>115.55316870421656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-1.1368683772161603E-13</v>
      </c>
      <c r="BZ108" s="14">
        <f>BY108*VLOOKUP('Données projet'!$B$12,Paramètres!$A$1:$I$88,3,0)*VLOOKUP('Données projet'!$B$12,Paramètres!$A$1:$I$88,5,0)</f>
        <v>-1.1527845344971866E-13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398.14524781940196</v>
      </c>
      <c r="CE108" s="62">
        <f t="shared" si="94"/>
        <v>273.35778700650792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projet'!$B$12,Paramètres!$A$1:$I$88,3,0)*0.475*44/12</f>
        <v>129.49924078920822</v>
      </c>
      <c r="CL108" s="23">
        <f>EXP(-LN(2)/25)*CL107+(1-EXP(-LN(2)/25))/(LN(2)/25)*Calculateur!CG108*Calculateur!CI108*VLOOKUP('Données projet'!$B$12,Paramètres!$A$1:$I$88,3,0)*0.475*44/12</f>
        <v>0</v>
      </c>
      <c r="CM108" s="23">
        <f>EXP(-LN(2)/2)*CM107+(1-EXP(-LN(2)/2))/(LN(2)/2)*CG108*CJ108*VLOOKUP('Données projet'!$B$12,Paramètres!$A$1:$I$88,3,0)*0.475*44/12</f>
        <v>0</v>
      </c>
      <c r="CN108" s="24">
        <f t="shared" si="66"/>
        <v>129.49924078920822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118</v>
      </c>
      <c r="CU108" s="18">
        <f>CT108*VLOOKUP('Données projet'!$B$13,Paramètres!$A$1:$I$88,3,0)*VLOOKUP('Données projet'!$B$13,Paramètres!$A$1:$I$88,5,0)</f>
        <v>112.28880000000001</v>
      </c>
      <c r="CV108" s="14">
        <f t="shared" si="95"/>
        <v>29.869595672288149</v>
      </c>
      <c r="CW108" s="22">
        <f t="shared" si="67"/>
        <v>247.59253912923518</v>
      </c>
      <c r="CX108" s="62">
        <f t="shared" si="68"/>
        <v>526.33116721010697</v>
      </c>
      <c r="CY108" s="62">
        <f ca="1">AVERAGE(OFFSET($CX$3,0,0,'Données projet'!$E$13+1,1))-AVERAGE(OFFSET($H$3,0,0,'Données projet'!$E$13+1,1))</f>
        <v>470.0521927195926</v>
      </c>
      <c r="CZ108" s="62">
        <f t="shared" si="96"/>
        <v>299.27200854723435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projet'!$B$13,Paramètres!$A$1:$I$88,7,0))</f>
        <v>0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projet'!$B$13,Paramètres!$A$1:$I$88,3,0)*0.475*44/12</f>
        <v>121.53005674064154</v>
      </c>
      <c r="DG108" s="23">
        <f>EXP(-LN(2)/25)*DG107+(1-EXP(-LN(2)/25))/(LN(2)/25)*Calculateur!DB108*Calculateur!DD108*VLOOKUP('Données projet'!$B$13,Paramètres!$A$1:$I$88,3,0)*0.475*44/12</f>
        <v>0</v>
      </c>
      <c r="DH108" s="23">
        <f>EXP(-LN(2)/2)*DH107+(1-EXP(-LN(2)/2))/(LN(2)/2)*DB108*DE108*VLOOKUP('Données projet'!$B$13,Paramètres!$A$1:$I$88,3,0)*0.475*44/12</f>
        <v>0</v>
      </c>
      <c r="DI108" s="24">
        <f t="shared" si="69"/>
        <v>121.53005674064154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-1.4210854715202004E-13</v>
      </c>
      <c r="DP108" s="18">
        <f>DO108*VLOOKUP('Données projet'!$B$14,Paramètres!$A$1:$I$88,3,0)*VLOOKUP('Données projet'!$B$14,Paramètres!$A$1:$I$88,5,0)</f>
        <v>-1.3744738680543379E-13</v>
      </c>
      <c r="DQ108" s="14" t="e">
        <f t="shared" si="97"/>
        <v>#NUM!</v>
      </c>
      <c r="DR108" s="22" t="e">
        <f t="shared" si="70"/>
        <v>#NUM!</v>
      </c>
      <c r="DS108" s="62" t="e">
        <f t="shared" si="71"/>
        <v>#NUM!</v>
      </c>
      <c r="DT108" s="62">
        <f ca="1">AVERAGE(OFFSET($DS$3,0,0,'Données projet'!$E$14+1,1))-AVERAGE(OFFSET($H$3,0,0,'Données projet'!$E$14+1,1))</f>
        <v>290.89727102147953</v>
      </c>
      <c r="DU108" s="62">
        <f t="shared" si="98"/>
        <v>173.19148969173838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projet'!$B$14,Paramètres!$A$1:$I$88,3,0)*0.475*44/12</f>
        <v>92.342222864749445</v>
      </c>
      <c r="EB108" s="23">
        <f>EXP(-LN(2)/25)*EB107+(1-EXP(-LN(2)/25))/(LN(2)/25)*Calculateur!DW108*Calculateur!DY108*VLOOKUP('Données projet'!$B$14,Paramètres!$A$1:$I$88,3,0)*0.475*44/12</f>
        <v>0</v>
      </c>
      <c r="EC108" s="23">
        <f>EXP(-LN(2)/2)*EC107+(1-EXP(-LN(2)/2))/(LN(2)/2)*DW108*DZ108*VLOOKUP('Données projet'!$B$14,Paramètres!$A$1:$I$88,3,0)*0.475*44/12</f>
        <v>0</v>
      </c>
      <c r="ED108" s="24">
        <f t="shared" si="72"/>
        <v>92.342222864749445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projet'!$B$15,Paramètres!$A$1:$I$88,3,0)*VLOOKUP('Données projet'!$B$15,Paramètres!$A$1:$I$88,5,0)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projet'!$B$15,Paramètres!$A$1:$I$88,3,0)*0.475*44/12</f>
        <v>#N/A</v>
      </c>
      <c r="EW108" s="23" t="e">
        <f>EXP(-LN(2)/25)*EW107+(1-EXP(-LN(2)/25))/(LN(2)/25)*Calculateur!ER108*Calculateur!ET108*VLOOKUP('Données projet'!$B$15,Paramètres!$A$1:$I$88,3,0)*0.475*44/12</f>
        <v>#N/A</v>
      </c>
      <c r="EX108" s="23" t="e">
        <f>EXP(-LN(2)/2)*EX107+(1-EXP(-LN(2)/2))/(LN(2)/2)*ER108*EU108*VLOOKUP('Données projet'!$B$15,Paramètres!$A$1:$I$88,3,0)*0.475*44/12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projet'!$B$16,Paramètres!$A$1:$I$88,3,0)*VLOOKUP('Données projet'!$B$16,Paramètres!$A$1:$I$88,5,0)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projet'!$B$16,Paramètres!$A$1:$I$88,3,0)*0.475*44/12</f>
        <v>#N/A</v>
      </c>
      <c r="FR108" s="23" t="e">
        <f>EXP(-LN(2)/25)*FR107+(1-EXP(-LN(2)/25))/(LN(2)/25)*Calculateur!FM108*Calculateur!FO108*VLOOKUP('Données projet'!$B$16,Paramètres!$A$1:$I$88,3,0)*0.475*44/12</f>
        <v>#N/A</v>
      </c>
      <c r="FS108" s="23" t="e">
        <f>EXP(-LN(2)/2)*FS107+(1-EXP(-LN(2)/2))/(LN(2)/2)*FM108*FP108*VLOOKUP('Données projet'!$B$16,Paramètres!$A$1:$I$88,3,0)*0.475*44/12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projet'!$B$17,Paramètres!$A$1:$I$88,3,0)*VLOOKUP('Données projet'!$B$17,Paramètres!$A$1:$I$88,5,0)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projet'!$B$17,Paramètres!$A$1:$I$88,3,0)*0.475*44/12</f>
        <v>#N/A</v>
      </c>
      <c r="GM108" s="23" t="e">
        <f>EXP(-LN(2)/25)*GM107+(1-EXP(-LN(2)/25))/(LN(2)/25)*Calculateur!GH108*Calculateur!GJ108*VLOOKUP('Données projet'!$B$17,Paramètres!$A$1:$I$88,3,0)*0.475*44/12</f>
        <v>#N/A</v>
      </c>
      <c r="GN108" s="23" t="e">
        <f>EXP(-LN(2)/2)*GN107+(1-EXP(-LN(2)/2))/(LN(2)/2)*GH108*GK108*VLOOKUP('Données projet'!$B$17,Paramètres!$A$1:$I$88,3,0)*0.475*44/12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projet'!$B$18,Paramètres!$A$1:$I$88,3,0)*VLOOKUP('Données projet'!$B$18,Paramètres!$A$1:$I$88,5,0)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projet'!$B$18,Paramètres!$A$1:$I$88,3,0)*0.475*44/12</f>
        <v>#N/A</v>
      </c>
      <c r="HH108" s="23" t="e">
        <f>EXP(-LN(2)/25)*HH107+(1-EXP(-LN(2)/25))/(LN(2)/25)*Calculateur!HC108*Calculateur!HE108*VLOOKUP('Données projet'!$B$18,Paramètres!$A$1:$I$88,3,0)*0.475*44/12</f>
        <v>#N/A</v>
      </c>
      <c r="HI108" s="23" t="e">
        <f>EXP(-LN(2)/2)*HI107+(1-EXP(-LN(2)/2))/(LN(2)/2)*HC108*HF108*VLOOKUP('Données projet'!$B$18,Paramètres!$A$1:$I$88,3,0)*0.475*44/12</f>
        <v>#N/A</v>
      </c>
      <c r="HJ108" s="24" t="e">
        <f t="shared" si="84"/>
        <v>#N/A</v>
      </c>
    </row>
    <row r="109" spans="1:218" s="5" customFormat="1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projet'!$B$9,Paramètres!$A$1:$I$88,3,0)*VLOOKUP('Données projet'!$B$9,Paramètres!$A$1:$I$88,5,0)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278.99181358813019</v>
      </c>
      <c r="S109" s="62">
        <f ca="1">AVERAGE(OFFSET($R$3,0,0,'Données projet'!$E$9+1,1))-AVERAGE(OFFSET($H$3,0,0,'Données projet'!$E$9+1,1))</f>
        <v>301.2688576786212</v>
      </c>
      <c r="T109" s="62">
        <f t="shared" si="88"/>
        <v>417.62172165132927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49.746404019589328</v>
      </c>
      <c r="AA109" s="23">
        <f>EXP(-LN(2)/25)*AA108+(1-EXP(-LN(2)/25))/(LN(2)/25)*Calculateur!V109*Calculateur!X109*VLOOKUP('Données projet'!$B$9,Paramètres!$A$1:$I$88,3,0)*0.475*44/12</f>
        <v>10.531209392619138</v>
      </c>
      <c r="AB109" s="23">
        <f>EXP(-LN(2)/2)*AB108+(1-EXP(-LN(2)/2))/(LN(2)/2)*V109*Y109*VLOOKUP('Données projet'!$B$9,Paramètres!$A$1:$I$88,3,0)*0.475*44/12</f>
        <v>1.0972022222784317E-7</v>
      </c>
      <c r="AC109" s="24">
        <f t="shared" si="57"/>
        <v>60.277613521928686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projet'!$B$10,Paramètres!$A$1:$I$88,3,0)*VLOOKUP('Données projet'!$B$10,Paramètres!$A$1:$I$88,5,0)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170.08673939431091</v>
      </c>
      <c r="AO109" s="62">
        <f t="shared" si="90"/>
        <v>252.97355497077106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projet'!$B$10,Paramètres!$A$1:$I$88,3,0)*0.475*44/12</f>
        <v>20.770490808897122</v>
      </c>
      <c r="AV109" s="23">
        <f>EXP(-LN(2)/25)*AV108+(1-EXP(-LN(2)/25))/(LN(2)/25)*Calculateur!AQ109*Calculateur!AS109*VLOOKUP('Données projet'!$B$10,Paramètres!$A$1:$I$88,3,0)*0.475*44/12</f>
        <v>10.673943308212889</v>
      </c>
      <c r="AW109" s="23">
        <f>EXP(-LN(2)/2)*AW108+(1-EXP(-LN(2)/2))/(LN(2)/2)*AQ109*AT109*VLOOKUP('Données projet'!$B$10,Paramètres!$A$1:$I$88,3,0)*0.475*44/12</f>
        <v>1.4054278372862769E-7</v>
      </c>
      <c r="AX109" s="23">
        <f t="shared" si="60"/>
        <v>31.444434257652798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-1.1368683772161603E-13</v>
      </c>
      <c r="BE109" s="14">
        <f>BD109*VLOOKUP('Données projet'!$B$11,Paramètres!$A$1:$I$88,3,0)*VLOOKUP('Données projet'!$B$11,Paramètres!$A$1:$I$88,5,0)</f>
        <v>-1.0286385077051818E-13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362.63718589694594</v>
      </c>
      <c r="BJ109" s="62">
        <f t="shared" si="92"/>
        <v>250.47702091764884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projet'!$B$11,Paramètres!$A$1:$I$88,3,0)*0.475*44/12</f>
        <v>113.28724154640041</v>
      </c>
      <c r="BQ109" s="23">
        <f>EXP(-LN(2)/25)*BQ108+(1-EXP(-LN(2)/25))/(LN(2)/25)*Calculateur!BL109*Calculateur!BN109*VLOOKUP('Données projet'!$B$11,Paramètres!$A$1:$I$88,3,0)*0.475*44/12</f>
        <v>0</v>
      </c>
      <c r="BR109" s="23">
        <f>EXP(-LN(2)/2)*BR108+(1-EXP(-LN(2)/2))/(LN(2)/2)*BL109*BO109*VLOOKUP('Données projet'!$B$11,Paramètres!$A$1:$I$88,3,0)*0.475*44/12</f>
        <v>0</v>
      </c>
      <c r="BS109" s="24">
        <f t="shared" si="63"/>
        <v>113.28724154640041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-1.1368683772161603E-13</v>
      </c>
      <c r="BZ109" s="14">
        <f>BY109*VLOOKUP('Données projet'!$B$12,Paramètres!$A$1:$I$88,3,0)*VLOOKUP('Données projet'!$B$12,Paramètres!$A$1:$I$88,5,0)</f>
        <v>-1.1527845344971866E-13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398.14524781940196</v>
      </c>
      <c r="CE109" s="62">
        <f t="shared" si="94"/>
        <v>273.35778700650792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projet'!$B$12,Paramètres!$A$1:$I$88,3,0)*0.475*44/12</f>
        <v>126.95983966406943</v>
      </c>
      <c r="CL109" s="23">
        <f>EXP(-LN(2)/25)*CL108+(1-EXP(-LN(2)/25))/(LN(2)/25)*Calculateur!CG109*Calculateur!CI109*VLOOKUP('Données projet'!$B$12,Paramètres!$A$1:$I$88,3,0)*0.475*44/12</f>
        <v>0</v>
      </c>
      <c r="CM109" s="23">
        <f>EXP(-LN(2)/2)*CM108+(1-EXP(-LN(2)/2))/(LN(2)/2)*CG109*CJ109*VLOOKUP('Données projet'!$B$12,Paramètres!$A$1:$I$88,3,0)*0.475*44/12</f>
        <v>0</v>
      </c>
      <c r="CN109" s="24">
        <f t="shared" si="66"/>
        <v>126.95983966406943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118</v>
      </c>
      <c r="CU109" s="18">
        <f>CT109*VLOOKUP('Données projet'!$B$13,Paramètres!$A$1:$I$88,3,0)*VLOOKUP('Données projet'!$B$13,Paramètres!$A$1:$I$88,5,0)</f>
        <v>112.28880000000001</v>
      </c>
      <c r="CV109" s="14">
        <f t="shared" si="95"/>
        <v>29.869595672288149</v>
      </c>
      <c r="CW109" s="22">
        <f t="shared" si="67"/>
        <v>247.59253912923518</v>
      </c>
      <c r="CX109" s="62">
        <f t="shared" si="68"/>
        <v>526.58435271736425</v>
      </c>
      <c r="CY109" s="62">
        <f ca="1">AVERAGE(OFFSET($CX$3,0,0,'Données projet'!$E$13+1,1))-AVERAGE(OFFSET($H$3,0,0,'Données projet'!$E$13+1,1))</f>
        <v>470.0521927195926</v>
      </c>
      <c r="CZ109" s="62">
        <f t="shared" si="96"/>
        <v>299.27200854723435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projet'!$B$13,Paramètres!$A$1:$I$88,3,0)*0.475*44/12</f>
        <v>119.14692645397284</v>
      </c>
      <c r="DG109" s="23">
        <f>EXP(-LN(2)/25)*DG108+(1-EXP(-LN(2)/25))/(LN(2)/25)*Calculateur!DB109*Calculateur!DD109*VLOOKUP('Données projet'!$B$13,Paramètres!$A$1:$I$88,3,0)*0.475*44/12</f>
        <v>0</v>
      </c>
      <c r="DH109" s="23">
        <f>EXP(-LN(2)/2)*DH108+(1-EXP(-LN(2)/2))/(LN(2)/2)*DB109*DE109*VLOOKUP('Données projet'!$B$13,Paramètres!$A$1:$I$88,3,0)*0.475*44/12</f>
        <v>0</v>
      </c>
      <c r="DI109" s="24">
        <f t="shared" si="69"/>
        <v>119.14692645397284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-1.4210854715202004E-13</v>
      </c>
      <c r="DP109" s="18">
        <f>DO109*VLOOKUP('Données projet'!$B$14,Paramètres!$A$1:$I$88,3,0)*VLOOKUP('Données projet'!$B$14,Paramètres!$A$1:$I$88,5,0)</f>
        <v>-1.3744738680543379E-13</v>
      </c>
      <c r="DQ109" s="14" t="e">
        <f t="shared" si="97"/>
        <v>#NUM!</v>
      </c>
      <c r="DR109" s="22" t="e">
        <f t="shared" si="70"/>
        <v>#NUM!</v>
      </c>
      <c r="DS109" s="62" t="e">
        <f t="shared" si="71"/>
        <v>#NUM!</v>
      </c>
      <c r="DT109" s="62">
        <f ca="1">AVERAGE(OFFSET($DS$3,0,0,'Données projet'!$E$14+1,1))-AVERAGE(OFFSET($H$3,0,0,'Données projet'!$E$14+1,1))</f>
        <v>290.89727102147953</v>
      </c>
      <c r="DU109" s="62">
        <f t="shared" si="98"/>
        <v>173.19148969173838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projet'!$B$14,Paramètres!$A$1:$I$88,3,0)*0.475*44/12</f>
        <v>90.531448197566206</v>
      </c>
      <c r="EB109" s="23">
        <f>EXP(-LN(2)/25)*EB108+(1-EXP(-LN(2)/25))/(LN(2)/25)*Calculateur!DW109*Calculateur!DY109*VLOOKUP('Données projet'!$B$14,Paramètres!$A$1:$I$88,3,0)*0.475*44/12</f>
        <v>0</v>
      </c>
      <c r="EC109" s="23">
        <f>EXP(-LN(2)/2)*EC108+(1-EXP(-LN(2)/2))/(LN(2)/2)*DW109*DZ109*VLOOKUP('Données projet'!$B$14,Paramètres!$A$1:$I$88,3,0)*0.475*44/12</f>
        <v>0</v>
      </c>
      <c r="ED109" s="24">
        <f t="shared" si="72"/>
        <v>90.531448197566206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projet'!$B$15,Paramètres!$A$1:$I$88,3,0)*VLOOKUP('Données projet'!$B$15,Paramètres!$A$1:$I$88,5,0)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projet'!$B$15,Paramètres!$A$1:$I$88,3,0)*0.475*44/12</f>
        <v>#N/A</v>
      </c>
      <c r="EW109" s="23" t="e">
        <f>EXP(-LN(2)/25)*EW108+(1-EXP(-LN(2)/25))/(LN(2)/25)*Calculateur!ER109*Calculateur!ET109*VLOOKUP('Données projet'!$B$15,Paramètres!$A$1:$I$88,3,0)*0.475*44/12</f>
        <v>#N/A</v>
      </c>
      <c r="EX109" s="23" t="e">
        <f>EXP(-LN(2)/2)*EX108+(1-EXP(-LN(2)/2))/(LN(2)/2)*ER109*EU109*VLOOKUP('Données projet'!$B$15,Paramètres!$A$1:$I$88,3,0)*0.475*44/12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projet'!$B$16,Paramètres!$A$1:$I$88,3,0)*VLOOKUP('Données projet'!$B$16,Paramètres!$A$1:$I$88,5,0)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projet'!$B$16,Paramètres!$A$1:$I$88,3,0)*0.475*44/12</f>
        <v>#N/A</v>
      </c>
      <c r="FR109" s="23" t="e">
        <f>EXP(-LN(2)/25)*FR108+(1-EXP(-LN(2)/25))/(LN(2)/25)*Calculateur!FM109*Calculateur!FO109*VLOOKUP('Données projet'!$B$16,Paramètres!$A$1:$I$88,3,0)*0.475*44/12</f>
        <v>#N/A</v>
      </c>
      <c r="FS109" s="23" t="e">
        <f>EXP(-LN(2)/2)*FS108+(1-EXP(-LN(2)/2))/(LN(2)/2)*FM109*FP109*VLOOKUP('Données projet'!$B$16,Paramètres!$A$1:$I$88,3,0)*0.475*44/12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projet'!$B$17,Paramètres!$A$1:$I$88,3,0)*VLOOKUP('Données projet'!$B$17,Paramètres!$A$1:$I$88,5,0)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projet'!$B$17,Paramètres!$A$1:$I$88,3,0)*0.475*44/12</f>
        <v>#N/A</v>
      </c>
      <c r="GM109" s="23" t="e">
        <f>EXP(-LN(2)/25)*GM108+(1-EXP(-LN(2)/25))/(LN(2)/25)*Calculateur!GH109*Calculateur!GJ109*VLOOKUP('Données projet'!$B$17,Paramètres!$A$1:$I$88,3,0)*0.475*44/12</f>
        <v>#N/A</v>
      </c>
      <c r="GN109" s="23" t="e">
        <f>EXP(-LN(2)/2)*GN108+(1-EXP(-LN(2)/2))/(LN(2)/2)*GH109*GK109*VLOOKUP('Données projet'!$B$17,Paramètres!$A$1:$I$88,3,0)*0.475*44/12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projet'!$B$18,Paramètres!$A$1:$I$88,3,0)*VLOOKUP('Données projet'!$B$18,Paramètres!$A$1:$I$88,5,0)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projet'!$B$18,Paramètres!$A$1:$I$88,3,0)*0.475*44/12</f>
        <v>#N/A</v>
      </c>
      <c r="HH109" s="23" t="e">
        <f>EXP(-LN(2)/25)*HH108+(1-EXP(-LN(2)/25))/(LN(2)/25)*Calculateur!HC109*Calculateur!HE109*VLOOKUP('Données projet'!$B$18,Paramètres!$A$1:$I$88,3,0)*0.475*44/12</f>
        <v>#N/A</v>
      </c>
      <c r="HI109" s="23" t="e">
        <f>EXP(-LN(2)/2)*HI108+(1-EXP(-LN(2)/2))/(LN(2)/2)*HC109*HF109*VLOOKUP('Données projet'!$B$18,Paramètres!$A$1:$I$88,3,0)*0.475*44/12</f>
        <v>#N/A</v>
      </c>
      <c r="HJ109" s="24" t="e">
        <f t="shared" si="84"/>
        <v>#N/A</v>
      </c>
    </row>
    <row r="110" spans="1:218" s="5" customFormat="1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projet'!$B$9,Paramètres!$A$1:$I$88,3,0)*VLOOKUP('Données projet'!$B$9,Paramètres!$A$1:$I$88,5,0)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279.24060689287472</v>
      </c>
      <c r="S110" s="62">
        <f ca="1">AVERAGE(OFFSET($R$3,0,0,'Données projet'!$E$9+1,1))-AVERAGE(OFFSET($H$3,0,0,'Données projet'!$E$9+1,1))</f>
        <v>301.2688576786212</v>
      </c>
      <c r="T110" s="62">
        <f t="shared" si="88"/>
        <v>417.62172165132927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projet'!$B$9,Paramètres!$A$1:$I$88,7,0))</f>
        <v>0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48.770907379075581</v>
      </c>
      <c r="AA110" s="23">
        <f>EXP(-LN(2)/25)*AA109+(1-EXP(-LN(2)/25))/(LN(2)/25)*Calculateur!V110*Calculateur!X110*VLOOKUP('Données projet'!$B$9,Paramètres!$A$1:$I$88,3,0)*0.475*44/12</f>
        <v>10.243232917965734</v>
      </c>
      <c r="AB110" s="23">
        <f>EXP(-LN(2)/2)*AB109+(1-EXP(-LN(2)/2))/(LN(2)/2)*V110*Y110*VLOOKUP('Données projet'!$B$9,Paramètres!$A$1:$I$88,3,0)*0.475*44/12</f>
        <v>7.7583913170602868E-8</v>
      </c>
      <c r="AC110" s="24">
        <f t="shared" si="57"/>
        <v>59.014140374625228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projet'!$B$10,Paramètres!$A$1:$I$88,3,0)*VLOOKUP('Données projet'!$B$10,Paramètres!$A$1:$I$88,5,0)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170.08673939431091</v>
      </c>
      <c r="AO110" s="62">
        <f t="shared" si="90"/>
        <v>252.97355497077106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projet'!$B$10,Paramètres!$A$1:$I$88,3,0)*0.475*44/12</f>
        <v>20.363194152883107</v>
      </c>
      <c r="AV110" s="23">
        <f>EXP(-LN(2)/25)*AV109+(1-EXP(-LN(2)/25))/(LN(2)/25)*Calculateur!AQ110*Calculateur!AS110*VLOOKUP('Données projet'!$B$10,Paramètres!$A$1:$I$88,3,0)*0.475*44/12</f>
        <v>10.382063767131525</v>
      </c>
      <c r="AW110" s="23">
        <f>EXP(-LN(2)/2)*AW109+(1-EXP(-LN(2)/2))/(LN(2)/2)*AQ110*AT110*VLOOKUP('Données projet'!$B$10,Paramètres!$A$1:$I$88,3,0)*0.475*44/12</f>
        <v>9.9378755421347014E-8</v>
      </c>
      <c r="AX110" s="23">
        <f t="shared" si="60"/>
        <v>30.745258019393386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-1.1368683772161603E-13</v>
      </c>
      <c r="BE110" s="14">
        <f>BD110*VLOOKUP('Données projet'!$B$11,Paramètres!$A$1:$I$88,3,0)*VLOOKUP('Données projet'!$B$11,Paramètres!$A$1:$I$88,5,0)</f>
        <v>-1.0286385077051818E-13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362.63718589694594</v>
      </c>
      <c r="BJ110" s="62">
        <f t="shared" si="92"/>
        <v>250.47702091764884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projet'!$B$11,Paramètres!$A$1:$I$88,3,0)*0.475*44/12</f>
        <v>111.06574783806994</v>
      </c>
      <c r="BQ110" s="23">
        <f>EXP(-LN(2)/25)*BQ109+(1-EXP(-LN(2)/25))/(LN(2)/25)*Calculateur!BL110*Calculateur!BN110*VLOOKUP('Données projet'!$B$11,Paramètres!$A$1:$I$88,3,0)*0.475*44/12</f>
        <v>0</v>
      </c>
      <c r="BR110" s="23">
        <f>EXP(-LN(2)/2)*BR109+(1-EXP(-LN(2)/2))/(LN(2)/2)*BL110*BO110*VLOOKUP('Données projet'!$B$11,Paramètres!$A$1:$I$88,3,0)*0.475*44/12</f>
        <v>0</v>
      </c>
      <c r="BS110" s="24">
        <f t="shared" si="63"/>
        <v>111.06574783806994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-1.1368683772161603E-13</v>
      </c>
      <c r="BZ110" s="14">
        <f>BY110*VLOOKUP('Données projet'!$B$12,Paramètres!$A$1:$I$88,3,0)*VLOOKUP('Données projet'!$B$12,Paramètres!$A$1:$I$88,5,0)</f>
        <v>-1.1527845344971866E-13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398.14524781940196</v>
      </c>
      <c r="CE110" s="62">
        <f t="shared" si="94"/>
        <v>273.35778700650792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projet'!$B$12,Paramètres!$A$1:$I$88,3,0)*0.475*44/12</f>
        <v>124.47023464611287</v>
      </c>
      <c r="CL110" s="23">
        <f>EXP(-LN(2)/25)*CL109+(1-EXP(-LN(2)/25))/(LN(2)/25)*Calculateur!CG110*Calculateur!CI110*VLOOKUP('Données projet'!$B$12,Paramètres!$A$1:$I$88,3,0)*0.475*44/12</f>
        <v>0</v>
      </c>
      <c r="CM110" s="23">
        <f>EXP(-LN(2)/2)*CM109+(1-EXP(-LN(2)/2))/(LN(2)/2)*CG110*CJ110*VLOOKUP('Données projet'!$B$12,Paramètres!$A$1:$I$88,3,0)*0.475*44/12</f>
        <v>0</v>
      </c>
      <c r="CN110" s="24">
        <f t="shared" si="66"/>
        <v>124.47023464611287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118</v>
      </c>
      <c r="CU110" s="18">
        <f>CT110*VLOOKUP('Données projet'!$B$13,Paramètres!$A$1:$I$88,3,0)*VLOOKUP('Données projet'!$B$13,Paramètres!$A$1:$I$88,5,0)</f>
        <v>112.28880000000001</v>
      </c>
      <c r="CV110" s="14">
        <f t="shared" si="95"/>
        <v>29.869595672288149</v>
      </c>
      <c r="CW110" s="22">
        <f t="shared" si="67"/>
        <v>247.59253912923518</v>
      </c>
      <c r="CX110" s="62">
        <f t="shared" si="68"/>
        <v>526.83314602210885</v>
      </c>
      <c r="CY110" s="62">
        <f ca="1">AVERAGE(OFFSET($CX$3,0,0,'Données projet'!$E$13+1,1))-AVERAGE(OFFSET($H$3,0,0,'Données projet'!$E$13+1,1))</f>
        <v>470.0521927195926</v>
      </c>
      <c r="CZ110" s="62">
        <f t="shared" si="96"/>
        <v>299.27200854723435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projet'!$B$13,Paramètres!$A$1:$I$88,3,0)*0.475*44/12</f>
        <v>116.81052789865976</v>
      </c>
      <c r="DG110" s="23">
        <f>EXP(-LN(2)/25)*DG109+(1-EXP(-LN(2)/25))/(LN(2)/25)*Calculateur!DB110*Calculateur!DD110*VLOOKUP('Données projet'!$B$13,Paramètres!$A$1:$I$88,3,0)*0.475*44/12</f>
        <v>0</v>
      </c>
      <c r="DH110" s="23">
        <f>EXP(-LN(2)/2)*DH109+(1-EXP(-LN(2)/2))/(LN(2)/2)*DB110*DE110*VLOOKUP('Données projet'!$B$13,Paramètres!$A$1:$I$88,3,0)*0.475*44/12</f>
        <v>0</v>
      </c>
      <c r="DI110" s="24">
        <f t="shared" si="69"/>
        <v>116.81052789865976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-1.4210854715202004E-13</v>
      </c>
      <c r="DP110" s="18">
        <f>DO110*VLOOKUP('Données projet'!$B$14,Paramètres!$A$1:$I$88,3,0)*VLOOKUP('Données projet'!$B$14,Paramètres!$A$1:$I$88,5,0)</f>
        <v>-1.3744738680543379E-13</v>
      </c>
      <c r="DQ110" s="14" t="e">
        <f t="shared" si="97"/>
        <v>#NUM!</v>
      </c>
      <c r="DR110" s="22" t="e">
        <f t="shared" si="70"/>
        <v>#NUM!</v>
      </c>
      <c r="DS110" s="62" t="e">
        <f t="shared" si="71"/>
        <v>#NUM!</v>
      </c>
      <c r="DT110" s="62">
        <f ca="1">AVERAGE(OFFSET($DS$3,0,0,'Données projet'!$E$14+1,1))-AVERAGE(OFFSET($H$3,0,0,'Données projet'!$E$14+1,1))</f>
        <v>290.89727102147953</v>
      </c>
      <c r="DU110" s="62">
        <f t="shared" si="98"/>
        <v>173.19148969173838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projet'!$B$14,Paramètres!$A$1:$I$88,3,0)*0.475*44/12</f>
        <v>88.756181717142937</v>
      </c>
      <c r="EB110" s="23">
        <f>EXP(-LN(2)/25)*EB109+(1-EXP(-LN(2)/25))/(LN(2)/25)*Calculateur!DW110*Calculateur!DY110*VLOOKUP('Données projet'!$B$14,Paramètres!$A$1:$I$88,3,0)*0.475*44/12</f>
        <v>0</v>
      </c>
      <c r="EC110" s="23">
        <f>EXP(-LN(2)/2)*EC109+(1-EXP(-LN(2)/2))/(LN(2)/2)*DW110*DZ110*VLOOKUP('Données projet'!$B$14,Paramètres!$A$1:$I$88,3,0)*0.475*44/12</f>
        <v>0</v>
      </c>
      <c r="ED110" s="24">
        <f t="shared" si="72"/>
        <v>88.756181717142937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projet'!$B$15,Paramètres!$A$1:$I$88,3,0)*VLOOKUP('Données projet'!$B$15,Paramètres!$A$1:$I$88,5,0)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projet'!$B$15,Paramètres!$A$1:$I$88,3,0)*0.475*44/12</f>
        <v>#N/A</v>
      </c>
      <c r="EW110" s="23" t="e">
        <f>EXP(-LN(2)/25)*EW109+(1-EXP(-LN(2)/25))/(LN(2)/25)*Calculateur!ER110*Calculateur!ET110*VLOOKUP('Données projet'!$B$15,Paramètres!$A$1:$I$88,3,0)*0.475*44/12</f>
        <v>#N/A</v>
      </c>
      <c r="EX110" s="23" t="e">
        <f>EXP(-LN(2)/2)*EX109+(1-EXP(-LN(2)/2))/(LN(2)/2)*ER110*EU110*VLOOKUP('Données projet'!$B$15,Paramètres!$A$1:$I$88,3,0)*0.475*44/12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projet'!$B$16,Paramètres!$A$1:$I$88,3,0)*VLOOKUP('Données projet'!$B$16,Paramètres!$A$1:$I$88,5,0)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projet'!$B$16,Paramètres!$A$1:$I$88,3,0)*0.475*44/12</f>
        <v>#N/A</v>
      </c>
      <c r="FR110" s="23" t="e">
        <f>EXP(-LN(2)/25)*FR109+(1-EXP(-LN(2)/25))/(LN(2)/25)*Calculateur!FM110*Calculateur!FO110*VLOOKUP('Données projet'!$B$16,Paramètres!$A$1:$I$88,3,0)*0.475*44/12</f>
        <v>#N/A</v>
      </c>
      <c r="FS110" s="23" t="e">
        <f>EXP(-LN(2)/2)*FS109+(1-EXP(-LN(2)/2))/(LN(2)/2)*FM110*FP110*VLOOKUP('Données projet'!$B$16,Paramètres!$A$1:$I$88,3,0)*0.475*44/12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projet'!$B$17,Paramètres!$A$1:$I$88,3,0)*VLOOKUP('Données projet'!$B$17,Paramètres!$A$1:$I$88,5,0)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projet'!$B$17,Paramètres!$A$1:$I$88,3,0)*0.475*44/12</f>
        <v>#N/A</v>
      </c>
      <c r="GM110" s="23" t="e">
        <f>EXP(-LN(2)/25)*GM109+(1-EXP(-LN(2)/25))/(LN(2)/25)*Calculateur!GH110*Calculateur!GJ110*VLOOKUP('Données projet'!$B$17,Paramètres!$A$1:$I$88,3,0)*0.475*44/12</f>
        <v>#N/A</v>
      </c>
      <c r="GN110" s="23" t="e">
        <f>EXP(-LN(2)/2)*GN109+(1-EXP(-LN(2)/2))/(LN(2)/2)*GH110*GK110*VLOOKUP('Données projet'!$B$17,Paramètres!$A$1:$I$88,3,0)*0.475*44/12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projet'!$B$18,Paramètres!$A$1:$I$88,3,0)*VLOOKUP('Données projet'!$B$18,Paramètres!$A$1:$I$88,5,0)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projet'!$B$18,Paramètres!$A$1:$I$88,3,0)*0.475*44/12</f>
        <v>#N/A</v>
      </c>
      <c r="HH110" s="23" t="e">
        <f>EXP(-LN(2)/25)*HH109+(1-EXP(-LN(2)/25))/(LN(2)/25)*Calculateur!HC110*Calculateur!HE110*VLOOKUP('Données projet'!$B$18,Paramètres!$A$1:$I$88,3,0)*0.475*44/12</f>
        <v>#N/A</v>
      </c>
      <c r="HI110" s="23" t="e">
        <f>EXP(-LN(2)/2)*HI109+(1-EXP(-LN(2)/2))/(LN(2)/2)*HC110*HF110*VLOOKUP('Données projet'!$B$18,Paramètres!$A$1:$I$88,3,0)*0.475*44/12</f>
        <v>#N/A</v>
      </c>
      <c r="HJ110" s="24" t="e">
        <f t="shared" si="84"/>
        <v>#N/A</v>
      </c>
    </row>
    <row r="111" spans="1:218" s="5" customFormat="1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projet'!$B$9,Paramètres!$A$1:$I$88,3,0)*VLOOKUP('Données projet'!$B$9,Paramètres!$A$1:$I$88,5,0)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279.48508419000041</v>
      </c>
      <c r="S111" s="62">
        <f ca="1">AVERAGE(OFFSET($R$3,0,0,'Données projet'!$E$9+1,1))-AVERAGE(OFFSET($H$3,0,0,'Données projet'!$E$9+1,1))</f>
        <v>301.2688576786212</v>
      </c>
      <c r="T111" s="62">
        <f t="shared" si="88"/>
        <v>417.62172165132927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47.81453963268811</v>
      </c>
      <c r="AA111" s="23">
        <f>EXP(-LN(2)/25)*AA110+(1-EXP(-LN(2)/25))/(LN(2)/25)*Calculateur!V111*Calculateur!X111*VLOOKUP('Données projet'!$B$9,Paramètres!$A$1:$I$88,3,0)*0.475*44/12</f>
        <v>9.9631311751557536</v>
      </c>
      <c r="AB111" s="23">
        <f>EXP(-LN(2)/2)*AB110+(1-EXP(-LN(2)/2))/(LN(2)/2)*V111*Y111*VLOOKUP('Données projet'!$B$9,Paramètres!$A$1:$I$88,3,0)*0.475*44/12</f>
        <v>5.4860111113921586E-8</v>
      </c>
      <c r="AC111" s="24">
        <f t="shared" si="57"/>
        <v>57.777670862703971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projet'!$B$10,Paramètres!$A$1:$I$88,3,0)*VLOOKUP('Données projet'!$B$10,Paramètres!$A$1:$I$88,5,0)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170.08673939431091</v>
      </c>
      <c r="AO111" s="62">
        <f t="shared" si="90"/>
        <v>252.97355497077106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projet'!$B$10,Paramètres!$A$1:$I$88,3,0)*0.475*44/12</f>
        <v>19.963884335867096</v>
      </c>
      <c r="AV111" s="23">
        <f>EXP(-LN(2)/25)*AV110+(1-EXP(-LN(2)/25))/(LN(2)/25)*Calculateur!AQ111*Calculateur!AS111*VLOOKUP('Données projet'!$B$10,Paramètres!$A$1:$I$88,3,0)*0.475*44/12</f>
        <v>10.098165687450308</v>
      </c>
      <c r="AW111" s="23">
        <f>EXP(-LN(2)/2)*AW110+(1-EXP(-LN(2)/2))/(LN(2)/2)*AQ111*AT111*VLOOKUP('Données projet'!$B$10,Paramètres!$A$1:$I$88,3,0)*0.475*44/12</f>
        <v>7.0271391864313845E-8</v>
      </c>
      <c r="AX111" s="23">
        <f t="shared" si="60"/>
        <v>30.062050093588795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-1.1368683772161603E-13</v>
      </c>
      <c r="BE111" s="14">
        <f>BD111*VLOOKUP('Données projet'!$B$11,Paramètres!$A$1:$I$88,3,0)*VLOOKUP('Données projet'!$B$11,Paramètres!$A$1:$I$88,5,0)</f>
        <v>-1.0286385077051818E-13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362.63718589694594</v>
      </c>
      <c r="BJ111" s="62">
        <f t="shared" si="92"/>
        <v>250.47702091764884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projet'!$B$11,Paramètres!$A$1:$I$88,7,0))</f>
        <v>0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projet'!$B$11,Paramètres!$A$1:$I$88,3,0)*0.475*44/12</f>
        <v>108.88781626638246</v>
      </c>
      <c r="BQ111" s="23">
        <f>EXP(-LN(2)/25)*BQ110+(1-EXP(-LN(2)/25))/(LN(2)/25)*Calculateur!BL111*Calculateur!BN111*VLOOKUP('Données projet'!$B$11,Paramètres!$A$1:$I$88,3,0)*0.475*44/12</f>
        <v>0</v>
      </c>
      <c r="BR111" s="23">
        <f>EXP(-LN(2)/2)*BR110+(1-EXP(-LN(2)/2))/(LN(2)/2)*BL111*BO111*VLOOKUP('Données projet'!$B$11,Paramètres!$A$1:$I$88,3,0)*0.475*44/12</f>
        <v>0</v>
      </c>
      <c r="BS111" s="24">
        <f t="shared" si="63"/>
        <v>108.88781626638246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-1.1368683772161603E-13</v>
      </c>
      <c r="BZ111" s="14">
        <f>BY111*VLOOKUP('Données projet'!$B$12,Paramètres!$A$1:$I$88,3,0)*VLOOKUP('Données projet'!$B$12,Paramètres!$A$1:$I$88,5,0)</f>
        <v>-1.1527845344971866E-13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398.14524781940196</v>
      </c>
      <c r="CE111" s="62">
        <f t="shared" si="94"/>
        <v>273.35778700650792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projet'!$B$12,Paramètres!$A$1:$I$88,3,0)*0.475*44/12</f>
        <v>122.02944926404932</v>
      </c>
      <c r="CL111" s="23">
        <f>EXP(-LN(2)/25)*CL110+(1-EXP(-LN(2)/25))/(LN(2)/25)*Calculateur!CG111*Calculateur!CI111*VLOOKUP('Données projet'!$B$12,Paramètres!$A$1:$I$88,3,0)*0.475*44/12</f>
        <v>0</v>
      </c>
      <c r="CM111" s="23">
        <f>EXP(-LN(2)/2)*CM110+(1-EXP(-LN(2)/2))/(LN(2)/2)*CG111*CJ111*VLOOKUP('Données projet'!$B$12,Paramètres!$A$1:$I$88,3,0)*0.475*44/12</f>
        <v>0</v>
      </c>
      <c r="CN111" s="24">
        <f t="shared" si="66"/>
        <v>122.02944926404932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118</v>
      </c>
      <c r="CU111" s="18">
        <f>CT111*VLOOKUP('Données projet'!$B$13,Paramètres!$A$1:$I$88,3,0)*VLOOKUP('Données projet'!$B$13,Paramètres!$A$1:$I$88,5,0)</f>
        <v>112.28880000000001</v>
      </c>
      <c r="CV111" s="14">
        <f t="shared" si="95"/>
        <v>29.869595672288149</v>
      </c>
      <c r="CW111" s="22">
        <f t="shared" si="67"/>
        <v>247.59253912923518</v>
      </c>
      <c r="CX111" s="62">
        <f t="shared" si="68"/>
        <v>527.07762331923448</v>
      </c>
      <c r="CY111" s="62">
        <f ca="1">AVERAGE(OFFSET($CX$3,0,0,'Données projet'!$E$13+1,1))-AVERAGE(OFFSET($H$3,0,0,'Données projet'!$E$13+1,1))</f>
        <v>470.0521927195926</v>
      </c>
      <c r="CZ111" s="62">
        <f t="shared" si="96"/>
        <v>299.27200854723435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projet'!$B$13,Paramètres!$A$1:$I$88,3,0)*0.475*44/12</f>
        <v>114.51994469395396</v>
      </c>
      <c r="DG111" s="23">
        <f>EXP(-LN(2)/25)*DG110+(1-EXP(-LN(2)/25))/(LN(2)/25)*Calculateur!DB111*Calculateur!DD111*VLOOKUP('Données projet'!$B$13,Paramètres!$A$1:$I$88,3,0)*0.475*44/12</f>
        <v>0</v>
      </c>
      <c r="DH111" s="23">
        <f>EXP(-LN(2)/2)*DH110+(1-EXP(-LN(2)/2))/(LN(2)/2)*DB111*DE111*VLOOKUP('Données projet'!$B$13,Paramètres!$A$1:$I$88,3,0)*0.475*44/12</f>
        <v>0</v>
      </c>
      <c r="DI111" s="24">
        <f t="shared" si="69"/>
        <v>114.51994469395396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-1.4210854715202004E-13</v>
      </c>
      <c r="DP111" s="18">
        <f>DO111*VLOOKUP('Données projet'!$B$14,Paramètres!$A$1:$I$88,3,0)*VLOOKUP('Données projet'!$B$14,Paramètres!$A$1:$I$88,5,0)</f>
        <v>-1.3744738680543379E-13</v>
      </c>
      <c r="DQ111" s="14" t="e">
        <f t="shared" si="97"/>
        <v>#NUM!</v>
      </c>
      <c r="DR111" s="22" t="e">
        <f t="shared" si="70"/>
        <v>#NUM!</v>
      </c>
      <c r="DS111" s="62" t="e">
        <f t="shared" si="71"/>
        <v>#NUM!</v>
      </c>
      <c r="DT111" s="62">
        <f ca="1">AVERAGE(OFFSET($DS$3,0,0,'Données projet'!$E$14+1,1))-AVERAGE(OFFSET($H$3,0,0,'Données projet'!$E$14+1,1))</f>
        <v>290.89727102147953</v>
      </c>
      <c r="DU111" s="62">
        <f t="shared" si="98"/>
        <v>173.19148969173838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projet'!$B$14,Paramètres!$A$1:$I$88,3,0)*0.475*44/12</f>
        <v>87.015727129595135</v>
      </c>
      <c r="EB111" s="23">
        <f>EXP(-LN(2)/25)*EB110+(1-EXP(-LN(2)/25))/(LN(2)/25)*Calculateur!DW111*Calculateur!DY111*VLOOKUP('Données projet'!$B$14,Paramètres!$A$1:$I$88,3,0)*0.475*44/12</f>
        <v>0</v>
      </c>
      <c r="EC111" s="23">
        <f>EXP(-LN(2)/2)*EC110+(1-EXP(-LN(2)/2))/(LN(2)/2)*DW111*DZ111*VLOOKUP('Données projet'!$B$14,Paramètres!$A$1:$I$88,3,0)*0.475*44/12</f>
        <v>0</v>
      </c>
      <c r="ED111" s="24">
        <f t="shared" si="72"/>
        <v>87.015727129595135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projet'!$B$15,Paramètres!$A$1:$I$88,3,0)*VLOOKUP('Données projet'!$B$15,Paramètres!$A$1:$I$88,5,0)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projet'!$B$15,Paramètres!$A$1:$I$88,3,0)*0.475*44/12</f>
        <v>#N/A</v>
      </c>
      <c r="EW111" s="23" t="e">
        <f>EXP(-LN(2)/25)*EW110+(1-EXP(-LN(2)/25))/(LN(2)/25)*Calculateur!ER111*Calculateur!ET111*VLOOKUP('Données projet'!$B$15,Paramètres!$A$1:$I$88,3,0)*0.475*44/12</f>
        <v>#N/A</v>
      </c>
      <c r="EX111" s="23" t="e">
        <f>EXP(-LN(2)/2)*EX110+(1-EXP(-LN(2)/2))/(LN(2)/2)*ER111*EU111*VLOOKUP('Données projet'!$B$15,Paramètres!$A$1:$I$88,3,0)*0.475*44/12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projet'!$B$16,Paramètres!$A$1:$I$88,3,0)*VLOOKUP('Données projet'!$B$16,Paramètres!$A$1:$I$88,5,0)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projet'!$B$16,Paramètres!$A$1:$I$88,3,0)*0.475*44/12</f>
        <v>#N/A</v>
      </c>
      <c r="FR111" s="23" t="e">
        <f>EXP(-LN(2)/25)*FR110+(1-EXP(-LN(2)/25))/(LN(2)/25)*Calculateur!FM111*Calculateur!FO111*VLOOKUP('Données projet'!$B$16,Paramètres!$A$1:$I$88,3,0)*0.475*44/12</f>
        <v>#N/A</v>
      </c>
      <c r="FS111" s="23" t="e">
        <f>EXP(-LN(2)/2)*FS110+(1-EXP(-LN(2)/2))/(LN(2)/2)*FM111*FP111*VLOOKUP('Données projet'!$B$16,Paramètres!$A$1:$I$88,3,0)*0.475*44/12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projet'!$B$17,Paramètres!$A$1:$I$88,3,0)*VLOOKUP('Données projet'!$B$17,Paramètres!$A$1:$I$88,5,0)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projet'!$B$17,Paramètres!$A$1:$I$88,3,0)*0.475*44/12</f>
        <v>#N/A</v>
      </c>
      <c r="GM111" s="23" t="e">
        <f>EXP(-LN(2)/25)*GM110+(1-EXP(-LN(2)/25))/(LN(2)/25)*Calculateur!GH111*Calculateur!GJ111*VLOOKUP('Données projet'!$B$17,Paramètres!$A$1:$I$88,3,0)*0.475*44/12</f>
        <v>#N/A</v>
      </c>
      <c r="GN111" s="23" t="e">
        <f>EXP(-LN(2)/2)*GN110+(1-EXP(-LN(2)/2))/(LN(2)/2)*GH111*GK111*VLOOKUP('Données projet'!$B$17,Paramètres!$A$1:$I$88,3,0)*0.475*44/12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projet'!$B$18,Paramètres!$A$1:$I$88,3,0)*VLOOKUP('Données projet'!$B$18,Paramètres!$A$1:$I$88,5,0)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projet'!$B$18,Paramètres!$A$1:$I$88,3,0)*0.475*44/12</f>
        <v>#N/A</v>
      </c>
      <c r="HH111" s="23" t="e">
        <f>EXP(-LN(2)/25)*HH110+(1-EXP(-LN(2)/25))/(LN(2)/25)*Calculateur!HC111*Calculateur!HE111*VLOOKUP('Données projet'!$B$18,Paramètres!$A$1:$I$88,3,0)*0.475*44/12</f>
        <v>#N/A</v>
      </c>
      <c r="HI111" s="23" t="e">
        <f>EXP(-LN(2)/2)*HI110+(1-EXP(-LN(2)/2))/(LN(2)/2)*HC111*HF111*VLOOKUP('Données projet'!$B$18,Paramètres!$A$1:$I$88,3,0)*0.475*44/12</f>
        <v>#N/A</v>
      </c>
      <c r="HJ111" s="24" t="e">
        <f t="shared" si="84"/>
        <v>#N/A</v>
      </c>
    </row>
    <row r="112" spans="1:218" s="5" customFormat="1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projet'!$B$9,Paramètres!$A$1:$I$88,3,0)*VLOOKUP('Données projet'!$B$9,Paramètres!$A$1:$I$88,5,0)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279.72532035259036</v>
      </c>
      <c r="S112" s="62">
        <f ca="1">AVERAGE(OFFSET($R$3,0,0,'Données projet'!$E$9+1,1))-AVERAGE(OFFSET($H$3,0,0,'Données projet'!$E$9+1,1))</f>
        <v>301.2688576786212</v>
      </c>
      <c r="T112" s="62">
        <f t="shared" si="88"/>
        <v>417.62172165132927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46.876925674480567</v>
      </c>
      <c r="AA112" s="23">
        <f>EXP(-LN(2)/25)*AA111+(1-EXP(-LN(2)/25))/(LN(2)/25)*Calculateur!V112*Calculateur!X112*VLOOKUP('Données projet'!$B$9,Paramètres!$A$1:$I$88,3,0)*0.475*44/12</f>
        <v>9.6906888292328226</v>
      </c>
      <c r="AB112" s="23">
        <f>EXP(-LN(2)/2)*AB111+(1-EXP(-LN(2)/2))/(LN(2)/2)*V112*Y112*VLOOKUP('Données projet'!$B$9,Paramètres!$A$1:$I$88,3,0)*0.475*44/12</f>
        <v>3.8791956585301434E-8</v>
      </c>
      <c r="AC112" s="24">
        <f t="shared" si="57"/>
        <v>56.567614542505346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projet'!$B$10,Paramètres!$A$1:$I$88,3,0)*VLOOKUP('Données projet'!$B$10,Paramètres!$A$1:$I$88,5,0)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170.08673939431091</v>
      </c>
      <c r="AO112" s="62">
        <f t="shared" si="90"/>
        <v>252.97355497077106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projet'!$B$10,Paramètres!$A$1:$I$88,3,0)*0.475*44/12</f>
        <v>19.57240474080783</v>
      </c>
      <c r="AV112" s="23">
        <f>EXP(-LN(2)/25)*AV111+(1-EXP(-LN(2)/25))/(LN(2)/25)*Calculateur!AQ112*Calculateur!AS112*VLOOKUP('Données projet'!$B$10,Paramètres!$A$1:$I$88,3,0)*0.475*44/12</f>
        <v>9.8220308156875262</v>
      </c>
      <c r="AW112" s="23">
        <f>EXP(-LN(2)/2)*AW111+(1-EXP(-LN(2)/2))/(LN(2)/2)*AQ112*AT112*VLOOKUP('Données projet'!$B$10,Paramètres!$A$1:$I$88,3,0)*0.475*44/12</f>
        <v>4.9689377710673507E-8</v>
      </c>
      <c r="AX112" s="23">
        <f t="shared" si="60"/>
        <v>29.394435606184732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-1.1368683772161603E-13</v>
      </c>
      <c r="BE112" s="14">
        <f>BD112*VLOOKUP('Données projet'!$B$11,Paramètres!$A$1:$I$88,3,0)*VLOOKUP('Données projet'!$B$11,Paramètres!$A$1:$I$88,5,0)</f>
        <v>-1.0286385077051818E-13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362.63718589694594</v>
      </c>
      <c r="BJ112" s="62">
        <f t="shared" si="92"/>
        <v>250.47702091764884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projet'!$B$11,Paramètres!$A$1:$I$88,3,0)*0.475*44/12</f>
        <v>106.75259260440869</v>
      </c>
      <c r="BQ112" s="23">
        <f>EXP(-LN(2)/25)*BQ111+(1-EXP(-LN(2)/25))/(LN(2)/25)*Calculateur!BL112*Calculateur!BN112*VLOOKUP('Données projet'!$B$11,Paramètres!$A$1:$I$88,3,0)*0.475*44/12</f>
        <v>0</v>
      </c>
      <c r="BR112" s="23">
        <f>EXP(-LN(2)/2)*BR111+(1-EXP(-LN(2)/2))/(LN(2)/2)*BL112*BO112*VLOOKUP('Données projet'!$B$11,Paramètres!$A$1:$I$88,3,0)*0.475*44/12</f>
        <v>0</v>
      </c>
      <c r="BS112" s="24">
        <f t="shared" si="63"/>
        <v>106.75259260440869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-1.1368683772161603E-13</v>
      </c>
      <c r="BZ112" s="14">
        <f>BY112*VLOOKUP('Données projet'!$B$12,Paramètres!$A$1:$I$88,3,0)*VLOOKUP('Données projet'!$B$12,Paramètres!$A$1:$I$88,5,0)</f>
        <v>-1.1527845344971866E-13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398.14524781940196</v>
      </c>
      <c r="CE112" s="62">
        <f t="shared" si="94"/>
        <v>273.35778700650792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projet'!$B$12,Paramètres!$A$1:$I$88,3,0)*0.475*44/12</f>
        <v>119.63652619459594</v>
      </c>
      <c r="CL112" s="23">
        <f>EXP(-LN(2)/25)*CL111+(1-EXP(-LN(2)/25))/(LN(2)/25)*Calculateur!CG112*Calculateur!CI112*VLOOKUP('Données projet'!$B$12,Paramètres!$A$1:$I$88,3,0)*0.475*44/12</f>
        <v>0</v>
      </c>
      <c r="CM112" s="23">
        <f>EXP(-LN(2)/2)*CM111+(1-EXP(-LN(2)/2))/(LN(2)/2)*CG112*CJ112*VLOOKUP('Données projet'!$B$12,Paramètres!$A$1:$I$88,3,0)*0.475*44/12</f>
        <v>0</v>
      </c>
      <c r="CN112" s="24">
        <f t="shared" si="66"/>
        <v>119.63652619459594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118</v>
      </c>
      <c r="CU112" s="18">
        <f>CT112*VLOOKUP('Données projet'!$B$13,Paramètres!$A$1:$I$88,3,0)*VLOOKUP('Données projet'!$B$13,Paramètres!$A$1:$I$88,5,0)</f>
        <v>112.28880000000001</v>
      </c>
      <c r="CV112" s="14">
        <f t="shared" si="95"/>
        <v>29.869595672288149</v>
      </c>
      <c r="CW112" s="22">
        <f t="shared" si="67"/>
        <v>247.59253912923518</v>
      </c>
      <c r="CX112" s="62">
        <f t="shared" si="68"/>
        <v>527.31785948182448</v>
      </c>
      <c r="CY112" s="62">
        <f ca="1">AVERAGE(OFFSET($CX$3,0,0,'Données projet'!$E$13+1,1))-AVERAGE(OFFSET($H$3,0,0,'Données projet'!$E$13+1,1))</f>
        <v>470.0521927195926</v>
      </c>
      <c r="CZ112" s="62">
        <f t="shared" si="96"/>
        <v>299.27200854723435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projet'!$B$13,Paramètres!$A$1:$I$88,3,0)*0.475*44/12</f>
        <v>112.27427842877465</v>
      </c>
      <c r="DG112" s="23">
        <f>EXP(-LN(2)/25)*DG111+(1-EXP(-LN(2)/25))/(LN(2)/25)*Calculateur!DB112*Calculateur!DD112*VLOOKUP('Données projet'!$B$13,Paramètres!$A$1:$I$88,3,0)*0.475*44/12</f>
        <v>0</v>
      </c>
      <c r="DH112" s="23">
        <f>EXP(-LN(2)/2)*DH111+(1-EXP(-LN(2)/2))/(LN(2)/2)*DB112*DE112*VLOOKUP('Données projet'!$B$13,Paramètres!$A$1:$I$88,3,0)*0.475*44/12</f>
        <v>0</v>
      </c>
      <c r="DI112" s="24">
        <f t="shared" si="69"/>
        <v>112.27427842877465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-1.4210854715202004E-13</v>
      </c>
      <c r="DP112" s="18">
        <f>DO112*VLOOKUP('Données projet'!$B$14,Paramètres!$A$1:$I$88,3,0)*VLOOKUP('Données projet'!$B$14,Paramètres!$A$1:$I$88,5,0)</f>
        <v>-1.3744738680543379E-13</v>
      </c>
      <c r="DQ112" s="14" t="e">
        <f t="shared" si="97"/>
        <v>#NUM!</v>
      </c>
      <c r="DR112" s="22" t="e">
        <f t="shared" si="70"/>
        <v>#NUM!</v>
      </c>
      <c r="DS112" s="62" t="e">
        <f t="shared" si="71"/>
        <v>#NUM!</v>
      </c>
      <c r="DT112" s="62">
        <f ca="1">AVERAGE(OFFSET($DS$3,0,0,'Données projet'!$E$14+1,1))-AVERAGE(OFFSET($H$3,0,0,'Données projet'!$E$14+1,1))</f>
        <v>290.89727102147953</v>
      </c>
      <c r="DU112" s="62">
        <f t="shared" si="98"/>
        <v>173.19148969173838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projet'!$B$14,Paramètres!$A$1:$I$88,3,0)*0.475*44/12</f>
        <v>85.309401794936662</v>
      </c>
      <c r="EB112" s="23">
        <f>EXP(-LN(2)/25)*EB111+(1-EXP(-LN(2)/25))/(LN(2)/25)*Calculateur!DW112*Calculateur!DY112*VLOOKUP('Données projet'!$B$14,Paramètres!$A$1:$I$88,3,0)*0.475*44/12</f>
        <v>0</v>
      </c>
      <c r="EC112" s="23">
        <f>EXP(-LN(2)/2)*EC111+(1-EXP(-LN(2)/2))/(LN(2)/2)*DW112*DZ112*VLOOKUP('Données projet'!$B$14,Paramètres!$A$1:$I$88,3,0)*0.475*44/12</f>
        <v>0</v>
      </c>
      <c r="ED112" s="24">
        <f t="shared" si="72"/>
        <v>85.309401794936662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projet'!$B$15,Paramètres!$A$1:$I$88,3,0)*VLOOKUP('Données projet'!$B$15,Paramètres!$A$1:$I$88,5,0)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projet'!$B$15,Paramètres!$A$1:$I$88,3,0)*0.475*44/12</f>
        <v>#N/A</v>
      </c>
      <c r="EW112" s="23" t="e">
        <f>EXP(-LN(2)/25)*EW111+(1-EXP(-LN(2)/25))/(LN(2)/25)*Calculateur!ER112*Calculateur!ET112*VLOOKUP('Données projet'!$B$15,Paramètres!$A$1:$I$88,3,0)*0.475*44/12</f>
        <v>#N/A</v>
      </c>
      <c r="EX112" s="23" t="e">
        <f>EXP(-LN(2)/2)*EX111+(1-EXP(-LN(2)/2))/(LN(2)/2)*ER112*EU112*VLOOKUP('Données projet'!$B$15,Paramètres!$A$1:$I$88,3,0)*0.475*44/12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projet'!$B$16,Paramètres!$A$1:$I$88,3,0)*VLOOKUP('Données projet'!$B$16,Paramètres!$A$1:$I$88,5,0)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projet'!$B$16,Paramètres!$A$1:$I$88,3,0)*0.475*44/12</f>
        <v>#N/A</v>
      </c>
      <c r="FR112" s="23" t="e">
        <f>EXP(-LN(2)/25)*FR111+(1-EXP(-LN(2)/25))/(LN(2)/25)*Calculateur!FM112*Calculateur!FO112*VLOOKUP('Données projet'!$B$16,Paramètres!$A$1:$I$88,3,0)*0.475*44/12</f>
        <v>#N/A</v>
      </c>
      <c r="FS112" s="23" t="e">
        <f>EXP(-LN(2)/2)*FS111+(1-EXP(-LN(2)/2))/(LN(2)/2)*FM112*FP112*VLOOKUP('Données projet'!$B$16,Paramètres!$A$1:$I$88,3,0)*0.475*44/12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projet'!$B$17,Paramètres!$A$1:$I$88,3,0)*VLOOKUP('Données projet'!$B$17,Paramètres!$A$1:$I$88,5,0)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projet'!$B$17,Paramètres!$A$1:$I$88,3,0)*0.475*44/12</f>
        <v>#N/A</v>
      </c>
      <c r="GM112" s="23" t="e">
        <f>EXP(-LN(2)/25)*GM111+(1-EXP(-LN(2)/25))/(LN(2)/25)*Calculateur!GH112*Calculateur!GJ112*VLOOKUP('Données projet'!$B$17,Paramètres!$A$1:$I$88,3,0)*0.475*44/12</f>
        <v>#N/A</v>
      </c>
      <c r="GN112" s="23" t="e">
        <f>EXP(-LN(2)/2)*GN111+(1-EXP(-LN(2)/2))/(LN(2)/2)*GH112*GK112*VLOOKUP('Données projet'!$B$17,Paramètres!$A$1:$I$88,3,0)*0.475*44/12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projet'!$B$18,Paramètres!$A$1:$I$88,3,0)*VLOOKUP('Données projet'!$B$18,Paramètres!$A$1:$I$88,5,0)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projet'!$B$18,Paramètres!$A$1:$I$88,3,0)*0.475*44/12</f>
        <v>#N/A</v>
      </c>
      <c r="HH112" s="23" t="e">
        <f>EXP(-LN(2)/25)*HH111+(1-EXP(-LN(2)/25))/(LN(2)/25)*Calculateur!HC112*Calculateur!HE112*VLOOKUP('Données projet'!$B$18,Paramètres!$A$1:$I$88,3,0)*0.475*44/12</f>
        <v>#N/A</v>
      </c>
      <c r="HI112" s="23" t="e">
        <f>EXP(-LN(2)/2)*HI111+(1-EXP(-LN(2)/2))/(LN(2)/2)*HC112*HF112*VLOOKUP('Données projet'!$B$18,Paramètres!$A$1:$I$88,3,0)*0.475*44/12</f>
        <v>#N/A</v>
      </c>
      <c r="HJ112" s="24" t="e">
        <f t="shared" si="84"/>
        <v>#N/A</v>
      </c>
    </row>
    <row r="113" spans="1:218" s="5" customFormat="1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projet'!$B$9,Paramètres!$A$1:$I$88,3,0)*VLOOKUP('Données projet'!$B$9,Paramètres!$A$1:$I$88,5,0)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279.96138895484694</v>
      </c>
      <c r="S113" s="62">
        <f ca="1">AVERAGE(OFFSET($R$3,0,0,'Données projet'!$E$9+1,1))-AVERAGE(OFFSET($H$3,0,0,'Données projet'!$E$9+1,1))</f>
        <v>301.2688576786212</v>
      </c>
      <c r="T113" s="62">
        <f t="shared" si="88"/>
        <v>417.62172165132927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projet'!$B$9,Paramètres!$A$1:$I$88,7,0))</f>
        <v>0</v>
      </c>
      <c r="X113" s="17">
        <f>IF(ISNA(VLOOKUP(A113,'Données projet'!$A$35:$I$55,6,0)),0%,VLOOKUP(A113,'Données projet'!$A$35:$I$55,6,0)*VLOOKUP('Données projet'!$B$9,Paramètres!$A$1:$I$88,7,0))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projet'!$B$9,Paramètres!$A$1:$I$88,3,0)*0.475*44/12</f>
        <v>45.957697754105432</v>
      </c>
      <c r="AA113" s="23">
        <f>EXP(-LN(2)/25)*AA112+(1-EXP(-LN(2)/25))/(LN(2)/25)*Calculateur!V113*Calculateur!X113*VLOOKUP('Données projet'!$B$9,Paramètres!$A$1:$I$88,3,0)*0.475*44/12</f>
        <v>9.4256964335862747</v>
      </c>
      <c r="AB113" s="23">
        <f>EXP(-LN(2)/2)*AB112+(1-EXP(-LN(2)/2))/(LN(2)/2)*V113*Y113*VLOOKUP('Données projet'!$B$9,Paramètres!$A$1:$I$88,3,0)*0.475*44/12</f>
        <v>2.7430055556960793E-8</v>
      </c>
      <c r="AC113" s="24">
        <f t="shared" si="57"/>
        <v>55.383394215121761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projet'!$B$10,Paramètres!$A$1:$I$88,3,0)*VLOOKUP('Données projet'!$B$10,Paramètres!$A$1:$I$88,5,0)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170.08673939431091</v>
      </c>
      <c r="AO113" s="62">
        <f t="shared" si="90"/>
        <v>252.97355497077106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projet'!$B$10,Paramètres!$A$1:$I$88,7,0))</f>
        <v>0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projet'!$B$10,Paramètres!$A$1:$I$88,3,0)*0.475*44/12</f>
        <v>19.188601821828701</v>
      </c>
      <c r="AV113" s="23">
        <f>EXP(-LN(2)/25)*AV112+(1-EXP(-LN(2)/25))/(LN(2)/25)*Calculateur!AQ113*Calculateur!AS113*VLOOKUP('Données projet'!$B$10,Paramètres!$A$1:$I$88,3,0)*0.475*44/12</f>
        <v>9.553446866514399</v>
      </c>
      <c r="AW113" s="23">
        <f>EXP(-LN(2)/2)*AW112+(1-EXP(-LN(2)/2))/(LN(2)/2)*AQ113*AT113*VLOOKUP('Données projet'!$B$10,Paramètres!$A$1:$I$88,3,0)*0.475*44/12</f>
        <v>3.5135695932156923E-8</v>
      </c>
      <c r="AX113" s="23">
        <f t="shared" si="60"/>
        <v>28.742048723478796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-1.1368683772161603E-13</v>
      </c>
      <c r="BE113" s="14">
        <f>BD113*VLOOKUP('Données projet'!$B$11,Paramètres!$A$1:$I$88,3,0)*VLOOKUP('Données projet'!$B$11,Paramètres!$A$1:$I$88,5,0)</f>
        <v>-1.0286385077051818E-13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362.63718589694594</v>
      </c>
      <c r="BJ113" s="62">
        <f t="shared" si="92"/>
        <v>250.47702091764884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projet'!$B$11,Paramètres!$A$1:$I$88,7,0))</f>
        <v>0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projet'!$B$11,Paramètres!$A$1:$I$88,3,0)*0.475*44/12</f>
        <v>104.65923937608838</v>
      </c>
      <c r="BQ113" s="23">
        <f>EXP(-LN(2)/25)*BQ112+(1-EXP(-LN(2)/25))/(LN(2)/25)*Calculateur!BL113*Calculateur!BN113*VLOOKUP('Données projet'!$B$11,Paramètres!$A$1:$I$88,3,0)*0.475*44/12</f>
        <v>0</v>
      </c>
      <c r="BR113" s="23">
        <f>EXP(-LN(2)/2)*BR112+(1-EXP(-LN(2)/2))/(LN(2)/2)*BL113*BO113*VLOOKUP('Données projet'!$B$11,Paramètres!$A$1:$I$88,3,0)*0.475*44/12</f>
        <v>0</v>
      </c>
      <c r="BS113" s="24">
        <f t="shared" si="63"/>
        <v>104.65923937608838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-1.1368683772161603E-13</v>
      </c>
      <c r="BZ113" s="14">
        <f>BY113*VLOOKUP('Données projet'!$B$12,Paramètres!$A$1:$I$88,3,0)*VLOOKUP('Données projet'!$B$12,Paramètres!$A$1:$I$88,5,0)</f>
        <v>-1.1527845344971866E-13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398.14524781940196</v>
      </c>
      <c r="CE113" s="62">
        <f t="shared" si="94"/>
        <v>273.35778700650792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projet'!$B$12,Paramètres!$A$1:$I$88,3,0)*0.475*44/12</f>
        <v>117.29052688699561</v>
      </c>
      <c r="CL113" s="23">
        <f>EXP(-LN(2)/25)*CL112+(1-EXP(-LN(2)/25))/(LN(2)/25)*Calculateur!CG113*Calculateur!CI113*VLOOKUP('Données projet'!$B$12,Paramètres!$A$1:$I$88,3,0)*0.475*44/12</f>
        <v>0</v>
      </c>
      <c r="CM113" s="23">
        <f>EXP(-LN(2)/2)*CM112+(1-EXP(-LN(2)/2))/(LN(2)/2)*CG113*CJ113*VLOOKUP('Données projet'!$B$12,Paramètres!$A$1:$I$88,3,0)*0.475*44/12</f>
        <v>0</v>
      </c>
      <c r="CN113" s="24">
        <f t="shared" si="66"/>
        <v>117.29052688699561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118</v>
      </c>
      <c r="CU113" s="18">
        <f>CT113*VLOOKUP('Données projet'!$B$13,Paramètres!$A$1:$I$88,3,0)*VLOOKUP('Données projet'!$B$13,Paramètres!$A$1:$I$88,5,0)</f>
        <v>112.28880000000001</v>
      </c>
      <c r="CV113" s="14">
        <f t="shared" si="95"/>
        <v>29.869595672288149</v>
      </c>
      <c r="CW113" s="22">
        <f t="shared" si="67"/>
        <v>247.59253912923518</v>
      </c>
      <c r="CX113" s="62">
        <f t="shared" si="68"/>
        <v>527.55392808408101</v>
      </c>
      <c r="CY113" s="62">
        <f ca="1">AVERAGE(OFFSET($CX$3,0,0,'Données projet'!$E$13+1,1))-AVERAGE(OFFSET($H$3,0,0,'Données projet'!$E$13+1,1))</f>
        <v>470.0521927195926</v>
      </c>
      <c r="CZ113" s="62">
        <f t="shared" si="96"/>
        <v>299.27200854723435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projet'!$B$13,Paramètres!$A$1:$I$88,7,0))</f>
        <v>0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projet'!$B$13,Paramètres!$A$1:$I$88,3,0)*0.475*44/12</f>
        <v>110.07264830933433</v>
      </c>
      <c r="DG113" s="23">
        <f>EXP(-LN(2)/25)*DG112+(1-EXP(-LN(2)/25))/(LN(2)/25)*Calculateur!DB113*Calculateur!DD113*VLOOKUP('Données projet'!$B$13,Paramètres!$A$1:$I$88,3,0)*0.475*44/12</f>
        <v>0</v>
      </c>
      <c r="DH113" s="23">
        <f>EXP(-LN(2)/2)*DH112+(1-EXP(-LN(2)/2))/(LN(2)/2)*DB113*DE113*VLOOKUP('Données projet'!$B$13,Paramètres!$A$1:$I$88,3,0)*0.475*44/12</f>
        <v>0</v>
      </c>
      <c r="DI113" s="24">
        <f t="shared" si="69"/>
        <v>110.07264830933433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-1.4210854715202004E-13</v>
      </c>
      <c r="DP113" s="18">
        <f>DO113*VLOOKUP('Données projet'!$B$14,Paramètres!$A$1:$I$88,3,0)*VLOOKUP('Données projet'!$B$14,Paramètres!$A$1:$I$88,5,0)</f>
        <v>-1.3744738680543379E-13</v>
      </c>
      <c r="DQ113" s="14" t="e">
        <f t="shared" si="97"/>
        <v>#NUM!</v>
      </c>
      <c r="DR113" s="22" t="e">
        <f t="shared" si="70"/>
        <v>#NUM!</v>
      </c>
      <c r="DS113" s="62" t="e">
        <f t="shared" si="71"/>
        <v>#NUM!</v>
      </c>
      <c r="DT113" s="62">
        <f ca="1">AVERAGE(OFFSET($DS$3,0,0,'Données projet'!$E$14+1,1))-AVERAGE(OFFSET($H$3,0,0,'Données projet'!$E$14+1,1))</f>
        <v>290.89727102147953</v>
      </c>
      <c r="DU113" s="62">
        <f t="shared" si="98"/>
        <v>173.19148969173838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projet'!$B$14,Paramètres!$A$1:$I$88,3,0)*0.475*44/12</f>
        <v>83.636536459335161</v>
      </c>
      <c r="EB113" s="23">
        <f>EXP(-LN(2)/25)*EB112+(1-EXP(-LN(2)/25))/(LN(2)/25)*Calculateur!DW113*Calculateur!DY113*VLOOKUP('Données projet'!$B$14,Paramètres!$A$1:$I$88,3,0)*0.475*44/12</f>
        <v>0</v>
      </c>
      <c r="EC113" s="23">
        <f>EXP(-LN(2)/2)*EC112+(1-EXP(-LN(2)/2))/(LN(2)/2)*DW113*DZ113*VLOOKUP('Données projet'!$B$14,Paramètres!$A$1:$I$88,3,0)*0.475*44/12</f>
        <v>0</v>
      </c>
      <c r="ED113" s="24">
        <f t="shared" si="72"/>
        <v>83.636536459335161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projet'!$B$15,Paramètres!$A$1:$I$88,3,0)*VLOOKUP('Données projet'!$B$15,Paramètres!$A$1:$I$88,5,0)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projet'!$B$15,Paramètres!$A$1:$I$88,3,0)*0.475*44/12</f>
        <v>#N/A</v>
      </c>
      <c r="EW113" s="23" t="e">
        <f>EXP(-LN(2)/25)*EW112+(1-EXP(-LN(2)/25))/(LN(2)/25)*Calculateur!ER113*Calculateur!ET113*VLOOKUP('Données projet'!$B$15,Paramètres!$A$1:$I$88,3,0)*0.475*44/12</f>
        <v>#N/A</v>
      </c>
      <c r="EX113" s="23" t="e">
        <f>EXP(-LN(2)/2)*EX112+(1-EXP(-LN(2)/2))/(LN(2)/2)*ER113*EU113*VLOOKUP('Données projet'!$B$15,Paramètres!$A$1:$I$88,3,0)*0.475*44/12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projet'!$B$16,Paramètres!$A$1:$I$88,3,0)*VLOOKUP('Données projet'!$B$16,Paramètres!$A$1:$I$88,5,0)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projet'!$B$16,Paramètres!$A$1:$I$88,3,0)*0.475*44/12</f>
        <v>#N/A</v>
      </c>
      <c r="FR113" s="23" t="e">
        <f>EXP(-LN(2)/25)*FR112+(1-EXP(-LN(2)/25))/(LN(2)/25)*Calculateur!FM113*Calculateur!FO113*VLOOKUP('Données projet'!$B$16,Paramètres!$A$1:$I$88,3,0)*0.475*44/12</f>
        <v>#N/A</v>
      </c>
      <c r="FS113" s="23" t="e">
        <f>EXP(-LN(2)/2)*FS112+(1-EXP(-LN(2)/2))/(LN(2)/2)*FM113*FP113*VLOOKUP('Données projet'!$B$16,Paramètres!$A$1:$I$88,3,0)*0.475*44/12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projet'!$B$17,Paramètres!$A$1:$I$88,3,0)*VLOOKUP('Données projet'!$B$17,Paramètres!$A$1:$I$88,5,0)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projet'!$B$17,Paramètres!$A$1:$I$88,3,0)*0.475*44/12</f>
        <v>#N/A</v>
      </c>
      <c r="GM113" s="23" t="e">
        <f>EXP(-LN(2)/25)*GM112+(1-EXP(-LN(2)/25))/(LN(2)/25)*Calculateur!GH113*Calculateur!GJ113*VLOOKUP('Données projet'!$B$17,Paramètres!$A$1:$I$88,3,0)*0.475*44/12</f>
        <v>#N/A</v>
      </c>
      <c r="GN113" s="23" t="e">
        <f>EXP(-LN(2)/2)*GN112+(1-EXP(-LN(2)/2))/(LN(2)/2)*GH113*GK113*VLOOKUP('Données projet'!$B$17,Paramètres!$A$1:$I$88,3,0)*0.475*44/12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projet'!$B$18,Paramètres!$A$1:$I$88,3,0)*VLOOKUP('Données projet'!$B$18,Paramètres!$A$1:$I$88,5,0)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projet'!$B$18,Paramètres!$A$1:$I$88,3,0)*0.475*44/12</f>
        <v>#N/A</v>
      </c>
      <c r="HH113" s="23" t="e">
        <f>EXP(-LN(2)/25)*HH112+(1-EXP(-LN(2)/25))/(LN(2)/25)*Calculateur!HC113*Calculateur!HE113*VLOOKUP('Données projet'!$B$18,Paramètres!$A$1:$I$88,3,0)*0.475*44/12</f>
        <v>#N/A</v>
      </c>
      <c r="HI113" s="23" t="e">
        <f>EXP(-LN(2)/2)*HI112+(1-EXP(-LN(2)/2))/(LN(2)/2)*HC113*HF113*VLOOKUP('Données projet'!$B$18,Paramètres!$A$1:$I$88,3,0)*0.475*44/12</f>
        <v>#N/A</v>
      </c>
      <c r="HJ113" s="24" t="e">
        <f t="shared" si="84"/>
        <v>#N/A</v>
      </c>
    </row>
    <row r="114" spans="1:218" s="5" customFormat="1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projet'!$B$9,Paramètres!$A$1:$I$88,3,0)*VLOOKUP('Données projet'!$B$9,Paramètres!$A$1:$I$88,5,0)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280.19336229462465</v>
      </c>
      <c r="S114" s="62">
        <f ca="1">AVERAGE(OFFSET($R$3,0,0,'Données projet'!$E$9+1,1))-AVERAGE(OFFSET($H$3,0,0,'Données projet'!$E$9+1,1))</f>
        <v>301.2688576786212</v>
      </c>
      <c r="T114" s="62">
        <f t="shared" si="88"/>
        <v>417.62172165132927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45.056495332575182</v>
      </c>
      <c r="AA114" s="23">
        <f>EXP(-LN(2)/25)*AA113+(1-EXP(-LN(2)/25))/(LN(2)/25)*Calculateur!V114*Calculateur!X114*VLOOKUP('Données projet'!$B$9,Paramètres!$A$1:$I$88,3,0)*0.475*44/12</f>
        <v>9.1679502689340246</v>
      </c>
      <c r="AB114" s="23">
        <f>EXP(-LN(2)/2)*AB113+(1-EXP(-LN(2)/2))/(LN(2)/2)*V114*Y114*VLOOKUP('Données projet'!$B$9,Paramètres!$A$1:$I$88,3,0)*0.475*44/12</f>
        <v>1.9395978292650717E-8</v>
      </c>
      <c r="AC114" s="24">
        <f t="shared" si="57"/>
        <v>54.224445620905179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projet'!$B$10,Paramètres!$A$1:$I$88,3,0)*VLOOKUP('Données projet'!$B$10,Paramètres!$A$1:$I$88,5,0)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170.08673939431091</v>
      </c>
      <c r="AO114" s="62">
        <f t="shared" si="90"/>
        <v>252.97355497077106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projet'!$B$10,Paramètres!$A$1:$I$88,3,0)*0.475*44/12</f>
        <v>18.81232504399409</v>
      </c>
      <c r="AV114" s="23">
        <f>EXP(-LN(2)/25)*AV113+(1-EXP(-LN(2)/25))/(LN(2)/25)*Calculateur!AQ114*Calculateur!AS114*VLOOKUP('Données projet'!$B$10,Paramètres!$A$1:$I$88,3,0)*0.475*44/12</f>
        <v>9.2922073595556274</v>
      </c>
      <c r="AW114" s="23">
        <f>EXP(-LN(2)/2)*AW113+(1-EXP(-LN(2)/2))/(LN(2)/2)*AQ114*AT114*VLOOKUP('Données projet'!$B$10,Paramètres!$A$1:$I$88,3,0)*0.475*44/12</f>
        <v>2.4844688855336754E-8</v>
      </c>
      <c r="AX114" s="23">
        <f t="shared" si="60"/>
        <v>28.104532428394407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-1.1368683772161603E-13</v>
      </c>
      <c r="BE114" s="14">
        <f>BD114*VLOOKUP('Données projet'!$B$11,Paramètres!$A$1:$I$88,3,0)*VLOOKUP('Données projet'!$B$11,Paramètres!$A$1:$I$88,5,0)</f>
        <v>-1.0286385077051818E-13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362.63718589694594</v>
      </c>
      <c r="BJ114" s="62">
        <f t="shared" si="92"/>
        <v>250.47702091764884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projet'!$B$11,Paramètres!$A$1:$I$88,3,0)*0.475*44/12</f>
        <v>102.60693552775604</v>
      </c>
      <c r="BQ114" s="23">
        <f>EXP(-LN(2)/25)*BQ113+(1-EXP(-LN(2)/25))/(LN(2)/25)*Calculateur!BL114*Calculateur!BN114*VLOOKUP('Données projet'!$B$11,Paramètres!$A$1:$I$88,3,0)*0.475*44/12</f>
        <v>0</v>
      </c>
      <c r="BR114" s="23">
        <f>EXP(-LN(2)/2)*BR113+(1-EXP(-LN(2)/2))/(LN(2)/2)*BL114*BO114*VLOOKUP('Données projet'!$B$11,Paramètres!$A$1:$I$88,3,0)*0.475*44/12</f>
        <v>0</v>
      </c>
      <c r="BS114" s="24">
        <f t="shared" si="63"/>
        <v>102.60693552775604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-1.1368683772161603E-13</v>
      </c>
      <c r="BZ114" s="14">
        <f>BY114*VLOOKUP('Données projet'!$B$12,Paramètres!$A$1:$I$88,3,0)*VLOOKUP('Données projet'!$B$12,Paramètres!$A$1:$I$88,5,0)</f>
        <v>-1.1527845344971866E-13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398.14524781940196</v>
      </c>
      <c r="CE114" s="62">
        <f t="shared" si="94"/>
        <v>273.35778700650792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projet'!$B$12,Paramètres!$A$1:$I$88,3,0)*0.475*44/12</f>
        <v>114.99053119489902</v>
      </c>
      <c r="CL114" s="23">
        <f>EXP(-LN(2)/25)*CL113+(1-EXP(-LN(2)/25))/(LN(2)/25)*Calculateur!CG114*Calculateur!CI114*VLOOKUP('Données projet'!$B$12,Paramètres!$A$1:$I$88,3,0)*0.475*44/12</f>
        <v>0</v>
      </c>
      <c r="CM114" s="23">
        <f>EXP(-LN(2)/2)*CM113+(1-EXP(-LN(2)/2))/(LN(2)/2)*CG114*CJ114*VLOOKUP('Données projet'!$B$12,Paramètres!$A$1:$I$88,3,0)*0.475*44/12</f>
        <v>0</v>
      </c>
      <c r="CN114" s="24">
        <f t="shared" si="66"/>
        <v>114.99053119489902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118</v>
      </c>
      <c r="CU114" s="18">
        <f>CT114*VLOOKUP('Données projet'!$B$13,Paramètres!$A$1:$I$88,3,0)*VLOOKUP('Données projet'!$B$13,Paramètres!$A$1:$I$88,5,0)</f>
        <v>112.28880000000001</v>
      </c>
      <c r="CV114" s="14">
        <f t="shared" si="95"/>
        <v>29.869595672288149</v>
      </c>
      <c r="CW114" s="22">
        <f t="shared" si="67"/>
        <v>247.59253912923518</v>
      </c>
      <c r="CX114" s="62">
        <f t="shared" si="68"/>
        <v>527.78590142385872</v>
      </c>
      <c r="CY114" s="62">
        <f ca="1">AVERAGE(OFFSET($CX$3,0,0,'Données projet'!$E$13+1,1))-AVERAGE(OFFSET($H$3,0,0,'Données projet'!$E$13+1,1))</f>
        <v>470.0521927195926</v>
      </c>
      <c r="CZ114" s="62">
        <f t="shared" si="96"/>
        <v>299.27200854723435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projet'!$B$13,Paramètres!$A$1:$I$88,3,0)*0.475*44/12</f>
        <v>107.91419081367445</v>
      </c>
      <c r="DG114" s="23">
        <f>EXP(-LN(2)/25)*DG113+(1-EXP(-LN(2)/25))/(LN(2)/25)*Calculateur!DB114*Calculateur!DD114*VLOOKUP('Données projet'!$B$13,Paramètres!$A$1:$I$88,3,0)*0.475*44/12</f>
        <v>0</v>
      </c>
      <c r="DH114" s="23">
        <f>EXP(-LN(2)/2)*DH113+(1-EXP(-LN(2)/2))/(LN(2)/2)*DB114*DE114*VLOOKUP('Données projet'!$B$13,Paramètres!$A$1:$I$88,3,0)*0.475*44/12</f>
        <v>0</v>
      </c>
      <c r="DI114" s="24">
        <f t="shared" si="69"/>
        <v>107.91419081367445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-1.4210854715202004E-13</v>
      </c>
      <c r="DP114" s="18">
        <f>DO114*VLOOKUP('Données projet'!$B$14,Paramètres!$A$1:$I$88,3,0)*VLOOKUP('Données projet'!$B$14,Paramètres!$A$1:$I$88,5,0)</f>
        <v>-1.3744738680543379E-13</v>
      </c>
      <c r="DQ114" s="14" t="e">
        <f t="shared" si="97"/>
        <v>#NUM!</v>
      </c>
      <c r="DR114" s="22" t="e">
        <f t="shared" si="70"/>
        <v>#NUM!</v>
      </c>
      <c r="DS114" s="62" t="e">
        <f t="shared" si="71"/>
        <v>#NUM!</v>
      </c>
      <c r="DT114" s="62">
        <f ca="1">AVERAGE(OFFSET($DS$3,0,0,'Données projet'!$E$14+1,1))-AVERAGE(OFFSET($H$3,0,0,'Données projet'!$E$14+1,1))</f>
        <v>290.89727102147953</v>
      </c>
      <c r="DU114" s="62">
        <f t="shared" si="98"/>
        <v>173.19148969173838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projet'!$B$14,Paramètres!$A$1:$I$88,3,0)*0.475*44/12</f>
        <v>81.996474992617692</v>
      </c>
      <c r="EB114" s="23">
        <f>EXP(-LN(2)/25)*EB113+(1-EXP(-LN(2)/25))/(LN(2)/25)*Calculateur!DW114*Calculateur!DY114*VLOOKUP('Données projet'!$B$14,Paramètres!$A$1:$I$88,3,0)*0.475*44/12</f>
        <v>0</v>
      </c>
      <c r="EC114" s="23">
        <f>EXP(-LN(2)/2)*EC113+(1-EXP(-LN(2)/2))/(LN(2)/2)*DW114*DZ114*VLOOKUP('Données projet'!$B$14,Paramètres!$A$1:$I$88,3,0)*0.475*44/12</f>
        <v>0</v>
      </c>
      <c r="ED114" s="24">
        <f t="shared" si="72"/>
        <v>81.996474992617692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projet'!$B$15,Paramètres!$A$1:$I$88,3,0)*VLOOKUP('Données projet'!$B$15,Paramètres!$A$1:$I$88,5,0)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projet'!$B$15,Paramètres!$A$1:$I$88,3,0)*0.475*44/12</f>
        <v>#N/A</v>
      </c>
      <c r="EW114" s="23" t="e">
        <f>EXP(-LN(2)/25)*EW113+(1-EXP(-LN(2)/25))/(LN(2)/25)*Calculateur!ER114*Calculateur!ET114*VLOOKUP('Données projet'!$B$15,Paramètres!$A$1:$I$88,3,0)*0.475*44/12</f>
        <v>#N/A</v>
      </c>
      <c r="EX114" s="23" t="e">
        <f>EXP(-LN(2)/2)*EX113+(1-EXP(-LN(2)/2))/(LN(2)/2)*ER114*EU114*VLOOKUP('Données projet'!$B$15,Paramètres!$A$1:$I$88,3,0)*0.475*44/12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projet'!$B$16,Paramètres!$A$1:$I$88,3,0)*VLOOKUP('Données projet'!$B$16,Paramètres!$A$1:$I$88,5,0)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projet'!$B$16,Paramètres!$A$1:$I$88,3,0)*0.475*44/12</f>
        <v>#N/A</v>
      </c>
      <c r="FR114" s="23" t="e">
        <f>EXP(-LN(2)/25)*FR113+(1-EXP(-LN(2)/25))/(LN(2)/25)*Calculateur!FM114*Calculateur!FO114*VLOOKUP('Données projet'!$B$16,Paramètres!$A$1:$I$88,3,0)*0.475*44/12</f>
        <v>#N/A</v>
      </c>
      <c r="FS114" s="23" t="e">
        <f>EXP(-LN(2)/2)*FS113+(1-EXP(-LN(2)/2))/(LN(2)/2)*FM114*FP114*VLOOKUP('Données projet'!$B$16,Paramètres!$A$1:$I$88,3,0)*0.475*44/12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projet'!$B$17,Paramètres!$A$1:$I$88,3,0)*VLOOKUP('Données projet'!$B$17,Paramètres!$A$1:$I$88,5,0)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projet'!$B$17,Paramètres!$A$1:$I$88,3,0)*0.475*44/12</f>
        <v>#N/A</v>
      </c>
      <c r="GM114" s="23" t="e">
        <f>EXP(-LN(2)/25)*GM113+(1-EXP(-LN(2)/25))/(LN(2)/25)*Calculateur!GH114*Calculateur!GJ114*VLOOKUP('Données projet'!$B$17,Paramètres!$A$1:$I$88,3,0)*0.475*44/12</f>
        <v>#N/A</v>
      </c>
      <c r="GN114" s="23" t="e">
        <f>EXP(-LN(2)/2)*GN113+(1-EXP(-LN(2)/2))/(LN(2)/2)*GH114*GK114*VLOOKUP('Données projet'!$B$17,Paramètres!$A$1:$I$88,3,0)*0.475*44/12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projet'!$B$18,Paramètres!$A$1:$I$88,3,0)*VLOOKUP('Données projet'!$B$18,Paramètres!$A$1:$I$88,5,0)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projet'!$B$18,Paramètres!$A$1:$I$88,3,0)*0.475*44/12</f>
        <v>#N/A</v>
      </c>
      <c r="HH114" s="23" t="e">
        <f>EXP(-LN(2)/25)*HH113+(1-EXP(-LN(2)/25))/(LN(2)/25)*Calculateur!HC114*Calculateur!HE114*VLOOKUP('Données projet'!$B$18,Paramètres!$A$1:$I$88,3,0)*0.475*44/12</f>
        <v>#N/A</v>
      </c>
      <c r="HI114" s="23" t="e">
        <f>EXP(-LN(2)/2)*HI113+(1-EXP(-LN(2)/2))/(LN(2)/2)*HC114*HF114*VLOOKUP('Données projet'!$B$18,Paramètres!$A$1:$I$88,3,0)*0.475*44/12</f>
        <v>#N/A</v>
      </c>
      <c r="HJ114" s="24" t="e">
        <f t="shared" si="84"/>
        <v>#N/A</v>
      </c>
    </row>
    <row r="115" spans="1:218" s="5" customFormat="1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projet'!$B$9,Paramètres!$A$1:$I$88,3,0)*VLOOKUP('Données projet'!$B$9,Paramètres!$A$1:$I$88,5,0)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280.42131141557195</v>
      </c>
      <c r="S115" s="62">
        <f ca="1">AVERAGE(OFFSET($R$3,0,0,'Données projet'!$E$9+1,1))-AVERAGE(OFFSET($H$3,0,0,'Données projet'!$E$9+1,1))</f>
        <v>301.2688576786212</v>
      </c>
      <c r="T115" s="62">
        <f t="shared" si="88"/>
        <v>417.62172165132927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44.172964940851941</v>
      </c>
      <c r="AA115" s="23">
        <f>EXP(-LN(2)/25)*AA114+(1-EXP(-LN(2)/25))/(LN(2)/25)*Calculateur!V115*Calculateur!X115*VLOOKUP('Données projet'!$B$9,Paramètres!$A$1:$I$88,3,0)*0.475*44/12</f>
        <v>8.9172521867084722</v>
      </c>
      <c r="AB115" s="23">
        <f>EXP(-LN(2)/2)*AB114+(1-EXP(-LN(2)/2))/(LN(2)/2)*V115*Y115*VLOOKUP('Données projet'!$B$9,Paramètres!$A$1:$I$88,3,0)*0.475*44/12</f>
        <v>1.3715027778480396E-8</v>
      </c>
      <c r="AC115" s="24">
        <f t="shared" si="57"/>
        <v>53.090217141275446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projet'!$B$10,Paramètres!$A$1:$I$88,3,0)*VLOOKUP('Données projet'!$B$10,Paramètres!$A$1:$I$88,5,0)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170.08673939431091</v>
      </c>
      <c r="AO115" s="62">
        <f t="shared" si="90"/>
        <v>252.97355497077106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projet'!$B$10,Paramètres!$A$1:$I$88,3,0)*0.475*44/12</f>
        <v>18.443426824266641</v>
      </c>
      <c r="AV115" s="23">
        <f>EXP(-LN(2)/25)*AV114+(1-EXP(-LN(2)/25))/(LN(2)/25)*Calculateur!AQ115*Calculateur!AS115*VLOOKUP('Données projet'!$B$10,Paramètres!$A$1:$I$88,3,0)*0.475*44/12</f>
        <v>9.0381114606526314</v>
      </c>
      <c r="AW115" s="23">
        <f>EXP(-LN(2)/2)*AW114+(1-EXP(-LN(2)/2))/(LN(2)/2)*AQ115*AT115*VLOOKUP('Données projet'!$B$10,Paramètres!$A$1:$I$88,3,0)*0.475*44/12</f>
        <v>1.7567847966078461E-8</v>
      </c>
      <c r="AX115" s="23">
        <f t="shared" si="60"/>
        <v>27.481538302487124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-1.1368683772161603E-13</v>
      </c>
      <c r="BE115" s="14">
        <f>BD115*VLOOKUP('Données projet'!$B$11,Paramètres!$A$1:$I$88,3,0)*VLOOKUP('Données projet'!$B$11,Paramètres!$A$1:$I$88,5,0)</f>
        <v>-1.0286385077051818E-13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362.63718589694594</v>
      </c>
      <c r="BJ115" s="62">
        <f t="shared" si="92"/>
        <v>250.47702091764884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projet'!$B$11,Paramètres!$A$1:$I$88,3,0)*0.475*44/12</f>
        <v>100.59487610610775</v>
      </c>
      <c r="BQ115" s="23">
        <f>EXP(-LN(2)/25)*BQ114+(1-EXP(-LN(2)/25))/(LN(2)/25)*Calculateur!BL115*Calculateur!BN115*VLOOKUP('Données projet'!$B$11,Paramètres!$A$1:$I$88,3,0)*0.475*44/12</f>
        <v>0</v>
      </c>
      <c r="BR115" s="23">
        <f>EXP(-LN(2)/2)*BR114+(1-EXP(-LN(2)/2))/(LN(2)/2)*BL115*BO115*VLOOKUP('Données projet'!$B$11,Paramètres!$A$1:$I$88,3,0)*0.475*44/12</f>
        <v>0</v>
      </c>
      <c r="BS115" s="24">
        <f t="shared" si="63"/>
        <v>100.59487610610775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-1.1368683772161603E-13</v>
      </c>
      <c r="BZ115" s="14">
        <f>BY115*VLOOKUP('Données projet'!$B$12,Paramètres!$A$1:$I$88,3,0)*VLOOKUP('Données projet'!$B$12,Paramètres!$A$1:$I$88,5,0)</f>
        <v>-1.1527845344971866E-13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398.14524781940196</v>
      </c>
      <c r="CE115" s="62">
        <f t="shared" si="94"/>
        <v>273.35778700650792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projet'!$B$12,Paramètres!$A$1:$I$88,3,0)*0.475*44/12</f>
        <v>112.7356370154656</v>
      </c>
      <c r="CL115" s="23">
        <f>EXP(-LN(2)/25)*CL114+(1-EXP(-LN(2)/25))/(LN(2)/25)*Calculateur!CG115*Calculateur!CI115*VLOOKUP('Données projet'!$B$12,Paramètres!$A$1:$I$88,3,0)*0.475*44/12</f>
        <v>0</v>
      </c>
      <c r="CM115" s="23">
        <f>EXP(-LN(2)/2)*CM114+(1-EXP(-LN(2)/2))/(LN(2)/2)*CG115*CJ115*VLOOKUP('Données projet'!$B$12,Paramètres!$A$1:$I$88,3,0)*0.475*44/12</f>
        <v>0</v>
      </c>
      <c r="CN115" s="24">
        <f t="shared" si="66"/>
        <v>112.7356370154656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118</v>
      </c>
      <c r="CU115" s="18">
        <f>CT115*VLOOKUP('Données projet'!$B$13,Paramètres!$A$1:$I$88,3,0)*VLOOKUP('Données projet'!$B$13,Paramètres!$A$1:$I$88,5,0)</f>
        <v>112.28880000000001</v>
      </c>
      <c r="CV115" s="14">
        <f t="shared" si="95"/>
        <v>29.869595672288149</v>
      </c>
      <c r="CW115" s="22">
        <f t="shared" si="67"/>
        <v>247.59253912923518</v>
      </c>
      <c r="CX115" s="62">
        <f t="shared" si="68"/>
        <v>528.01385054480602</v>
      </c>
      <c r="CY115" s="62">
        <f ca="1">AVERAGE(OFFSET($CX$3,0,0,'Données projet'!$E$13+1,1))-AVERAGE(OFFSET($H$3,0,0,'Données projet'!$E$13+1,1))</f>
        <v>470.0521927195926</v>
      </c>
      <c r="CZ115" s="62">
        <f t="shared" si="96"/>
        <v>299.27200854723435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projet'!$B$13,Paramètres!$A$1:$I$88,3,0)*0.475*44/12</f>
        <v>105.79805935297539</v>
      </c>
      <c r="DG115" s="23">
        <f>EXP(-LN(2)/25)*DG114+(1-EXP(-LN(2)/25))/(LN(2)/25)*Calculateur!DB115*Calculateur!DD115*VLOOKUP('Données projet'!$B$13,Paramètres!$A$1:$I$88,3,0)*0.475*44/12</f>
        <v>0</v>
      </c>
      <c r="DH115" s="23">
        <f>EXP(-LN(2)/2)*DH114+(1-EXP(-LN(2)/2))/(LN(2)/2)*DB115*DE115*VLOOKUP('Données projet'!$B$13,Paramètres!$A$1:$I$88,3,0)*0.475*44/12</f>
        <v>0</v>
      </c>
      <c r="DI115" s="24">
        <f t="shared" si="69"/>
        <v>105.79805935297539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-1.4210854715202004E-13</v>
      </c>
      <c r="DP115" s="18">
        <f>DO115*VLOOKUP('Données projet'!$B$14,Paramètres!$A$1:$I$88,3,0)*VLOOKUP('Données projet'!$B$14,Paramètres!$A$1:$I$88,5,0)</f>
        <v>-1.3744738680543379E-13</v>
      </c>
      <c r="DQ115" s="14" t="e">
        <f t="shared" si="97"/>
        <v>#NUM!</v>
      </c>
      <c r="DR115" s="22" t="e">
        <f t="shared" si="70"/>
        <v>#NUM!</v>
      </c>
      <c r="DS115" s="62" t="e">
        <f t="shared" si="71"/>
        <v>#NUM!</v>
      </c>
      <c r="DT115" s="62">
        <f ca="1">AVERAGE(OFFSET($DS$3,0,0,'Données projet'!$E$14+1,1))-AVERAGE(OFFSET($H$3,0,0,'Données projet'!$E$14+1,1))</f>
        <v>290.89727102147953</v>
      </c>
      <c r="DU115" s="62">
        <f t="shared" si="98"/>
        <v>173.19148969173838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projet'!$B$14,Paramètres!$A$1:$I$88,3,0)*0.475*44/12</f>
        <v>80.388574130923843</v>
      </c>
      <c r="EB115" s="23">
        <f>EXP(-LN(2)/25)*EB114+(1-EXP(-LN(2)/25))/(LN(2)/25)*Calculateur!DW115*Calculateur!DY115*VLOOKUP('Données projet'!$B$14,Paramètres!$A$1:$I$88,3,0)*0.475*44/12</f>
        <v>0</v>
      </c>
      <c r="EC115" s="23">
        <f>EXP(-LN(2)/2)*EC114+(1-EXP(-LN(2)/2))/(LN(2)/2)*DW115*DZ115*VLOOKUP('Données projet'!$B$14,Paramètres!$A$1:$I$88,3,0)*0.475*44/12</f>
        <v>0</v>
      </c>
      <c r="ED115" s="24">
        <f t="shared" si="72"/>
        <v>80.388574130923843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projet'!$B$15,Paramètres!$A$1:$I$88,3,0)*VLOOKUP('Données projet'!$B$15,Paramètres!$A$1:$I$88,5,0)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projet'!$B$15,Paramètres!$A$1:$I$88,3,0)*0.475*44/12</f>
        <v>#N/A</v>
      </c>
      <c r="EW115" s="23" t="e">
        <f>EXP(-LN(2)/25)*EW114+(1-EXP(-LN(2)/25))/(LN(2)/25)*Calculateur!ER115*Calculateur!ET115*VLOOKUP('Données projet'!$B$15,Paramètres!$A$1:$I$88,3,0)*0.475*44/12</f>
        <v>#N/A</v>
      </c>
      <c r="EX115" s="23" t="e">
        <f>EXP(-LN(2)/2)*EX114+(1-EXP(-LN(2)/2))/(LN(2)/2)*ER115*EU115*VLOOKUP('Données projet'!$B$15,Paramètres!$A$1:$I$88,3,0)*0.475*44/12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projet'!$B$16,Paramètres!$A$1:$I$88,3,0)*VLOOKUP('Données projet'!$B$16,Paramètres!$A$1:$I$88,5,0)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projet'!$B$16,Paramètres!$A$1:$I$88,3,0)*0.475*44/12</f>
        <v>#N/A</v>
      </c>
      <c r="FR115" s="23" t="e">
        <f>EXP(-LN(2)/25)*FR114+(1-EXP(-LN(2)/25))/(LN(2)/25)*Calculateur!FM115*Calculateur!FO115*VLOOKUP('Données projet'!$B$16,Paramètres!$A$1:$I$88,3,0)*0.475*44/12</f>
        <v>#N/A</v>
      </c>
      <c r="FS115" s="23" t="e">
        <f>EXP(-LN(2)/2)*FS114+(1-EXP(-LN(2)/2))/(LN(2)/2)*FM115*FP115*VLOOKUP('Données projet'!$B$16,Paramètres!$A$1:$I$88,3,0)*0.475*44/12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projet'!$B$17,Paramètres!$A$1:$I$88,3,0)*VLOOKUP('Données projet'!$B$17,Paramètres!$A$1:$I$88,5,0)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projet'!$B$17,Paramètres!$A$1:$I$88,3,0)*0.475*44/12</f>
        <v>#N/A</v>
      </c>
      <c r="GM115" s="23" t="e">
        <f>EXP(-LN(2)/25)*GM114+(1-EXP(-LN(2)/25))/(LN(2)/25)*Calculateur!GH115*Calculateur!GJ115*VLOOKUP('Données projet'!$B$17,Paramètres!$A$1:$I$88,3,0)*0.475*44/12</f>
        <v>#N/A</v>
      </c>
      <c r="GN115" s="23" t="e">
        <f>EXP(-LN(2)/2)*GN114+(1-EXP(-LN(2)/2))/(LN(2)/2)*GH115*GK115*VLOOKUP('Données projet'!$B$17,Paramètres!$A$1:$I$88,3,0)*0.475*44/12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projet'!$B$18,Paramètres!$A$1:$I$88,3,0)*VLOOKUP('Données projet'!$B$18,Paramètres!$A$1:$I$88,5,0)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projet'!$B$18,Paramètres!$A$1:$I$88,3,0)*0.475*44/12</f>
        <v>#N/A</v>
      </c>
      <c r="HH115" s="23" t="e">
        <f>EXP(-LN(2)/25)*HH114+(1-EXP(-LN(2)/25))/(LN(2)/25)*Calculateur!HC115*Calculateur!HE115*VLOOKUP('Données projet'!$B$18,Paramètres!$A$1:$I$88,3,0)*0.475*44/12</f>
        <v>#N/A</v>
      </c>
      <c r="HI115" s="23" t="e">
        <f>EXP(-LN(2)/2)*HI114+(1-EXP(-LN(2)/2))/(LN(2)/2)*HC115*HF115*VLOOKUP('Données projet'!$B$18,Paramètres!$A$1:$I$88,3,0)*0.475*44/12</f>
        <v>#N/A</v>
      </c>
      <c r="HJ115" s="24" t="e">
        <f t="shared" si="84"/>
        <v>#N/A</v>
      </c>
    </row>
    <row r="116" spans="1:218" s="5" customFormat="1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projet'!$B$9,Paramètres!$A$1:$I$88,3,0)*VLOOKUP('Données projet'!$B$9,Paramètres!$A$1:$I$88,5,0)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280.64530612888871</v>
      </c>
      <c r="S116" s="62">
        <f ca="1">AVERAGE(OFFSET($R$3,0,0,'Données projet'!$E$9+1,1))-AVERAGE(OFFSET($H$3,0,0,'Données projet'!$E$9+1,1))</f>
        <v>301.2688576786212</v>
      </c>
      <c r="T116" s="62">
        <f t="shared" si="88"/>
        <v>417.62172165132927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projet'!$B$9,Paramètres!$A$1:$I$88,7,0))</f>
        <v>0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43.306760041210062</v>
      </c>
      <c r="AA116" s="23">
        <f>EXP(-LN(2)/25)*AA115+(1-EXP(-LN(2)/25))/(LN(2)/25)*Calculateur!V116*Calculateur!X116*VLOOKUP('Données projet'!$B$9,Paramètres!$A$1:$I$88,3,0)*0.475*44/12</f>
        <v>8.6734094567250164</v>
      </c>
      <c r="AB116" s="23">
        <f>EXP(-LN(2)/2)*AB115+(1-EXP(-LN(2)/2))/(LN(2)/2)*V116*Y116*VLOOKUP('Données projet'!$B$9,Paramètres!$A$1:$I$88,3,0)*0.475*44/12</f>
        <v>9.6979891463253586E-9</v>
      </c>
      <c r="AC116" s="24">
        <f t="shared" si="57"/>
        <v>51.980169507633072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projet'!$B$10,Paramètres!$A$1:$I$88,3,0)*VLOOKUP('Données projet'!$B$10,Paramètres!$A$1:$I$88,5,0)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170.08673939431091</v>
      </c>
      <c r="AO116" s="62">
        <f t="shared" si="90"/>
        <v>252.97355497077106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projet'!$B$10,Paramètres!$A$1:$I$88,3,0)*0.475*44/12</f>
        <v>18.081762473622351</v>
      </c>
      <c r="AV116" s="23">
        <f>EXP(-LN(2)/25)*AV115+(1-EXP(-LN(2)/25))/(LN(2)/25)*Calculateur!AQ116*Calculateur!AS116*VLOOKUP('Données projet'!$B$10,Paramètres!$A$1:$I$88,3,0)*0.475*44/12</f>
        <v>8.7909638274674595</v>
      </c>
      <c r="AW116" s="23">
        <f>EXP(-LN(2)/2)*AW115+(1-EXP(-LN(2)/2))/(LN(2)/2)*AQ116*AT116*VLOOKUP('Données projet'!$B$10,Paramètres!$A$1:$I$88,3,0)*0.475*44/12</f>
        <v>1.2422344427668377E-8</v>
      </c>
      <c r="AX116" s="23">
        <f t="shared" si="60"/>
        <v>26.872726313512157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-1.1368683772161603E-13</v>
      </c>
      <c r="BE116" s="14">
        <f>BD116*VLOOKUP('Données projet'!$B$11,Paramètres!$A$1:$I$88,3,0)*VLOOKUP('Données projet'!$B$11,Paramètres!$A$1:$I$88,5,0)</f>
        <v>-1.0286385077051818E-13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362.63718589694594</v>
      </c>
      <c r="BJ116" s="62">
        <f t="shared" si="92"/>
        <v>250.47702091764884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projet'!$B$11,Paramètres!$A$1:$I$88,7,0))</f>
        <v>0</v>
      </c>
      <c r="BN116" s="17">
        <f>IF(ISNA(VLOOKUP(A116,'Données projet'!$A$87:$I$107,6,0)),0%,VLOOKUP(A116,'Données projet'!$A$87:$I$107,6,0)*VLOOKUP('Données projet'!$B$11,Paramètres!$A$1:$I$88,7,0))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projet'!$B$11,Paramètres!$A$1:$I$88,3,0)*0.475*44/12</f>
        <v>98.622271942482911</v>
      </c>
      <c r="BQ116" s="23">
        <f>EXP(-LN(2)/25)*BQ115+(1-EXP(-LN(2)/25))/(LN(2)/25)*Calculateur!BL116*Calculateur!BN116*VLOOKUP('Données projet'!$B$11,Paramètres!$A$1:$I$88,3,0)*0.475*44/12</f>
        <v>0</v>
      </c>
      <c r="BR116" s="23">
        <f>EXP(-LN(2)/2)*BR115+(1-EXP(-LN(2)/2))/(LN(2)/2)*BL116*BO116*VLOOKUP('Données projet'!$B$11,Paramètres!$A$1:$I$88,3,0)*0.475*44/12</f>
        <v>0</v>
      </c>
      <c r="BS116" s="24">
        <f t="shared" si="63"/>
        <v>98.622271942482911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-1.1368683772161603E-13</v>
      </c>
      <c r="BZ116" s="14">
        <f>BY116*VLOOKUP('Données projet'!$B$12,Paramètres!$A$1:$I$88,3,0)*VLOOKUP('Données projet'!$B$12,Paramètres!$A$1:$I$88,5,0)</f>
        <v>-1.1527845344971866E-13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398.14524781940196</v>
      </c>
      <c r="CE116" s="62">
        <f t="shared" si="94"/>
        <v>273.35778700650792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projet'!$B$12,Paramètres!$A$1:$I$88,3,0)*0.475*44/12</f>
        <v>110.52495993554122</v>
      </c>
      <c r="CL116" s="23">
        <f>EXP(-LN(2)/25)*CL115+(1-EXP(-LN(2)/25))/(LN(2)/25)*Calculateur!CG116*Calculateur!CI116*VLOOKUP('Données projet'!$B$12,Paramètres!$A$1:$I$88,3,0)*0.475*44/12</f>
        <v>0</v>
      </c>
      <c r="CM116" s="23">
        <f>EXP(-LN(2)/2)*CM115+(1-EXP(-LN(2)/2))/(LN(2)/2)*CG116*CJ116*VLOOKUP('Données projet'!$B$12,Paramètres!$A$1:$I$88,3,0)*0.475*44/12</f>
        <v>0</v>
      </c>
      <c r="CN116" s="24">
        <f t="shared" si="66"/>
        <v>110.52495993554122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118</v>
      </c>
      <c r="CU116" s="18">
        <f>CT116*VLOOKUP('Données projet'!$B$13,Paramètres!$A$1:$I$88,3,0)*VLOOKUP('Données projet'!$B$13,Paramètres!$A$1:$I$88,5,0)</f>
        <v>112.28880000000001</v>
      </c>
      <c r="CV116" s="14">
        <f t="shared" si="95"/>
        <v>29.869595672288149</v>
      </c>
      <c r="CW116" s="22">
        <f t="shared" si="67"/>
        <v>247.59253912923518</v>
      </c>
      <c r="CX116" s="62">
        <f t="shared" si="68"/>
        <v>528.23784525812277</v>
      </c>
      <c r="CY116" s="62">
        <f ca="1">AVERAGE(OFFSET($CX$3,0,0,'Données projet'!$E$13+1,1))-AVERAGE(OFFSET($H$3,0,0,'Données projet'!$E$13+1,1))</f>
        <v>470.0521927195926</v>
      </c>
      <c r="CZ116" s="62">
        <f t="shared" si="96"/>
        <v>299.27200854723435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projet'!$B$13,Paramètres!$A$1:$I$88,7,0))</f>
        <v>0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projet'!$B$13,Paramètres!$A$1:$I$88,3,0)*0.475*44/12</f>
        <v>103.7234239395079</v>
      </c>
      <c r="DG116" s="23">
        <f>EXP(-LN(2)/25)*DG115+(1-EXP(-LN(2)/25))/(LN(2)/25)*Calculateur!DB116*Calculateur!DD116*VLOOKUP('Données projet'!$B$13,Paramètres!$A$1:$I$88,3,0)*0.475*44/12</f>
        <v>0</v>
      </c>
      <c r="DH116" s="23">
        <f>EXP(-LN(2)/2)*DH115+(1-EXP(-LN(2)/2))/(LN(2)/2)*DB116*DE116*VLOOKUP('Données projet'!$B$13,Paramètres!$A$1:$I$88,3,0)*0.475*44/12</f>
        <v>0</v>
      </c>
      <c r="DI116" s="24">
        <f t="shared" si="69"/>
        <v>103.7234239395079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-1.4210854715202004E-13</v>
      </c>
      <c r="DP116" s="18">
        <f>DO116*VLOOKUP('Données projet'!$B$14,Paramètres!$A$1:$I$88,3,0)*VLOOKUP('Données projet'!$B$14,Paramètres!$A$1:$I$88,5,0)</f>
        <v>-1.3744738680543379E-13</v>
      </c>
      <c r="DQ116" s="14" t="e">
        <f t="shared" si="97"/>
        <v>#NUM!</v>
      </c>
      <c r="DR116" s="22" t="e">
        <f t="shared" si="70"/>
        <v>#NUM!</v>
      </c>
      <c r="DS116" s="62" t="e">
        <f t="shared" si="71"/>
        <v>#NUM!</v>
      </c>
      <c r="DT116" s="62">
        <f ca="1">AVERAGE(OFFSET($DS$3,0,0,'Données projet'!$E$14+1,1))-AVERAGE(OFFSET($H$3,0,0,'Données projet'!$E$14+1,1))</f>
        <v>290.89727102147953</v>
      </c>
      <c r="DU116" s="62">
        <f t="shared" si="98"/>
        <v>173.19148969173838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projet'!$B$14,Paramètres!$A$1:$I$88,3,0)*0.475*44/12</f>
        <v>78.812203224405124</v>
      </c>
      <c r="EB116" s="23">
        <f>EXP(-LN(2)/25)*EB115+(1-EXP(-LN(2)/25))/(LN(2)/25)*Calculateur!DW116*Calculateur!DY116*VLOOKUP('Données projet'!$B$14,Paramètres!$A$1:$I$88,3,0)*0.475*44/12</f>
        <v>0</v>
      </c>
      <c r="EC116" s="23">
        <f>EXP(-LN(2)/2)*EC115+(1-EXP(-LN(2)/2))/(LN(2)/2)*DW116*DZ116*VLOOKUP('Données projet'!$B$14,Paramètres!$A$1:$I$88,3,0)*0.475*44/12</f>
        <v>0</v>
      </c>
      <c r="ED116" s="24">
        <f t="shared" si="72"/>
        <v>78.812203224405124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projet'!$B$15,Paramètres!$A$1:$I$88,3,0)*VLOOKUP('Données projet'!$B$15,Paramètres!$A$1:$I$88,5,0)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projet'!$B$15,Paramètres!$A$1:$I$88,3,0)*0.475*44/12</f>
        <v>#N/A</v>
      </c>
      <c r="EW116" s="23" t="e">
        <f>EXP(-LN(2)/25)*EW115+(1-EXP(-LN(2)/25))/(LN(2)/25)*Calculateur!ER116*Calculateur!ET116*VLOOKUP('Données projet'!$B$15,Paramètres!$A$1:$I$88,3,0)*0.475*44/12</f>
        <v>#N/A</v>
      </c>
      <c r="EX116" s="23" t="e">
        <f>EXP(-LN(2)/2)*EX115+(1-EXP(-LN(2)/2))/(LN(2)/2)*ER116*EU116*VLOOKUP('Données projet'!$B$15,Paramètres!$A$1:$I$88,3,0)*0.475*44/12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projet'!$B$16,Paramètres!$A$1:$I$88,3,0)*VLOOKUP('Données projet'!$B$16,Paramètres!$A$1:$I$88,5,0)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projet'!$B$16,Paramètres!$A$1:$I$88,3,0)*0.475*44/12</f>
        <v>#N/A</v>
      </c>
      <c r="FR116" s="23" t="e">
        <f>EXP(-LN(2)/25)*FR115+(1-EXP(-LN(2)/25))/(LN(2)/25)*Calculateur!FM116*Calculateur!FO116*VLOOKUP('Données projet'!$B$16,Paramètres!$A$1:$I$88,3,0)*0.475*44/12</f>
        <v>#N/A</v>
      </c>
      <c r="FS116" s="23" t="e">
        <f>EXP(-LN(2)/2)*FS115+(1-EXP(-LN(2)/2))/(LN(2)/2)*FM116*FP116*VLOOKUP('Données projet'!$B$16,Paramètres!$A$1:$I$88,3,0)*0.475*44/12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projet'!$B$17,Paramètres!$A$1:$I$88,3,0)*VLOOKUP('Données projet'!$B$17,Paramètres!$A$1:$I$88,5,0)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projet'!$B$17,Paramètres!$A$1:$I$88,3,0)*0.475*44/12</f>
        <v>#N/A</v>
      </c>
      <c r="GM116" s="23" t="e">
        <f>EXP(-LN(2)/25)*GM115+(1-EXP(-LN(2)/25))/(LN(2)/25)*Calculateur!GH116*Calculateur!GJ116*VLOOKUP('Données projet'!$B$17,Paramètres!$A$1:$I$88,3,0)*0.475*44/12</f>
        <v>#N/A</v>
      </c>
      <c r="GN116" s="23" t="e">
        <f>EXP(-LN(2)/2)*GN115+(1-EXP(-LN(2)/2))/(LN(2)/2)*GH116*GK116*VLOOKUP('Données projet'!$B$17,Paramètres!$A$1:$I$88,3,0)*0.475*44/12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projet'!$B$18,Paramètres!$A$1:$I$88,3,0)*VLOOKUP('Données projet'!$B$18,Paramètres!$A$1:$I$88,5,0)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projet'!$B$18,Paramètres!$A$1:$I$88,3,0)*0.475*44/12</f>
        <v>#N/A</v>
      </c>
      <c r="HH116" s="23" t="e">
        <f>EXP(-LN(2)/25)*HH115+(1-EXP(-LN(2)/25))/(LN(2)/25)*Calculateur!HC116*Calculateur!HE116*VLOOKUP('Données projet'!$B$18,Paramètres!$A$1:$I$88,3,0)*0.475*44/12</f>
        <v>#N/A</v>
      </c>
      <c r="HI116" s="23" t="e">
        <f>EXP(-LN(2)/2)*HI115+(1-EXP(-LN(2)/2))/(LN(2)/2)*HC116*HF116*VLOOKUP('Données projet'!$B$18,Paramètres!$A$1:$I$88,3,0)*0.475*44/12</f>
        <v>#N/A</v>
      </c>
      <c r="HJ116" s="24" t="e">
        <f t="shared" si="84"/>
        <v>#N/A</v>
      </c>
    </row>
    <row r="117" spans="1:218" s="5" customFormat="1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projet'!$B$9,Paramètres!$A$1:$I$88,3,0)*VLOOKUP('Données projet'!$B$9,Paramètres!$A$1:$I$88,5,0)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280.86541503470653</v>
      </c>
      <c r="S117" s="62">
        <f ca="1">AVERAGE(OFFSET($R$3,0,0,'Données projet'!$E$9+1,1))-AVERAGE(OFFSET($H$3,0,0,'Données projet'!$E$9+1,1))</f>
        <v>301.2688576786212</v>
      </c>
      <c r="T117" s="62">
        <f t="shared" si="88"/>
        <v>417.62172165132927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projet'!$B$9,Paramètres!$A$1:$I$88,7,0))</f>
        <v>0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42.457540891317343</v>
      </c>
      <c r="AA117" s="23">
        <f>EXP(-LN(2)/25)*AA116+(1-EXP(-LN(2)/25))/(LN(2)/25)*Calculateur!V117*Calculateur!X117*VLOOKUP('Données projet'!$B$9,Paramètres!$A$1:$I$88,3,0)*0.475*44/12</f>
        <v>8.4362346190160906</v>
      </c>
      <c r="AB117" s="23">
        <f>EXP(-LN(2)/2)*AB116+(1-EXP(-LN(2)/2))/(LN(2)/2)*V117*Y117*VLOOKUP('Données projet'!$B$9,Paramètres!$A$1:$I$88,3,0)*0.475*44/12</f>
        <v>6.8575138892401982E-9</v>
      </c>
      <c r="AC117" s="24">
        <f t="shared" si="57"/>
        <v>50.893775517190946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projet'!$B$10,Paramètres!$A$1:$I$88,3,0)*VLOOKUP('Données projet'!$B$10,Paramètres!$A$1:$I$88,5,0)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170.08673939431091</v>
      </c>
      <c r="AO117" s="62">
        <f t="shared" si="90"/>
        <v>252.97355497077106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projet'!$B$10,Paramètres!$A$1:$I$88,3,0)*0.475*44/12</f>
        <v>17.727190140300724</v>
      </c>
      <c r="AV117" s="23">
        <f>EXP(-LN(2)/25)*AV116+(1-EXP(-LN(2)/25))/(LN(2)/25)*Calculateur!AQ117*Calculateur!AS117*VLOOKUP('Données projet'!$B$10,Paramètres!$A$1:$I$88,3,0)*0.475*44/12</f>
        <v>8.5505744593086668</v>
      </c>
      <c r="AW117" s="23">
        <f>EXP(-LN(2)/2)*AW116+(1-EXP(-LN(2)/2))/(LN(2)/2)*AQ117*AT117*VLOOKUP('Données projet'!$B$10,Paramètres!$A$1:$I$88,3,0)*0.475*44/12</f>
        <v>8.7839239830392307E-9</v>
      </c>
      <c r="AX117" s="23">
        <f t="shared" si="60"/>
        <v>26.277764608393316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-1.1368683772161603E-13</v>
      </c>
      <c r="BE117" s="14">
        <f>BD117*VLOOKUP('Données projet'!$B$11,Paramètres!$A$1:$I$88,3,0)*VLOOKUP('Données projet'!$B$11,Paramètres!$A$1:$I$88,5,0)</f>
        <v>-1.0286385077051818E-13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362.63718589694594</v>
      </c>
      <c r="BJ117" s="62">
        <f t="shared" si="92"/>
        <v>250.47702091764884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projet'!$B$11,Paramètres!$A$1:$I$88,3,0)*0.475*44/12</f>
        <v>96.688349343337023</v>
      </c>
      <c r="BQ117" s="23">
        <f>EXP(-LN(2)/25)*BQ116+(1-EXP(-LN(2)/25))/(LN(2)/25)*Calculateur!BL117*Calculateur!BN117*VLOOKUP('Données projet'!$B$11,Paramètres!$A$1:$I$88,3,0)*0.475*44/12</f>
        <v>0</v>
      </c>
      <c r="BR117" s="23">
        <f>EXP(-LN(2)/2)*BR116+(1-EXP(-LN(2)/2))/(LN(2)/2)*BL117*BO117*VLOOKUP('Données projet'!$B$11,Paramètres!$A$1:$I$88,3,0)*0.475*44/12</f>
        <v>0</v>
      </c>
      <c r="BS117" s="24">
        <f t="shared" si="63"/>
        <v>96.688349343337023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-1.1368683772161603E-13</v>
      </c>
      <c r="BZ117" s="14">
        <f>BY117*VLOOKUP('Données projet'!$B$12,Paramètres!$A$1:$I$88,3,0)*VLOOKUP('Données projet'!$B$12,Paramètres!$A$1:$I$88,5,0)</f>
        <v>-1.1527845344971866E-13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398.14524781940196</v>
      </c>
      <c r="CE117" s="62">
        <f t="shared" si="94"/>
        <v>273.35778700650792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projet'!$B$12,Paramètres!$A$1:$I$88,3,0)*0.475*44/12</f>
        <v>108.35763288477428</v>
      </c>
      <c r="CL117" s="23">
        <f>EXP(-LN(2)/25)*CL116+(1-EXP(-LN(2)/25))/(LN(2)/25)*Calculateur!CG117*Calculateur!CI117*VLOOKUP('Données projet'!$B$12,Paramètres!$A$1:$I$88,3,0)*0.475*44/12</f>
        <v>0</v>
      </c>
      <c r="CM117" s="23">
        <f>EXP(-LN(2)/2)*CM116+(1-EXP(-LN(2)/2))/(LN(2)/2)*CG117*CJ117*VLOOKUP('Données projet'!$B$12,Paramètres!$A$1:$I$88,3,0)*0.475*44/12</f>
        <v>0</v>
      </c>
      <c r="CN117" s="24">
        <f t="shared" si="66"/>
        <v>108.35763288477428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118</v>
      </c>
      <c r="CU117" s="18">
        <f>CT117*VLOOKUP('Données projet'!$B$13,Paramètres!$A$1:$I$88,3,0)*VLOOKUP('Données projet'!$B$13,Paramètres!$A$1:$I$88,5,0)</f>
        <v>112.28880000000001</v>
      </c>
      <c r="CV117" s="14">
        <f t="shared" si="95"/>
        <v>29.869595672288149</v>
      </c>
      <c r="CW117" s="22">
        <f t="shared" si="67"/>
        <v>247.59253912923518</v>
      </c>
      <c r="CX117" s="62">
        <f t="shared" si="68"/>
        <v>528.4579541639406</v>
      </c>
      <c r="CY117" s="62">
        <f ca="1">AVERAGE(OFFSET($CX$3,0,0,'Données projet'!$E$13+1,1))-AVERAGE(OFFSET($H$3,0,0,'Données projet'!$E$13+1,1))</f>
        <v>470.0521927195926</v>
      </c>
      <c r="CZ117" s="62">
        <f t="shared" si="96"/>
        <v>299.27200854723435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projet'!$B$13,Paramètres!$A$1:$I$88,3,0)*0.475*44/12</f>
        <v>101.68947086109584</v>
      </c>
      <c r="DG117" s="23">
        <f>EXP(-LN(2)/25)*DG116+(1-EXP(-LN(2)/25))/(LN(2)/25)*Calculateur!DB117*Calculateur!DD117*VLOOKUP('Données projet'!$B$13,Paramètres!$A$1:$I$88,3,0)*0.475*44/12</f>
        <v>0</v>
      </c>
      <c r="DH117" s="23">
        <f>EXP(-LN(2)/2)*DH116+(1-EXP(-LN(2)/2))/(LN(2)/2)*DB117*DE117*VLOOKUP('Données projet'!$B$13,Paramètres!$A$1:$I$88,3,0)*0.475*44/12</f>
        <v>0</v>
      </c>
      <c r="DI117" s="24">
        <f t="shared" si="69"/>
        <v>101.68947086109584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-1.4210854715202004E-13</v>
      </c>
      <c r="DP117" s="18">
        <f>DO117*VLOOKUP('Données projet'!$B$14,Paramètres!$A$1:$I$88,3,0)*VLOOKUP('Données projet'!$B$14,Paramètres!$A$1:$I$88,5,0)</f>
        <v>-1.3744738680543379E-13</v>
      </c>
      <c r="DQ117" s="14" t="e">
        <f t="shared" si="97"/>
        <v>#NUM!</v>
      </c>
      <c r="DR117" s="22" t="e">
        <f t="shared" si="70"/>
        <v>#NUM!</v>
      </c>
      <c r="DS117" s="62" t="e">
        <f t="shared" si="71"/>
        <v>#NUM!</v>
      </c>
      <c r="DT117" s="62">
        <f ca="1">AVERAGE(OFFSET($DS$3,0,0,'Données projet'!$E$14+1,1))-AVERAGE(OFFSET($H$3,0,0,'Données projet'!$E$14+1,1))</f>
        <v>290.89727102147953</v>
      </c>
      <c r="DU117" s="62">
        <f t="shared" si="98"/>
        <v>173.19148969173838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projet'!$B$14,Paramètres!$A$1:$I$88,3,0)*0.475*44/12</f>
        <v>77.266743989871912</v>
      </c>
      <c r="EB117" s="23">
        <f>EXP(-LN(2)/25)*EB116+(1-EXP(-LN(2)/25))/(LN(2)/25)*Calculateur!DW117*Calculateur!DY117*VLOOKUP('Données projet'!$B$14,Paramètres!$A$1:$I$88,3,0)*0.475*44/12</f>
        <v>0</v>
      </c>
      <c r="EC117" s="23">
        <f>EXP(-LN(2)/2)*EC116+(1-EXP(-LN(2)/2))/(LN(2)/2)*DW117*DZ117*VLOOKUP('Données projet'!$B$14,Paramètres!$A$1:$I$88,3,0)*0.475*44/12</f>
        <v>0</v>
      </c>
      <c r="ED117" s="24">
        <f t="shared" si="72"/>
        <v>77.266743989871912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projet'!$B$15,Paramètres!$A$1:$I$88,3,0)*VLOOKUP('Données projet'!$B$15,Paramètres!$A$1:$I$88,5,0)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projet'!$B$15,Paramètres!$A$1:$I$88,3,0)*0.475*44/12</f>
        <v>#N/A</v>
      </c>
      <c r="EW117" s="23" t="e">
        <f>EXP(-LN(2)/25)*EW116+(1-EXP(-LN(2)/25))/(LN(2)/25)*Calculateur!ER117*Calculateur!ET117*VLOOKUP('Données projet'!$B$15,Paramètres!$A$1:$I$88,3,0)*0.475*44/12</f>
        <v>#N/A</v>
      </c>
      <c r="EX117" s="23" t="e">
        <f>EXP(-LN(2)/2)*EX116+(1-EXP(-LN(2)/2))/(LN(2)/2)*ER117*EU117*VLOOKUP('Données projet'!$B$15,Paramètres!$A$1:$I$88,3,0)*0.475*44/12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projet'!$B$16,Paramètres!$A$1:$I$88,3,0)*VLOOKUP('Données projet'!$B$16,Paramètres!$A$1:$I$88,5,0)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projet'!$B$16,Paramètres!$A$1:$I$88,3,0)*0.475*44/12</f>
        <v>#N/A</v>
      </c>
      <c r="FR117" s="23" t="e">
        <f>EXP(-LN(2)/25)*FR116+(1-EXP(-LN(2)/25))/(LN(2)/25)*Calculateur!FM117*Calculateur!FO117*VLOOKUP('Données projet'!$B$16,Paramètres!$A$1:$I$88,3,0)*0.475*44/12</f>
        <v>#N/A</v>
      </c>
      <c r="FS117" s="23" t="e">
        <f>EXP(-LN(2)/2)*FS116+(1-EXP(-LN(2)/2))/(LN(2)/2)*FM117*FP117*VLOOKUP('Données projet'!$B$16,Paramètres!$A$1:$I$88,3,0)*0.475*44/12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projet'!$B$17,Paramètres!$A$1:$I$88,3,0)*VLOOKUP('Données projet'!$B$17,Paramètres!$A$1:$I$88,5,0)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projet'!$B$17,Paramètres!$A$1:$I$88,3,0)*0.475*44/12</f>
        <v>#N/A</v>
      </c>
      <c r="GM117" s="23" t="e">
        <f>EXP(-LN(2)/25)*GM116+(1-EXP(-LN(2)/25))/(LN(2)/25)*Calculateur!GH117*Calculateur!GJ117*VLOOKUP('Données projet'!$B$17,Paramètres!$A$1:$I$88,3,0)*0.475*44/12</f>
        <v>#N/A</v>
      </c>
      <c r="GN117" s="23" t="e">
        <f>EXP(-LN(2)/2)*GN116+(1-EXP(-LN(2)/2))/(LN(2)/2)*GH117*GK117*VLOOKUP('Données projet'!$B$17,Paramètres!$A$1:$I$88,3,0)*0.475*44/12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projet'!$B$18,Paramètres!$A$1:$I$88,3,0)*VLOOKUP('Données projet'!$B$18,Paramètres!$A$1:$I$88,5,0)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projet'!$B$18,Paramètres!$A$1:$I$88,3,0)*0.475*44/12</f>
        <v>#N/A</v>
      </c>
      <c r="HH117" s="23" t="e">
        <f>EXP(-LN(2)/25)*HH116+(1-EXP(-LN(2)/25))/(LN(2)/25)*Calculateur!HC117*Calculateur!HE117*VLOOKUP('Données projet'!$B$18,Paramètres!$A$1:$I$88,3,0)*0.475*44/12</f>
        <v>#N/A</v>
      </c>
      <c r="HI117" s="23" t="e">
        <f>EXP(-LN(2)/2)*HI116+(1-EXP(-LN(2)/2))/(LN(2)/2)*HC117*HF117*VLOOKUP('Données projet'!$B$18,Paramètres!$A$1:$I$88,3,0)*0.475*44/12</f>
        <v>#N/A</v>
      </c>
      <c r="HJ117" s="24" t="e">
        <f t="shared" si="84"/>
        <v>#N/A</v>
      </c>
    </row>
    <row r="118" spans="1:218" s="5" customFormat="1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projet'!$B$9,Paramètres!$A$1:$I$88,3,0)*VLOOKUP('Données projet'!$B$9,Paramètres!$A$1:$I$88,5,0)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281.08170554309834</v>
      </c>
      <c r="S118" s="62">
        <f ca="1">AVERAGE(OFFSET($R$3,0,0,'Données projet'!$E$9+1,1))-AVERAGE(OFFSET($H$3,0,0,'Données projet'!$E$9+1,1))</f>
        <v>301.2688576786212</v>
      </c>
      <c r="T118" s="62">
        <f t="shared" si="88"/>
        <v>417.62172165132927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41.62497441098148</v>
      </c>
      <c r="AA118" s="23">
        <f>EXP(-LN(2)/25)*AA117+(1-EXP(-LN(2)/25))/(LN(2)/25)*Calculateur!V118*Calculateur!X118*VLOOKUP('Données projet'!$B$9,Paramètres!$A$1:$I$88,3,0)*0.475*44/12</f>
        <v>8.2055453397167977</v>
      </c>
      <c r="AB118" s="23">
        <f>EXP(-LN(2)/2)*AB117+(1-EXP(-LN(2)/2))/(LN(2)/2)*V118*Y118*VLOOKUP('Données projet'!$B$9,Paramètres!$A$1:$I$88,3,0)*0.475*44/12</f>
        <v>4.8489945731626793E-9</v>
      </c>
      <c r="AC118" s="24">
        <f t="shared" si="57"/>
        <v>49.830519755547272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projet'!$B$10,Paramètres!$A$1:$I$88,3,0)*VLOOKUP('Données projet'!$B$10,Paramètres!$A$1:$I$88,5,0)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170.08673939431091</v>
      </c>
      <c r="AO118" s="62">
        <f t="shared" si="90"/>
        <v>252.97355497077106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projet'!$B$10,Paramètres!$A$1:$I$88,3,0)*0.475*44/12</f>
        <v>17.379570754167766</v>
      </c>
      <c r="AV118" s="23">
        <f>EXP(-LN(2)/25)*AV117+(1-EXP(-LN(2)/25))/(LN(2)/25)*Calculateur!AQ118*Calculateur!AS118*VLOOKUP('Données projet'!$B$10,Paramètres!$A$1:$I$88,3,0)*0.475*44/12</f>
        <v>8.3167585510637032</v>
      </c>
      <c r="AW118" s="23">
        <f>EXP(-LN(2)/2)*AW117+(1-EXP(-LN(2)/2))/(LN(2)/2)*AQ118*AT118*VLOOKUP('Données projet'!$B$10,Paramètres!$A$1:$I$88,3,0)*0.475*44/12</f>
        <v>6.2111722138341884E-9</v>
      </c>
      <c r="AX118" s="23">
        <f t="shared" si="60"/>
        <v>25.696329311442643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-1.1368683772161603E-13</v>
      </c>
      <c r="BE118" s="14">
        <f>BD118*VLOOKUP('Données projet'!$B$11,Paramètres!$A$1:$I$88,3,0)*VLOOKUP('Données projet'!$B$11,Paramètres!$A$1:$I$88,5,0)</f>
        <v>-1.0286385077051818E-13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362.63718589694594</v>
      </c>
      <c r="BJ118" s="62">
        <f t="shared" si="92"/>
        <v>250.47702091764884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projet'!$B$11,Paramètres!$A$1:$I$88,3,0)*0.475*44/12</f>
        <v>94.792349786784072</v>
      </c>
      <c r="BQ118" s="23">
        <f>EXP(-LN(2)/25)*BQ117+(1-EXP(-LN(2)/25))/(LN(2)/25)*Calculateur!BL118*Calculateur!BN118*VLOOKUP('Données projet'!$B$11,Paramètres!$A$1:$I$88,3,0)*0.475*44/12</f>
        <v>0</v>
      </c>
      <c r="BR118" s="23">
        <f>EXP(-LN(2)/2)*BR117+(1-EXP(-LN(2)/2))/(LN(2)/2)*BL118*BO118*VLOOKUP('Données projet'!$B$11,Paramètres!$A$1:$I$88,3,0)*0.475*44/12</f>
        <v>0</v>
      </c>
      <c r="BS118" s="24">
        <f t="shared" si="63"/>
        <v>94.792349786784072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-1.1368683772161603E-13</v>
      </c>
      <c r="BZ118" s="14">
        <f>BY118*VLOOKUP('Données projet'!$B$12,Paramètres!$A$1:$I$88,3,0)*VLOOKUP('Données projet'!$B$12,Paramètres!$A$1:$I$88,5,0)</f>
        <v>-1.1527845344971866E-13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398.14524781940196</v>
      </c>
      <c r="CE118" s="62">
        <f t="shared" si="94"/>
        <v>273.35778700650792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projet'!$B$12,Paramètres!$A$1:$I$88,3,0)*0.475*44/12</f>
        <v>106.23280579553391</v>
      </c>
      <c r="CL118" s="23">
        <f>EXP(-LN(2)/25)*CL117+(1-EXP(-LN(2)/25))/(LN(2)/25)*Calculateur!CG118*Calculateur!CI118*VLOOKUP('Données projet'!$B$12,Paramètres!$A$1:$I$88,3,0)*0.475*44/12</f>
        <v>0</v>
      </c>
      <c r="CM118" s="23">
        <f>EXP(-LN(2)/2)*CM117+(1-EXP(-LN(2)/2))/(LN(2)/2)*CG118*CJ118*VLOOKUP('Données projet'!$B$12,Paramètres!$A$1:$I$88,3,0)*0.475*44/12</f>
        <v>0</v>
      </c>
      <c r="CN118" s="24">
        <f t="shared" si="66"/>
        <v>106.23280579553391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118</v>
      </c>
      <c r="CU118" s="18">
        <f>CT118*VLOOKUP('Données projet'!$B$13,Paramètres!$A$1:$I$88,3,0)*VLOOKUP('Données projet'!$B$13,Paramètres!$A$1:$I$88,5,0)</f>
        <v>112.28880000000001</v>
      </c>
      <c r="CV118" s="14">
        <f t="shared" si="95"/>
        <v>29.869595672288149</v>
      </c>
      <c r="CW118" s="22">
        <f t="shared" si="67"/>
        <v>247.59253912923518</v>
      </c>
      <c r="CX118" s="62">
        <f t="shared" si="68"/>
        <v>528.67424467233241</v>
      </c>
      <c r="CY118" s="62">
        <f ca="1">AVERAGE(OFFSET($CX$3,0,0,'Données projet'!$E$13+1,1))-AVERAGE(OFFSET($H$3,0,0,'Données projet'!$E$13+1,1))</f>
        <v>470.0521927195926</v>
      </c>
      <c r="CZ118" s="62">
        <f t="shared" si="96"/>
        <v>299.27200854723435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projet'!$B$13,Paramètres!$A$1:$I$88,3,0)*0.475*44/12</f>
        <v>99.695402361962579</v>
      </c>
      <c r="DG118" s="23">
        <f>EXP(-LN(2)/25)*DG117+(1-EXP(-LN(2)/25))/(LN(2)/25)*Calculateur!DB118*Calculateur!DD118*VLOOKUP('Données projet'!$B$13,Paramètres!$A$1:$I$88,3,0)*0.475*44/12</f>
        <v>0</v>
      </c>
      <c r="DH118" s="23">
        <f>EXP(-LN(2)/2)*DH117+(1-EXP(-LN(2)/2))/(LN(2)/2)*DB118*DE118*VLOOKUP('Données projet'!$B$13,Paramètres!$A$1:$I$88,3,0)*0.475*44/12</f>
        <v>0</v>
      </c>
      <c r="DI118" s="24">
        <f t="shared" si="69"/>
        <v>99.695402361962579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-1.4210854715202004E-13</v>
      </c>
      <c r="DP118" s="18">
        <f>DO118*VLOOKUP('Données projet'!$B$14,Paramètres!$A$1:$I$88,3,0)*VLOOKUP('Données projet'!$B$14,Paramètres!$A$1:$I$88,5,0)</f>
        <v>-1.3744738680543379E-13</v>
      </c>
      <c r="DQ118" s="14" t="e">
        <f t="shared" si="97"/>
        <v>#NUM!</v>
      </c>
      <c r="DR118" s="22" t="e">
        <f t="shared" si="70"/>
        <v>#NUM!</v>
      </c>
      <c r="DS118" s="62" t="e">
        <f t="shared" si="71"/>
        <v>#NUM!</v>
      </c>
      <c r="DT118" s="62">
        <f ca="1">AVERAGE(OFFSET($DS$3,0,0,'Données projet'!$E$14+1,1))-AVERAGE(OFFSET($H$3,0,0,'Données projet'!$E$14+1,1))</f>
        <v>290.89727102147953</v>
      </c>
      <c r="DU118" s="62">
        <f t="shared" si="98"/>
        <v>173.19148969173838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projet'!$B$14,Paramètres!$A$1:$I$88,3,0)*0.475*44/12</f>
        <v>75.751590268290855</v>
      </c>
      <c r="EB118" s="23">
        <f>EXP(-LN(2)/25)*EB117+(1-EXP(-LN(2)/25))/(LN(2)/25)*Calculateur!DW118*Calculateur!DY118*VLOOKUP('Données projet'!$B$14,Paramètres!$A$1:$I$88,3,0)*0.475*44/12</f>
        <v>0</v>
      </c>
      <c r="EC118" s="23">
        <f>EXP(-LN(2)/2)*EC117+(1-EXP(-LN(2)/2))/(LN(2)/2)*DW118*DZ118*VLOOKUP('Données projet'!$B$14,Paramètres!$A$1:$I$88,3,0)*0.475*44/12</f>
        <v>0</v>
      </c>
      <c r="ED118" s="24">
        <f t="shared" si="72"/>
        <v>75.751590268290855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projet'!$B$15,Paramètres!$A$1:$I$88,3,0)*VLOOKUP('Données projet'!$B$15,Paramètres!$A$1:$I$88,5,0)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projet'!$B$15,Paramètres!$A$1:$I$88,3,0)*0.475*44/12</f>
        <v>#N/A</v>
      </c>
      <c r="EW118" s="23" t="e">
        <f>EXP(-LN(2)/25)*EW117+(1-EXP(-LN(2)/25))/(LN(2)/25)*Calculateur!ER118*Calculateur!ET118*VLOOKUP('Données projet'!$B$15,Paramètres!$A$1:$I$88,3,0)*0.475*44/12</f>
        <v>#N/A</v>
      </c>
      <c r="EX118" s="23" t="e">
        <f>EXP(-LN(2)/2)*EX117+(1-EXP(-LN(2)/2))/(LN(2)/2)*ER118*EU118*VLOOKUP('Données projet'!$B$15,Paramètres!$A$1:$I$88,3,0)*0.475*44/12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projet'!$B$16,Paramètres!$A$1:$I$88,3,0)*VLOOKUP('Données projet'!$B$16,Paramètres!$A$1:$I$88,5,0)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projet'!$B$16,Paramètres!$A$1:$I$88,3,0)*0.475*44/12</f>
        <v>#N/A</v>
      </c>
      <c r="FR118" s="23" t="e">
        <f>EXP(-LN(2)/25)*FR117+(1-EXP(-LN(2)/25))/(LN(2)/25)*Calculateur!FM118*Calculateur!FO118*VLOOKUP('Données projet'!$B$16,Paramètres!$A$1:$I$88,3,0)*0.475*44/12</f>
        <v>#N/A</v>
      </c>
      <c r="FS118" s="23" t="e">
        <f>EXP(-LN(2)/2)*FS117+(1-EXP(-LN(2)/2))/(LN(2)/2)*FM118*FP118*VLOOKUP('Données projet'!$B$16,Paramètres!$A$1:$I$88,3,0)*0.475*44/12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projet'!$B$17,Paramètres!$A$1:$I$88,3,0)*VLOOKUP('Données projet'!$B$17,Paramètres!$A$1:$I$88,5,0)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projet'!$B$17,Paramètres!$A$1:$I$88,3,0)*0.475*44/12</f>
        <v>#N/A</v>
      </c>
      <c r="GM118" s="23" t="e">
        <f>EXP(-LN(2)/25)*GM117+(1-EXP(-LN(2)/25))/(LN(2)/25)*Calculateur!GH118*Calculateur!GJ118*VLOOKUP('Données projet'!$B$17,Paramètres!$A$1:$I$88,3,0)*0.475*44/12</f>
        <v>#N/A</v>
      </c>
      <c r="GN118" s="23" t="e">
        <f>EXP(-LN(2)/2)*GN117+(1-EXP(-LN(2)/2))/(LN(2)/2)*GH118*GK118*VLOOKUP('Données projet'!$B$17,Paramètres!$A$1:$I$88,3,0)*0.475*44/12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projet'!$B$18,Paramètres!$A$1:$I$88,3,0)*VLOOKUP('Données projet'!$B$18,Paramètres!$A$1:$I$88,5,0)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projet'!$B$18,Paramètres!$A$1:$I$88,3,0)*0.475*44/12</f>
        <v>#N/A</v>
      </c>
      <c r="HH118" s="23" t="e">
        <f>EXP(-LN(2)/25)*HH117+(1-EXP(-LN(2)/25))/(LN(2)/25)*Calculateur!HC118*Calculateur!HE118*VLOOKUP('Données projet'!$B$18,Paramètres!$A$1:$I$88,3,0)*0.475*44/12</f>
        <v>#N/A</v>
      </c>
      <c r="HI118" s="23" t="e">
        <f>EXP(-LN(2)/2)*HI117+(1-EXP(-LN(2)/2))/(LN(2)/2)*HC118*HF118*VLOOKUP('Données projet'!$B$18,Paramètres!$A$1:$I$88,3,0)*0.475*44/12</f>
        <v>#N/A</v>
      </c>
      <c r="HJ118" s="24" t="e">
        <f t="shared" si="84"/>
        <v>#N/A</v>
      </c>
    </row>
    <row r="119" spans="1:218" s="5" customFormat="1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projet'!$B$9,Paramètres!$A$1:$I$88,3,0)*VLOOKUP('Données projet'!$B$9,Paramètres!$A$1:$I$88,5,0)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281.29424389472257</v>
      </c>
      <c r="S119" s="62">
        <f ca="1">AVERAGE(OFFSET($R$3,0,0,'Données projet'!$E$9+1,1))-AVERAGE(OFFSET($H$3,0,0,'Données projet'!$E$9+1,1))</f>
        <v>301.2688576786212</v>
      </c>
      <c r="T119" s="62">
        <f t="shared" si="88"/>
        <v>417.62172165132927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40.808734051509596</v>
      </c>
      <c r="AA119" s="23">
        <f>EXP(-LN(2)/25)*AA118+(1-EXP(-LN(2)/25))/(LN(2)/25)*Calculateur!V119*Calculateur!X119*VLOOKUP('Données projet'!$B$9,Paramètres!$A$1:$I$88,3,0)*0.475*44/12</f>
        <v>7.9811642708913668</v>
      </c>
      <c r="AB119" s="23">
        <f>EXP(-LN(2)/2)*AB118+(1-EXP(-LN(2)/2))/(LN(2)/2)*V119*Y119*VLOOKUP('Données projet'!$B$9,Paramètres!$A$1:$I$88,3,0)*0.475*44/12</f>
        <v>3.4287569446200991E-9</v>
      </c>
      <c r="AC119" s="24">
        <f t="shared" si="57"/>
        <v>48.789898325829725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projet'!$B$10,Paramètres!$A$1:$I$88,3,0)*VLOOKUP('Données projet'!$B$10,Paramètres!$A$1:$I$88,5,0)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170.08673939431091</v>
      </c>
      <c r="AO119" s="62">
        <f t="shared" si="90"/>
        <v>252.97355497077106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projet'!$B$10,Paramètres!$A$1:$I$88,3,0)*0.475*44/12</f>
        <v>17.038767972169985</v>
      </c>
      <c r="AV119" s="23">
        <f>EXP(-LN(2)/25)*AV118+(1-EXP(-LN(2)/25))/(LN(2)/25)*Calculateur!AQ119*Calculateur!AS119*VLOOKUP('Données projet'!$B$10,Paramètres!$A$1:$I$88,3,0)*0.475*44/12</f>
        <v>8.0893363511255423</v>
      </c>
      <c r="AW119" s="23">
        <f>EXP(-LN(2)/2)*AW118+(1-EXP(-LN(2)/2))/(LN(2)/2)*AQ119*AT119*VLOOKUP('Données projet'!$B$10,Paramètres!$A$1:$I$88,3,0)*0.475*44/12</f>
        <v>4.3919619915196153E-9</v>
      </c>
      <c r="AX119" s="23">
        <f t="shared" si="60"/>
        <v>25.128104327687488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-1.1368683772161603E-13</v>
      </c>
      <c r="BE119" s="14">
        <f>BD119*VLOOKUP('Données projet'!$B$11,Paramètres!$A$1:$I$88,3,0)*VLOOKUP('Données projet'!$B$11,Paramètres!$A$1:$I$88,5,0)</f>
        <v>-1.0286385077051818E-13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362.63718589694594</v>
      </c>
      <c r="BJ119" s="62">
        <f t="shared" si="92"/>
        <v>250.47702091764884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projet'!$B$11,Paramètres!$A$1:$I$88,3,0)*0.475*44/12</f>
        <v>92.933529625089591</v>
      </c>
      <c r="BQ119" s="23">
        <f>EXP(-LN(2)/25)*BQ118+(1-EXP(-LN(2)/25))/(LN(2)/25)*Calculateur!BL119*Calculateur!BN119*VLOOKUP('Données projet'!$B$11,Paramètres!$A$1:$I$88,3,0)*0.475*44/12</f>
        <v>0</v>
      </c>
      <c r="BR119" s="23">
        <f>EXP(-LN(2)/2)*BR118+(1-EXP(-LN(2)/2))/(LN(2)/2)*BL119*BO119*VLOOKUP('Données projet'!$B$11,Paramètres!$A$1:$I$88,3,0)*0.475*44/12</f>
        <v>0</v>
      </c>
      <c r="BS119" s="24">
        <f t="shared" si="63"/>
        <v>92.933529625089591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-1.1368683772161603E-13</v>
      </c>
      <c r="BZ119" s="14">
        <f>BY119*VLOOKUP('Données projet'!$B$12,Paramètres!$A$1:$I$88,3,0)*VLOOKUP('Données projet'!$B$12,Paramètres!$A$1:$I$88,5,0)</f>
        <v>-1.1527845344971866E-13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398.14524781940196</v>
      </c>
      <c r="CE119" s="62">
        <f t="shared" si="94"/>
        <v>273.35778700650792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projet'!$B$12,Paramètres!$A$1:$I$88,3,0)*0.475*44/12</f>
        <v>104.14964526949699</v>
      </c>
      <c r="CL119" s="23">
        <f>EXP(-LN(2)/25)*CL118+(1-EXP(-LN(2)/25))/(LN(2)/25)*Calculateur!CG119*Calculateur!CI119*VLOOKUP('Données projet'!$B$12,Paramètres!$A$1:$I$88,3,0)*0.475*44/12</f>
        <v>0</v>
      </c>
      <c r="CM119" s="23">
        <f>EXP(-LN(2)/2)*CM118+(1-EXP(-LN(2)/2))/(LN(2)/2)*CG119*CJ119*VLOOKUP('Données projet'!$B$12,Paramètres!$A$1:$I$88,3,0)*0.475*44/12</f>
        <v>0</v>
      </c>
      <c r="CN119" s="24">
        <f t="shared" si="66"/>
        <v>104.14964526949699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118</v>
      </c>
      <c r="CU119" s="18">
        <f>CT119*VLOOKUP('Données projet'!$B$13,Paramètres!$A$1:$I$88,3,0)*VLOOKUP('Données projet'!$B$13,Paramètres!$A$1:$I$88,5,0)</f>
        <v>112.28880000000001</v>
      </c>
      <c r="CV119" s="14">
        <f t="shared" si="95"/>
        <v>29.869595672288149</v>
      </c>
      <c r="CW119" s="22">
        <f t="shared" si="67"/>
        <v>247.59253912923518</v>
      </c>
      <c r="CX119" s="62">
        <f t="shared" si="68"/>
        <v>528.8867830239567</v>
      </c>
      <c r="CY119" s="62">
        <f ca="1">AVERAGE(OFFSET($CX$3,0,0,'Données projet'!$E$13+1,1))-AVERAGE(OFFSET($H$3,0,0,'Données projet'!$E$13+1,1))</f>
        <v>470.0521927195926</v>
      </c>
      <c r="CZ119" s="62">
        <f t="shared" si="96"/>
        <v>299.27200854723435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projet'!$B$13,Paramètres!$A$1:$I$88,3,0)*0.475*44/12</f>
        <v>97.740436329835617</v>
      </c>
      <c r="DG119" s="23">
        <f>EXP(-LN(2)/25)*DG118+(1-EXP(-LN(2)/25))/(LN(2)/25)*Calculateur!DB119*Calculateur!DD119*VLOOKUP('Données projet'!$B$13,Paramètres!$A$1:$I$88,3,0)*0.475*44/12</f>
        <v>0</v>
      </c>
      <c r="DH119" s="23">
        <f>EXP(-LN(2)/2)*DH118+(1-EXP(-LN(2)/2))/(LN(2)/2)*DB119*DE119*VLOOKUP('Données projet'!$B$13,Paramètres!$A$1:$I$88,3,0)*0.475*44/12</f>
        <v>0</v>
      </c>
      <c r="DI119" s="24">
        <f t="shared" si="69"/>
        <v>97.740436329835617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-1.4210854715202004E-13</v>
      </c>
      <c r="DP119" s="18">
        <f>DO119*VLOOKUP('Données projet'!$B$14,Paramètres!$A$1:$I$88,3,0)*VLOOKUP('Données projet'!$B$14,Paramètres!$A$1:$I$88,5,0)</f>
        <v>-1.3744738680543379E-13</v>
      </c>
      <c r="DQ119" s="14" t="e">
        <f t="shared" si="97"/>
        <v>#NUM!</v>
      </c>
      <c r="DR119" s="22" t="e">
        <f t="shared" si="70"/>
        <v>#NUM!</v>
      </c>
      <c r="DS119" s="62" t="e">
        <f t="shared" si="71"/>
        <v>#NUM!</v>
      </c>
      <c r="DT119" s="62">
        <f ca="1">AVERAGE(OFFSET($DS$3,0,0,'Données projet'!$E$14+1,1))-AVERAGE(OFFSET($H$3,0,0,'Données projet'!$E$14+1,1))</f>
        <v>290.89727102147953</v>
      </c>
      <c r="DU119" s="62">
        <f t="shared" si="98"/>
        <v>173.19148969173838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projet'!$B$14,Paramètres!$A$1:$I$88,3,0)*0.475*44/12</f>
        <v>74.266147787037482</v>
      </c>
      <c r="EB119" s="23">
        <f>EXP(-LN(2)/25)*EB118+(1-EXP(-LN(2)/25))/(LN(2)/25)*Calculateur!DW119*Calculateur!DY119*VLOOKUP('Données projet'!$B$14,Paramètres!$A$1:$I$88,3,0)*0.475*44/12</f>
        <v>0</v>
      </c>
      <c r="EC119" s="23">
        <f>EXP(-LN(2)/2)*EC118+(1-EXP(-LN(2)/2))/(LN(2)/2)*DW119*DZ119*VLOOKUP('Données projet'!$B$14,Paramètres!$A$1:$I$88,3,0)*0.475*44/12</f>
        <v>0</v>
      </c>
      <c r="ED119" s="24">
        <f t="shared" si="72"/>
        <v>74.266147787037482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projet'!$B$15,Paramètres!$A$1:$I$88,3,0)*VLOOKUP('Données projet'!$B$15,Paramètres!$A$1:$I$88,5,0)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projet'!$B$15,Paramètres!$A$1:$I$88,3,0)*0.475*44/12</f>
        <v>#N/A</v>
      </c>
      <c r="EW119" s="23" t="e">
        <f>EXP(-LN(2)/25)*EW118+(1-EXP(-LN(2)/25))/(LN(2)/25)*Calculateur!ER119*Calculateur!ET119*VLOOKUP('Données projet'!$B$15,Paramètres!$A$1:$I$88,3,0)*0.475*44/12</f>
        <v>#N/A</v>
      </c>
      <c r="EX119" s="23" t="e">
        <f>EXP(-LN(2)/2)*EX118+(1-EXP(-LN(2)/2))/(LN(2)/2)*ER119*EU119*VLOOKUP('Données projet'!$B$15,Paramètres!$A$1:$I$88,3,0)*0.475*44/12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projet'!$B$16,Paramètres!$A$1:$I$88,3,0)*VLOOKUP('Données projet'!$B$16,Paramètres!$A$1:$I$88,5,0)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projet'!$B$16,Paramètres!$A$1:$I$88,3,0)*0.475*44/12</f>
        <v>#N/A</v>
      </c>
      <c r="FR119" s="23" t="e">
        <f>EXP(-LN(2)/25)*FR118+(1-EXP(-LN(2)/25))/(LN(2)/25)*Calculateur!FM119*Calculateur!FO119*VLOOKUP('Données projet'!$B$16,Paramètres!$A$1:$I$88,3,0)*0.475*44/12</f>
        <v>#N/A</v>
      </c>
      <c r="FS119" s="23" t="e">
        <f>EXP(-LN(2)/2)*FS118+(1-EXP(-LN(2)/2))/(LN(2)/2)*FM119*FP119*VLOOKUP('Données projet'!$B$16,Paramètres!$A$1:$I$88,3,0)*0.475*44/12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projet'!$B$17,Paramètres!$A$1:$I$88,3,0)*VLOOKUP('Données projet'!$B$17,Paramètres!$A$1:$I$88,5,0)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projet'!$B$17,Paramètres!$A$1:$I$88,3,0)*0.475*44/12</f>
        <v>#N/A</v>
      </c>
      <c r="GM119" s="23" t="e">
        <f>EXP(-LN(2)/25)*GM118+(1-EXP(-LN(2)/25))/(LN(2)/25)*Calculateur!GH119*Calculateur!GJ119*VLOOKUP('Données projet'!$B$17,Paramètres!$A$1:$I$88,3,0)*0.475*44/12</f>
        <v>#N/A</v>
      </c>
      <c r="GN119" s="23" t="e">
        <f>EXP(-LN(2)/2)*GN118+(1-EXP(-LN(2)/2))/(LN(2)/2)*GH119*GK119*VLOOKUP('Données projet'!$B$17,Paramètres!$A$1:$I$88,3,0)*0.475*44/12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projet'!$B$18,Paramètres!$A$1:$I$88,3,0)*VLOOKUP('Données projet'!$B$18,Paramètres!$A$1:$I$88,5,0)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projet'!$B$18,Paramètres!$A$1:$I$88,3,0)*0.475*44/12</f>
        <v>#N/A</v>
      </c>
      <c r="HH119" s="23" t="e">
        <f>EXP(-LN(2)/25)*HH118+(1-EXP(-LN(2)/25))/(LN(2)/25)*Calculateur!HC119*Calculateur!HE119*VLOOKUP('Données projet'!$B$18,Paramètres!$A$1:$I$88,3,0)*0.475*44/12</f>
        <v>#N/A</v>
      </c>
      <c r="HI119" s="23" t="e">
        <f>EXP(-LN(2)/2)*HI118+(1-EXP(-LN(2)/2))/(LN(2)/2)*HC119*HF119*VLOOKUP('Données projet'!$B$18,Paramètres!$A$1:$I$88,3,0)*0.475*44/12</f>
        <v>#N/A</v>
      </c>
      <c r="HJ119" s="24" t="e">
        <f t="shared" si="84"/>
        <v>#N/A</v>
      </c>
    </row>
    <row r="120" spans="1:218" s="5" customFormat="1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projet'!$B$9,Paramètres!$A$1:$I$88,3,0)*VLOOKUP('Données projet'!$B$9,Paramètres!$A$1:$I$88,5,0)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281.50309518111072</v>
      </c>
      <c r="S120" s="62">
        <f ca="1">AVERAGE(OFFSET($R$3,0,0,'Données projet'!$E$9+1,1))-AVERAGE(OFFSET($H$3,0,0,'Données projet'!$E$9+1,1))</f>
        <v>301.2688576786212</v>
      </c>
      <c r="T120" s="62">
        <f t="shared" si="88"/>
        <v>417.62172165132927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projet'!$B$9,Paramètres!$A$1:$I$88,7,0))</f>
        <v>0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40.008499667629494</v>
      </c>
      <c r="AA120" s="23">
        <f>EXP(-LN(2)/25)*AA119+(1-EXP(-LN(2)/25))/(LN(2)/25)*Calculateur!V120*Calculateur!X120*VLOOKUP('Données projet'!$B$9,Paramètres!$A$1:$I$88,3,0)*0.475*44/12</f>
        <v>7.7629189141926549</v>
      </c>
      <c r="AB120" s="23">
        <f>EXP(-LN(2)/2)*AB119+(1-EXP(-LN(2)/2))/(LN(2)/2)*V120*Y120*VLOOKUP('Données projet'!$B$9,Paramètres!$A$1:$I$88,3,0)*0.475*44/12</f>
        <v>2.4244972865813396E-9</v>
      </c>
      <c r="AC120" s="24">
        <f t="shared" si="57"/>
        <v>47.771418584246646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projet'!$B$10,Paramètres!$A$1:$I$88,3,0)*VLOOKUP('Données projet'!$B$10,Paramètres!$A$1:$I$88,5,0)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170.08673939431091</v>
      </c>
      <c r="AO120" s="62">
        <f t="shared" si="90"/>
        <v>252.97355497077106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projet'!$B$10,Paramètres!$A$1:$I$88,3,0)*0.475*44/12</f>
        <v>16.704648124858007</v>
      </c>
      <c r="AV120" s="23">
        <f>EXP(-LN(2)/25)*AV119+(1-EXP(-LN(2)/25))/(LN(2)/25)*Calculateur!AQ120*Calculateur!AS120*VLOOKUP('Données projet'!$B$10,Paramètres!$A$1:$I$88,3,0)*0.475*44/12</f>
        <v>7.8681330232043036</v>
      </c>
      <c r="AW120" s="23">
        <f>EXP(-LN(2)/2)*AW119+(1-EXP(-LN(2)/2))/(LN(2)/2)*AQ120*AT120*VLOOKUP('Données projet'!$B$10,Paramètres!$A$1:$I$88,3,0)*0.475*44/12</f>
        <v>3.1055861069170942E-9</v>
      </c>
      <c r="AX120" s="23">
        <f t="shared" si="60"/>
        <v>24.572781151167899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-1.1368683772161603E-13</v>
      </c>
      <c r="BE120" s="14">
        <f>BD120*VLOOKUP('Données projet'!$B$11,Paramètres!$A$1:$I$88,3,0)*VLOOKUP('Données projet'!$B$11,Paramètres!$A$1:$I$88,5,0)</f>
        <v>-1.0286385077051818E-13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362.63718589694594</v>
      </c>
      <c r="BJ120" s="62">
        <f t="shared" si="92"/>
        <v>250.47702091764884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projet'!$B$11,Paramètres!$A$1:$I$88,3,0)*0.475*44/12</f>
        <v>91.111159792997583</v>
      </c>
      <c r="BQ120" s="23">
        <f>EXP(-LN(2)/25)*BQ119+(1-EXP(-LN(2)/25))/(LN(2)/25)*Calculateur!BL120*Calculateur!BN120*VLOOKUP('Données projet'!$B$11,Paramètres!$A$1:$I$88,3,0)*0.475*44/12</f>
        <v>0</v>
      </c>
      <c r="BR120" s="23">
        <f>EXP(-LN(2)/2)*BR119+(1-EXP(-LN(2)/2))/(LN(2)/2)*BL120*BO120*VLOOKUP('Données projet'!$B$11,Paramètres!$A$1:$I$88,3,0)*0.475*44/12</f>
        <v>0</v>
      </c>
      <c r="BS120" s="24">
        <f t="shared" si="63"/>
        <v>91.111159792997583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-1.1368683772161603E-13</v>
      </c>
      <c r="BZ120" s="14">
        <f>BY120*VLOOKUP('Données projet'!$B$12,Paramètres!$A$1:$I$88,3,0)*VLOOKUP('Données projet'!$B$12,Paramètres!$A$1:$I$88,5,0)</f>
        <v>-1.1527845344971866E-13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398.14524781940196</v>
      </c>
      <c r="CE120" s="62">
        <f t="shared" si="94"/>
        <v>273.35778700650792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projet'!$B$12,Paramètres!$A$1:$I$88,3,0)*0.475*44/12</f>
        <v>102.10733425077319</v>
      </c>
      <c r="CL120" s="23">
        <f>EXP(-LN(2)/25)*CL119+(1-EXP(-LN(2)/25))/(LN(2)/25)*Calculateur!CG120*Calculateur!CI120*VLOOKUP('Données projet'!$B$12,Paramètres!$A$1:$I$88,3,0)*0.475*44/12</f>
        <v>0</v>
      </c>
      <c r="CM120" s="23">
        <f>EXP(-LN(2)/2)*CM119+(1-EXP(-LN(2)/2))/(LN(2)/2)*CG120*CJ120*VLOOKUP('Données projet'!$B$12,Paramètres!$A$1:$I$88,3,0)*0.475*44/12</f>
        <v>0</v>
      </c>
      <c r="CN120" s="24">
        <f t="shared" si="66"/>
        <v>102.10733425077319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118</v>
      </c>
      <c r="CU120" s="18">
        <f>CT120*VLOOKUP('Données projet'!$B$13,Paramètres!$A$1:$I$88,3,0)*VLOOKUP('Données projet'!$B$13,Paramètres!$A$1:$I$88,5,0)</f>
        <v>112.28880000000001</v>
      </c>
      <c r="CV120" s="14">
        <f t="shared" si="95"/>
        <v>29.869595672288149</v>
      </c>
      <c r="CW120" s="22">
        <f t="shared" si="67"/>
        <v>247.59253912923518</v>
      </c>
      <c r="CX120" s="62">
        <f t="shared" si="68"/>
        <v>529.09563431034485</v>
      </c>
      <c r="CY120" s="62">
        <f ca="1">AVERAGE(OFFSET($CX$3,0,0,'Données projet'!$E$13+1,1))-AVERAGE(OFFSET($H$3,0,0,'Données projet'!$E$13+1,1))</f>
        <v>470.0521927195926</v>
      </c>
      <c r="CZ120" s="62">
        <f t="shared" si="96"/>
        <v>299.27200854723435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projet'!$B$13,Paramètres!$A$1:$I$88,3,0)*0.475*44/12</f>
        <v>95.823805989187136</v>
      </c>
      <c r="DG120" s="23">
        <f>EXP(-LN(2)/25)*DG119+(1-EXP(-LN(2)/25))/(LN(2)/25)*Calculateur!DB120*Calculateur!DD120*VLOOKUP('Données projet'!$B$13,Paramètres!$A$1:$I$88,3,0)*0.475*44/12</f>
        <v>0</v>
      </c>
      <c r="DH120" s="23">
        <f>EXP(-LN(2)/2)*DH119+(1-EXP(-LN(2)/2))/(LN(2)/2)*DB120*DE120*VLOOKUP('Données projet'!$B$13,Paramètres!$A$1:$I$88,3,0)*0.475*44/12</f>
        <v>0</v>
      </c>
      <c r="DI120" s="24">
        <f t="shared" si="69"/>
        <v>95.823805989187136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-1.4210854715202004E-13</v>
      </c>
      <c r="DP120" s="18">
        <f>DO120*VLOOKUP('Données projet'!$B$14,Paramètres!$A$1:$I$88,3,0)*VLOOKUP('Données projet'!$B$14,Paramètres!$A$1:$I$88,5,0)</f>
        <v>-1.3744738680543379E-13</v>
      </c>
      <c r="DQ120" s="14" t="e">
        <f t="shared" si="97"/>
        <v>#NUM!</v>
      </c>
      <c r="DR120" s="22" t="e">
        <f t="shared" si="70"/>
        <v>#NUM!</v>
      </c>
      <c r="DS120" s="62" t="e">
        <f t="shared" si="71"/>
        <v>#NUM!</v>
      </c>
      <c r="DT120" s="62">
        <f ca="1">AVERAGE(OFFSET($DS$3,0,0,'Données projet'!$E$14+1,1))-AVERAGE(OFFSET($H$3,0,0,'Données projet'!$E$14+1,1))</f>
        <v>290.89727102147953</v>
      </c>
      <c r="DU120" s="62">
        <f t="shared" si="98"/>
        <v>173.19148969173838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projet'!$B$14,Paramètres!$A$1:$I$88,3,0)*0.475*44/12</f>
        <v>72.809833926811038</v>
      </c>
      <c r="EB120" s="23">
        <f>EXP(-LN(2)/25)*EB119+(1-EXP(-LN(2)/25))/(LN(2)/25)*Calculateur!DW120*Calculateur!DY120*VLOOKUP('Données projet'!$B$14,Paramètres!$A$1:$I$88,3,0)*0.475*44/12</f>
        <v>0</v>
      </c>
      <c r="EC120" s="23">
        <f>EXP(-LN(2)/2)*EC119+(1-EXP(-LN(2)/2))/(LN(2)/2)*DW120*DZ120*VLOOKUP('Données projet'!$B$14,Paramètres!$A$1:$I$88,3,0)*0.475*44/12</f>
        <v>0</v>
      </c>
      <c r="ED120" s="24">
        <f t="shared" si="72"/>
        <v>72.809833926811038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projet'!$B$15,Paramètres!$A$1:$I$88,3,0)*VLOOKUP('Données projet'!$B$15,Paramètres!$A$1:$I$88,5,0)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projet'!$B$15,Paramètres!$A$1:$I$88,3,0)*0.475*44/12</f>
        <v>#N/A</v>
      </c>
      <c r="EW120" s="23" t="e">
        <f>EXP(-LN(2)/25)*EW119+(1-EXP(-LN(2)/25))/(LN(2)/25)*Calculateur!ER120*Calculateur!ET120*VLOOKUP('Données projet'!$B$15,Paramètres!$A$1:$I$88,3,0)*0.475*44/12</f>
        <v>#N/A</v>
      </c>
      <c r="EX120" s="23" t="e">
        <f>EXP(-LN(2)/2)*EX119+(1-EXP(-LN(2)/2))/(LN(2)/2)*ER120*EU120*VLOOKUP('Données projet'!$B$15,Paramètres!$A$1:$I$88,3,0)*0.475*44/12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projet'!$B$16,Paramètres!$A$1:$I$88,3,0)*VLOOKUP('Données projet'!$B$16,Paramètres!$A$1:$I$88,5,0)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projet'!$B$16,Paramètres!$A$1:$I$88,3,0)*0.475*44/12</f>
        <v>#N/A</v>
      </c>
      <c r="FR120" s="23" t="e">
        <f>EXP(-LN(2)/25)*FR119+(1-EXP(-LN(2)/25))/(LN(2)/25)*Calculateur!FM120*Calculateur!FO120*VLOOKUP('Données projet'!$B$16,Paramètres!$A$1:$I$88,3,0)*0.475*44/12</f>
        <v>#N/A</v>
      </c>
      <c r="FS120" s="23" t="e">
        <f>EXP(-LN(2)/2)*FS119+(1-EXP(-LN(2)/2))/(LN(2)/2)*FM120*FP120*VLOOKUP('Données projet'!$B$16,Paramètres!$A$1:$I$88,3,0)*0.475*44/12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projet'!$B$17,Paramètres!$A$1:$I$88,3,0)*VLOOKUP('Données projet'!$B$17,Paramètres!$A$1:$I$88,5,0)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projet'!$B$17,Paramètres!$A$1:$I$88,3,0)*0.475*44/12</f>
        <v>#N/A</v>
      </c>
      <c r="GM120" s="23" t="e">
        <f>EXP(-LN(2)/25)*GM119+(1-EXP(-LN(2)/25))/(LN(2)/25)*Calculateur!GH120*Calculateur!GJ120*VLOOKUP('Données projet'!$B$17,Paramètres!$A$1:$I$88,3,0)*0.475*44/12</f>
        <v>#N/A</v>
      </c>
      <c r="GN120" s="23" t="e">
        <f>EXP(-LN(2)/2)*GN119+(1-EXP(-LN(2)/2))/(LN(2)/2)*GH120*GK120*VLOOKUP('Données projet'!$B$17,Paramètres!$A$1:$I$88,3,0)*0.475*44/12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projet'!$B$18,Paramètres!$A$1:$I$88,3,0)*VLOOKUP('Données projet'!$B$18,Paramètres!$A$1:$I$88,5,0)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projet'!$B$18,Paramètres!$A$1:$I$88,3,0)*0.475*44/12</f>
        <v>#N/A</v>
      </c>
      <c r="HH120" s="23" t="e">
        <f>EXP(-LN(2)/25)*HH119+(1-EXP(-LN(2)/25))/(LN(2)/25)*Calculateur!HC120*Calculateur!HE120*VLOOKUP('Données projet'!$B$18,Paramètres!$A$1:$I$88,3,0)*0.475*44/12</f>
        <v>#N/A</v>
      </c>
      <c r="HI120" s="23" t="e">
        <f>EXP(-LN(2)/2)*HI119+(1-EXP(-LN(2)/2))/(LN(2)/2)*HC120*HF120*VLOOKUP('Données projet'!$B$18,Paramètres!$A$1:$I$88,3,0)*0.475*44/12</f>
        <v>#N/A</v>
      </c>
      <c r="HJ120" s="24" t="e">
        <f t="shared" si="84"/>
        <v>#N/A</v>
      </c>
    </row>
    <row r="121" spans="1:218" s="5" customFormat="1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projet'!$B$9,Paramètres!$A$1:$I$88,3,0)*VLOOKUP('Données projet'!$B$9,Paramètres!$A$1:$I$88,5,0)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281.70832336460148</v>
      </c>
      <c r="S121" s="62">
        <f ca="1">AVERAGE(OFFSET($R$3,0,0,'Données projet'!$E$9+1,1))-AVERAGE(OFFSET($H$3,0,0,'Données projet'!$E$9+1,1))</f>
        <v>301.2688576786212</v>
      </c>
      <c r="T121" s="62">
        <f t="shared" si="88"/>
        <v>417.62172165132927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39.223957391922504</v>
      </c>
      <c r="AA121" s="23">
        <f>EXP(-LN(2)/25)*AA120+(1-EXP(-LN(2)/25))/(LN(2)/25)*Calculateur!V121*Calculateur!X121*VLOOKUP('Données projet'!$B$9,Paramètres!$A$1:$I$88,3,0)*0.475*44/12</f>
        <v>7.5506414882498936</v>
      </c>
      <c r="AB121" s="23">
        <f>EXP(-LN(2)/2)*AB120+(1-EXP(-LN(2)/2))/(LN(2)/2)*V121*Y121*VLOOKUP('Données projet'!$B$9,Paramètres!$A$1:$I$88,3,0)*0.475*44/12</f>
        <v>1.7143784723100496E-9</v>
      </c>
      <c r="AC121" s="24">
        <f t="shared" si="57"/>
        <v>46.774598881886774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projet'!$B$10,Paramètres!$A$1:$I$88,3,0)*VLOOKUP('Données projet'!$B$10,Paramètres!$A$1:$I$88,5,0)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170.08673939431091</v>
      </c>
      <c r="AO121" s="62">
        <f t="shared" si="90"/>
        <v>252.97355497077106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projet'!$B$10,Paramètres!$A$1:$I$88,3,0)*0.475*44/12</f>
        <v>16.377080163958833</v>
      </c>
      <c r="AV121" s="23">
        <f>EXP(-LN(2)/25)*AV120+(1-EXP(-LN(2)/25))/(LN(2)/25)*Calculateur!AQ121*Calculateur!AS121*VLOOKUP('Données projet'!$B$10,Paramètres!$A$1:$I$88,3,0)*0.475*44/12</f>
        <v>7.6529785119176488</v>
      </c>
      <c r="AW121" s="23">
        <f>EXP(-LN(2)/2)*AW120+(1-EXP(-LN(2)/2))/(LN(2)/2)*AQ121*AT121*VLOOKUP('Données projet'!$B$10,Paramètres!$A$1:$I$88,3,0)*0.475*44/12</f>
        <v>2.1959809957598077E-9</v>
      </c>
      <c r="AX121" s="23">
        <f t="shared" si="60"/>
        <v>24.030058678072464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-1.1368683772161603E-13</v>
      </c>
      <c r="BE121" s="14">
        <f>BD121*VLOOKUP('Données projet'!$B$11,Paramètres!$A$1:$I$88,3,0)*VLOOKUP('Données projet'!$B$11,Paramètres!$A$1:$I$88,5,0)</f>
        <v>-1.0286385077051818E-13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362.63718589694594</v>
      </c>
      <c r="BJ121" s="62">
        <f t="shared" si="92"/>
        <v>250.47702091764884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projet'!$B$11,Paramètres!$A$1:$I$88,7,0))</f>
        <v>0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projet'!$B$11,Paramètres!$A$1:$I$88,3,0)*0.475*44/12</f>
        <v>89.324525521777062</v>
      </c>
      <c r="BQ121" s="23">
        <f>EXP(-LN(2)/25)*BQ120+(1-EXP(-LN(2)/25))/(LN(2)/25)*Calculateur!BL121*Calculateur!BN121*VLOOKUP('Données projet'!$B$11,Paramètres!$A$1:$I$88,3,0)*0.475*44/12</f>
        <v>0</v>
      </c>
      <c r="BR121" s="23">
        <f>EXP(-LN(2)/2)*BR120+(1-EXP(-LN(2)/2))/(LN(2)/2)*BL121*BO121*VLOOKUP('Données projet'!$B$11,Paramètres!$A$1:$I$88,3,0)*0.475*44/12</f>
        <v>0</v>
      </c>
      <c r="BS121" s="24">
        <f t="shared" si="63"/>
        <v>89.324525521777062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-1.1368683772161603E-13</v>
      </c>
      <c r="BZ121" s="14">
        <f>BY121*VLOOKUP('Données projet'!$B$12,Paramètres!$A$1:$I$88,3,0)*VLOOKUP('Données projet'!$B$12,Paramètres!$A$1:$I$88,5,0)</f>
        <v>-1.1527845344971866E-13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398.14524781940196</v>
      </c>
      <c r="CE121" s="62">
        <f t="shared" si="94"/>
        <v>273.35778700650792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projet'!$B$12,Paramètres!$A$1:$I$88,3,0)*0.475*44/12</f>
        <v>100.10507170543985</v>
      </c>
      <c r="CL121" s="23">
        <f>EXP(-LN(2)/25)*CL120+(1-EXP(-LN(2)/25))/(LN(2)/25)*Calculateur!CG121*Calculateur!CI121*VLOOKUP('Données projet'!$B$12,Paramètres!$A$1:$I$88,3,0)*0.475*44/12</f>
        <v>0</v>
      </c>
      <c r="CM121" s="23">
        <f>EXP(-LN(2)/2)*CM120+(1-EXP(-LN(2)/2))/(LN(2)/2)*CG121*CJ121*VLOOKUP('Données projet'!$B$12,Paramètres!$A$1:$I$88,3,0)*0.475*44/12</f>
        <v>0</v>
      </c>
      <c r="CN121" s="24">
        <f t="shared" si="66"/>
        <v>100.10507170543985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118</v>
      </c>
      <c r="CU121" s="18">
        <f>CT121*VLOOKUP('Données projet'!$B$13,Paramètres!$A$1:$I$88,3,0)*VLOOKUP('Données projet'!$B$13,Paramètres!$A$1:$I$88,5,0)</f>
        <v>112.28880000000001</v>
      </c>
      <c r="CV121" s="14">
        <f t="shared" si="95"/>
        <v>29.869595672288149</v>
      </c>
      <c r="CW121" s="22">
        <f t="shared" si="67"/>
        <v>247.59253912923518</v>
      </c>
      <c r="CX121" s="62">
        <f t="shared" si="68"/>
        <v>529.30086249383555</v>
      </c>
      <c r="CY121" s="62">
        <f ca="1">AVERAGE(OFFSET($CX$3,0,0,'Données projet'!$E$13+1,1))-AVERAGE(OFFSET($H$3,0,0,'Données projet'!$E$13+1,1))</f>
        <v>470.0521927195926</v>
      </c>
      <c r="CZ121" s="62">
        <f t="shared" si="96"/>
        <v>299.27200854723435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projet'!$B$13,Paramètres!$A$1:$I$88,3,0)*0.475*44/12</f>
        <v>93.944759600489689</v>
      </c>
      <c r="DG121" s="23">
        <f>EXP(-LN(2)/25)*DG120+(1-EXP(-LN(2)/25))/(LN(2)/25)*Calculateur!DB121*Calculateur!DD121*VLOOKUP('Données projet'!$B$13,Paramètres!$A$1:$I$88,3,0)*0.475*44/12</f>
        <v>0</v>
      </c>
      <c r="DH121" s="23">
        <f>EXP(-LN(2)/2)*DH120+(1-EXP(-LN(2)/2))/(LN(2)/2)*DB121*DE121*VLOOKUP('Données projet'!$B$13,Paramètres!$A$1:$I$88,3,0)*0.475*44/12</f>
        <v>0</v>
      </c>
      <c r="DI121" s="24">
        <f t="shared" si="69"/>
        <v>93.944759600489689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-1.4210854715202004E-13</v>
      </c>
      <c r="DP121" s="18">
        <f>DO121*VLOOKUP('Données projet'!$B$14,Paramètres!$A$1:$I$88,3,0)*VLOOKUP('Données projet'!$B$14,Paramètres!$A$1:$I$88,5,0)</f>
        <v>-1.3744738680543379E-13</v>
      </c>
      <c r="DQ121" s="14" t="e">
        <f t="shared" si="97"/>
        <v>#NUM!</v>
      </c>
      <c r="DR121" s="22" t="e">
        <f t="shared" si="70"/>
        <v>#NUM!</v>
      </c>
      <c r="DS121" s="62" t="e">
        <f t="shared" si="71"/>
        <v>#NUM!</v>
      </c>
      <c r="DT121" s="62">
        <f ca="1">AVERAGE(OFFSET($DS$3,0,0,'Données projet'!$E$14+1,1))-AVERAGE(OFFSET($H$3,0,0,'Données projet'!$E$14+1,1))</f>
        <v>290.89727102147953</v>
      </c>
      <c r="DU121" s="62">
        <f t="shared" si="98"/>
        <v>173.19148969173838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projet'!$B$14,Paramètres!$A$1:$I$88,3,0)*0.475*44/12</f>
        <v>71.38207749311988</v>
      </c>
      <c r="EB121" s="23">
        <f>EXP(-LN(2)/25)*EB120+(1-EXP(-LN(2)/25))/(LN(2)/25)*Calculateur!DW121*Calculateur!DY121*VLOOKUP('Données projet'!$B$14,Paramètres!$A$1:$I$88,3,0)*0.475*44/12</f>
        <v>0</v>
      </c>
      <c r="EC121" s="23">
        <f>EXP(-LN(2)/2)*EC120+(1-EXP(-LN(2)/2))/(LN(2)/2)*DW121*DZ121*VLOOKUP('Données projet'!$B$14,Paramètres!$A$1:$I$88,3,0)*0.475*44/12</f>
        <v>0</v>
      </c>
      <c r="ED121" s="24">
        <f t="shared" si="72"/>
        <v>71.38207749311988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projet'!$B$15,Paramètres!$A$1:$I$88,3,0)*VLOOKUP('Données projet'!$B$15,Paramètres!$A$1:$I$88,5,0)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projet'!$B$15,Paramètres!$A$1:$I$88,3,0)*0.475*44/12</f>
        <v>#N/A</v>
      </c>
      <c r="EW121" s="23" t="e">
        <f>EXP(-LN(2)/25)*EW120+(1-EXP(-LN(2)/25))/(LN(2)/25)*Calculateur!ER121*Calculateur!ET121*VLOOKUP('Données projet'!$B$15,Paramètres!$A$1:$I$88,3,0)*0.475*44/12</f>
        <v>#N/A</v>
      </c>
      <c r="EX121" s="23" t="e">
        <f>EXP(-LN(2)/2)*EX120+(1-EXP(-LN(2)/2))/(LN(2)/2)*ER121*EU121*VLOOKUP('Données projet'!$B$15,Paramètres!$A$1:$I$88,3,0)*0.475*44/12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projet'!$B$16,Paramètres!$A$1:$I$88,3,0)*VLOOKUP('Données projet'!$B$16,Paramètres!$A$1:$I$88,5,0)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projet'!$B$16,Paramètres!$A$1:$I$88,3,0)*0.475*44/12</f>
        <v>#N/A</v>
      </c>
      <c r="FR121" s="23" t="e">
        <f>EXP(-LN(2)/25)*FR120+(1-EXP(-LN(2)/25))/(LN(2)/25)*Calculateur!FM121*Calculateur!FO121*VLOOKUP('Données projet'!$B$16,Paramètres!$A$1:$I$88,3,0)*0.475*44/12</f>
        <v>#N/A</v>
      </c>
      <c r="FS121" s="23" t="e">
        <f>EXP(-LN(2)/2)*FS120+(1-EXP(-LN(2)/2))/(LN(2)/2)*FM121*FP121*VLOOKUP('Données projet'!$B$16,Paramètres!$A$1:$I$88,3,0)*0.475*44/12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projet'!$B$17,Paramètres!$A$1:$I$88,3,0)*VLOOKUP('Données projet'!$B$17,Paramètres!$A$1:$I$88,5,0)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projet'!$B$17,Paramètres!$A$1:$I$88,3,0)*0.475*44/12</f>
        <v>#N/A</v>
      </c>
      <c r="GM121" s="23" t="e">
        <f>EXP(-LN(2)/25)*GM120+(1-EXP(-LN(2)/25))/(LN(2)/25)*Calculateur!GH121*Calculateur!GJ121*VLOOKUP('Données projet'!$B$17,Paramètres!$A$1:$I$88,3,0)*0.475*44/12</f>
        <v>#N/A</v>
      </c>
      <c r="GN121" s="23" t="e">
        <f>EXP(-LN(2)/2)*GN120+(1-EXP(-LN(2)/2))/(LN(2)/2)*GH121*GK121*VLOOKUP('Données projet'!$B$17,Paramètres!$A$1:$I$88,3,0)*0.475*44/12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projet'!$B$18,Paramètres!$A$1:$I$88,3,0)*VLOOKUP('Données projet'!$B$18,Paramètres!$A$1:$I$88,5,0)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projet'!$B$18,Paramètres!$A$1:$I$88,3,0)*0.475*44/12</f>
        <v>#N/A</v>
      </c>
      <c r="HH121" s="23" t="e">
        <f>EXP(-LN(2)/25)*HH120+(1-EXP(-LN(2)/25))/(LN(2)/25)*Calculateur!HC121*Calculateur!HE121*VLOOKUP('Données projet'!$B$18,Paramètres!$A$1:$I$88,3,0)*0.475*44/12</f>
        <v>#N/A</v>
      </c>
      <c r="HI121" s="23" t="e">
        <f>EXP(-LN(2)/2)*HI120+(1-EXP(-LN(2)/2))/(LN(2)/2)*HC121*HF121*VLOOKUP('Données projet'!$B$18,Paramètres!$A$1:$I$88,3,0)*0.475*44/12</f>
        <v>#N/A</v>
      </c>
      <c r="HJ121" s="24" t="e">
        <f t="shared" si="84"/>
        <v>#N/A</v>
      </c>
    </row>
    <row r="122" spans="1:218" s="5" customFormat="1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projet'!$B$9,Paramètres!$A$1:$I$88,3,0)*VLOOKUP('Données projet'!$B$9,Paramètres!$A$1:$I$88,5,0)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281.90999129793022</v>
      </c>
      <c r="S122" s="62">
        <f ca="1">AVERAGE(OFFSET($R$3,0,0,'Données projet'!$E$9+1,1))-AVERAGE(OFFSET($H$3,0,0,'Données projet'!$E$9+1,1))</f>
        <v>301.2688576786212</v>
      </c>
      <c r="T122" s="62">
        <f t="shared" si="88"/>
        <v>417.62172165132927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38.454799511718591</v>
      </c>
      <c r="AA122" s="23">
        <f>EXP(-LN(2)/25)*AA121+(1-EXP(-LN(2)/25))/(LN(2)/25)*Calculateur!V122*Calculateur!X122*VLOOKUP('Données projet'!$B$9,Paramètres!$A$1:$I$88,3,0)*0.475*44/12</f>
        <v>7.3441687996827216</v>
      </c>
      <c r="AB122" s="23">
        <f>EXP(-LN(2)/2)*AB121+(1-EXP(-LN(2)/2))/(LN(2)/2)*V122*Y122*VLOOKUP('Données projet'!$B$9,Paramètres!$A$1:$I$88,3,0)*0.475*44/12</f>
        <v>1.2122486432906698E-9</v>
      </c>
      <c r="AC122" s="24">
        <f t="shared" si="57"/>
        <v>45.79896831261356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projet'!$B$10,Paramètres!$A$1:$I$88,3,0)*VLOOKUP('Données projet'!$B$10,Paramètres!$A$1:$I$88,5,0)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170.08673939431091</v>
      </c>
      <c r="AO122" s="62">
        <f t="shared" si="90"/>
        <v>252.97355497077106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projet'!$B$10,Paramètres!$A$1:$I$88,3,0)*0.475*44/12</f>
        <v>16.055935610976167</v>
      </c>
      <c r="AV122" s="23">
        <f>EXP(-LN(2)/25)*AV121+(1-EXP(-LN(2)/25))/(LN(2)/25)*Calculateur!AQ122*Calculateur!AS122*VLOOKUP('Données projet'!$B$10,Paramètres!$A$1:$I$88,3,0)*0.475*44/12</f>
        <v>7.4437074120566118</v>
      </c>
      <c r="AW122" s="23">
        <f>EXP(-LN(2)/2)*AW121+(1-EXP(-LN(2)/2))/(LN(2)/2)*AQ122*AT122*VLOOKUP('Données projet'!$B$10,Paramètres!$A$1:$I$88,3,0)*0.475*44/12</f>
        <v>1.5527930534585471E-9</v>
      </c>
      <c r="AX122" s="23">
        <f t="shared" si="60"/>
        <v>23.49964302458557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-1.1368683772161603E-13</v>
      </c>
      <c r="BE122" s="14">
        <f>BD122*VLOOKUP('Données projet'!$B$11,Paramètres!$A$1:$I$88,3,0)*VLOOKUP('Données projet'!$B$11,Paramètres!$A$1:$I$88,5,0)</f>
        <v>-1.0286385077051818E-13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362.63718589694594</v>
      </c>
      <c r="BJ122" s="62">
        <f t="shared" si="92"/>
        <v>250.47702091764884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projet'!$B$11,Paramètres!$A$1:$I$88,3,0)*0.475*44/12</f>
        <v>87.572926058875879</v>
      </c>
      <c r="BQ122" s="23">
        <f>EXP(-LN(2)/25)*BQ121+(1-EXP(-LN(2)/25))/(LN(2)/25)*Calculateur!BL122*Calculateur!BN122*VLOOKUP('Données projet'!$B$11,Paramètres!$A$1:$I$88,3,0)*0.475*44/12</f>
        <v>0</v>
      </c>
      <c r="BR122" s="23">
        <f>EXP(-LN(2)/2)*BR121+(1-EXP(-LN(2)/2))/(LN(2)/2)*BL122*BO122*VLOOKUP('Données projet'!$B$11,Paramètres!$A$1:$I$88,3,0)*0.475*44/12</f>
        <v>0</v>
      </c>
      <c r="BS122" s="24">
        <f t="shared" si="63"/>
        <v>87.572926058875879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-1.1368683772161603E-13</v>
      </c>
      <c r="BZ122" s="14">
        <f>BY122*VLOOKUP('Données projet'!$B$12,Paramètres!$A$1:$I$88,3,0)*VLOOKUP('Données projet'!$B$12,Paramètres!$A$1:$I$88,5,0)</f>
        <v>-1.1527845344971866E-13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398.14524781940196</v>
      </c>
      <c r="CE122" s="62">
        <f t="shared" si="94"/>
        <v>273.35778700650792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projet'!$B$12,Paramètres!$A$1:$I$88,3,0)*0.475*44/12</f>
        <v>98.142072307360934</v>
      </c>
      <c r="CL122" s="23">
        <f>EXP(-LN(2)/25)*CL121+(1-EXP(-LN(2)/25))/(LN(2)/25)*Calculateur!CG122*Calculateur!CI122*VLOOKUP('Données projet'!$B$12,Paramètres!$A$1:$I$88,3,0)*0.475*44/12</f>
        <v>0</v>
      </c>
      <c r="CM122" s="23">
        <f>EXP(-LN(2)/2)*CM121+(1-EXP(-LN(2)/2))/(LN(2)/2)*CG122*CJ122*VLOOKUP('Données projet'!$B$12,Paramètres!$A$1:$I$88,3,0)*0.475*44/12</f>
        <v>0</v>
      </c>
      <c r="CN122" s="24">
        <f t="shared" si="66"/>
        <v>98.142072307360934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118</v>
      </c>
      <c r="CU122" s="18">
        <f>CT122*VLOOKUP('Données projet'!$B$13,Paramètres!$A$1:$I$88,3,0)*VLOOKUP('Données projet'!$B$13,Paramètres!$A$1:$I$88,5,0)</f>
        <v>112.28880000000001</v>
      </c>
      <c r="CV122" s="14">
        <f t="shared" si="95"/>
        <v>29.869595672288149</v>
      </c>
      <c r="CW122" s="22">
        <f t="shared" si="67"/>
        <v>247.59253912923518</v>
      </c>
      <c r="CX122" s="62">
        <f t="shared" si="68"/>
        <v>529.50253042716429</v>
      </c>
      <c r="CY122" s="62">
        <f ca="1">AVERAGE(OFFSET($CX$3,0,0,'Données projet'!$E$13+1,1))-AVERAGE(OFFSET($H$3,0,0,'Données projet'!$E$13+1,1))</f>
        <v>470.0521927195926</v>
      </c>
      <c r="CZ122" s="62">
        <f t="shared" si="96"/>
        <v>299.27200854723435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projet'!$B$13,Paramètres!$A$1:$I$88,3,0)*0.475*44/12</f>
        <v>92.102560165369468</v>
      </c>
      <c r="DG122" s="23">
        <f>EXP(-LN(2)/25)*DG121+(1-EXP(-LN(2)/25))/(LN(2)/25)*Calculateur!DB122*Calculateur!DD122*VLOOKUP('Données projet'!$B$13,Paramètres!$A$1:$I$88,3,0)*0.475*44/12</f>
        <v>0</v>
      </c>
      <c r="DH122" s="23">
        <f>EXP(-LN(2)/2)*DH121+(1-EXP(-LN(2)/2))/(LN(2)/2)*DB122*DE122*VLOOKUP('Données projet'!$B$13,Paramètres!$A$1:$I$88,3,0)*0.475*44/12</f>
        <v>0</v>
      </c>
      <c r="DI122" s="24">
        <f t="shared" si="69"/>
        <v>92.102560165369468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-1.4210854715202004E-13</v>
      </c>
      <c r="DP122" s="18">
        <f>DO122*VLOOKUP('Données projet'!$B$14,Paramètres!$A$1:$I$88,3,0)*VLOOKUP('Données projet'!$B$14,Paramètres!$A$1:$I$88,5,0)</f>
        <v>-1.3744738680543379E-13</v>
      </c>
      <c r="DQ122" s="14" t="e">
        <f t="shared" si="97"/>
        <v>#NUM!</v>
      </c>
      <c r="DR122" s="22" t="e">
        <f t="shared" si="70"/>
        <v>#NUM!</v>
      </c>
      <c r="DS122" s="62" t="e">
        <f t="shared" si="71"/>
        <v>#NUM!</v>
      </c>
      <c r="DT122" s="62">
        <f ca="1">AVERAGE(OFFSET($DS$3,0,0,'Données projet'!$E$14+1,1))-AVERAGE(OFFSET($H$3,0,0,'Données projet'!$E$14+1,1))</f>
        <v>290.89727102147953</v>
      </c>
      <c r="DU122" s="62">
        <f t="shared" si="98"/>
        <v>173.19148969173838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projet'!$B$14,Paramètres!$A$1:$I$88,3,0)*0.475*44/12</f>
        <v>69.98231849224797</v>
      </c>
      <c r="EB122" s="23">
        <f>EXP(-LN(2)/25)*EB121+(1-EXP(-LN(2)/25))/(LN(2)/25)*Calculateur!DW122*Calculateur!DY122*VLOOKUP('Données projet'!$B$14,Paramètres!$A$1:$I$88,3,0)*0.475*44/12</f>
        <v>0</v>
      </c>
      <c r="EC122" s="23">
        <f>EXP(-LN(2)/2)*EC121+(1-EXP(-LN(2)/2))/(LN(2)/2)*DW122*DZ122*VLOOKUP('Données projet'!$B$14,Paramètres!$A$1:$I$88,3,0)*0.475*44/12</f>
        <v>0</v>
      </c>
      <c r="ED122" s="24">
        <f t="shared" si="72"/>
        <v>69.98231849224797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projet'!$B$15,Paramètres!$A$1:$I$88,3,0)*VLOOKUP('Données projet'!$B$15,Paramètres!$A$1:$I$88,5,0)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projet'!$B$15,Paramètres!$A$1:$I$88,3,0)*0.475*44/12</f>
        <v>#N/A</v>
      </c>
      <c r="EW122" s="23" t="e">
        <f>EXP(-LN(2)/25)*EW121+(1-EXP(-LN(2)/25))/(LN(2)/25)*Calculateur!ER122*Calculateur!ET122*VLOOKUP('Données projet'!$B$15,Paramètres!$A$1:$I$88,3,0)*0.475*44/12</f>
        <v>#N/A</v>
      </c>
      <c r="EX122" s="23" t="e">
        <f>EXP(-LN(2)/2)*EX121+(1-EXP(-LN(2)/2))/(LN(2)/2)*ER122*EU122*VLOOKUP('Données projet'!$B$15,Paramètres!$A$1:$I$88,3,0)*0.475*44/12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projet'!$B$16,Paramètres!$A$1:$I$88,3,0)*VLOOKUP('Données projet'!$B$16,Paramètres!$A$1:$I$88,5,0)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projet'!$B$16,Paramètres!$A$1:$I$88,3,0)*0.475*44/12</f>
        <v>#N/A</v>
      </c>
      <c r="FR122" s="23" t="e">
        <f>EXP(-LN(2)/25)*FR121+(1-EXP(-LN(2)/25))/(LN(2)/25)*Calculateur!FM122*Calculateur!FO122*VLOOKUP('Données projet'!$B$16,Paramètres!$A$1:$I$88,3,0)*0.475*44/12</f>
        <v>#N/A</v>
      </c>
      <c r="FS122" s="23" t="e">
        <f>EXP(-LN(2)/2)*FS121+(1-EXP(-LN(2)/2))/(LN(2)/2)*FM122*FP122*VLOOKUP('Données projet'!$B$16,Paramètres!$A$1:$I$88,3,0)*0.475*44/12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projet'!$B$17,Paramètres!$A$1:$I$88,3,0)*VLOOKUP('Données projet'!$B$17,Paramètres!$A$1:$I$88,5,0)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projet'!$B$17,Paramètres!$A$1:$I$88,3,0)*0.475*44/12</f>
        <v>#N/A</v>
      </c>
      <c r="GM122" s="23" t="e">
        <f>EXP(-LN(2)/25)*GM121+(1-EXP(-LN(2)/25))/(LN(2)/25)*Calculateur!GH122*Calculateur!GJ122*VLOOKUP('Données projet'!$B$17,Paramètres!$A$1:$I$88,3,0)*0.475*44/12</f>
        <v>#N/A</v>
      </c>
      <c r="GN122" s="23" t="e">
        <f>EXP(-LN(2)/2)*GN121+(1-EXP(-LN(2)/2))/(LN(2)/2)*GH122*GK122*VLOOKUP('Données projet'!$B$17,Paramètres!$A$1:$I$88,3,0)*0.475*44/12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projet'!$B$18,Paramètres!$A$1:$I$88,3,0)*VLOOKUP('Données projet'!$B$18,Paramètres!$A$1:$I$88,5,0)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projet'!$B$18,Paramètres!$A$1:$I$88,3,0)*0.475*44/12</f>
        <v>#N/A</v>
      </c>
      <c r="HH122" s="23" t="e">
        <f>EXP(-LN(2)/25)*HH121+(1-EXP(-LN(2)/25))/(LN(2)/25)*Calculateur!HC122*Calculateur!HE122*VLOOKUP('Données projet'!$B$18,Paramètres!$A$1:$I$88,3,0)*0.475*44/12</f>
        <v>#N/A</v>
      </c>
      <c r="HI122" s="23" t="e">
        <f>EXP(-LN(2)/2)*HI121+(1-EXP(-LN(2)/2))/(LN(2)/2)*HC122*HF122*VLOOKUP('Données projet'!$B$18,Paramètres!$A$1:$I$88,3,0)*0.475*44/12</f>
        <v>#N/A</v>
      </c>
      <c r="HJ122" s="24" t="e">
        <f t="shared" si="84"/>
        <v>#N/A</v>
      </c>
    </row>
    <row r="123" spans="1:218" s="5" customFormat="1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projet'!$B$9,Paramètres!$A$1:$I$88,3,0)*VLOOKUP('Données projet'!$B$9,Paramètres!$A$1:$I$88,5,0)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282.1081607434777</v>
      </c>
      <c r="S123" s="62">
        <f ca="1">AVERAGE(OFFSET($R$3,0,0,'Données projet'!$E$9+1,1))-AVERAGE(OFFSET($H$3,0,0,'Données projet'!$E$9+1,1))</f>
        <v>301.2688576786212</v>
      </c>
      <c r="T123" s="62">
        <f t="shared" si="88"/>
        <v>417.62172165132927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projet'!$B$9,Paramètres!$A$1:$I$88,7,0))</f>
        <v>0</v>
      </c>
      <c r="X123" s="17">
        <f>IF(ISNA(VLOOKUP(A123,'Données projet'!$A$35:$I$55,6,0)),0%,VLOOKUP(A123,'Données projet'!$A$35:$I$55,6,0)*VLOOKUP('Données projet'!$B$9,Paramètres!$A$1:$I$88,7,0))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37.700724348405494</v>
      </c>
      <c r="AA123" s="23">
        <f>EXP(-LN(2)/25)*AA122+(1-EXP(-LN(2)/25))/(LN(2)/25)*Calculateur!V123*Calculateur!X123*VLOOKUP('Données projet'!$B$9,Paramètres!$A$1:$I$88,3,0)*0.475*44/12</f>
        <v>7.1433421176423462</v>
      </c>
      <c r="AB123" s="23">
        <f>EXP(-LN(2)/2)*AB122+(1-EXP(-LN(2)/2))/(LN(2)/2)*V123*Y123*VLOOKUP('Données projet'!$B$9,Paramètres!$A$1:$I$88,3,0)*0.475*44/12</f>
        <v>8.5718923615502478E-10</v>
      </c>
      <c r="AC123" s="24">
        <f t="shared" si="57"/>
        <v>44.844066466905034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projet'!$B$10,Paramètres!$A$1:$I$88,3,0)*VLOOKUP('Données projet'!$B$10,Paramètres!$A$1:$I$88,5,0)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170.08673939431091</v>
      </c>
      <c r="AO123" s="62">
        <f t="shared" si="90"/>
        <v>252.97355497077106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projet'!$B$10,Paramètres!$A$1:$I$88,7,0))</f>
        <v>0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projet'!$B$10,Paramètres!$A$1:$I$88,3,0)*0.475*44/12</f>
        <v>15.741088506798654</v>
      </c>
      <c r="AV123" s="23">
        <f>EXP(-LN(2)/25)*AV122+(1-EXP(-LN(2)/25))/(LN(2)/25)*Calculateur!AQ123*Calculateur!AS123*VLOOKUP('Données projet'!$B$10,Paramètres!$A$1:$I$88,3,0)*0.475*44/12</f>
        <v>7.2401588414263633</v>
      </c>
      <c r="AW123" s="23">
        <f>EXP(-LN(2)/2)*AW122+(1-EXP(-LN(2)/2))/(LN(2)/2)*AQ123*AT123*VLOOKUP('Données projet'!$B$10,Paramètres!$A$1:$I$88,3,0)*0.475*44/12</f>
        <v>1.0979904978799038E-9</v>
      </c>
      <c r="AX123" s="23">
        <f t="shared" si="60"/>
        <v>22.981247349323009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-1.1368683772161603E-13</v>
      </c>
      <c r="BE123" s="14">
        <f>BD123*VLOOKUP('Données projet'!$B$11,Paramètres!$A$1:$I$88,3,0)*VLOOKUP('Données projet'!$B$11,Paramètres!$A$1:$I$88,5,0)</f>
        <v>-1.0286385077051818E-13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362.63718589694594</v>
      </c>
      <c r="BJ123" s="62">
        <f t="shared" si="92"/>
        <v>250.47702091764884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projet'!$B$11,Paramètres!$A$1:$I$88,7,0))</f>
        <v>0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projet'!$B$11,Paramètres!$A$1:$I$88,3,0)*0.475*44/12</f>
        <v>85.855674393072007</v>
      </c>
      <c r="BQ123" s="23">
        <f>EXP(-LN(2)/25)*BQ122+(1-EXP(-LN(2)/25))/(LN(2)/25)*Calculateur!BL123*Calculateur!BN123*VLOOKUP('Données projet'!$B$11,Paramètres!$A$1:$I$88,3,0)*0.475*44/12</f>
        <v>0</v>
      </c>
      <c r="BR123" s="23">
        <f>EXP(-LN(2)/2)*BR122+(1-EXP(-LN(2)/2))/(LN(2)/2)*BL123*BO123*VLOOKUP('Données projet'!$B$11,Paramètres!$A$1:$I$88,3,0)*0.475*44/12</f>
        <v>0</v>
      </c>
      <c r="BS123" s="24">
        <f t="shared" si="63"/>
        <v>85.855674393072007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-1.1368683772161603E-13</v>
      </c>
      <c r="BZ123" s="14">
        <f>BY123*VLOOKUP('Données projet'!$B$12,Paramètres!$A$1:$I$88,3,0)*VLOOKUP('Données projet'!$B$12,Paramètres!$A$1:$I$88,5,0)</f>
        <v>-1.1527845344971866E-13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398.14524781940196</v>
      </c>
      <c r="CE123" s="62">
        <f t="shared" si="94"/>
        <v>273.35778700650792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projet'!$B$12,Paramètres!$A$1:$I$88,3,0)*0.475*44/12</f>
        <v>96.217566130166929</v>
      </c>
      <c r="CL123" s="23">
        <f>EXP(-LN(2)/25)*CL122+(1-EXP(-LN(2)/25))/(LN(2)/25)*Calculateur!CG123*Calculateur!CI123*VLOOKUP('Données projet'!$B$12,Paramètres!$A$1:$I$88,3,0)*0.475*44/12</f>
        <v>0</v>
      </c>
      <c r="CM123" s="23">
        <f>EXP(-LN(2)/2)*CM122+(1-EXP(-LN(2)/2))/(LN(2)/2)*CG123*CJ123*VLOOKUP('Données projet'!$B$12,Paramètres!$A$1:$I$88,3,0)*0.475*44/12</f>
        <v>0</v>
      </c>
      <c r="CN123" s="24">
        <f t="shared" si="66"/>
        <v>96.217566130166929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118</v>
      </c>
      <c r="CU123" s="18">
        <f>CT123*VLOOKUP('Données projet'!$B$13,Paramètres!$A$1:$I$88,3,0)*VLOOKUP('Données projet'!$B$13,Paramètres!$A$1:$I$88,5,0)</f>
        <v>112.28880000000001</v>
      </c>
      <c r="CV123" s="14">
        <f t="shared" si="95"/>
        <v>29.869595672288149</v>
      </c>
      <c r="CW123" s="22">
        <f t="shared" si="67"/>
        <v>247.59253912923518</v>
      </c>
      <c r="CX123" s="62">
        <f t="shared" si="68"/>
        <v>529.70069987271177</v>
      </c>
      <c r="CY123" s="62">
        <f ca="1">AVERAGE(OFFSET($CX$3,0,0,'Données projet'!$E$13+1,1))-AVERAGE(OFFSET($H$3,0,0,'Données projet'!$E$13+1,1))</f>
        <v>470.0521927195926</v>
      </c>
      <c r="CZ123" s="62">
        <f t="shared" si="96"/>
        <v>299.27200854723435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projet'!$B$13,Paramètres!$A$1:$I$88,3,0)*0.475*44/12</f>
        <v>90.296485137541254</v>
      </c>
      <c r="DG123" s="23">
        <f>EXP(-LN(2)/25)*DG122+(1-EXP(-LN(2)/25))/(LN(2)/25)*Calculateur!DB123*Calculateur!DD123*VLOOKUP('Données projet'!$B$13,Paramètres!$A$1:$I$88,3,0)*0.475*44/12</f>
        <v>0</v>
      </c>
      <c r="DH123" s="23">
        <f>EXP(-LN(2)/2)*DH122+(1-EXP(-LN(2)/2))/(LN(2)/2)*DB123*DE123*VLOOKUP('Données projet'!$B$13,Paramètres!$A$1:$I$88,3,0)*0.475*44/12</f>
        <v>0</v>
      </c>
      <c r="DI123" s="24">
        <f t="shared" si="69"/>
        <v>90.296485137541254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-1.4210854715202004E-13</v>
      </c>
      <c r="DP123" s="18">
        <f>DO123*VLOOKUP('Données projet'!$B$14,Paramètres!$A$1:$I$88,3,0)*VLOOKUP('Données projet'!$B$14,Paramètres!$A$1:$I$88,5,0)</f>
        <v>-1.3744738680543379E-13</v>
      </c>
      <c r="DQ123" s="14" t="e">
        <f t="shared" si="97"/>
        <v>#NUM!</v>
      </c>
      <c r="DR123" s="22" t="e">
        <f t="shared" si="70"/>
        <v>#NUM!</v>
      </c>
      <c r="DS123" s="62" t="e">
        <f t="shared" si="71"/>
        <v>#NUM!</v>
      </c>
      <c r="DT123" s="62">
        <f ca="1">AVERAGE(OFFSET($DS$3,0,0,'Données projet'!$E$14+1,1))-AVERAGE(OFFSET($H$3,0,0,'Données projet'!$E$14+1,1))</f>
        <v>290.89727102147953</v>
      </c>
      <c r="DU123" s="62">
        <f t="shared" si="98"/>
        <v>173.19148969173838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projet'!$B$14,Paramètres!$A$1:$I$88,3,0)*0.475*44/12</f>
        <v>68.610007911614474</v>
      </c>
      <c r="EB123" s="23">
        <f>EXP(-LN(2)/25)*EB122+(1-EXP(-LN(2)/25))/(LN(2)/25)*Calculateur!DW123*Calculateur!DY123*VLOOKUP('Données projet'!$B$14,Paramètres!$A$1:$I$88,3,0)*0.475*44/12</f>
        <v>0</v>
      </c>
      <c r="EC123" s="23">
        <f>EXP(-LN(2)/2)*EC122+(1-EXP(-LN(2)/2))/(LN(2)/2)*DW123*DZ123*VLOOKUP('Données projet'!$B$14,Paramètres!$A$1:$I$88,3,0)*0.475*44/12</f>
        <v>0</v>
      </c>
      <c r="ED123" s="24">
        <f t="shared" si="72"/>
        <v>68.610007911614474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projet'!$B$15,Paramètres!$A$1:$I$88,3,0)*VLOOKUP('Données projet'!$B$15,Paramètres!$A$1:$I$88,5,0)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projet'!$B$15,Paramètres!$A$1:$I$88,3,0)*0.475*44/12</f>
        <v>#N/A</v>
      </c>
      <c r="EW123" s="23" t="e">
        <f>EXP(-LN(2)/25)*EW122+(1-EXP(-LN(2)/25))/(LN(2)/25)*Calculateur!ER123*Calculateur!ET123*VLOOKUP('Données projet'!$B$15,Paramètres!$A$1:$I$88,3,0)*0.475*44/12</f>
        <v>#N/A</v>
      </c>
      <c r="EX123" s="23" t="e">
        <f>EXP(-LN(2)/2)*EX122+(1-EXP(-LN(2)/2))/(LN(2)/2)*ER123*EU123*VLOOKUP('Données projet'!$B$15,Paramètres!$A$1:$I$88,3,0)*0.475*44/12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projet'!$B$16,Paramètres!$A$1:$I$88,3,0)*VLOOKUP('Données projet'!$B$16,Paramètres!$A$1:$I$88,5,0)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projet'!$B$16,Paramètres!$A$1:$I$88,3,0)*0.475*44/12</f>
        <v>#N/A</v>
      </c>
      <c r="FR123" s="23" t="e">
        <f>EXP(-LN(2)/25)*FR122+(1-EXP(-LN(2)/25))/(LN(2)/25)*Calculateur!FM123*Calculateur!FO123*VLOOKUP('Données projet'!$B$16,Paramètres!$A$1:$I$88,3,0)*0.475*44/12</f>
        <v>#N/A</v>
      </c>
      <c r="FS123" s="23" t="e">
        <f>EXP(-LN(2)/2)*FS122+(1-EXP(-LN(2)/2))/(LN(2)/2)*FM123*FP123*VLOOKUP('Données projet'!$B$16,Paramètres!$A$1:$I$88,3,0)*0.475*44/12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projet'!$B$17,Paramètres!$A$1:$I$88,3,0)*VLOOKUP('Données projet'!$B$17,Paramètres!$A$1:$I$88,5,0)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projet'!$B$17,Paramètres!$A$1:$I$88,3,0)*0.475*44/12</f>
        <v>#N/A</v>
      </c>
      <c r="GM123" s="23" t="e">
        <f>EXP(-LN(2)/25)*GM122+(1-EXP(-LN(2)/25))/(LN(2)/25)*Calculateur!GH123*Calculateur!GJ123*VLOOKUP('Données projet'!$B$17,Paramètres!$A$1:$I$88,3,0)*0.475*44/12</f>
        <v>#N/A</v>
      </c>
      <c r="GN123" s="23" t="e">
        <f>EXP(-LN(2)/2)*GN122+(1-EXP(-LN(2)/2))/(LN(2)/2)*GH123*GK123*VLOOKUP('Données projet'!$B$17,Paramètres!$A$1:$I$88,3,0)*0.475*44/12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projet'!$B$18,Paramètres!$A$1:$I$88,3,0)*VLOOKUP('Données projet'!$B$18,Paramètres!$A$1:$I$88,5,0)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projet'!$B$18,Paramètres!$A$1:$I$88,3,0)*0.475*44/12</f>
        <v>#N/A</v>
      </c>
      <c r="HH123" s="23" t="e">
        <f>EXP(-LN(2)/25)*HH122+(1-EXP(-LN(2)/25))/(LN(2)/25)*Calculateur!HC123*Calculateur!HE123*VLOOKUP('Données projet'!$B$18,Paramètres!$A$1:$I$88,3,0)*0.475*44/12</f>
        <v>#N/A</v>
      </c>
      <c r="HI123" s="23" t="e">
        <f>EXP(-LN(2)/2)*HI122+(1-EXP(-LN(2)/2))/(LN(2)/2)*HC123*HF123*VLOOKUP('Données projet'!$B$18,Paramètres!$A$1:$I$88,3,0)*0.475*44/12</f>
        <v>#N/A</v>
      </c>
      <c r="HJ123" s="24" t="e">
        <f t="shared" si="84"/>
        <v>#N/A</v>
      </c>
    </row>
    <row r="124" spans="1:218" s="5" customFormat="1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projet'!$B$9,Paramètres!$A$1:$I$88,3,0)*VLOOKUP('Données projet'!$B$9,Paramètres!$A$1:$I$88,5,0)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282.30289239218547</v>
      </c>
      <c r="S124" s="62">
        <f ca="1">AVERAGE(OFFSET($R$3,0,0,'Données projet'!$E$9+1,1))-AVERAGE(OFFSET($H$3,0,0,'Données projet'!$E$9+1,1))</f>
        <v>301.2688576786212</v>
      </c>
      <c r="T124" s="62">
        <f t="shared" si="88"/>
        <v>417.62172165132927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projet'!$B$9,Paramètres!$A$1:$I$88,7,0))</f>
        <v>0</v>
      </c>
      <c r="X124" s="17">
        <f>IF(ISNA(VLOOKUP(A124,'Données projet'!$A$35:$I$55,6,0)),0%,VLOOKUP(A124,'Données projet'!$A$35:$I$55,6,0)*VLOOKUP('Données projet'!$B$9,Paramètres!$A$1:$I$88,7,0))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36.961436139104528</v>
      </c>
      <c r="AA124" s="23">
        <f>EXP(-LN(2)/25)*AA123+(1-EXP(-LN(2)/25))/(LN(2)/25)*Calculateur!V124*Calculateur!X124*VLOOKUP('Données projet'!$B$9,Paramètres!$A$1:$I$88,3,0)*0.475*44/12</f>
        <v>6.9480070517833807</v>
      </c>
      <c r="AB124" s="23">
        <f>EXP(-LN(2)/2)*AB123+(1-EXP(-LN(2)/2))/(LN(2)/2)*V124*Y124*VLOOKUP('Données projet'!$B$9,Paramètres!$A$1:$I$88,3,0)*0.475*44/12</f>
        <v>6.0612432164533491E-10</v>
      </c>
      <c r="AC124" s="24">
        <f t="shared" si="57"/>
        <v>43.909443191494027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projet'!$B$10,Paramètres!$A$1:$I$88,3,0)*VLOOKUP('Données projet'!$B$10,Paramètres!$A$1:$I$88,5,0)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170.08673939431091</v>
      </c>
      <c r="AO124" s="62">
        <f t="shared" si="90"/>
        <v>252.97355497077106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projet'!$B$10,Paramètres!$A$1:$I$88,3,0)*0.475*44/12</f>
        <v>15.43241536229629</v>
      </c>
      <c r="AV124" s="23">
        <f>EXP(-LN(2)/25)*AV123+(1-EXP(-LN(2)/25))/(LN(2)/25)*Calculateur!AQ124*Calculateur!AS124*VLOOKUP('Données projet'!$B$10,Paramètres!$A$1:$I$88,3,0)*0.475*44/12</f>
        <v>7.0421763171641532</v>
      </c>
      <c r="AW124" s="23">
        <f>EXP(-LN(2)/2)*AW123+(1-EXP(-LN(2)/2))/(LN(2)/2)*AQ124*AT124*VLOOKUP('Données projet'!$B$10,Paramètres!$A$1:$I$88,3,0)*0.475*44/12</f>
        <v>7.7639652672927355E-10</v>
      </c>
      <c r="AX124" s="23">
        <f t="shared" si="60"/>
        <v>22.474591680236838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-1.1368683772161603E-13</v>
      </c>
      <c r="BE124" s="14">
        <f>BD124*VLOOKUP('Données projet'!$B$11,Paramètres!$A$1:$I$88,3,0)*VLOOKUP('Données projet'!$B$11,Paramètres!$A$1:$I$88,5,0)</f>
        <v>-1.0286385077051818E-13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362.63718589694594</v>
      </c>
      <c r="BJ124" s="62">
        <f t="shared" si="92"/>
        <v>250.47702091764884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projet'!$B$11,Paramètres!$A$1:$I$88,3,0)*0.475*44/12</f>
        <v>84.172096985014448</v>
      </c>
      <c r="BQ124" s="23">
        <f>EXP(-LN(2)/25)*BQ123+(1-EXP(-LN(2)/25))/(LN(2)/25)*Calculateur!BL124*Calculateur!BN124*VLOOKUP('Données projet'!$B$11,Paramètres!$A$1:$I$88,3,0)*0.475*44/12</f>
        <v>0</v>
      </c>
      <c r="BR124" s="23">
        <f>EXP(-LN(2)/2)*BR123+(1-EXP(-LN(2)/2))/(LN(2)/2)*BL124*BO124*VLOOKUP('Données projet'!$B$11,Paramètres!$A$1:$I$88,3,0)*0.475*44/12</f>
        <v>0</v>
      </c>
      <c r="BS124" s="24">
        <f t="shared" si="63"/>
        <v>84.172096985014448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-1.1368683772161603E-13</v>
      </c>
      <c r="BZ124" s="14">
        <f>BY124*VLOOKUP('Données projet'!$B$12,Paramètres!$A$1:$I$88,3,0)*VLOOKUP('Données projet'!$B$12,Paramètres!$A$1:$I$88,5,0)</f>
        <v>-1.1527845344971866E-13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398.14524781940196</v>
      </c>
      <c r="CE124" s="62">
        <f t="shared" si="94"/>
        <v>273.35778700650792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projet'!$B$12,Paramètres!$A$1:$I$88,3,0)*0.475*44/12</f>
        <v>94.330798345274843</v>
      </c>
      <c r="CL124" s="23">
        <f>EXP(-LN(2)/25)*CL123+(1-EXP(-LN(2)/25))/(LN(2)/25)*Calculateur!CG124*Calculateur!CI124*VLOOKUP('Données projet'!$B$12,Paramètres!$A$1:$I$88,3,0)*0.475*44/12</f>
        <v>0</v>
      </c>
      <c r="CM124" s="23">
        <f>EXP(-LN(2)/2)*CM123+(1-EXP(-LN(2)/2))/(LN(2)/2)*CG124*CJ124*VLOOKUP('Données projet'!$B$12,Paramètres!$A$1:$I$88,3,0)*0.475*44/12</f>
        <v>0</v>
      </c>
      <c r="CN124" s="24">
        <f t="shared" si="66"/>
        <v>94.330798345274843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118</v>
      </c>
      <c r="CU124" s="18">
        <f>CT124*VLOOKUP('Données projet'!$B$13,Paramètres!$A$1:$I$88,3,0)*VLOOKUP('Données projet'!$B$13,Paramètres!$A$1:$I$88,5,0)</f>
        <v>112.28880000000001</v>
      </c>
      <c r="CV124" s="14">
        <f t="shared" si="95"/>
        <v>29.869595672288149</v>
      </c>
      <c r="CW124" s="22">
        <f t="shared" si="67"/>
        <v>247.59253912923518</v>
      </c>
      <c r="CX124" s="62">
        <f t="shared" si="68"/>
        <v>529.8954315214196</v>
      </c>
      <c r="CY124" s="62">
        <f ca="1">AVERAGE(OFFSET($CX$3,0,0,'Données projet'!$E$13+1,1))-AVERAGE(OFFSET($H$3,0,0,'Données projet'!$E$13+1,1))</f>
        <v>470.0521927195926</v>
      </c>
      <c r="CZ124" s="62">
        <f t="shared" si="96"/>
        <v>299.27200854723435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projet'!$B$13,Paramètres!$A$1:$I$88,3,0)*0.475*44/12</f>
        <v>88.525826139411762</v>
      </c>
      <c r="DG124" s="23">
        <f>EXP(-LN(2)/25)*DG123+(1-EXP(-LN(2)/25))/(LN(2)/25)*Calculateur!DB124*Calculateur!DD124*VLOOKUP('Données projet'!$B$13,Paramètres!$A$1:$I$88,3,0)*0.475*44/12</f>
        <v>0</v>
      </c>
      <c r="DH124" s="23">
        <f>EXP(-LN(2)/2)*DH123+(1-EXP(-LN(2)/2))/(LN(2)/2)*DB124*DE124*VLOOKUP('Données projet'!$B$13,Paramètres!$A$1:$I$88,3,0)*0.475*44/12</f>
        <v>0</v>
      </c>
      <c r="DI124" s="24">
        <f t="shared" si="69"/>
        <v>88.525826139411762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-1.4210854715202004E-13</v>
      </c>
      <c r="DP124" s="18">
        <f>DO124*VLOOKUP('Données projet'!$B$14,Paramètres!$A$1:$I$88,3,0)*VLOOKUP('Données projet'!$B$14,Paramètres!$A$1:$I$88,5,0)</f>
        <v>-1.3744738680543379E-13</v>
      </c>
      <c r="DQ124" s="14" t="e">
        <f t="shared" si="97"/>
        <v>#NUM!</v>
      </c>
      <c r="DR124" s="22" t="e">
        <f t="shared" si="70"/>
        <v>#NUM!</v>
      </c>
      <c r="DS124" s="62" t="e">
        <f t="shared" si="71"/>
        <v>#NUM!</v>
      </c>
      <c r="DT124" s="62">
        <f ca="1">AVERAGE(OFFSET($DS$3,0,0,'Données projet'!$E$14+1,1))-AVERAGE(OFFSET($H$3,0,0,'Données projet'!$E$14+1,1))</f>
        <v>290.89727102147953</v>
      </c>
      <c r="DU124" s="62">
        <f t="shared" si="98"/>
        <v>173.19148969173838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projet'!$B$14,Paramètres!$A$1:$I$88,3,0)*0.475*44/12</f>
        <v>67.264607504440391</v>
      </c>
      <c r="EB124" s="23">
        <f>EXP(-LN(2)/25)*EB123+(1-EXP(-LN(2)/25))/(LN(2)/25)*Calculateur!DW124*Calculateur!DY124*VLOOKUP('Données projet'!$B$14,Paramètres!$A$1:$I$88,3,0)*0.475*44/12</f>
        <v>0</v>
      </c>
      <c r="EC124" s="23">
        <f>EXP(-LN(2)/2)*EC123+(1-EXP(-LN(2)/2))/(LN(2)/2)*DW124*DZ124*VLOOKUP('Données projet'!$B$14,Paramètres!$A$1:$I$88,3,0)*0.475*44/12</f>
        <v>0</v>
      </c>
      <c r="ED124" s="24">
        <f t="shared" si="72"/>
        <v>67.264607504440391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projet'!$B$15,Paramètres!$A$1:$I$88,3,0)*VLOOKUP('Données projet'!$B$15,Paramètres!$A$1:$I$88,5,0)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projet'!$B$15,Paramètres!$A$1:$I$88,3,0)*0.475*44/12</f>
        <v>#N/A</v>
      </c>
      <c r="EW124" s="23" t="e">
        <f>EXP(-LN(2)/25)*EW123+(1-EXP(-LN(2)/25))/(LN(2)/25)*Calculateur!ER124*Calculateur!ET124*VLOOKUP('Données projet'!$B$15,Paramètres!$A$1:$I$88,3,0)*0.475*44/12</f>
        <v>#N/A</v>
      </c>
      <c r="EX124" s="23" t="e">
        <f>EXP(-LN(2)/2)*EX123+(1-EXP(-LN(2)/2))/(LN(2)/2)*ER124*EU124*VLOOKUP('Données projet'!$B$15,Paramètres!$A$1:$I$88,3,0)*0.475*44/12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projet'!$B$16,Paramètres!$A$1:$I$88,3,0)*VLOOKUP('Données projet'!$B$16,Paramètres!$A$1:$I$88,5,0)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projet'!$B$16,Paramètres!$A$1:$I$88,3,0)*0.475*44/12</f>
        <v>#N/A</v>
      </c>
      <c r="FR124" s="23" t="e">
        <f>EXP(-LN(2)/25)*FR123+(1-EXP(-LN(2)/25))/(LN(2)/25)*Calculateur!FM124*Calculateur!FO124*VLOOKUP('Données projet'!$B$16,Paramètres!$A$1:$I$88,3,0)*0.475*44/12</f>
        <v>#N/A</v>
      </c>
      <c r="FS124" s="23" t="e">
        <f>EXP(-LN(2)/2)*FS123+(1-EXP(-LN(2)/2))/(LN(2)/2)*FM124*FP124*VLOOKUP('Données projet'!$B$16,Paramètres!$A$1:$I$88,3,0)*0.475*44/12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projet'!$B$17,Paramètres!$A$1:$I$88,3,0)*VLOOKUP('Données projet'!$B$17,Paramètres!$A$1:$I$88,5,0)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projet'!$B$17,Paramètres!$A$1:$I$88,3,0)*0.475*44/12</f>
        <v>#N/A</v>
      </c>
      <c r="GM124" s="23" t="e">
        <f>EXP(-LN(2)/25)*GM123+(1-EXP(-LN(2)/25))/(LN(2)/25)*Calculateur!GH124*Calculateur!GJ124*VLOOKUP('Données projet'!$B$17,Paramètres!$A$1:$I$88,3,0)*0.475*44/12</f>
        <v>#N/A</v>
      </c>
      <c r="GN124" s="23" t="e">
        <f>EXP(-LN(2)/2)*GN123+(1-EXP(-LN(2)/2))/(LN(2)/2)*GH124*GK124*VLOOKUP('Données projet'!$B$17,Paramètres!$A$1:$I$88,3,0)*0.475*44/12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projet'!$B$18,Paramètres!$A$1:$I$88,3,0)*VLOOKUP('Données projet'!$B$18,Paramètres!$A$1:$I$88,5,0)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projet'!$B$18,Paramètres!$A$1:$I$88,3,0)*0.475*44/12</f>
        <v>#N/A</v>
      </c>
      <c r="HH124" s="23" t="e">
        <f>EXP(-LN(2)/25)*HH123+(1-EXP(-LN(2)/25))/(LN(2)/25)*Calculateur!HC124*Calculateur!HE124*VLOOKUP('Données projet'!$B$18,Paramètres!$A$1:$I$88,3,0)*0.475*44/12</f>
        <v>#N/A</v>
      </c>
      <c r="HI124" s="23" t="e">
        <f>EXP(-LN(2)/2)*HI123+(1-EXP(-LN(2)/2))/(LN(2)/2)*HC124*HF124*VLOOKUP('Données projet'!$B$18,Paramètres!$A$1:$I$88,3,0)*0.475*44/12</f>
        <v>#N/A</v>
      </c>
      <c r="HJ124" s="24" t="e">
        <f t="shared" si="84"/>
        <v>#N/A</v>
      </c>
    </row>
    <row r="125" spans="1:218" s="5" customFormat="1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projet'!$B$9,Paramètres!$A$1:$I$88,3,0)*VLOOKUP('Données projet'!$B$9,Paramètres!$A$1:$I$88,5,0)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282.49424588214288</v>
      </c>
      <c r="S125" s="62">
        <f ca="1">AVERAGE(OFFSET($R$3,0,0,'Données projet'!$E$9+1,1))-AVERAGE(OFFSET($H$3,0,0,'Données projet'!$E$9+1,1))</f>
        <v>301.2688576786212</v>
      </c>
      <c r="T125" s="62">
        <f t="shared" si="88"/>
        <v>417.62172165132927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36.23664492066667</v>
      </c>
      <c r="AA125" s="23">
        <f>EXP(-LN(2)/25)*AA124+(1-EXP(-LN(2)/25))/(LN(2)/25)*Calculateur!V125*Calculateur!X125*VLOOKUP('Données projet'!$B$9,Paramètres!$A$1:$I$88,3,0)*0.475*44/12</f>
        <v>6.758013433572553</v>
      </c>
      <c r="AB125" s="23">
        <f>EXP(-LN(2)/2)*AB124+(1-EXP(-LN(2)/2))/(LN(2)/2)*V125*Y125*VLOOKUP('Données projet'!$B$9,Paramètres!$A$1:$I$88,3,0)*0.475*44/12</f>
        <v>4.2859461807751239E-10</v>
      </c>
      <c r="AC125" s="24">
        <f t="shared" si="57"/>
        <v>42.994658354667813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projet'!$B$10,Paramètres!$A$1:$I$88,3,0)*VLOOKUP('Données projet'!$B$10,Paramètres!$A$1:$I$88,5,0)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170.08673939431091</v>
      </c>
      <c r="AO125" s="62">
        <f t="shared" si="90"/>
        <v>252.97355497077106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projet'!$B$10,Paramètres!$A$1:$I$88,3,0)*0.475*44/12</f>
        <v>15.12979510988559</v>
      </c>
      <c r="AV125" s="23">
        <f>EXP(-LN(2)/25)*AV124+(1-EXP(-LN(2)/25))/(LN(2)/25)*Calculateur!AQ125*Calculateur!AS125*VLOOKUP('Données projet'!$B$10,Paramètres!$A$1:$I$88,3,0)*0.475*44/12</f>
        <v>6.8496076354393418</v>
      </c>
      <c r="AW125" s="23">
        <f>EXP(-LN(2)/2)*AW124+(1-EXP(-LN(2)/2))/(LN(2)/2)*AQ125*AT125*VLOOKUP('Données projet'!$B$10,Paramètres!$A$1:$I$88,3,0)*0.475*44/12</f>
        <v>5.4899524893995192E-10</v>
      </c>
      <c r="AX125" s="23">
        <f t="shared" si="60"/>
        <v>21.979402745873927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-1.1368683772161603E-13</v>
      </c>
      <c r="BE125" s="14">
        <f>BD125*VLOOKUP('Données projet'!$B$11,Paramètres!$A$1:$I$88,3,0)*VLOOKUP('Données projet'!$B$11,Paramètres!$A$1:$I$88,5,0)</f>
        <v>-1.0286385077051818E-13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362.63718589694594</v>
      </c>
      <c r="BJ125" s="62">
        <f t="shared" si="92"/>
        <v>250.47702091764884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projet'!$B$11,Paramètres!$A$1:$I$88,3,0)*0.475*44/12</f>
        <v>82.521533503048076</v>
      </c>
      <c r="BQ125" s="23">
        <f>EXP(-LN(2)/25)*BQ124+(1-EXP(-LN(2)/25))/(LN(2)/25)*Calculateur!BL125*Calculateur!BN125*VLOOKUP('Données projet'!$B$11,Paramètres!$A$1:$I$88,3,0)*0.475*44/12</f>
        <v>0</v>
      </c>
      <c r="BR125" s="23">
        <f>EXP(-LN(2)/2)*BR124+(1-EXP(-LN(2)/2))/(LN(2)/2)*BL125*BO125*VLOOKUP('Données projet'!$B$11,Paramètres!$A$1:$I$88,3,0)*0.475*44/12</f>
        <v>0</v>
      </c>
      <c r="BS125" s="24">
        <f t="shared" si="63"/>
        <v>82.521533503048076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-1.1368683772161603E-13</v>
      </c>
      <c r="BZ125" s="14">
        <f>BY125*VLOOKUP('Données projet'!$B$12,Paramètres!$A$1:$I$88,3,0)*VLOOKUP('Données projet'!$B$12,Paramètres!$A$1:$I$88,5,0)</f>
        <v>-1.1527845344971866E-13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398.14524781940196</v>
      </c>
      <c r="CE125" s="62">
        <f t="shared" si="94"/>
        <v>273.35778700650792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projet'!$B$12,Paramètres!$A$1:$I$88,3,0)*0.475*44/12</f>
        <v>92.481028925829776</v>
      </c>
      <c r="CL125" s="23">
        <f>EXP(-LN(2)/25)*CL124+(1-EXP(-LN(2)/25))/(LN(2)/25)*Calculateur!CG125*Calculateur!CI125*VLOOKUP('Données projet'!$B$12,Paramètres!$A$1:$I$88,3,0)*0.475*44/12</f>
        <v>0</v>
      </c>
      <c r="CM125" s="23">
        <f>EXP(-LN(2)/2)*CM124+(1-EXP(-LN(2)/2))/(LN(2)/2)*CG125*CJ125*VLOOKUP('Données projet'!$B$12,Paramètres!$A$1:$I$88,3,0)*0.475*44/12</f>
        <v>0</v>
      </c>
      <c r="CN125" s="24">
        <f t="shared" si="66"/>
        <v>92.481028925829776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118</v>
      </c>
      <c r="CU125" s="18">
        <f>CT125*VLOOKUP('Données projet'!$B$13,Paramètres!$A$1:$I$88,3,0)*VLOOKUP('Données projet'!$B$13,Paramètres!$A$1:$I$88,5,0)</f>
        <v>112.28880000000001</v>
      </c>
      <c r="CV125" s="14">
        <f t="shared" si="95"/>
        <v>29.869595672288149</v>
      </c>
      <c r="CW125" s="22">
        <f t="shared" si="67"/>
        <v>247.59253912923518</v>
      </c>
      <c r="CX125" s="62">
        <f t="shared" si="68"/>
        <v>530.08678501137695</v>
      </c>
      <c r="CY125" s="62">
        <f ca="1">AVERAGE(OFFSET($CX$3,0,0,'Données projet'!$E$13+1,1))-AVERAGE(OFFSET($H$3,0,0,'Données projet'!$E$13+1,1))</f>
        <v>470.0521927195926</v>
      </c>
      <c r="CZ125" s="62">
        <f t="shared" si="96"/>
        <v>299.27200854723435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projet'!$B$13,Paramètres!$A$1:$I$88,3,0)*0.475*44/12</f>
        <v>86.789888684240239</v>
      </c>
      <c r="DG125" s="23">
        <f>EXP(-LN(2)/25)*DG124+(1-EXP(-LN(2)/25))/(LN(2)/25)*Calculateur!DB125*Calculateur!DD125*VLOOKUP('Données projet'!$B$13,Paramètres!$A$1:$I$88,3,0)*0.475*44/12</f>
        <v>0</v>
      </c>
      <c r="DH125" s="23">
        <f>EXP(-LN(2)/2)*DH124+(1-EXP(-LN(2)/2))/(LN(2)/2)*DB125*DE125*VLOOKUP('Données projet'!$B$13,Paramètres!$A$1:$I$88,3,0)*0.475*44/12</f>
        <v>0</v>
      </c>
      <c r="DI125" s="24">
        <f t="shared" si="69"/>
        <v>86.789888684240239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-1.4210854715202004E-13</v>
      </c>
      <c r="DP125" s="18">
        <f>DO125*VLOOKUP('Données projet'!$B$14,Paramètres!$A$1:$I$88,3,0)*VLOOKUP('Données projet'!$B$14,Paramètres!$A$1:$I$88,5,0)</f>
        <v>-1.3744738680543379E-13</v>
      </c>
      <c r="DQ125" s="14" t="e">
        <f t="shared" si="97"/>
        <v>#NUM!</v>
      </c>
      <c r="DR125" s="22" t="e">
        <f t="shared" si="70"/>
        <v>#NUM!</v>
      </c>
      <c r="DS125" s="62" t="e">
        <f t="shared" si="71"/>
        <v>#NUM!</v>
      </c>
      <c r="DT125" s="62">
        <f ca="1">AVERAGE(OFFSET($DS$3,0,0,'Données projet'!$E$14+1,1))-AVERAGE(OFFSET($H$3,0,0,'Données projet'!$E$14+1,1))</f>
        <v>290.89727102147953</v>
      </c>
      <c r="DU125" s="62">
        <f t="shared" si="98"/>
        <v>173.19148969173838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projet'!$B$14,Paramètres!$A$1:$I$88,3,0)*0.475*44/12</f>
        <v>65.945589578637779</v>
      </c>
      <c r="EB125" s="23">
        <f>EXP(-LN(2)/25)*EB124+(1-EXP(-LN(2)/25))/(LN(2)/25)*Calculateur!DW125*Calculateur!DY125*VLOOKUP('Données projet'!$B$14,Paramètres!$A$1:$I$88,3,0)*0.475*44/12</f>
        <v>0</v>
      </c>
      <c r="EC125" s="23">
        <f>EXP(-LN(2)/2)*EC124+(1-EXP(-LN(2)/2))/(LN(2)/2)*DW125*DZ125*VLOOKUP('Données projet'!$B$14,Paramètres!$A$1:$I$88,3,0)*0.475*44/12</f>
        <v>0</v>
      </c>
      <c r="ED125" s="24">
        <f t="shared" si="72"/>
        <v>65.945589578637779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projet'!$B$15,Paramètres!$A$1:$I$88,3,0)*VLOOKUP('Données projet'!$B$15,Paramètres!$A$1:$I$88,5,0)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projet'!$B$15,Paramètres!$A$1:$I$88,3,0)*0.475*44/12</f>
        <v>#N/A</v>
      </c>
      <c r="EW125" s="23" t="e">
        <f>EXP(-LN(2)/25)*EW124+(1-EXP(-LN(2)/25))/(LN(2)/25)*Calculateur!ER125*Calculateur!ET125*VLOOKUP('Données projet'!$B$15,Paramètres!$A$1:$I$88,3,0)*0.475*44/12</f>
        <v>#N/A</v>
      </c>
      <c r="EX125" s="23" t="e">
        <f>EXP(-LN(2)/2)*EX124+(1-EXP(-LN(2)/2))/(LN(2)/2)*ER125*EU125*VLOOKUP('Données projet'!$B$15,Paramètres!$A$1:$I$88,3,0)*0.475*44/12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projet'!$B$16,Paramètres!$A$1:$I$88,3,0)*VLOOKUP('Données projet'!$B$16,Paramètres!$A$1:$I$88,5,0)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projet'!$B$16,Paramètres!$A$1:$I$88,3,0)*0.475*44/12</f>
        <v>#N/A</v>
      </c>
      <c r="FR125" s="23" t="e">
        <f>EXP(-LN(2)/25)*FR124+(1-EXP(-LN(2)/25))/(LN(2)/25)*Calculateur!FM125*Calculateur!FO125*VLOOKUP('Données projet'!$B$16,Paramètres!$A$1:$I$88,3,0)*0.475*44/12</f>
        <v>#N/A</v>
      </c>
      <c r="FS125" s="23" t="e">
        <f>EXP(-LN(2)/2)*FS124+(1-EXP(-LN(2)/2))/(LN(2)/2)*FM125*FP125*VLOOKUP('Données projet'!$B$16,Paramètres!$A$1:$I$88,3,0)*0.475*44/12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projet'!$B$17,Paramètres!$A$1:$I$88,3,0)*VLOOKUP('Données projet'!$B$17,Paramètres!$A$1:$I$88,5,0)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projet'!$B$17,Paramètres!$A$1:$I$88,3,0)*0.475*44/12</f>
        <v>#N/A</v>
      </c>
      <c r="GM125" s="23" t="e">
        <f>EXP(-LN(2)/25)*GM124+(1-EXP(-LN(2)/25))/(LN(2)/25)*Calculateur!GH125*Calculateur!GJ125*VLOOKUP('Données projet'!$B$17,Paramètres!$A$1:$I$88,3,0)*0.475*44/12</f>
        <v>#N/A</v>
      </c>
      <c r="GN125" s="23" t="e">
        <f>EXP(-LN(2)/2)*GN124+(1-EXP(-LN(2)/2))/(LN(2)/2)*GH125*GK125*VLOOKUP('Données projet'!$B$17,Paramètres!$A$1:$I$88,3,0)*0.475*44/12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projet'!$B$18,Paramètres!$A$1:$I$88,3,0)*VLOOKUP('Données projet'!$B$18,Paramètres!$A$1:$I$88,5,0)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projet'!$B$18,Paramètres!$A$1:$I$88,3,0)*0.475*44/12</f>
        <v>#N/A</v>
      </c>
      <c r="HH125" s="23" t="e">
        <f>EXP(-LN(2)/25)*HH124+(1-EXP(-LN(2)/25))/(LN(2)/25)*Calculateur!HC125*Calculateur!HE125*VLOOKUP('Données projet'!$B$18,Paramètres!$A$1:$I$88,3,0)*0.475*44/12</f>
        <v>#N/A</v>
      </c>
      <c r="HI125" s="23" t="e">
        <f>EXP(-LN(2)/2)*HI124+(1-EXP(-LN(2)/2))/(LN(2)/2)*HC125*HF125*VLOOKUP('Données projet'!$B$18,Paramètres!$A$1:$I$88,3,0)*0.475*44/12</f>
        <v>#N/A</v>
      </c>
      <c r="HJ125" s="24" t="e">
        <f t="shared" si="84"/>
        <v>#N/A</v>
      </c>
    </row>
    <row r="126" spans="1:218" s="5" customFormat="1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projet'!$B$9,Paramètres!$A$1:$I$88,3,0)*VLOOKUP('Données projet'!$B$9,Paramètres!$A$1:$I$88,5,0)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282.68227981685175</v>
      </c>
      <c r="S126" s="62">
        <f ca="1">AVERAGE(OFFSET($R$3,0,0,'Données projet'!$E$9+1,1))-AVERAGE(OFFSET($H$3,0,0,'Données projet'!$E$9+1,1))</f>
        <v>301.2688576786212</v>
      </c>
      <c r="T126" s="62">
        <f t="shared" si="88"/>
        <v>417.62172165132927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projet'!$B$9,Paramètres!$A$1:$I$88,7,0))</f>
        <v>0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35.52606641594339</v>
      </c>
      <c r="AA126" s="23">
        <f>EXP(-LN(2)/25)*AA125+(1-EXP(-LN(2)/25))/(LN(2)/25)*Calculateur!V126*Calculateur!X126*VLOOKUP('Données projet'!$B$9,Paramètres!$A$1:$I$88,3,0)*0.475*44/12</f>
        <v>6.5732152008430305</v>
      </c>
      <c r="AB126" s="23">
        <f>EXP(-LN(2)/2)*AB125+(1-EXP(-LN(2)/2))/(LN(2)/2)*V126*Y126*VLOOKUP('Données projet'!$B$9,Paramètres!$A$1:$I$88,3,0)*0.475*44/12</f>
        <v>3.0306216082266745E-10</v>
      </c>
      <c r="AC126" s="24">
        <f t="shared" si="57"/>
        <v>42.099281617089481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projet'!$B$10,Paramètres!$A$1:$I$88,3,0)*VLOOKUP('Données projet'!$B$10,Paramètres!$A$1:$I$88,5,0)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170.08673939431091</v>
      </c>
      <c r="AO126" s="62">
        <f t="shared" si="90"/>
        <v>252.97355497077106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projet'!$B$10,Paramètres!$A$1:$I$88,3,0)*0.475*44/12</f>
        <v>14.833109056044535</v>
      </c>
      <c r="AV126" s="23">
        <f>EXP(-LN(2)/25)*AV125+(1-EXP(-LN(2)/25))/(LN(2)/25)*Calculateur!AQ126*Calculateur!AS126*VLOOKUP('Données projet'!$B$10,Paramètres!$A$1:$I$88,3,0)*0.475*44/12</f>
        <v>6.662304754443042</v>
      </c>
      <c r="AW126" s="23">
        <f>EXP(-LN(2)/2)*AW125+(1-EXP(-LN(2)/2))/(LN(2)/2)*AQ126*AT126*VLOOKUP('Données projet'!$B$10,Paramètres!$A$1:$I$88,3,0)*0.475*44/12</f>
        <v>3.8819826336463678E-10</v>
      </c>
      <c r="AX126" s="23">
        <f t="shared" si="60"/>
        <v>21.495413810875775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-1.1368683772161603E-13</v>
      </c>
      <c r="BE126" s="14">
        <f>BD126*VLOOKUP('Données projet'!$B$11,Paramètres!$A$1:$I$88,3,0)*VLOOKUP('Données projet'!$B$11,Paramètres!$A$1:$I$88,5,0)</f>
        <v>-1.0286385077051818E-13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362.63718589694594</v>
      </c>
      <c r="BJ126" s="62">
        <f t="shared" si="92"/>
        <v>250.47702091764884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projet'!$B$11,Paramètres!$A$1:$I$88,3,0)*0.475*44/12</f>
        <v>80.903336564218748</v>
      </c>
      <c r="BQ126" s="23">
        <f>EXP(-LN(2)/25)*BQ125+(1-EXP(-LN(2)/25))/(LN(2)/25)*Calculateur!BL126*Calculateur!BN126*VLOOKUP('Données projet'!$B$11,Paramètres!$A$1:$I$88,3,0)*0.475*44/12</f>
        <v>0</v>
      </c>
      <c r="BR126" s="23">
        <f>EXP(-LN(2)/2)*BR125+(1-EXP(-LN(2)/2))/(LN(2)/2)*BL126*BO126*VLOOKUP('Données projet'!$B$11,Paramètres!$A$1:$I$88,3,0)*0.475*44/12</f>
        <v>0</v>
      </c>
      <c r="BS126" s="24">
        <f t="shared" si="63"/>
        <v>80.903336564218748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-1.1368683772161603E-13</v>
      </c>
      <c r="BZ126" s="14">
        <f>BY126*VLOOKUP('Données projet'!$B$12,Paramètres!$A$1:$I$88,3,0)*VLOOKUP('Données projet'!$B$12,Paramètres!$A$1:$I$88,5,0)</f>
        <v>-1.1527845344971866E-13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398.14524781940196</v>
      </c>
      <c r="CE126" s="62">
        <f t="shared" si="94"/>
        <v>273.35778700650792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projet'!$B$12,Paramètres!$A$1:$I$88,3,0)*0.475*44/12</f>
        <v>90.667532356452085</v>
      </c>
      <c r="CL126" s="23">
        <f>EXP(-LN(2)/25)*CL125+(1-EXP(-LN(2)/25))/(LN(2)/25)*Calculateur!CG126*Calculateur!CI126*VLOOKUP('Données projet'!$B$12,Paramètres!$A$1:$I$88,3,0)*0.475*44/12</f>
        <v>0</v>
      </c>
      <c r="CM126" s="23">
        <f>EXP(-LN(2)/2)*CM125+(1-EXP(-LN(2)/2))/(LN(2)/2)*CG126*CJ126*VLOOKUP('Données projet'!$B$12,Paramètres!$A$1:$I$88,3,0)*0.475*44/12</f>
        <v>0</v>
      </c>
      <c r="CN126" s="24">
        <f t="shared" si="66"/>
        <v>90.667532356452085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118</v>
      </c>
      <c r="CU126" s="18">
        <f>CT126*VLOOKUP('Données projet'!$B$13,Paramètres!$A$1:$I$88,3,0)*VLOOKUP('Données projet'!$B$13,Paramètres!$A$1:$I$88,5,0)</f>
        <v>112.28880000000001</v>
      </c>
      <c r="CV126" s="14">
        <f t="shared" si="95"/>
        <v>29.869595672288149</v>
      </c>
      <c r="CW126" s="22">
        <f t="shared" si="67"/>
        <v>247.59253912923518</v>
      </c>
      <c r="CX126" s="62">
        <f t="shared" si="68"/>
        <v>530.27481894608582</v>
      </c>
      <c r="CY126" s="62">
        <f ca="1">AVERAGE(OFFSET($CX$3,0,0,'Données projet'!$E$13+1,1))-AVERAGE(OFFSET($H$3,0,0,'Données projet'!$E$13+1,1))</f>
        <v>470.0521927195926</v>
      </c>
      <c r="CZ126" s="62">
        <f t="shared" si="96"/>
        <v>299.27200854723435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projet'!$B$13,Paramètres!$A$1:$I$88,7,0))</f>
        <v>0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projet'!$B$13,Paramètres!$A$1:$I$88,3,0)*0.475*44/12</f>
        <v>85.087991903747323</v>
      </c>
      <c r="DG126" s="23">
        <f>EXP(-LN(2)/25)*DG125+(1-EXP(-LN(2)/25))/(LN(2)/25)*Calculateur!DB126*Calculateur!DD126*VLOOKUP('Données projet'!$B$13,Paramètres!$A$1:$I$88,3,0)*0.475*44/12</f>
        <v>0</v>
      </c>
      <c r="DH126" s="23">
        <f>EXP(-LN(2)/2)*DH125+(1-EXP(-LN(2)/2))/(LN(2)/2)*DB126*DE126*VLOOKUP('Données projet'!$B$13,Paramètres!$A$1:$I$88,3,0)*0.475*44/12</f>
        <v>0</v>
      </c>
      <c r="DI126" s="24">
        <f t="shared" si="69"/>
        <v>85.087991903747323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-1.4210854715202004E-13</v>
      </c>
      <c r="DP126" s="18">
        <f>DO126*VLOOKUP('Données projet'!$B$14,Paramètres!$A$1:$I$88,3,0)*VLOOKUP('Données projet'!$B$14,Paramètres!$A$1:$I$88,5,0)</f>
        <v>-1.3744738680543379E-13</v>
      </c>
      <c r="DQ126" s="14" t="e">
        <f t="shared" si="97"/>
        <v>#NUM!</v>
      </c>
      <c r="DR126" s="22" t="e">
        <f t="shared" si="70"/>
        <v>#NUM!</v>
      </c>
      <c r="DS126" s="62" t="e">
        <f t="shared" si="71"/>
        <v>#NUM!</v>
      </c>
      <c r="DT126" s="62">
        <f ca="1">AVERAGE(OFFSET($DS$3,0,0,'Données projet'!$E$14+1,1))-AVERAGE(OFFSET($H$3,0,0,'Données projet'!$E$14+1,1))</f>
        <v>290.89727102147953</v>
      </c>
      <c r="DU126" s="62">
        <f t="shared" si="98"/>
        <v>173.19148969173838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projet'!$B$14,Paramètres!$A$1:$I$88,3,0)*0.475*44/12</f>
        <v>64.65243678983866</v>
      </c>
      <c r="EB126" s="23">
        <f>EXP(-LN(2)/25)*EB125+(1-EXP(-LN(2)/25))/(LN(2)/25)*Calculateur!DW126*Calculateur!DY126*VLOOKUP('Données projet'!$B$14,Paramètres!$A$1:$I$88,3,0)*0.475*44/12</f>
        <v>0</v>
      </c>
      <c r="EC126" s="23">
        <f>EXP(-LN(2)/2)*EC125+(1-EXP(-LN(2)/2))/(LN(2)/2)*DW126*DZ126*VLOOKUP('Données projet'!$B$14,Paramètres!$A$1:$I$88,3,0)*0.475*44/12</f>
        <v>0</v>
      </c>
      <c r="ED126" s="24">
        <f t="shared" si="72"/>
        <v>64.65243678983866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projet'!$B$15,Paramètres!$A$1:$I$88,3,0)*VLOOKUP('Données projet'!$B$15,Paramètres!$A$1:$I$88,5,0)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projet'!$B$15,Paramètres!$A$1:$I$88,3,0)*0.475*44/12</f>
        <v>#N/A</v>
      </c>
      <c r="EW126" s="23" t="e">
        <f>EXP(-LN(2)/25)*EW125+(1-EXP(-LN(2)/25))/(LN(2)/25)*Calculateur!ER126*Calculateur!ET126*VLOOKUP('Données projet'!$B$15,Paramètres!$A$1:$I$88,3,0)*0.475*44/12</f>
        <v>#N/A</v>
      </c>
      <c r="EX126" s="23" t="e">
        <f>EXP(-LN(2)/2)*EX125+(1-EXP(-LN(2)/2))/(LN(2)/2)*ER126*EU126*VLOOKUP('Données projet'!$B$15,Paramètres!$A$1:$I$88,3,0)*0.475*44/12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projet'!$B$16,Paramètres!$A$1:$I$88,3,0)*VLOOKUP('Données projet'!$B$16,Paramètres!$A$1:$I$88,5,0)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projet'!$B$16,Paramètres!$A$1:$I$88,3,0)*0.475*44/12</f>
        <v>#N/A</v>
      </c>
      <c r="FR126" s="23" t="e">
        <f>EXP(-LN(2)/25)*FR125+(1-EXP(-LN(2)/25))/(LN(2)/25)*Calculateur!FM126*Calculateur!FO126*VLOOKUP('Données projet'!$B$16,Paramètres!$A$1:$I$88,3,0)*0.475*44/12</f>
        <v>#N/A</v>
      </c>
      <c r="FS126" s="23" t="e">
        <f>EXP(-LN(2)/2)*FS125+(1-EXP(-LN(2)/2))/(LN(2)/2)*FM126*FP126*VLOOKUP('Données projet'!$B$16,Paramètres!$A$1:$I$88,3,0)*0.475*44/12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projet'!$B$17,Paramètres!$A$1:$I$88,3,0)*VLOOKUP('Données projet'!$B$17,Paramètres!$A$1:$I$88,5,0)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projet'!$B$17,Paramètres!$A$1:$I$88,3,0)*0.475*44/12</f>
        <v>#N/A</v>
      </c>
      <c r="GM126" s="23" t="e">
        <f>EXP(-LN(2)/25)*GM125+(1-EXP(-LN(2)/25))/(LN(2)/25)*Calculateur!GH126*Calculateur!GJ126*VLOOKUP('Données projet'!$B$17,Paramètres!$A$1:$I$88,3,0)*0.475*44/12</f>
        <v>#N/A</v>
      </c>
      <c r="GN126" s="23" t="e">
        <f>EXP(-LN(2)/2)*GN125+(1-EXP(-LN(2)/2))/(LN(2)/2)*GH126*GK126*VLOOKUP('Données projet'!$B$17,Paramètres!$A$1:$I$88,3,0)*0.475*44/12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projet'!$B$18,Paramètres!$A$1:$I$88,3,0)*VLOOKUP('Données projet'!$B$18,Paramètres!$A$1:$I$88,5,0)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projet'!$B$18,Paramètres!$A$1:$I$88,3,0)*0.475*44/12</f>
        <v>#N/A</v>
      </c>
      <c r="HH126" s="23" t="e">
        <f>EXP(-LN(2)/25)*HH125+(1-EXP(-LN(2)/25))/(LN(2)/25)*Calculateur!HC126*Calculateur!HE126*VLOOKUP('Données projet'!$B$18,Paramètres!$A$1:$I$88,3,0)*0.475*44/12</f>
        <v>#N/A</v>
      </c>
      <c r="HI126" s="23" t="e">
        <f>EXP(-LN(2)/2)*HI125+(1-EXP(-LN(2)/2))/(LN(2)/2)*HC126*HF126*VLOOKUP('Données projet'!$B$18,Paramètres!$A$1:$I$88,3,0)*0.475*44/12</f>
        <v>#N/A</v>
      </c>
      <c r="HJ126" s="24" t="e">
        <f t="shared" si="84"/>
        <v>#N/A</v>
      </c>
    </row>
    <row r="127" spans="1:218" s="5" customFormat="1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projet'!$B$9,Paramètres!$A$1:$I$88,3,0)*VLOOKUP('Données projet'!$B$9,Paramètres!$A$1:$I$88,5,0)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282.86705178317442</v>
      </c>
      <c r="S127" s="62">
        <f ca="1">AVERAGE(OFFSET($R$3,0,0,'Données projet'!$E$9+1,1))-AVERAGE(OFFSET($H$3,0,0,'Données projet'!$E$9+1,1))</f>
        <v>301.2688576786212</v>
      </c>
      <c r="T127" s="62">
        <f t="shared" si="88"/>
        <v>417.62172165132927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34.829421922287644</v>
      </c>
      <c r="AA127" s="23">
        <f>EXP(-LN(2)/25)*AA126+(1-EXP(-LN(2)/25))/(LN(2)/25)*Calculateur!V127*Calculateur!X127*VLOOKUP('Données projet'!$B$9,Paramètres!$A$1:$I$88,3,0)*0.475*44/12</f>
        <v>6.3934702855056136</v>
      </c>
      <c r="AB127" s="23">
        <f>EXP(-LN(2)/2)*AB126+(1-EXP(-LN(2)/2))/(LN(2)/2)*V127*Y127*VLOOKUP('Données projet'!$B$9,Paramètres!$A$1:$I$88,3,0)*0.475*44/12</f>
        <v>2.1429730903875619E-10</v>
      </c>
      <c r="AC127" s="24">
        <f t="shared" si="57"/>
        <v>41.222892208007558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projet'!$B$10,Paramètres!$A$1:$I$88,3,0)*VLOOKUP('Données projet'!$B$10,Paramètres!$A$1:$I$88,5,0)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170.08673939431091</v>
      </c>
      <c r="AO127" s="62">
        <f t="shared" si="90"/>
        <v>252.97355497077106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projet'!$B$10,Paramètres!$A$1:$I$88,3,0)*0.475*44/12</f>
        <v>14.542240834758678</v>
      </c>
      <c r="AV127" s="23">
        <f>EXP(-LN(2)/25)*AV126+(1-EXP(-LN(2)/25))/(LN(2)/25)*Calculateur!AQ127*Calculateur!AS127*VLOOKUP('Données projet'!$B$10,Paramètres!$A$1:$I$88,3,0)*0.475*44/12</f>
        <v>6.4801236805774165</v>
      </c>
      <c r="AW127" s="23">
        <f>EXP(-LN(2)/2)*AW126+(1-EXP(-LN(2)/2))/(LN(2)/2)*AQ127*AT127*VLOOKUP('Données projet'!$B$10,Paramètres!$A$1:$I$88,3,0)*0.475*44/12</f>
        <v>2.7449762446997596E-10</v>
      </c>
      <c r="AX127" s="23">
        <f t="shared" si="60"/>
        <v>21.02236451561059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-1.1368683772161603E-13</v>
      </c>
      <c r="BE127" s="14">
        <f>BD127*VLOOKUP('Données projet'!$B$11,Paramètres!$A$1:$I$88,3,0)*VLOOKUP('Données projet'!$B$11,Paramètres!$A$1:$I$88,5,0)</f>
        <v>-1.0286385077051818E-13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362.63718589694594</v>
      </c>
      <c r="BJ127" s="62">
        <f t="shared" si="92"/>
        <v>250.47702091764884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projet'!$B$11,Paramètres!$A$1:$I$88,3,0)*0.475*44/12</f>
        <v>79.316871480357193</v>
      </c>
      <c r="BQ127" s="23">
        <f>EXP(-LN(2)/25)*BQ126+(1-EXP(-LN(2)/25))/(LN(2)/25)*Calculateur!BL127*Calculateur!BN127*VLOOKUP('Données projet'!$B$11,Paramètres!$A$1:$I$88,3,0)*0.475*44/12</f>
        <v>0</v>
      </c>
      <c r="BR127" s="23">
        <f>EXP(-LN(2)/2)*BR126+(1-EXP(-LN(2)/2))/(LN(2)/2)*BL127*BO127*VLOOKUP('Données projet'!$B$11,Paramètres!$A$1:$I$88,3,0)*0.475*44/12</f>
        <v>0</v>
      </c>
      <c r="BS127" s="24">
        <f t="shared" si="63"/>
        <v>79.316871480357193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-1.1368683772161603E-13</v>
      </c>
      <c r="BZ127" s="14">
        <f>BY127*VLOOKUP('Données projet'!$B$12,Paramètres!$A$1:$I$88,3,0)*VLOOKUP('Données projet'!$B$12,Paramètres!$A$1:$I$88,5,0)</f>
        <v>-1.1527845344971866E-13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398.14524781940196</v>
      </c>
      <c r="CE127" s="62">
        <f t="shared" si="94"/>
        <v>273.35778700650792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projet'!$B$12,Paramètres!$A$1:$I$88,3,0)*0.475*44/12</f>
        <v>88.889597348676205</v>
      </c>
      <c r="CL127" s="23">
        <f>EXP(-LN(2)/25)*CL126+(1-EXP(-LN(2)/25))/(LN(2)/25)*Calculateur!CG127*Calculateur!CI127*VLOOKUP('Données projet'!$B$12,Paramètres!$A$1:$I$88,3,0)*0.475*44/12</f>
        <v>0</v>
      </c>
      <c r="CM127" s="23">
        <f>EXP(-LN(2)/2)*CM126+(1-EXP(-LN(2)/2))/(LN(2)/2)*CG127*CJ127*VLOOKUP('Données projet'!$B$12,Paramètres!$A$1:$I$88,3,0)*0.475*44/12</f>
        <v>0</v>
      </c>
      <c r="CN127" s="24">
        <f t="shared" si="66"/>
        <v>88.889597348676205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118</v>
      </c>
      <c r="CU127" s="18">
        <f>CT127*VLOOKUP('Données projet'!$B$13,Paramètres!$A$1:$I$88,3,0)*VLOOKUP('Données projet'!$B$13,Paramètres!$A$1:$I$88,5,0)</f>
        <v>112.28880000000001</v>
      </c>
      <c r="CV127" s="14">
        <f t="shared" si="95"/>
        <v>29.869595672288149</v>
      </c>
      <c r="CW127" s="22">
        <f t="shared" si="67"/>
        <v>247.59253912923518</v>
      </c>
      <c r="CX127" s="62">
        <f t="shared" si="68"/>
        <v>530.45959091240854</v>
      </c>
      <c r="CY127" s="62">
        <f ca="1">AVERAGE(OFFSET($CX$3,0,0,'Données projet'!$E$13+1,1))-AVERAGE(OFFSET($H$3,0,0,'Données projet'!$E$13+1,1))</f>
        <v>470.0521927195926</v>
      </c>
      <c r="CZ127" s="62">
        <f t="shared" si="96"/>
        <v>299.27200854723435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projet'!$B$13,Paramètres!$A$1:$I$88,3,0)*0.475*44/12</f>
        <v>83.419468281065349</v>
      </c>
      <c r="DG127" s="23">
        <f>EXP(-LN(2)/25)*DG126+(1-EXP(-LN(2)/25))/(LN(2)/25)*Calculateur!DB127*Calculateur!DD127*VLOOKUP('Données projet'!$B$13,Paramètres!$A$1:$I$88,3,0)*0.475*44/12</f>
        <v>0</v>
      </c>
      <c r="DH127" s="23">
        <f>EXP(-LN(2)/2)*DH126+(1-EXP(-LN(2)/2))/(LN(2)/2)*DB127*DE127*VLOOKUP('Données projet'!$B$13,Paramètres!$A$1:$I$88,3,0)*0.475*44/12</f>
        <v>0</v>
      </c>
      <c r="DI127" s="24">
        <f t="shared" si="69"/>
        <v>83.419468281065349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-1.4210854715202004E-13</v>
      </c>
      <c r="DP127" s="18">
        <f>DO127*VLOOKUP('Données projet'!$B$14,Paramètres!$A$1:$I$88,3,0)*VLOOKUP('Données projet'!$B$14,Paramètres!$A$1:$I$88,5,0)</f>
        <v>-1.3744738680543379E-13</v>
      </c>
      <c r="DQ127" s="14" t="e">
        <f t="shared" si="97"/>
        <v>#NUM!</v>
      </c>
      <c r="DR127" s="22" t="e">
        <f t="shared" si="70"/>
        <v>#NUM!</v>
      </c>
      <c r="DS127" s="62" t="e">
        <f t="shared" si="71"/>
        <v>#NUM!</v>
      </c>
      <c r="DT127" s="62">
        <f ca="1">AVERAGE(OFFSET($DS$3,0,0,'Données projet'!$E$14+1,1))-AVERAGE(OFFSET($H$3,0,0,'Données projet'!$E$14+1,1))</f>
        <v>290.89727102147953</v>
      </c>
      <c r="DU127" s="62">
        <f t="shared" si="98"/>
        <v>173.19148969173838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projet'!$B$14,Paramètres!$A$1:$I$88,3,0)*0.475*44/12</f>
        <v>63.384641938482574</v>
      </c>
      <c r="EB127" s="23">
        <f>EXP(-LN(2)/25)*EB126+(1-EXP(-LN(2)/25))/(LN(2)/25)*Calculateur!DW127*Calculateur!DY127*VLOOKUP('Données projet'!$B$14,Paramètres!$A$1:$I$88,3,0)*0.475*44/12</f>
        <v>0</v>
      </c>
      <c r="EC127" s="23">
        <f>EXP(-LN(2)/2)*EC126+(1-EXP(-LN(2)/2))/(LN(2)/2)*DW127*DZ127*VLOOKUP('Données projet'!$B$14,Paramètres!$A$1:$I$88,3,0)*0.475*44/12</f>
        <v>0</v>
      </c>
      <c r="ED127" s="24">
        <f t="shared" si="72"/>
        <v>63.384641938482574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projet'!$B$15,Paramètres!$A$1:$I$88,3,0)*VLOOKUP('Données projet'!$B$15,Paramètres!$A$1:$I$88,5,0)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projet'!$B$15,Paramètres!$A$1:$I$88,3,0)*0.475*44/12</f>
        <v>#N/A</v>
      </c>
      <c r="EW127" s="23" t="e">
        <f>EXP(-LN(2)/25)*EW126+(1-EXP(-LN(2)/25))/(LN(2)/25)*Calculateur!ER127*Calculateur!ET127*VLOOKUP('Données projet'!$B$15,Paramètres!$A$1:$I$88,3,0)*0.475*44/12</f>
        <v>#N/A</v>
      </c>
      <c r="EX127" s="23" t="e">
        <f>EXP(-LN(2)/2)*EX126+(1-EXP(-LN(2)/2))/(LN(2)/2)*ER127*EU127*VLOOKUP('Données projet'!$B$15,Paramètres!$A$1:$I$88,3,0)*0.475*44/12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projet'!$B$16,Paramètres!$A$1:$I$88,3,0)*VLOOKUP('Données projet'!$B$16,Paramètres!$A$1:$I$88,5,0)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projet'!$B$16,Paramètres!$A$1:$I$88,3,0)*0.475*44/12</f>
        <v>#N/A</v>
      </c>
      <c r="FR127" s="23" t="e">
        <f>EXP(-LN(2)/25)*FR126+(1-EXP(-LN(2)/25))/(LN(2)/25)*Calculateur!FM127*Calculateur!FO127*VLOOKUP('Données projet'!$B$16,Paramètres!$A$1:$I$88,3,0)*0.475*44/12</f>
        <v>#N/A</v>
      </c>
      <c r="FS127" s="23" t="e">
        <f>EXP(-LN(2)/2)*FS126+(1-EXP(-LN(2)/2))/(LN(2)/2)*FM127*FP127*VLOOKUP('Données projet'!$B$16,Paramètres!$A$1:$I$88,3,0)*0.475*44/12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projet'!$B$17,Paramètres!$A$1:$I$88,3,0)*VLOOKUP('Données projet'!$B$17,Paramètres!$A$1:$I$88,5,0)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projet'!$B$17,Paramètres!$A$1:$I$88,3,0)*0.475*44/12</f>
        <v>#N/A</v>
      </c>
      <c r="GM127" s="23" t="e">
        <f>EXP(-LN(2)/25)*GM126+(1-EXP(-LN(2)/25))/(LN(2)/25)*Calculateur!GH127*Calculateur!GJ127*VLOOKUP('Données projet'!$B$17,Paramètres!$A$1:$I$88,3,0)*0.475*44/12</f>
        <v>#N/A</v>
      </c>
      <c r="GN127" s="23" t="e">
        <f>EXP(-LN(2)/2)*GN126+(1-EXP(-LN(2)/2))/(LN(2)/2)*GH127*GK127*VLOOKUP('Données projet'!$B$17,Paramètres!$A$1:$I$88,3,0)*0.475*44/12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projet'!$B$18,Paramètres!$A$1:$I$88,3,0)*VLOOKUP('Données projet'!$B$18,Paramètres!$A$1:$I$88,5,0)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projet'!$B$18,Paramètres!$A$1:$I$88,3,0)*0.475*44/12</f>
        <v>#N/A</v>
      </c>
      <c r="HH127" s="23" t="e">
        <f>EXP(-LN(2)/25)*HH126+(1-EXP(-LN(2)/25))/(LN(2)/25)*Calculateur!HC127*Calculateur!HE127*VLOOKUP('Données projet'!$B$18,Paramètres!$A$1:$I$88,3,0)*0.475*44/12</f>
        <v>#N/A</v>
      </c>
      <c r="HI127" s="23" t="e">
        <f>EXP(-LN(2)/2)*HI126+(1-EXP(-LN(2)/2))/(LN(2)/2)*HC127*HF127*VLOOKUP('Données projet'!$B$18,Paramètres!$A$1:$I$88,3,0)*0.475*44/12</f>
        <v>#N/A</v>
      </c>
      <c r="HJ127" s="24" t="e">
        <f t="shared" si="84"/>
        <v>#N/A</v>
      </c>
    </row>
    <row r="128" spans="1:218" s="5" customFormat="1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projet'!$B$9,Paramètres!$A$1:$I$88,3,0)*VLOOKUP('Données projet'!$B$9,Paramètres!$A$1:$I$88,5,0)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283.04861836896958</v>
      </c>
      <c r="S128" s="62">
        <f ca="1">AVERAGE(OFFSET($R$3,0,0,'Données projet'!$E$9+1,1))-AVERAGE(OFFSET($H$3,0,0,'Données projet'!$E$9+1,1))</f>
        <v>301.2688576786212</v>
      </c>
      <c r="T128" s="62">
        <f t="shared" si="88"/>
        <v>417.62172165132927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34.146438202241299</v>
      </c>
      <c r="AA128" s="23">
        <f>EXP(-LN(2)/25)*AA127+(1-EXP(-LN(2)/25))/(LN(2)/25)*Calculateur!V128*Calculateur!X128*VLOOKUP('Données projet'!$B$9,Paramètres!$A$1:$I$88,3,0)*0.475*44/12</f>
        <v>6.2186405043304731</v>
      </c>
      <c r="AB128" s="23">
        <f>EXP(-LN(2)/2)*AB127+(1-EXP(-LN(2)/2))/(LN(2)/2)*V128*Y128*VLOOKUP('Données projet'!$B$9,Paramètres!$A$1:$I$88,3,0)*0.475*44/12</f>
        <v>1.5153108041133373E-10</v>
      </c>
      <c r="AC128" s="24">
        <f t="shared" si="57"/>
        <v>40.365078706723303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projet'!$B$10,Paramètres!$A$1:$I$88,3,0)*VLOOKUP('Données projet'!$B$10,Paramètres!$A$1:$I$88,5,0)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170.08673939431091</v>
      </c>
      <c r="AO128" s="62">
        <f t="shared" si="90"/>
        <v>252.97355497077106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projet'!$B$10,Paramètres!$A$1:$I$88,3,0)*0.475*44/12</f>
        <v>14.25707636188014</v>
      </c>
      <c r="AV128" s="23">
        <f>EXP(-LN(2)/25)*AV127+(1-EXP(-LN(2)/25))/(LN(2)/25)*Calculateur!AQ128*Calculateur!AS128*VLOOKUP('Données projet'!$B$10,Paramètres!$A$1:$I$88,3,0)*0.475*44/12</f>
        <v>6.3029243577571332</v>
      </c>
      <c r="AW128" s="23">
        <f>EXP(-LN(2)/2)*AW127+(1-EXP(-LN(2)/2))/(LN(2)/2)*AQ128*AT128*VLOOKUP('Données projet'!$B$10,Paramètres!$A$1:$I$88,3,0)*0.475*44/12</f>
        <v>1.9409913168231839E-10</v>
      </c>
      <c r="AX128" s="23">
        <f t="shared" si="60"/>
        <v>20.560000719831372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-1.1368683772161603E-13</v>
      </c>
      <c r="BE128" s="14">
        <f>BD128*VLOOKUP('Données projet'!$B$11,Paramètres!$A$1:$I$88,3,0)*VLOOKUP('Données projet'!$B$11,Paramètres!$A$1:$I$88,5,0)</f>
        <v>-1.0286385077051818E-13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362.63718589694594</v>
      </c>
      <c r="BJ128" s="62">
        <f t="shared" si="92"/>
        <v>250.47702091764884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projet'!$B$11,Paramètres!$A$1:$I$88,7,0))</f>
        <v>0</v>
      </c>
      <c r="BN128" s="17">
        <f>IF(ISNA(VLOOKUP(A128,'Données projet'!$A$87:$I$107,6,0)),0%,VLOOKUP(A128,'Données projet'!$A$87:$I$107,6,0)*VLOOKUP('Données projet'!$B$11,Paramètres!$A$1:$I$88,7,0))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projet'!$B$11,Paramètres!$A$1:$I$88,3,0)*0.475*44/12</f>
        <v>77.761516009142014</v>
      </c>
      <c r="BQ128" s="23">
        <f>EXP(-LN(2)/25)*BQ127+(1-EXP(-LN(2)/25))/(LN(2)/25)*Calculateur!BL128*Calculateur!BN128*VLOOKUP('Données projet'!$B$11,Paramètres!$A$1:$I$88,3,0)*0.475*44/12</f>
        <v>0</v>
      </c>
      <c r="BR128" s="23">
        <f>EXP(-LN(2)/2)*BR127+(1-EXP(-LN(2)/2))/(LN(2)/2)*BL128*BO128*VLOOKUP('Données projet'!$B$11,Paramètres!$A$1:$I$88,3,0)*0.475*44/12</f>
        <v>0</v>
      </c>
      <c r="BS128" s="24">
        <f t="shared" si="63"/>
        <v>77.761516009142014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-1.1368683772161603E-13</v>
      </c>
      <c r="BZ128" s="14">
        <f>BY128*VLOOKUP('Données projet'!$B$12,Paramètres!$A$1:$I$88,3,0)*VLOOKUP('Données projet'!$B$12,Paramètres!$A$1:$I$88,5,0)</f>
        <v>-1.1527845344971866E-13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398.14524781940196</v>
      </c>
      <c r="CE128" s="62">
        <f t="shared" si="94"/>
        <v>273.35778700650792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projet'!$B$12,Paramètres!$A$1:$I$88,3,0)*0.475*44/12</f>
        <v>87.146526561969537</v>
      </c>
      <c r="CL128" s="23">
        <f>EXP(-LN(2)/25)*CL127+(1-EXP(-LN(2)/25))/(LN(2)/25)*Calculateur!CG128*Calculateur!CI128*VLOOKUP('Données projet'!$B$12,Paramètres!$A$1:$I$88,3,0)*0.475*44/12</f>
        <v>0</v>
      </c>
      <c r="CM128" s="23">
        <f>EXP(-LN(2)/2)*CM127+(1-EXP(-LN(2)/2))/(LN(2)/2)*CG128*CJ128*VLOOKUP('Données projet'!$B$12,Paramètres!$A$1:$I$88,3,0)*0.475*44/12</f>
        <v>0</v>
      </c>
      <c r="CN128" s="24">
        <f t="shared" si="66"/>
        <v>87.146526561969537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118</v>
      </c>
      <c r="CU128" s="18">
        <f>CT128*VLOOKUP('Données projet'!$B$13,Paramètres!$A$1:$I$88,3,0)*VLOOKUP('Données projet'!$B$13,Paramètres!$A$1:$I$88,5,0)</f>
        <v>112.28880000000001</v>
      </c>
      <c r="CV128" s="14">
        <f t="shared" si="95"/>
        <v>29.869595672288149</v>
      </c>
      <c r="CW128" s="22">
        <f t="shared" si="67"/>
        <v>247.59253912923518</v>
      </c>
      <c r="CX128" s="62">
        <f t="shared" si="68"/>
        <v>530.64115749820371</v>
      </c>
      <c r="CY128" s="62">
        <f ca="1">AVERAGE(OFFSET($CX$3,0,0,'Données projet'!$E$13+1,1))-AVERAGE(OFFSET($H$3,0,0,'Données projet'!$E$13+1,1))</f>
        <v>470.0521927195926</v>
      </c>
      <c r="CZ128" s="62">
        <f t="shared" si="96"/>
        <v>299.27200854723435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projet'!$B$13,Paramètres!$A$1:$I$88,3,0)*0.475*44/12</f>
        <v>81.783663388925248</v>
      </c>
      <c r="DG128" s="23">
        <f>EXP(-LN(2)/25)*DG127+(1-EXP(-LN(2)/25))/(LN(2)/25)*Calculateur!DB128*Calculateur!DD128*VLOOKUP('Données projet'!$B$13,Paramètres!$A$1:$I$88,3,0)*0.475*44/12</f>
        <v>0</v>
      </c>
      <c r="DH128" s="23">
        <f>EXP(-LN(2)/2)*DH127+(1-EXP(-LN(2)/2))/(LN(2)/2)*DB128*DE128*VLOOKUP('Données projet'!$B$13,Paramètres!$A$1:$I$88,3,0)*0.475*44/12</f>
        <v>0</v>
      </c>
      <c r="DI128" s="24">
        <f t="shared" si="69"/>
        <v>81.783663388925248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-1.4210854715202004E-13</v>
      </c>
      <c r="DP128" s="18">
        <f>DO128*VLOOKUP('Données projet'!$B$14,Paramètres!$A$1:$I$88,3,0)*VLOOKUP('Données projet'!$B$14,Paramètres!$A$1:$I$88,5,0)</f>
        <v>-1.3744738680543379E-13</v>
      </c>
      <c r="DQ128" s="14" t="e">
        <f t="shared" si="97"/>
        <v>#NUM!</v>
      </c>
      <c r="DR128" s="22" t="e">
        <f t="shared" si="70"/>
        <v>#NUM!</v>
      </c>
      <c r="DS128" s="62" t="e">
        <f t="shared" si="71"/>
        <v>#NUM!</v>
      </c>
      <c r="DT128" s="62">
        <f ca="1">AVERAGE(OFFSET($DS$3,0,0,'Données projet'!$E$14+1,1))-AVERAGE(OFFSET($H$3,0,0,'Données projet'!$E$14+1,1))</f>
        <v>290.89727102147953</v>
      </c>
      <c r="DU128" s="62">
        <f t="shared" si="98"/>
        <v>173.19148969173838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projet'!$B$14,Paramètres!$A$1:$I$88,3,0)*0.475*44/12</f>
        <v>62.141707770883073</v>
      </c>
      <c r="EB128" s="23">
        <f>EXP(-LN(2)/25)*EB127+(1-EXP(-LN(2)/25))/(LN(2)/25)*Calculateur!DW128*Calculateur!DY128*VLOOKUP('Données projet'!$B$14,Paramètres!$A$1:$I$88,3,0)*0.475*44/12</f>
        <v>0</v>
      </c>
      <c r="EC128" s="23">
        <f>EXP(-LN(2)/2)*EC127+(1-EXP(-LN(2)/2))/(LN(2)/2)*DW128*DZ128*VLOOKUP('Données projet'!$B$14,Paramètres!$A$1:$I$88,3,0)*0.475*44/12</f>
        <v>0</v>
      </c>
      <c r="ED128" s="24">
        <f t="shared" si="72"/>
        <v>62.141707770883073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projet'!$B$15,Paramètres!$A$1:$I$88,3,0)*VLOOKUP('Données projet'!$B$15,Paramètres!$A$1:$I$88,5,0)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projet'!$B$15,Paramètres!$A$1:$I$88,3,0)*0.475*44/12</f>
        <v>#N/A</v>
      </c>
      <c r="EW128" s="23" t="e">
        <f>EXP(-LN(2)/25)*EW127+(1-EXP(-LN(2)/25))/(LN(2)/25)*Calculateur!ER128*Calculateur!ET128*VLOOKUP('Données projet'!$B$15,Paramètres!$A$1:$I$88,3,0)*0.475*44/12</f>
        <v>#N/A</v>
      </c>
      <c r="EX128" s="23" t="e">
        <f>EXP(-LN(2)/2)*EX127+(1-EXP(-LN(2)/2))/(LN(2)/2)*ER128*EU128*VLOOKUP('Données projet'!$B$15,Paramètres!$A$1:$I$88,3,0)*0.475*44/12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projet'!$B$16,Paramètres!$A$1:$I$88,3,0)*VLOOKUP('Données projet'!$B$16,Paramètres!$A$1:$I$88,5,0)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projet'!$B$16,Paramètres!$A$1:$I$88,3,0)*0.475*44/12</f>
        <v>#N/A</v>
      </c>
      <c r="FR128" s="23" t="e">
        <f>EXP(-LN(2)/25)*FR127+(1-EXP(-LN(2)/25))/(LN(2)/25)*Calculateur!FM128*Calculateur!FO128*VLOOKUP('Données projet'!$B$16,Paramètres!$A$1:$I$88,3,0)*0.475*44/12</f>
        <v>#N/A</v>
      </c>
      <c r="FS128" s="23" t="e">
        <f>EXP(-LN(2)/2)*FS127+(1-EXP(-LN(2)/2))/(LN(2)/2)*FM128*FP128*VLOOKUP('Données projet'!$B$16,Paramètres!$A$1:$I$88,3,0)*0.475*44/12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projet'!$B$17,Paramètres!$A$1:$I$88,3,0)*VLOOKUP('Données projet'!$B$17,Paramètres!$A$1:$I$88,5,0)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projet'!$B$17,Paramètres!$A$1:$I$88,3,0)*0.475*44/12</f>
        <v>#N/A</v>
      </c>
      <c r="GM128" s="23" t="e">
        <f>EXP(-LN(2)/25)*GM127+(1-EXP(-LN(2)/25))/(LN(2)/25)*Calculateur!GH128*Calculateur!GJ128*VLOOKUP('Données projet'!$B$17,Paramètres!$A$1:$I$88,3,0)*0.475*44/12</f>
        <v>#N/A</v>
      </c>
      <c r="GN128" s="23" t="e">
        <f>EXP(-LN(2)/2)*GN127+(1-EXP(-LN(2)/2))/(LN(2)/2)*GH128*GK128*VLOOKUP('Données projet'!$B$17,Paramètres!$A$1:$I$88,3,0)*0.475*44/12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projet'!$B$18,Paramètres!$A$1:$I$88,3,0)*VLOOKUP('Données projet'!$B$18,Paramètres!$A$1:$I$88,5,0)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projet'!$B$18,Paramètres!$A$1:$I$88,3,0)*0.475*44/12</f>
        <v>#N/A</v>
      </c>
      <c r="HH128" s="23" t="e">
        <f>EXP(-LN(2)/25)*HH127+(1-EXP(-LN(2)/25))/(LN(2)/25)*Calculateur!HC128*Calculateur!HE128*VLOOKUP('Données projet'!$B$18,Paramètres!$A$1:$I$88,3,0)*0.475*44/12</f>
        <v>#N/A</v>
      </c>
      <c r="HI128" s="23" t="e">
        <f>EXP(-LN(2)/2)*HI127+(1-EXP(-LN(2)/2))/(LN(2)/2)*HC128*HF128*VLOOKUP('Données projet'!$B$18,Paramètres!$A$1:$I$88,3,0)*0.475*44/12</f>
        <v>#N/A</v>
      </c>
      <c r="HJ128" s="24" t="e">
        <f t="shared" si="84"/>
        <v>#N/A</v>
      </c>
    </row>
    <row r="129" spans="1:218" s="5" customFormat="1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projet'!$B$9,Paramètres!$A$1:$I$88,3,0)*VLOOKUP('Données projet'!$B$9,Paramètres!$A$1:$I$88,5,0)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283.22703518042329</v>
      </c>
      <c r="S129" s="62">
        <f ca="1">AVERAGE(OFFSET($R$3,0,0,'Données projet'!$E$9+1,1))-AVERAGE(OFFSET($H$3,0,0,'Données projet'!$E$9+1,1))</f>
        <v>301.2688576786212</v>
      </c>
      <c r="T129" s="62">
        <f t="shared" si="88"/>
        <v>417.62172165132927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projet'!$B$9,Paramètres!$A$1:$I$88,7,0))</f>
        <v>0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33.476847376366131</v>
      </c>
      <c r="AA129" s="23">
        <f>EXP(-LN(2)/25)*AA128+(1-EXP(-LN(2)/25))/(LN(2)/25)*Calculateur!V129*Calculateur!X129*VLOOKUP('Données projet'!$B$9,Paramètres!$A$1:$I$88,3,0)*0.475*44/12</f>
        <v>6.0485914527154652</v>
      </c>
      <c r="AB129" s="23">
        <f>EXP(-LN(2)/2)*AB128+(1-EXP(-LN(2)/2))/(LN(2)/2)*V129*Y129*VLOOKUP('Données projet'!$B$9,Paramètres!$A$1:$I$88,3,0)*0.475*44/12</f>
        <v>1.071486545193781E-10</v>
      </c>
      <c r="AC129" s="24">
        <f t="shared" si="57"/>
        <v>39.525438829188744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projet'!$B$10,Paramètres!$A$1:$I$88,3,0)*VLOOKUP('Données projet'!$B$10,Paramètres!$A$1:$I$88,5,0)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170.08673939431091</v>
      </c>
      <c r="AO129" s="62">
        <f t="shared" si="90"/>
        <v>252.97355497077106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projet'!$B$10,Paramètres!$A$1:$I$88,3,0)*0.475*44/12</f>
        <v>13.977503790381597</v>
      </c>
      <c r="AV129" s="23">
        <f>EXP(-LN(2)/25)*AV128+(1-EXP(-LN(2)/25))/(LN(2)/25)*Calculateur!AQ129*Calculateur!AS129*VLOOKUP('Données projet'!$B$10,Paramètres!$A$1:$I$88,3,0)*0.475*44/12</f>
        <v>6.1305705597378779</v>
      </c>
      <c r="AW129" s="23">
        <f>EXP(-LN(2)/2)*AW128+(1-EXP(-LN(2)/2))/(LN(2)/2)*AQ129*AT129*VLOOKUP('Données projet'!$B$10,Paramètres!$A$1:$I$88,3,0)*0.475*44/12</f>
        <v>1.3724881223498798E-10</v>
      </c>
      <c r="AX129" s="23">
        <f t="shared" si="60"/>
        <v>20.108074350256722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-1.1368683772161603E-13</v>
      </c>
      <c r="BE129" s="14">
        <f>BD129*VLOOKUP('Données projet'!$B$11,Paramètres!$A$1:$I$88,3,0)*VLOOKUP('Données projet'!$B$11,Paramètres!$A$1:$I$88,5,0)</f>
        <v>-1.0286385077051818E-13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362.63718589694594</v>
      </c>
      <c r="BJ129" s="62">
        <f t="shared" si="92"/>
        <v>250.47702091764884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projet'!$B$11,Paramètres!$A$1:$I$88,3,0)*0.475*44/12</f>
        <v>76.236660110044198</v>
      </c>
      <c r="BQ129" s="23">
        <f>EXP(-LN(2)/25)*BQ128+(1-EXP(-LN(2)/25))/(LN(2)/25)*Calculateur!BL129*Calculateur!BN129*VLOOKUP('Données projet'!$B$11,Paramètres!$A$1:$I$88,3,0)*0.475*44/12</f>
        <v>0</v>
      </c>
      <c r="BR129" s="23">
        <f>EXP(-LN(2)/2)*BR128+(1-EXP(-LN(2)/2))/(LN(2)/2)*BL129*BO129*VLOOKUP('Données projet'!$B$11,Paramètres!$A$1:$I$88,3,0)*0.475*44/12</f>
        <v>0</v>
      </c>
      <c r="BS129" s="24">
        <f t="shared" si="63"/>
        <v>76.236660110044198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-1.1368683772161603E-13</v>
      </c>
      <c r="BZ129" s="14">
        <f>BY129*VLOOKUP('Données projet'!$B$12,Paramètres!$A$1:$I$88,3,0)*VLOOKUP('Données projet'!$B$12,Paramètres!$A$1:$I$88,5,0)</f>
        <v>-1.1527845344971866E-13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398.14524781940196</v>
      </c>
      <c r="CE129" s="62">
        <f t="shared" si="94"/>
        <v>273.35778700650792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projet'!$B$12,Paramètres!$A$1:$I$88,3,0)*0.475*44/12</f>
        <v>85.437636330221977</v>
      </c>
      <c r="CL129" s="23">
        <f>EXP(-LN(2)/25)*CL128+(1-EXP(-LN(2)/25))/(LN(2)/25)*Calculateur!CG129*Calculateur!CI129*VLOOKUP('Données projet'!$B$12,Paramètres!$A$1:$I$88,3,0)*0.475*44/12</f>
        <v>0</v>
      </c>
      <c r="CM129" s="23">
        <f>EXP(-LN(2)/2)*CM128+(1-EXP(-LN(2)/2))/(LN(2)/2)*CG129*CJ129*VLOOKUP('Données projet'!$B$12,Paramètres!$A$1:$I$88,3,0)*0.475*44/12</f>
        <v>0</v>
      </c>
      <c r="CN129" s="24">
        <f t="shared" si="66"/>
        <v>85.437636330221977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118</v>
      </c>
      <c r="CU129" s="18">
        <f>CT129*VLOOKUP('Données projet'!$B$13,Paramètres!$A$1:$I$88,3,0)*VLOOKUP('Données projet'!$B$13,Paramètres!$A$1:$I$88,5,0)</f>
        <v>112.28880000000001</v>
      </c>
      <c r="CV129" s="14">
        <f t="shared" si="95"/>
        <v>29.869595672288149</v>
      </c>
      <c r="CW129" s="22">
        <f t="shared" si="67"/>
        <v>247.59253912923518</v>
      </c>
      <c r="CX129" s="62">
        <f t="shared" si="68"/>
        <v>530.81957430965736</v>
      </c>
      <c r="CY129" s="62">
        <f ca="1">AVERAGE(OFFSET($CX$3,0,0,'Données projet'!$E$13+1,1))-AVERAGE(OFFSET($H$3,0,0,'Données projet'!$E$13+1,1))</f>
        <v>470.0521927195926</v>
      </c>
      <c r="CZ129" s="62">
        <f t="shared" si="96"/>
        <v>299.27200854723435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projet'!$B$13,Paramètres!$A$1:$I$88,3,0)*0.475*44/12</f>
        <v>80.179935632977546</v>
      </c>
      <c r="DG129" s="23">
        <f>EXP(-LN(2)/25)*DG128+(1-EXP(-LN(2)/25))/(LN(2)/25)*Calculateur!DB129*Calculateur!DD129*VLOOKUP('Données projet'!$B$13,Paramètres!$A$1:$I$88,3,0)*0.475*44/12</f>
        <v>0</v>
      </c>
      <c r="DH129" s="23">
        <f>EXP(-LN(2)/2)*DH128+(1-EXP(-LN(2)/2))/(LN(2)/2)*DB129*DE129*VLOOKUP('Données projet'!$B$13,Paramètres!$A$1:$I$88,3,0)*0.475*44/12</f>
        <v>0</v>
      </c>
      <c r="DI129" s="24">
        <f t="shared" si="69"/>
        <v>80.179935632977546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-1.4210854715202004E-13</v>
      </c>
      <c r="DP129" s="18">
        <f>DO129*VLOOKUP('Données projet'!$B$14,Paramètres!$A$1:$I$88,3,0)*VLOOKUP('Données projet'!$B$14,Paramètres!$A$1:$I$88,5,0)</f>
        <v>-1.3744738680543379E-13</v>
      </c>
      <c r="DQ129" s="14" t="e">
        <f t="shared" si="97"/>
        <v>#NUM!</v>
      </c>
      <c r="DR129" s="22" t="e">
        <f t="shared" si="70"/>
        <v>#NUM!</v>
      </c>
      <c r="DS129" s="62" t="e">
        <f t="shared" si="71"/>
        <v>#NUM!</v>
      </c>
      <c r="DT129" s="62">
        <f ca="1">AVERAGE(OFFSET($DS$3,0,0,'Données projet'!$E$14+1,1))-AVERAGE(OFFSET($H$3,0,0,'Données projet'!$E$14+1,1))</f>
        <v>290.89727102147953</v>
      </c>
      <c r="DU129" s="62">
        <f t="shared" si="98"/>
        <v>173.19148969173838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projet'!$B$14,Paramètres!$A$1:$I$88,3,0)*0.475*44/12</f>
        <v>60.923146784195218</v>
      </c>
      <c r="EB129" s="23">
        <f>EXP(-LN(2)/25)*EB128+(1-EXP(-LN(2)/25))/(LN(2)/25)*Calculateur!DW129*Calculateur!DY129*VLOOKUP('Données projet'!$B$14,Paramètres!$A$1:$I$88,3,0)*0.475*44/12</f>
        <v>0</v>
      </c>
      <c r="EC129" s="23">
        <f>EXP(-LN(2)/2)*EC128+(1-EXP(-LN(2)/2))/(LN(2)/2)*DW129*DZ129*VLOOKUP('Données projet'!$B$14,Paramètres!$A$1:$I$88,3,0)*0.475*44/12</f>
        <v>0</v>
      </c>
      <c r="ED129" s="24">
        <f t="shared" si="72"/>
        <v>60.923146784195218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projet'!$B$15,Paramètres!$A$1:$I$88,3,0)*VLOOKUP('Données projet'!$B$15,Paramètres!$A$1:$I$88,5,0)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projet'!$B$15,Paramètres!$A$1:$I$88,3,0)*0.475*44/12</f>
        <v>#N/A</v>
      </c>
      <c r="EW129" s="23" t="e">
        <f>EXP(-LN(2)/25)*EW128+(1-EXP(-LN(2)/25))/(LN(2)/25)*Calculateur!ER129*Calculateur!ET129*VLOOKUP('Données projet'!$B$15,Paramètres!$A$1:$I$88,3,0)*0.475*44/12</f>
        <v>#N/A</v>
      </c>
      <c r="EX129" s="23" t="e">
        <f>EXP(-LN(2)/2)*EX128+(1-EXP(-LN(2)/2))/(LN(2)/2)*ER129*EU129*VLOOKUP('Données projet'!$B$15,Paramètres!$A$1:$I$88,3,0)*0.475*44/12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projet'!$B$16,Paramètres!$A$1:$I$88,3,0)*VLOOKUP('Données projet'!$B$16,Paramètres!$A$1:$I$88,5,0)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projet'!$B$16,Paramètres!$A$1:$I$88,3,0)*0.475*44/12</f>
        <v>#N/A</v>
      </c>
      <c r="FR129" s="23" t="e">
        <f>EXP(-LN(2)/25)*FR128+(1-EXP(-LN(2)/25))/(LN(2)/25)*Calculateur!FM129*Calculateur!FO129*VLOOKUP('Données projet'!$B$16,Paramètres!$A$1:$I$88,3,0)*0.475*44/12</f>
        <v>#N/A</v>
      </c>
      <c r="FS129" s="23" t="e">
        <f>EXP(-LN(2)/2)*FS128+(1-EXP(-LN(2)/2))/(LN(2)/2)*FM129*FP129*VLOOKUP('Données projet'!$B$16,Paramètres!$A$1:$I$88,3,0)*0.475*44/12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projet'!$B$17,Paramètres!$A$1:$I$88,3,0)*VLOOKUP('Données projet'!$B$17,Paramètres!$A$1:$I$88,5,0)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projet'!$B$17,Paramètres!$A$1:$I$88,3,0)*0.475*44/12</f>
        <v>#N/A</v>
      </c>
      <c r="GM129" s="23" t="e">
        <f>EXP(-LN(2)/25)*GM128+(1-EXP(-LN(2)/25))/(LN(2)/25)*Calculateur!GH129*Calculateur!GJ129*VLOOKUP('Données projet'!$B$17,Paramètres!$A$1:$I$88,3,0)*0.475*44/12</f>
        <v>#N/A</v>
      </c>
      <c r="GN129" s="23" t="e">
        <f>EXP(-LN(2)/2)*GN128+(1-EXP(-LN(2)/2))/(LN(2)/2)*GH129*GK129*VLOOKUP('Données projet'!$B$17,Paramètres!$A$1:$I$88,3,0)*0.475*44/12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projet'!$B$18,Paramètres!$A$1:$I$88,3,0)*VLOOKUP('Données projet'!$B$18,Paramètres!$A$1:$I$88,5,0)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projet'!$B$18,Paramètres!$A$1:$I$88,3,0)*0.475*44/12</f>
        <v>#N/A</v>
      </c>
      <c r="HH129" s="23" t="e">
        <f>EXP(-LN(2)/25)*HH128+(1-EXP(-LN(2)/25))/(LN(2)/25)*Calculateur!HC129*Calculateur!HE129*VLOOKUP('Données projet'!$B$18,Paramètres!$A$1:$I$88,3,0)*0.475*44/12</f>
        <v>#N/A</v>
      </c>
      <c r="HI129" s="23" t="e">
        <f>EXP(-LN(2)/2)*HI128+(1-EXP(-LN(2)/2))/(LN(2)/2)*HC129*HF129*VLOOKUP('Données projet'!$B$18,Paramètres!$A$1:$I$88,3,0)*0.475*44/12</f>
        <v>#N/A</v>
      </c>
      <c r="HJ129" s="24" t="e">
        <f t="shared" si="84"/>
        <v>#N/A</v>
      </c>
    </row>
    <row r="130" spans="1:218" s="5" customFormat="1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projet'!$B$9,Paramètres!$A$1:$I$88,3,0)*VLOOKUP('Données projet'!$B$9,Paramètres!$A$1:$I$88,5,0)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283.40235685907851</v>
      </c>
      <c r="S130" s="62">
        <f ca="1">AVERAGE(OFFSET($R$3,0,0,'Données projet'!$E$9+1,1))-AVERAGE(OFFSET($H$3,0,0,'Données projet'!$E$9+1,1))</f>
        <v>301.2688576786212</v>
      </c>
      <c r="T130" s="62">
        <f t="shared" si="88"/>
        <v>417.62172165132927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32.820386818176296</v>
      </c>
      <c r="AA130" s="23">
        <f>EXP(-LN(2)/25)*AA129+(1-EXP(-LN(2)/25))/(LN(2)/25)*Calculateur!V130*Calculateur!X130*VLOOKUP('Données projet'!$B$9,Paramètres!$A$1:$I$88,3,0)*0.475*44/12</f>
        <v>5.8831924013593602</v>
      </c>
      <c r="AB130" s="23">
        <f>EXP(-LN(2)/2)*AB129+(1-EXP(-LN(2)/2))/(LN(2)/2)*V130*Y130*VLOOKUP('Données projet'!$B$9,Paramètres!$A$1:$I$88,3,0)*0.475*44/12</f>
        <v>7.5765540205666864E-11</v>
      </c>
      <c r="AC130" s="24">
        <f t="shared" si="57"/>
        <v>38.70357921961142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projet'!$B$10,Paramètres!$A$1:$I$88,3,0)*VLOOKUP('Données projet'!$B$10,Paramètres!$A$1:$I$88,5,0)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170.08673939431091</v>
      </c>
      <c r="AO130" s="62">
        <f t="shared" si="90"/>
        <v>252.97355497077106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projet'!$B$10,Paramètres!$A$1:$I$88,3,0)*0.475*44/12</f>
        <v>13.70341346648771</v>
      </c>
      <c r="AV130" s="23">
        <f>EXP(-LN(2)/25)*AV129+(1-EXP(-LN(2)/25))/(LN(2)/25)*Calculateur!AQ130*Calculateur!AS130*VLOOKUP('Données projet'!$B$10,Paramètres!$A$1:$I$88,3,0)*0.475*44/12</f>
        <v>5.9629297853891519</v>
      </c>
      <c r="AW130" s="23">
        <f>EXP(-LN(2)/2)*AW129+(1-EXP(-LN(2)/2))/(LN(2)/2)*AQ130*AT130*VLOOKUP('Données projet'!$B$10,Paramètres!$A$1:$I$88,3,0)*0.475*44/12</f>
        <v>9.7049565841159194E-11</v>
      </c>
      <c r="AX130" s="23">
        <f t="shared" si="60"/>
        <v>19.66634325197391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-1.1368683772161603E-13</v>
      </c>
      <c r="BE130" s="14">
        <f>BD130*VLOOKUP('Données projet'!$B$11,Paramètres!$A$1:$I$88,3,0)*VLOOKUP('Données projet'!$B$11,Paramètres!$A$1:$I$88,5,0)</f>
        <v>-1.0286385077051818E-13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362.63718589694594</v>
      </c>
      <c r="BJ130" s="62">
        <f t="shared" si="92"/>
        <v>250.47702091764884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projet'!$B$11,Paramètres!$A$1:$I$88,3,0)*0.475*44/12</f>
        <v>74.741705705057427</v>
      </c>
      <c r="BQ130" s="23">
        <f>EXP(-LN(2)/25)*BQ129+(1-EXP(-LN(2)/25))/(LN(2)/25)*Calculateur!BL130*Calculateur!BN130*VLOOKUP('Données projet'!$B$11,Paramètres!$A$1:$I$88,3,0)*0.475*44/12</f>
        <v>0</v>
      </c>
      <c r="BR130" s="23">
        <f>EXP(-LN(2)/2)*BR129+(1-EXP(-LN(2)/2))/(LN(2)/2)*BL130*BO130*VLOOKUP('Données projet'!$B$11,Paramètres!$A$1:$I$88,3,0)*0.475*44/12</f>
        <v>0</v>
      </c>
      <c r="BS130" s="24">
        <f t="shared" si="63"/>
        <v>74.741705705057427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-1.1368683772161603E-13</v>
      </c>
      <c r="BZ130" s="14">
        <f>BY130*VLOOKUP('Données projet'!$B$12,Paramètres!$A$1:$I$88,3,0)*VLOOKUP('Données projet'!$B$12,Paramètres!$A$1:$I$88,5,0)</f>
        <v>-1.1527845344971866E-13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398.14524781940196</v>
      </c>
      <c r="CE130" s="62">
        <f t="shared" si="94"/>
        <v>273.35778700650792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projet'!$B$12,Paramètres!$A$1:$I$88,3,0)*0.475*44/12</f>
        <v>83.762256393598875</v>
      </c>
      <c r="CL130" s="23">
        <f>EXP(-LN(2)/25)*CL129+(1-EXP(-LN(2)/25))/(LN(2)/25)*Calculateur!CG130*Calculateur!CI130*VLOOKUP('Données projet'!$B$12,Paramètres!$A$1:$I$88,3,0)*0.475*44/12</f>
        <v>0</v>
      </c>
      <c r="CM130" s="23">
        <f>EXP(-LN(2)/2)*CM129+(1-EXP(-LN(2)/2))/(LN(2)/2)*CG130*CJ130*VLOOKUP('Données projet'!$B$12,Paramètres!$A$1:$I$88,3,0)*0.475*44/12</f>
        <v>0</v>
      </c>
      <c r="CN130" s="24">
        <f t="shared" si="66"/>
        <v>83.762256393598875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118</v>
      </c>
      <c r="CU130" s="18">
        <f>CT130*VLOOKUP('Données projet'!$B$13,Paramètres!$A$1:$I$88,3,0)*VLOOKUP('Données projet'!$B$13,Paramètres!$A$1:$I$88,5,0)</f>
        <v>112.28880000000001</v>
      </c>
      <c r="CV130" s="14">
        <f t="shared" si="95"/>
        <v>29.869595672288149</v>
      </c>
      <c r="CW130" s="22">
        <f t="shared" si="67"/>
        <v>247.59253912923518</v>
      </c>
      <c r="CX130" s="62">
        <f t="shared" si="68"/>
        <v>530.99489598831258</v>
      </c>
      <c r="CY130" s="62">
        <f ca="1">AVERAGE(OFFSET($CX$3,0,0,'Données projet'!$E$13+1,1))-AVERAGE(OFFSET($H$3,0,0,'Données projet'!$E$13+1,1))</f>
        <v>470.0521927195926</v>
      </c>
      <c r="CZ130" s="62">
        <f t="shared" si="96"/>
        <v>299.27200854723435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projet'!$B$13,Paramètres!$A$1:$I$88,3,0)*0.475*44/12</f>
        <v>78.607656000146633</v>
      </c>
      <c r="DG130" s="23">
        <f>EXP(-LN(2)/25)*DG129+(1-EXP(-LN(2)/25))/(LN(2)/25)*Calculateur!DB130*Calculateur!DD130*VLOOKUP('Données projet'!$B$13,Paramètres!$A$1:$I$88,3,0)*0.475*44/12</f>
        <v>0</v>
      </c>
      <c r="DH130" s="23">
        <f>EXP(-LN(2)/2)*DH129+(1-EXP(-LN(2)/2))/(LN(2)/2)*DB130*DE130*VLOOKUP('Données projet'!$B$13,Paramètres!$A$1:$I$88,3,0)*0.475*44/12</f>
        <v>0</v>
      </c>
      <c r="DI130" s="24">
        <f t="shared" si="69"/>
        <v>78.607656000146633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-1.4210854715202004E-13</v>
      </c>
      <c r="DP130" s="18">
        <f>DO130*VLOOKUP('Données projet'!$B$14,Paramètres!$A$1:$I$88,3,0)*VLOOKUP('Données projet'!$B$14,Paramètres!$A$1:$I$88,5,0)</f>
        <v>-1.3744738680543379E-13</v>
      </c>
      <c r="DQ130" s="14" t="e">
        <f t="shared" si="97"/>
        <v>#NUM!</v>
      </c>
      <c r="DR130" s="22" t="e">
        <f t="shared" si="70"/>
        <v>#NUM!</v>
      </c>
      <c r="DS130" s="62" t="e">
        <f t="shared" si="71"/>
        <v>#NUM!</v>
      </c>
      <c r="DT130" s="62">
        <f ca="1">AVERAGE(OFFSET($DS$3,0,0,'Données projet'!$E$14+1,1))-AVERAGE(OFFSET($H$3,0,0,'Données projet'!$E$14+1,1))</f>
        <v>290.89727102147953</v>
      </c>
      <c r="DU130" s="62">
        <f t="shared" si="98"/>
        <v>173.19148969173838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projet'!$B$14,Paramètres!$A$1:$I$88,3,0)*0.475*44/12</f>
        <v>59.728481035207494</v>
      </c>
      <c r="EB130" s="23">
        <f>EXP(-LN(2)/25)*EB129+(1-EXP(-LN(2)/25))/(LN(2)/25)*Calculateur!DW130*Calculateur!DY130*VLOOKUP('Données projet'!$B$14,Paramètres!$A$1:$I$88,3,0)*0.475*44/12</f>
        <v>0</v>
      </c>
      <c r="EC130" s="23">
        <f>EXP(-LN(2)/2)*EC129+(1-EXP(-LN(2)/2))/(LN(2)/2)*DW130*DZ130*VLOOKUP('Données projet'!$B$14,Paramètres!$A$1:$I$88,3,0)*0.475*44/12</f>
        <v>0</v>
      </c>
      <c r="ED130" s="24">
        <f t="shared" si="72"/>
        <v>59.728481035207494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projet'!$B$15,Paramètres!$A$1:$I$88,3,0)*VLOOKUP('Données projet'!$B$15,Paramètres!$A$1:$I$88,5,0)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projet'!$B$15,Paramètres!$A$1:$I$88,3,0)*0.475*44/12</f>
        <v>#N/A</v>
      </c>
      <c r="EW130" s="23" t="e">
        <f>EXP(-LN(2)/25)*EW129+(1-EXP(-LN(2)/25))/(LN(2)/25)*Calculateur!ER130*Calculateur!ET130*VLOOKUP('Données projet'!$B$15,Paramètres!$A$1:$I$88,3,0)*0.475*44/12</f>
        <v>#N/A</v>
      </c>
      <c r="EX130" s="23" t="e">
        <f>EXP(-LN(2)/2)*EX129+(1-EXP(-LN(2)/2))/(LN(2)/2)*ER130*EU130*VLOOKUP('Données projet'!$B$15,Paramètres!$A$1:$I$88,3,0)*0.475*44/12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projet'!$B$16,Paramètres!$A$1:$I$88,3,0)*VLOOKUP('Données projet'!$B$16,Paramètres!$A$1:$I$88,5,0)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projet'!$B$16,Paramètres!$A$1:$I$88,3,0)*0.475*44/12</f>
        <v>#N/A</v>
      </c>
      <c r="FR130" s="23" t="e">
        <f>EXP(-LN(2)/25)*FR129+(1-EXP(-LN(2)/25))/(LN(2)/25)*Calculateur!FM130*Calculateur!FO130*VLOOKUP('Données projet'!$B$16,Paramètres!$A$1:$I$88,3,0)*0.475*44/12</f>
        <v>#N/A</v>
      </c>
      <c r="FS130" s="23" t="e">
        <f>EXP(-LN(2)/2)*FS129+(1-EXP(-LN(2)/2))/(LN(2)/2)*FM130*FP130*VLOOKUP('Données projet'!$B$16,Paramètres!$A$1:$I$88,3,0)*0.475*44/12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projet'!$B$17,Paramètres!$A$1:$I$88,3,0)*VLOOKUP('Données projet'!$B$17,Paramètres!$A$1:$I$88,5,0)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projet'!$B$17,Paramètres!$A$1:$I$88,3,0)*0.475*44/12</f>
        <v>#N/A</v>
      </c>
      <c r="GM130" s="23" t="e">
        <f>EXP(-LN(2)/25)*GM129+(1-EXP(-LN(2)/25))/(LN(2)/25)*Calculateur!GH130*Calculateur!GJ130*VLOOKUP('Données projet'!$B$17,Paramètres!$A$1:$I$88,3,0)*0.475*44/12</f>
        <v>#N/A</v>
      </c>
      <c r="GN130" s="23" t="e">
        <f>EXP(-LN(2)/2)*GN129+(1-EXP(-LN(2)/2))/(LN(2)/2)*GH130*GK130*VLOOKUP('Données projet'!$B$17,Paramètres!$A$1:$I$88,3,0)*0.475*44/12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projet'!$B$18,Paramètres!$A$1:$I$88,3,0)*VLOOKUP('Données projet'!$B$18,Paramètres!$A$1:$I$88,5,0)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projet'!$B$18,Paramètres!$A$1:$I$88,3,0)*0.475*44/12</f>
        <v>#N/A</v>
      </c>
      <c r="HH130" s="23" t="e">
        <f>EXP(-LN(2)/25)*HH129+(1-EXP(-LN(2)/25))/(LN(2)/25)*Calculateur!HC130*Calculateur!HE130*VLOOKUP('Données projet'!$B$18,Paramètres!$A$1:$I$88,3,0)*0.475*44/12</f>
        <v>#N/A</v>
      </c>
      <c r="HI130" s="23" t="e">
        <f>EXP(-LN(2)/2)*HI129+(1-EXP(-LN(2)/2))/(LN(2)/2)*HC130*HF130*VLOOKUP('Données projet'!$B$18,Paramètres!$A$1:$I$88,3,0)*0.475*44/12</f>
        <v>#N/A</v>
      </c>
      <c r="HJ130" s="24" t="e">
        <f t="shared" si="84"/>
        <v>#N/A</v>
      </c>
    </row>
    <row r="131" spans="1:218" s="5" customFormat="1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projet'!$B$9,Paramètres!$A$1:$I$88,3,0)*VLOOKUP('Données projet'!$B$9,Paramètres!$A$1:$I$88,5,0)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283.57463709856961</v>
      </c>
      <c r="S131" s="62">
        <f ca="1">AVERAGE(OFFSET($R$3,0,0,'Données projet'!$E$9+1,1))-AVERAGE(OFFSET($H$3,0,0,'Données projet'!$E$9+1,1))</f>
        <v>301.2688576786212</v>
      </c>
      <c r="T131" s="62">
        <f t="shared" si="88"/>
        <v>417.62172165132927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32.176799051131162</v>
      </c>
      <c r="AA131" s="23">
        <f>EXP(-LN(2)/25)*AA130+(1-EXP(-LN(2)/25))/(LN(2)/25)*Calculateur!V131*Calculateur!X131*VLOOKUP('Données projet'!$B$9,Paramètres!$A$1:$I$88,3,0)*0.475*44/12</f>
        <v>5.7223161957605466</v>
      </c>
      <c r="AB131" s="23">
        <f>EXP(-LN(2)/2)*AB130+(1-EXP(-LN(2)/2))/(LN(2)/2)*V131*Y131*VLOOKUP('Données projet'!$B$9,Paramètres!$A$1:$I$88,3,0)*0.475*44/12</f>
        <v>5.3574327259689048E-11</v>
      </c>
      <c r="AC131" s="24">
        <f t="shared" si="57"/>
        <v>37.899115246945286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projet'!$B$10,Paramètres!$A$1:$I$88,3,0)*VLOOKUP('Données projet'!$B$10,Paramètres!$A$1:$I$88,5,0)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170.08673939431091</v>
      </c>
      <c r="AO131" s="62">
        <f t="shared" si="90"/>
        <v>252.97355497077106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projet'!$B$10,Paramètres!$A$1:$I$88,3,0)*0.475*44/12</f>
        <v>13.434697886666791</v>
      </c>
      <c r="AV131" s="23">
        <f>EXP(-LN(2)/25)*AV130+(1-EXP(-LN(2)/25))/(LN(2)/25)*Calculateur!AQ131*Calculateur!AS131*VLOOKUP('Données projet'!$B$10,Paramètres!$A$1:$I$88,3,0)*0.475*44/12</f>
        <v>5.7998731568308362</v>
      </c>
      <c r="AW131" s="23">
        <f>EXP(-LN(2)/2)*AW130+(1-EXP(-LN(2)/2))/(LN(2)/2)*AQ131*AT131*VLOOKUP('Données projet'!$B$10,Paramètres!$A$1:$I$88,3,0)*0.475*44/12</f>
        <v>6.862440611749399E-11</v>
      </c>
      <c r="AX131" s="23">
        <f t="shared" si="60"/>
        <v>19.234571043566252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-1.1368683772161603E-13</v>
      </c>
      <c r="BE131" s="14">
        <f>BD131*VLOOKUP('Données projet'!$B$11,Paramètres!$A$1:$I$88,3,0)*VLOOKUP('Données projet'!$B$11,Paramètres!$A$1:$I$88,5,0)</f>
        <v>-1.0286385077051818E-13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362.63718589694594</v>
      </c>
      <c r="BJ131" s="62">
        <f t="shared" si="92"/>
        <v>250.47702091764884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projet'!$B$11,Paramètres!$A$1:$I$88,3,0)*0.475*44/12</f>
        <v>73.276066444120289</v>
      </c>
      <c r="BQ131" s="23">
        <f>EXP(-LN(2)/25)*BQ130+(1-EXP(-LN(2)/25))/(LN(2)/25)*Calculateur!BL131*Calculateur!BN131*VLOOKUP('Données projet'!$B$11,Paramètres!$A$1:$I$88,3,0)*0.475*44/12</f>
        <v>0</v>
      </c>
      <c r="BR131" s="23">
        <f>EXP(-LN(2)/2)*BR130+(1-EXP(-LN(2)/2))/(LN(2)/2)*BL131*BO131*VLOOKUP('Données projet'!$B$11,Paramètres!$A$1:$I$88,3,0)*0.475*44/12</f>
        <v>0</v>
      </c>
      <c r="BS131" s="24">
        <f t="shared" si="63"/>
        <v>73.276066444120289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-1.1368683772161603E-13</v>
      </c>
      <c r="BZ131" s="14">
        <f>BY131*VLOOKUP('Données projet'!$B$12,Paramètres!$A$1:$I$88,3,0)*VLOOKUP('Données projet'!$B$12,Paramètres!$A$1:$I$88,5,0)</f>
        <v>-1.1527845344971866E-13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398.14524781940196</v>
      </c>
      <c r="CE131" s="62">
        <f t="shared" si="94"/>
        <v>273.35778700650792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projet'!$B$12,Paramètres!$A$1:$I$88,3,0)*0.475*44/12</f>
        <v>82.119729635652092</v>
      </c>
      <c r="CL131" s="23">
        <f>EXP(-LN(2)/25)*CL130+(1-EXP(-LN(2)/25))/(LN(2)/25)*Calculateur!CG131*Calculateur!CI131*VLOOKUP('Données projet'!$B$12,Paramètres!$A$1:$I$88,3,0)*0.475*44/12</f>
        <v>0</v>
      </c>
      <c r="CM131" s="23">
        <f>EXP(-LN(2)/2)*CM130+(1-EXP(-LN(2)/2))/(LN(2)/2)*CG131*CJ131*VLOOKUP('Données projet'!$B$12,Paramètres!$A$1:$I$88,3,0)*0.475*44/12</f>
        <v>0</v>
      </c>
      <c r="CN131" s="24">
        <f t="shared" si="66"/>
        <v>82.119729635652092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118</v>
      </c>
      <c r="CU131" s="18">
        <f>CT131*VLOOKUP('Données projet'!$B$13,Paramètres!$A$1:$I$88,3,0)*VLOOKUP('Données projet'!$B$13,Paramètres!$A$1:$I$88,5,0)</f>
        <v>112.28880000000001</v>
      </c>
      <c r="CV131" s="14">
        <f t="shared" si="95"/>
        <v>29.869595672288149</v>
      </c>
      <c r="CW131" s="22">
        <f t="shared" si="67"/>
        <v>247.59253912923518</v>
      </c>
      <c r="CX131" s="62">
        <f t="shared" si="68"/>
        <v>531.16717622780368</v>
      </c>
      <c r="CY131" s="62">
        <f ca="1">AVERAGE(OFFSET($CX$3,0,0,'Données projet'!$E$13+1,1))-AVERAGE(OFFSET($H$3,0,0,'Données projet'!$E$13+1,1))</f>
        <v>470.0521927195926</v>
      </c>
      <c r="CZ131" s="62">
        <f t="shared" si="96"/>
        <v>299.27200854723435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projet'!$B$13,Paramètres!$A$1:$I$88,3,0)*0.475*44/12</f>
        <v>77.066207811919654</v>
      </c>
      <c r="DG131" s="23">
        <f>EXP(-LN(2)/25)*DG130+(1-EXP(-LN(2)/25))/(LN(2)/25)*Calculateur!DB131*Calculateur!DD131*VLOOKUP('Données projet'!$B$13,Paramètres!$A$1:$I$88,3,0)*0.475*44/12</f>
        <v>0</v>
      </c>
      <c r="DH131" s="23">
        <f>EXP(-LN(2)/2)*DH130+(1-EXP(-LN(2)/2))/(LN(2)/2)*DB131*DE131*VLOOKUP('Données projet'!$B$13,Paramètres!$A$1:$I$88,3,0)*0.475*44/12</f>
        <v>0</v>
      </c>
      <c r="DI131" s="24">
        <f t="shared" si="69"/>
        <v>77.066207811919654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-1.4210854715202004E-13</v>
      </c>
      <c r="DP131" s="18">
        <f>DO131*VLOOKUP('Données projet'!$B$14,Paramètres!$A$1:$I$88,3,0)*VLOOKUP('Données projet'!$B$14,Paramètres!$A$1:$I$88,5,0)</f>
        <v>-1.3744738680543379E-13</v>
      </c>
      <c r="DQ131" s="14" t="e">
        <f t="shared" si="97"/>
        <v>#NUM!</v>
      </c>
      <c r="DR131" s="22" t="e">
        <f t="shared" si="70"/>
        <v>#NUM!</v>
      </c>
      <c r="DS131" s="62" t="e">
        <f t="shared" si="71"/>
        <v>#NUM!</v>
      </c>
      <c r="DT131" s="62">
        <f ca="1">AVERAGE(OFFSET($DS$3,0,0,'Données projet'!$E$14+1,1))-AVERAGE(OFFSET($H$3,0,0,'Données projet'!$E$14+1,1))</f>
        <v>290.89727102147953</v>
      </c>
      <c r="DU131" s="62">
        <f t="shared" si="98"/>
        <v>173.19148969173838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projet'!$B$14,Paramètres!$A$1:$I$88,3,0)*0.475*44/12</f>
        <v>58.557241952883267</v>
      </c>
      <c r="EB131" s="23">
        <f>EXP(-LN(2)/25)*EB130+(1-EXP(-LN(2)/25))/(LN(2)/25)*Calculateur!DW131*Calculateur!DY131*VLOOKUP('Données projet'!$B$14,Paramètres!$A$1:$I$88,3,0)*0.475*44/12</f>
        <v>0</v>
      </c>
      <c r="EC131" s="23">
        <f>EXP(-LN(2)/2)*EC130+(1-EXP(-LN(2)/2))/(LN(2)/2)*DW131*DZ131*VLOOKUP('Données projet'!$B$14,Paramètres!$A$1:$I$88,3,0)*0.475*44/12</f>
        <v>0</v>
      </c>
      <c r="ED131" s="24">
        <f t="shared" si="72"/>
        <v>58.557241952883267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projet'!$B$15,Paramètres!$A$1:$I$88,3,0)*VLOOKUP('Données projet'!$B$15,Paramètres!$A$1:$I$88,5,0)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projet'!$B$15,Paramètres!$A$1:$I$88,3,0)*0.475*44/12</f>
        <v>#N/A</v>
      </c>
      <c r="EW131" s="23" t="e">
        <f>EXP(-LN(2)/25)*EW130+(1-EXP(-LN(2)/25))/(LN(2)/25)*Calculateur!ER131*Calculateur!ET131*VLOOKUP('Données projet'!$B$15,Paramètres!$A$1:$I$88,3,0)*0.475*44/12</f>
        <v>#N/A</v>
      </c>
      <c r="EX131" s="23" t="e">
        <f>EXP(-LN(2)/2)*EX130+(1-EXP(-LN(2)/2))/(LN(2)/2)*ER131*EU131*VLOOKUP('Données projet'!$B$15,Paramètres!$A$1:$I$88,3,0)*0.475*44/12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projet'!$B$16,Paramètres!$A$1:$I$88,3,0)*VLOOKUP('Données projet'!$B$16,Paramètres!$A$1:$I$88,5,0)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projet'!$B$16,Paramètres!$A$1:$I$88,3,0)*0.475*44/12</f>
        <v>#N/A</v>
      </c>
      <c r="FR131" s="23" t="e">
        <f>EXP(-LN(2)/25)*FR130+(1-EXP(-LN(2)/25))/(LN(2)/25)*Calculateur!FM131*Calculateur!FO131*VLOOKUP('Données projet'!$B$16,Paramètres!$A$1:$I$88,3,0)*0.475*44/12</f>
        <v>#N/A</v>
      </c>
      <c r="FS131" s="23" t="e">
        <f>EXP(-LN(2)/2)*FS130+(1-EXP(-LN(2)/2))/(LN(2)/2)*FM131*FP131*VLOOKUP('Données projet'!$B$16,Paramètres!$A$1:$I$88,3,0)*0.475*44/12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projet'!$B$17,Paramètres!$A$1:$I$88,3,0)*VLOOKUP('Données projet'!$B$17,Paramètres!$A$1:$I$88,5,0)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projet'!$B$17,Paramètres!$A$1:$I$88,3,0)*0.475*44/12</f>
        <v>#N/A</v>
      </c>
      <c r="GM131" s="23" t="e">
        <f>EXP(-LN(2)/25)*GM130+(1-EXP(-LN(2)/25))/(LN(2)/25)*Calculateur!GH131*Calculateur!GJ131*VLOOKUP('Données projet'!$B$17,Paramètres!$A$1:$I$88,3,0)*0.475*44/12</f>
        <v>#N/A</v>
      </c>
      <c r="GN131" s="23" t="e">
        <f>EXP(-LN(2)/2)*GN130+(1-EXP(-LN(2)/2))/(LN(2)/2)*GH131*GK131*VLOOKUP('Données projet'!$B$17,Paramètres!$A$1:$I$88,3,0)*0.475*44/12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projet'!$B$18,Paramètres!$A$1:$I$88,3,0)*VLOOKUP('Données projet'!$B$18,Paramètres!$A$1:$I$88,5,0)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projet'!$B$18,Paramètres!$A$1:$I$88,3,0)*0.475*44/12</f>
        <v>#N/A</v>
      </c>
      <c r="HH131" s="23" t="e">
        <f>EXP(-LN(2)/25)*HH130+(1-EXP(-LN(2)/25))/(LN(2)/25)*Calculateur!HC131*Calculateur!HE131*VLOOKUP('Données projet'!$B$18,Paramètres!$A$1:$I$88,3,0)*0.475*44/12</f>
        <v>#N/A</v>
      </c>
      <c r="HI131" s="23" t="e">
        <f>EXP(-LN(2)/2)*HI130+(1-EXP(-LN(2)/2))/(LN(2)/2)*HC131*HF131*VLOOKUP('Données projet'!$B$18,Paramètres!$A$1:$I$88,3,0)*0.475*44/12</f>
        <v>#N/A</v>
      </c>
      <c r="HJ131" s="24" t="e">
        <f t="shared" si="84"/>
        <v>#N/A</v>
      </c>
    </row>
    <row r="132" spans="1:218" s="5" customFormat="1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projet'!$B$9,Paramètres!$A$1:$I$88,3,0)*VLOOKUP('Données projet'!$B$9,Paramètres!$A$1:$I$88,5,0)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283.74392866106643</v>
      </c>
      <c r="S132" s="62">
        <f ca="1">AVERAGE(OFFSET($R$3,0,0,'Données projet'!$E$9+1,1))-AVERAGE(OFFSET($H$3,0,0,'Données projet'!$E$9+1,1))</f>
        <v>301.2688576786212</v>
      </c>
      <c r="T132" s="62">
        <f t="shared" si="88"/>
        <v>417.62172165132927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projet'!$B$9,Paramètres!$A$1:$I$88,7,0))</f>
        <v>0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31.545831647648004</v>
      </c>
      <c r="AA132" s="23">
        <f>EXP(-LN(2)/25)*AA131+(1-EXP(-LN(2)/25))/(LN(2)/25)*Calculateur!V132*Calculateur!X132*VLOOKUP('Données projet'!$B$9,Paramètres!$A$1:$I$88,3,0)*0.475*44/12</f>
        <v>5.5658391584639446</v>
      </c>
      <c r="AB132" s="23">
        <f>EXP(-LN(2)/2)*AB131+(1-EXP(-LN(2)/2))/(LN(2)/2)*V132*Y132*VLOOKUP('Données projet'!$B$9,Paramètres!$A$1:$I$88,3,0)*0.475*44/12</f>
        <v>3.7882770102833432E-11</v>
      </c>
      <c r="AC132" s="24">
        <f t="shared" ref="AC132:AC153" si="111">SUM(Z132:AB132)</f>
        <v>37.111670806149831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projet'!$B$10,Paramètres!$A$1:$I$88,3,0)*VLOOKUP('Données projet'!$B$10,Paramètres!$A$1:$I$88,5,0)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170.08673939431091</v>
      </c>
      <c r="AO132" s="62">
        <f t="shared" si="90"/>
        <v>252.97355497077106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projet'!$B$10,Paramètres!$A$1:$I$88,3,0)*0.475*44/12</f>
        <v>13.171251655465841</v>
      </c>
      <c r="AV132" s="23">
        <f>EXP(-LN(2)/25)*AV131+(1-EXP(-LN(2)/25))/(LN(2)/25)*Calculateur!AQ132*Calculateur!AS132*VLOOKUP('Données projet'!$B$10,Paramètres!$A$1:$I$88,3,0)*0.475*44/12</f>
        <v>5.6412753203552235</v>
      </c>
      <c r="AW132" s="23">
        <f>EXP(-LN(2)/2)*AW131+(1-EXP(-LN(2)/2))/(LN(2)/2)*AQ132*AT132*VLOOKUP('Données projet'!$B$10,Paramètres!$A$1:$I$88,3,0)*0.475*44/12</f>
        <v>4.8524782920579597E-11</v>
      </c>
      <c r="AX132" s="23">
        <f t="shared" ref="AX132:AX153" si="114">SUM(AU132:AW132)</f>
        <v>18.812526975869591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-1.1368683772161603E-13</v>
      </c>
      <c r="BE132" s="14">
        <f>BD132*VLOOKUP('Données projet'!$B$11,Paramètres!$A$1:$I$88,3,0)*VLOOKUP('Données projet'!$B$11,Paramètres!$A$1:$I$88,5,0)</f>
        <v>-1.0286385077051818E-13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362.63718589694594</v>
      </c>
      <c r="BJ132" s="62">
        <f t="shared" si="92"/>
        <v>250.47702091764884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projet'!$B$11,Paramètres!$A$1:$I$88,7,0))</f>
        <v>0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projet'!$B$11,Paramètres!$A$1:$I$88,3,0)*0.475*44/12</f>
        <v>71.839167475138453</v>
      </c>
      <c r="BQ132" s="23">
        <f>EXP(-LN(2)/25)*BQ131+(1-EXP(-LN(2)/25))/(LN(2)/25)*Calculateur!BL132*Calculateur!BN132*VLOOKUP('Données projet'!$B$11,Paramètres!$A$1:$I$88,3,0)*0.475*44/12</f>
        <v>0</v>
      </c>
      <c r="BR132" s="23">
        <f>EXP(-LN(2)/2)*BR131+(1-EXP(-LN(2)/2))/(LN(2)/2)*BL132*BO132*VLOOKUP('Données projet'!$B$11,Paramètres!$A$1:$I$88,3,0)*0.475*44/12</f>
        <v>0</v>
      </c>
      <c r="BS132" s="24">
        <f t="shared" ref="BS132:BS153" si="117">SUM(BP132:BR132)</f>
        <v>71.839167475138453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-1.1368683772161603E-13</v>
      </c>
      <c r="BZ132" s="14">
        <f>BY132*VLOOKUP('Données projet'!$B$12,Paramètres!$A$1:$I$88,3,0)*VLOOKUP('Données projet'!$B$12,Paramètres!$A$1:$I$88,5,0)</f>
        <v>-1.1527845344971866E-13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398.14524781940196</v>
      </c>
      <c r="CE132" s="62">
        <f t="shared" si="94"/>
        <v>273.35778700650792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projet'!$B$12,Paramètres!$A$1:$I$88,3,0)*0.475*44/12</f>
        <v>80.509411825586241</v>
      </c>
      <c r="CL132" s="23">
        <f>EXP(-LN(2)/25)*CL131+(1-EXP(-LN(2)/25))/(LN(2)/25)*Calculateur!CG132*Calculateur!CI132*VLOOKUP('Données projet'!$B$12,Paramètres!$A$1:$I$88,3,0)*0.475*44/12</f>
        <v>0</v>
      </c>
      <c r="CM132" s="23">
        <f>EXP(-LN(2)/2)*CM131+(1-EXP(-LN(2)/2))/(LN(2)/2)*CG132*CJ132*VLOOKUP('Données projet'!$B$12,Paramètres!$A$1:$I$88,3,0)*0.475*44/12</f>
        <v>0</v>
      </c>
      <c r="CN132" s="24">
        <f t="shared" ref="CN132:CN153" si="120">SUM(CK132:CM132)</f>
        <v>80.509411825586241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118</v>
      </c>
      <c r="CU132" s="18">
        <f>CT132*VLOOKUP('Données projet'!$B$13,Paramètres!$A$1:$I$88,3,0)*VLOOKUP('Données projet'!$B$13,Paramètres!$A$1:$I$88,5,0)</f>
        <v>112.28880000000001</v>
      </c>
      <c r="CV132" s="14">
        <f t="shared" si="95"/>
        <v>29.869595672288149</v>
      </c>
      <c r="CW132" s="22">
        <f t="shared" ref="CW132:CW153" si="121">(CU132+CV132)*0.475*44/12</f>
        <v>247.59253912923518</v>
      </c>
      <c r="CX132" s="62">
        <f t="shared" ref="CX132:CX195" si="122">CW132+(CO132+CP132)*44/12</f>
        <v>531.3364677903005</v>
      </c>
      <c r="CY132" s="62">
        <f ca="1">AVERAGE(OFFSET($CX$3,0,0,'Données projet'!$E$13+1,1))-AVERAGE(OFFSET($H$3,0,0,'Données projet'!$E$13+1,1))</f>
        <v>470.0521927195926</v>
      </c>
      <c r="CZ132" s="62">
        <f t="shared" si="96"/>
        <v>299.27200854723435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projet'!$B$13,Paramètres!$A$1:$I$88,3,0)*0.475*44/12</f>
        <v>75.55498648247324</v>
      </c>
      <c r="DG132" s="23">
        <f>EXP(-LN(2)/25)*DG131+(1-EXP(-LN(2)/25))/(LN(2)/25)*Calculateur!DB132*Calculateur!DD132*VLOOKUP('Données projet'!$B$13,Paramètres!$A$1:$I$88,3,0)*0.475*44/12</f>
        <v>0</v>
      </c>
      <c r="DH132" s="23">
        <f>EXP(-LN(2)/2)*DH131+(1-EXP(-LN(2)/2))/(LN(2)/2)*DB132*DE132*VLOOKUP('Données projet'!$B$13,Paramètres!$A$1:$I$88,3,0)*0.475*44/12</f>
        <v>0</v>
      </c>
      <c r="DI132" s="24">
        <f t="shared" ref="DI132:DI153" si="123">SUM(DF132:DH132)</f>
        <v>75.55498648247324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-1.4210854715202004E-13</v>
      </c>
      <c r="DP132" s="18">
        <f>DO132*VLOOKUP('Données projet'!$B$14,Paramètres!$A$1:$I$88,3,0)*VLOOKUP('Données projet'!$B$14,Paramètres!$A$1:$I$88,5,0)</f>
        <v>-1.3744738680543379E-13</v>
      </c>
      <c r="DQ132" s="14" t="e">
        <f t="shared" si="97"/>
        <v>#NUM!</v>
      </c>
      <c r="DR132" s="22" t="e">
        <f t="shared" ref="DR132:DR153" si="124">(DP132+DQ132)*0.475*44/12</f>
        <v>#NUM!</v>
      </c>
      <c r="DS132" s="62" t="e">
        <f t="shared" ref="DS132:DS195" si="125">DR132+(DJ132+DK132)*44/12</f>
        <v>#NUM!</v>
      </c>
      <c r="DT132" s="62">
        <f ca="1">AVERAGE(OFFSET($DS$3,0,0,'Données projet'!$E$14+1,1))-AVERAGE(OFFSET($H$3,0,0,'Données projet'!$E$14+1,1))</f>
        <v>290.89727102147953</v>
      </c>
      <c r="DU132" s="62">
        <f t="shared" si="98"/>
        <v>173.19148969173838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projet'!$B$14,Paramètres!$A$1:$I$88,3,0)*0.475*44/12</f>
        <v>57.408970154578114</v>
      </c>
      <c r="EB132" s="23">
        <f>EXP(-LN(2)/25)*EB131+(1-EXP(-LN(2)/25))/(LN(2)/25)*Calculateur!DW132*Calculateur!DY132*VLOOKUP('Données projet'!$B$14,Paramètres!$A$1:$I$88,3,0)*0.475*44/12</f>
        <v>0</v>
      </c>
      <c r="EC132" s="23">
        <f>EXP(-LN(2)/2)*EC131+(1-EXP(-LN(2)/2))/(LN(2)/2)*DW132*DZ132*VLOOKUP('Données projet'!$B$14,Paramètres!$A$1:$I$88,3,0)*0.475*44/12</f>
        <v>0</v>
      </c>
      <c r="ED132" s="24">
        <f t="shared" ref="ED132:ED153" si="126">SUM(EA132:EC132)</f>
        <v>57.408970154578114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projet'!$B$15,Paramètres!$A$1:$I$88,3,0)*VLOOKUP('Données projet'!$B$15,Paramètres!$A$1:$I$88,5,0)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projet'!$B$15,Paramètres!$A$1:$I$88,3,0)*0.475*44/12</f>
        <v>#N/A</v>
      </c>
      <c r="EW132" s="23" t="e">
        <f>EXP(-LN(2)/25)*EW131+(1-EXP(-LN(2)/25))/(LN(2)/25)*Calculateur!ER132*Calculateur!ET132*VLOOKUP('Données projet'!$B$15,Paramètres!$A$1:$I$88,3,0)*0.475*44/12</f>
        <v>#N/A</v>
      </c>
      <c r="EX132" s="23" t="e">
        <f>EXP(-LN(2)/2)*EX131+(1-EXP(-LN(2)/2))/(LN(2)/2)*ER132*EU132*VLOOKUP('Données projet'!$B$15,Paramètres!$A$1:$I$88,3,0)*0.475*44/12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projet'!$B$16,Paramètres!$A$1:$I$88,3,0)*VLOOKUP('Données projet'!$B$16,Paramètres!$A$1:$I$88,5,0)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projet'!$B$16,Paramètres!$A$1:$I$88,3,0)*0.475*44/12</f>
        <v>#N/A</v>
      </c>
      <c r="FR132" s="23" t="e">
        <f>EXP(-LN(2)/25)*FR131+(1-EXP(-LN(2)/25))/(LN(2)/25)*Calculateur!FM132*Calculateur!FO132*VLOOKUP('Données projet'!$B$16,Paramètres!$A$1:$I$88,3,0)*0.475*44/12</f>
        <v>#N/A</v>
      </c>
      <c r="FS132" s="23" t="e">
        <f>EXP(-LN(2)/2)*FS131+(1-EXP(-LN(2)/2))/(LN(2)/2)*FM132*FP132*VLOOKUP('Données projet'!$B$16,Paramètres!$A$1:$I$88,3,0)*0.475*44/12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projet'!$B$17,Paramètres!$A$1:$I$88,3,0)*VLOOKUP('Données projet'!$B$17,Paramètres!$A$1:$I$88,5,0)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projet'!$B$17,Paramètres!$A$1:$I$88,3,0)*0.475*44/12</f>
        <v>#N/A</v>
      </c>
      <c r="GM132" s="23" t="e">
        <f>EXP(-LN(2)/25)*GM131+(1-EXP(-LN(2)/25))/(LN(2)/25)*Calculateur!GH132*Calculateur!GJ132*VLOOKUP('Données projet'!$B$17,Paramètres!$A$1:$I$88,3,0)*0.475*44/12</f>
        <v>#N/A</v>
      </c>
      <c r="GN132" s="23" t="e">
        <f>EXP(-LN(2)/2)*GN131+(1-EXP(-LN(2)/2))/(LN(2)/2)*GH132*GK132*VLOOKUP('Données projet'!$B$17,Paramètres!$A$1:$I$88,3,0)*0.475*44/12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projet'!$B$18,Paramètres!$A$1:$I$88,3,0)*VLOOKUP('Données projet'!$B$18,Paramètres!$A$1:$I$88,5,0)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projet'!$B$18,Paramètres!$A$1:$I$88,3,0)*0.475*44/12</f>
        <v>#N/A</v>
      </c>
      <c r="HH132" s="23" t="e">
        <f>EXP(-LN(2)/25)*HH131+(1-EXP(-LN(2)/25))/(LN(2)/25)*Calculateur!HC132*Calculateur!HE132*VLOOKUP('Données projet'!$B$18,Paramètres!$A$1:$I$88,3,0)*0.475*44/12</f>
        <v>#N/A</v>
      </c>
      <c r="HI132" s="23" t="e">
        <f>EXP(-LN(2)/2)*HI131+(1-EXP(-LN(2)/2))/(LN(2)/2)*HC132*HF132*VLOOKUP('Données projet'!$B$18,Paramètres!$A$1:$I$88,3,0)*0.475*44/12</f>
        <v>#N/A</v>
      </c>
      <c r="HJ132" s="24" t="e">
        <f t="shared" ref="HJ132:HJ153" si="138">SUM(HG132:HI132)</f>
        <v>#N/A</v>
      </c>
    </row>
    <row r="133" spans="1:218" s="5" customFormat="1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projet'!$B$9,Paramètres!$A$1:$I$88,3,0)*VLOOKUP('Données projet'!$B$9,Paramètres!$A$1:$I$88,5,0)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283.91028339343319</v>
      </c>
      <c r="S133" s="62">
        <f ca="1">AVERAGE(OFFSET($R$3,0,0,'Données projet'!$E$9+1,1))-AVERAGE(OFFSET($H$3,0,0,'Données projet'!$E$9+1,1))</f>
        <v>301.2688576786212</v>
      </c>
      <c r="T133" s="62">
        <f t="shared" ref="T133:T196" si="142">$T$3</f>
        <v>417.62172165132927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30.927237130095037</v>
      </c>
      <c r="AA133" s="23">
        <f>EXP(-LN(2)/25)*AA132+(1-EXP(-LN(2)/25))/(LN(2)/25)*Calculateur!V133*Calculateur!X133*VLOOKUP('Données projet'!$B$9,Paramètres!$A$1:$I$88,3,0)*0.475*44/12</f>
        <v>5.4136409939809873</v>
      </c>
      <c r="AB133" s="23">
        <f>EXP(-LN(2)/2)*AB132+(1-EXP(-LN(2)/2))/(LN(2)/2)*V133*Y133*VLOOKUP('Données projet'!$B$9,Paramètres!$A$1:$I$88,3,0)*0.475*44/12</f>
        <v>2.6787163629844524E-11</v>
      </c>
      <c r="AC133" s="24">
        <f t="shared" si="111"/>
        <v>36.340878124102815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projet'!$B$10,Paramètres!$A$1:$I$88,3,0)*VLOOKUP('Données projet'!$B$10,Paramètres!$A$1:$I$88,5,0)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170.08673939431091</v>
      </c>
      <c r="AO133" s="62">
        <f t="shared" ref="AO133:AO196" si="144">$AO$3</f>
        <v>252.97355497077106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projet'!$B$10,Paramètres!$A$1:$I$88,7,0))</f>
        <v>0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projet'!$B$10,Paramètres!$A$1:$I$88,3,0)*0.475*44/12</f>
        <v>12.912971444172408</v>
      </c>
      <c r="AV133" s="23">
        <f>EXP(-LN(2)/25)*AV132+(1-EXP(-LN(2)/25))/(LN(2)/25)*Calculateur!AQ133*Calculateur!AS133*VLOOKUP('Données projet'!$B$10,Paramètres!$A$1:$I$88,3,0)*0.475*44/12</f>
        <v>5.4870143500583337</v>
      </c>
      <c r="AW133" s="23">
        <f>EXP(-LN(2)/2)*AW132+(1-EXP(-LN(2)/2))/(LN(2)/2)*AQ133*AT133*VLOOKUP('Données projet'!$B$10,Paramètres!$A$1:$I$88,3,0)*0.475*44/12</f>
        <v>3.4312203058746995E-11</v>
      </c>
      <c r="AX133" s="23">
        <f t="shared" si="114"/>
        <v>18.399985794265053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-1.1368683772161603E-13</v>
      </c>
      <c r="BE133" s="14">
        <f>BD133*VLOOKUP('Données projet'!$B$11,Paramètres!$A$1:$I$88,3,0)*VLOOKUP('Données projet'!$B$11,Paramètres!$A$1:$I$88,5,0)</f>
        <v>-1.0286385077051818E-13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362.63718589694594</v>
      </c>
      <c r="BJ133" s="62">
        <f t="shared" ref="BJ133:BJ196" si="146">$BJ$3</f>
        <v>250.47702091764884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projet'!$B$11,Paramètres!$A$1:$I$88,7,0))</f>
        <v>0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projet'!$B$11,Paramètres!$A$1:$I$88,3,0)*0.475*44/12</f>
        <v>70.430445218516525</v>
      </c>
      <c r="BQ133" s="23">
        <f>EXP(-LN(2)/25)*BQ132+(1-EXP(-LN(2)/25))/(LN(2)/25)*Calculateur!BL133*Calculateur!BN133*VLOOKUP('Données projet'!$B$11,Paramètres!$A$1:$I$88,3,0)*0.475*44/12</f>
        <v>0</v>
      </c>
      <c r="BR133" s="23">
        <f>EXP(-LN(2)/2)*BR132+(1-EXP(-LN(2)/2))/(LN(2)/2)*BL133*BO133*VLOOKUP('Données projet'!$B$11,Paramètres!$A$1:$I$88,3,0)*0.475*44/12</f>
        <v>0</v>
      </c>
      <c r="BS133" s="24">
        <f t="shared" si="117"/>
        <v>70.430445218516525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-1.1368683772161603E-13</v>
      </c>
      <c r="BZ133" s="14">
        <f>BY133*VLOOKUP('Données projet'!$B$12,Paramètres!$A$1:$I$88,3,0)*VLOOKUP('Données projet'!$B$12,Paramètres!$A$1:$I$88,5,0)</f>
        <v>-1.1527845344971866E-13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398.14524781940196</v>
      </c>
      <c r="CE133" s="62">
        <f t="shared" ref="CE133:CE196" si="148">$CE$3</f>
        <v>273.35778700650792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projet'!$B$12,Paramètres!$A$1:$I$88,3,0)*0.475*44/12</f>
        <v>78.930671365578903</v>
      </c>
      <c r="CL133" s="23">
        <f>EXP(-LN(2)/25)*CL132+(1-EXP(-LN(2)/25))/(LN(2)/25)*Calculateur!CG133*Calculateur!CI133*VLOOKUP('Données projet'!$B$12,Paramètres!$A$1:$I$88,3,0)*0.475*44/12</f>
        <v>0</v>
      </c>
      <c r="CM133" s="23">
        <f>EXP(-LN(2)/2)*CM132+(1-EXP(-LN(2)/2))/(LN(2)/2)*CG133*CJ133*VLOOKUP('Données projet'!$B$12,Paramètres!$A$1:$I$88,3,0)*0.475*44/12</f>
        <v>0</v>
      </c>
      <c r="CN133" s="24">
        <f t="shared" si="120"/>
        <v>78.930671365578903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118</v>
      </c>
      <c r="CU133" s="18">
        <f>CT133*VLOOKUP('Données projet'!$B$13,Paramètres!$A$1:$I$88,3,0)*VLOOKUP('Données projet'!$B$13,Paramètres!$A$1:$I$88,5,0)</f>
        <v>112.28880000000001</v>
      </c>
      <c r="CV133" s="14">
        <f t="shared" ref="CV133:CV153" si="149">EXP(-1.0587+0.8836*LN(CU133)+0.284)</f>
        <v>29.869595672288149</v>
      </c>
      <c r="CW133" s="22">
        <f t="shared" si="121"/>
        <v>247.59253912923518</v>
      </c>
      <c r="CX133" s="62">
        <f t="shared" si="122"/>
        <v>531.50282252266732</v>
      </c>
      <c r="CY133" s="62">
        <f ca="1">AVERAGE(OFFSET($CX$3,0,0,'Données projet'!$E$13+1,1))-AVERAGE(OFFSET($H$3,0,0,'Données projet'!$E$13+1,1))</f>
        <v>470.0521927195926</v>
      </c>
      <c r="CZ133" s="62">
        <f t="shared" ref="CZ133:CZ196" si="150">$CZ$3</f>
        <v>299.27200854723435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projet'!$B$13,Paramètres!$A$1:$I$88,3,0)*0.475*44/12</f>
        <v>74.073399281543274</v>
      </c>
      <c r="DG133" s="23">
        <f>EXP(-LN(2)/25)*DG132+(1-EXP(-LN(2)/25))/(LN(2)/25)*Calculateur!DB133*Calculateur!DD133*VLOOKUP('Données projet'!$B$13,Paramètres!$A$1:$I$88,3,0)*0.475*44/12</f>
        <v>0</v>
      </c>
      <c r="DH133" s="23">
        <f>EXP(-LN(2)/2)*DH132+(1-EXP(-LN(2)/2))/(LN(2)/2)*DB133*DE133*VLOOKUP('Données projet'!$B$13,Paramètres!$A$1:$I$88,3,0)*0.475*44/12</f>
        <v>0</v>
      </c>
      <c r="DI133" s="24">
        <f t="shared" si="123"/>
        <v>74.073399281543274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-1.4210854715202004E-13</v>
      </c>
      <c r="DP133" s="18">
        <f>DO133*VLOOKUP('Données projet'!$B$14,Paramètres!$A$1:$I$88,3,0)*VLOOKUP('Données projet'!$B$14,Paramètres!$A$1:$I$88,5,0)</f>
        <v>-1.3744738680543379E-13</v>
      </c>
      <c r="DQ133" s="14" t="e">
        <f t="shared" ref="DQ133:DQ153" si="151">EXP(-1.0587+0.8836*LN(DP133)+0.284)</f>
        <v>#NUM!</v>
      </c>
      <c r="DR133" s="22" t="e">
        <f t="shared" si="124"/>
        <v>#NUM!</v>
      </c>
      <c r="DS133" s="62" t="e">
        <f t="shared" si="125"/>
        <v>#NUM!</v>
      </c>
      <c r="DT133" s="62">
        <f ca="1">AVERAGE(OFFSET($DS$3,0,0,'Données projet'!$E$14+1,1))-AVERAGE(OFFSET($H$3,0,0,'Données projet'!$E$14+1,1))</f>
        <v>290.89727102147953</v>
      </c>
      <c r="DU133" s="62">
        <f t="shared" ref="DU133:DU196" si="152">$DU$3</f>
        <v>173.19148969173838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projet'!$B$14,Paramètres!$A$1:$I$88,3,0)*0.475*44/12</f>
        <v>56.283215265861088</v>
      </c>
      <c r="EB133" s="23">
        <f>EXP(-LN(2)/25)*EB132+(1-EXP(-LN(2)/25))/(LN(2)/25)*Calculateur!DW133*Calculateur!DY133*VLOOKUP('Données projet'!$B$14,Paramètres!$A$1:$I$88,3,0)*0.475*44/12</f>
        <v>0</v>
      </c>
      <c r="EC133" s="23">
        <f>EXP(-LN(2)/2)*EC132+(1-EXP(-LN(2)/2))/(LN(2)/2)*DW133*DZ133*VLOOKUP('Données projet'!$B$14,Paramètres!$A$1:$I$88,3,0)*0.475*44/12</f>
        <v>0</v>
      </c>
      <c r="ED133" s="24">
        <f t="shared" si="126"/>
        <v>56.283215265861088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projet'!$B$15,Paramètres!$A$1:$I$88,3,0)*VLOOKUP('Données projet'!$B$15,Paramètres!$A$1:$I$88,5,0)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projet'!$B$15,Paramètres!$A$1:$I$88,3,0)*0.475*44/12</f>
        <v>#N/A</v>
      </c>
      <c r="EW133" s="23" t="e">
        <f>EXP(-LN(2)/25)*EW132+(1-EXP(-LN(2)/25))/(LN(2)/25)*Calculateur!ER133*Calculateur!ET133*VLOOKUP('Données projet'!$B$15,Paramètres!$A$1:$I$88,3,0)*0.475*44/12</f>
        <v>#N/A</v>
      </c>
      <c r="EX133" s="23" t="e">
        <f>EXP(-LN(2)/2)*EX132+(1-EXP(-LN(2)/2))/(LN(2)/2)*ER133*EU133*VLOOKUP('Données projet'!$B$15,Paramètres!$A$1:$I$88,3,0)*0.475*44/12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projet'!$B$16,Paramètres!$A$1:$I$88,3,0)*VLOOKUP('Données projet'!$B$16,Paramètres!$A$1:$I$88,5,0)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projet'!$B$16,Paramètres!$A$1:$I$88,3,0)*0.475*44/12</f>
        <v>#N/A</v>
      </c>
      <c r="FR133" s="23" t="e">
        <f>EXP(-LN(2)/25)*FR132+(1-EXP(-LN(2)/25))/(LN(2)/25)*Calculateur!FM133*Calculateur!FO133*VLOOKUP('Données projet'!$B$16,Paramètres!$A$1:$I$88,3,0)*0.475*44/12</f>
        <v>#N/A</v>
      </c>
      <c r="FS133" s="23" t="e">
        <f>EXP(-LN(2)/2)*FS132+(1-EXP(-LN(2)/2))/(LN(2)/2)*FM133*FP133*VLOOKUP('Données projet'!$B$16,Paramètres!$A$1:$I$88,3,0)*0.475*44/12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projet'!$B$17,Paramètres!$A$1:$I$88,3,0)*VLOOKUP('Données projet'!$B$17,Paramètres!$A$1:$I$88,5,0)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projet'!$B$17,Paramètres!$A$1:$I$88,3,0)*0.475*44/12</f>
        <v>#N/A</v>
      </c>
      <c r="GM133" s="23" t="e">
        <f>EXP(-LN(2)/25)*GM132+(1-EXP(-LN(2)/25))/(LN(2)/25)*Calculateur!GH133*Calculateur!GJ133*VLOOKUP('Données projet'!$B$17,Paramètres!$A$1:$I$88,3,0)*0.475*44/12</f>
        <v>#N/A</v>
      </c>
      <c r="GN133" s="23" t="e">
        <f>EXP(-LN(2)/2)*GN132+(1-EXP(-LN(2)/2))/(LN(2)/2)*GH133*GK133*VLOOKUP('Données projet'!$B$17,Paramètres!$A$1:$I$88,3,0)*0.475*44/12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projet'!$B$18,Paramètres!$A$1:$I$88,3,0)*VLOOKUP('Données projet'!$B$18,Paramètres!$A$1:$I$88,5,0)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projet'!$B$18,Paramètres!$A$1:$I$88,3,0)*0.475*44/12</f>
        <v>#N/A</v>
      </c>
      <c r="HH133" s="23" t="e">
        <f>EXP(-LN(2)/25)*HH132+(1-EXP(-LN(2)/25))/(LN(2)/25)*Calculateur!HC133*Calculateur!HE133*VLOOKUP('Données projet'!$B$18,Paramètres!$A$1:$I$88,3,0)*0.475*44/12</f>
        <v>#N/A</v>
      </c>
      <c r="HI133" s="23" t="e">
        <f>EXP(-LN(2)/2)*HI132+(1-EXP(-LN(2)/2))/(LN(2)/2)*HC133*HF133*VLOOKUP('Données projet'!$B$18,Paramètres!$A$1:$I$88,3,0)*0.475*44/12</f>
        <v>#N/A</v>
      </c>
      <c r="HJ133" s="24" t="e">
        <f t="shared" si="138"/>
        <v>#N/A</v>
      </c>
    </row>
    <row r="134" spans="1:218" s="5" customFormat="1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projet'!$B$9,Paramètres!$A$1:$I$88,3,0)*VLOOKUP('Données projet'!$B$9,Paramètres!$A$1:$I$88,5,0)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284.07375224310681</v>
      </c>
      <c r="S134" s="62">
        <f ca="1">AVERAGE(OFFSET($R$3,0,0,'Données projet'!$E$9+1,1))-AVERAGE(OFFSET($H$3,0,0,'Données projet'!$E$9+1,1))</f>
        <v>301.2688576786212</v>
      </c>
      <c r="T134" s="62">
        <f t="shared" si="142"/>
        <v>417.62172165132927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30.320772873725883</v>
      </c>
      <c r="AA134" s="23">
        <f>EXP(-LN(2)/25)*AA133+(1-EXP(-LN(2)/25))/(LN(2)/25)*Calculateur!V134*Calculateur!X134*VLOOKUP('Données projet'!$B$9,Paramètres!$A$1:$I$88,3,0)*0.475*44/12</f>
        <v>5.2656046963095706</v>
      </c>
      <c r="AB134" s="23">
        <f>EXP(-LN(2)/2)*AB133+(1-EXP(-LN(2)/2))/(LN(2)/2)*V134*Y134*VLOOKUP('Données projet'!$B$9,Paramètres!$A$1:$I$88,3,0)*0.475*44/12</f>
        <v>1.8941385051416716E-11</v>
      </c>
      <c r="AC134" s="24">
        <f t="shared" si="111"/>
        <v>35.586377570054395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projet'!$B$10,Paramètres!$A$1:$I$88,3,0)*VLOOKUP('Données projet'!$B$10,Paramètres!$A$1:$I$88,5,0)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170.08673939431091</v>
      </c>
      <c r="AO134" s="62">
        <f t="shared" si="144"/>
        <v>252.97355497077106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projet'!$B$10,Paramètres!$A$1:$I$88,3,0)*0.475*44/12</f>
        <v>12.659755950287064</v>
      </c>
      <c r="AV134" s="23">
        <f>EXP(-LN(2)/25)*AV133+(1-EXP(-LN(2)/25))/(LN(2)/25)*Calculateur!AQ134*Calculateur!AS134*VLOOKUP('Données projet'!$B$10,Paramètres!$A$1:$I$88,3,0)*0.475*44/12</f>
        <v>5.3369716541064447</v>
      </c>
      <c r="AW134" s="23">
        <f>EXP(-LN(2)/2)*AW133+(1-EXP(-LN(2)/2))/(LN(2)/2)*AQ134*AT134*VLOOKUP('Données projet'!$B$10,Paramètres!$A$1:$I$88,3,0)*0.475*44/12</f>
        <v>2.4262391460289798E-11</v>
      </c>
      <c r="AX134" s="23">
        <f t="shared" si="114"/>
        <v>17.996727604417771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-1.1368683772161603E-13</v>
      </c>
      <c r="BE134" s="14">
        <f>BD134*VLOOKUP('Données projet'!$B$11,Paramètres!$A$1:$I$88,3,0)*VLOOKUP('Données projet'!$B$11,Paramètres!$A$1:$I$88,5,0)</f>
        <v>-1.0286385077051818E-13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362.63718589694594</v>
      </c>
      <c r="BJ134" s="62">
        <f t="shared" si="146"/>
        <v>250.47702091764884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projet'!$B$11,Paramètres!$A$1:$I$88,3,0)*0.475*44/12</f>
        <v>69.049347146111216</v>
      </c>
      <c r="BQ134" s="23">
        <f>EXP(-LN(2)/25)*BQ133+(1-EXP(-LN(2)/25))/(LN(2)/25)*Calculateur!BL134*Calculateur!BN134*VLOOKUP('Données projet'!$B$11,Paramètres!$A$1:$I$88,3,0)*0.475*44/12</f>
        <v>0</v>
      </c>
      <c r="BR134" s="23">
        <f>EXP(-LN(2)/2)*BR133+(1-EXP(-LN(2)/2))/(LN(2)/2)*BL134*BO134*VLOOKUP('Données projet'!$B$11,Paramètres!$A$1:$I$88,3,0)*0.475*44/12</f>
        <v>0</v>
      </c>
      <c r="BS134" s="24">
        <f t="shared" si="117"/>
        <v>69.049347146111216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-1.1368683772161603E-13</v>
      </c>
      <c r="BZ134" s="14">
        <f>BY134*VLOOKUP('Données projet'!$B$12,Paramètres!$A$1:$I$88,3,0)*VLOOKUP('Données projet'!$B$12,Paramètres!$A$1:$I$88,5,0)</f>
        <v>-1.1527845344971866E-13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398.14524781940196</v>
      </c>
      <c r="CE134" s="62">
        <f t="shared" si="148"/>
        <v>273.35778700650792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projet'!$B$12,Paramètres!$A$1:$I$88,3,0)*0.475*44/12</f>
        <v>77.382889043055712</v>
      </c>
      <c r="CL134" s="23">
        <f>EXP(-LN(2)/25)*CL133+(1-EXP(-LN(2)/25))/(LN(2)/25)*Calculateur!CG134*Calculateur!CI134*VLOOKUP('Données projet'!$B$12,Paramètres!$A$1:$I$88,3,0)*0.475*44/12</f>
        <v>0</v>
      </c>
      <c r="CM134" s="23">
        <f>EXP(-LN(2)/2)*CM133+(1-EXP(-LN(2)/2))/(LN(2)/2)*CG134*CJ134*VLOOKUP('Données projet'!$B$12,Paramètres!$A$1:$I$88,3,0)*0.475*44/12</f>
        <v>0</v>
      </c>
      <c r="CN134" s="24">
        <f t="shared" si="120"/>
        <v>77.382889043055712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118</v>
      </c>
      <c r="CU134" s="18">
        <f>CT134*VLOOKUP('Données projet'!$B$13,Paramètres!$A$1:$I$88,3,0)*VLOOKUP('Données projet'!$B$13,Paramètres!$A$1:$I$88,5,0)</f>
        <v>112.28880000000001</v>
      </c>
      <c r="CV134" s="14">
        <f t="shared" si="149"/>
        <v>29.869595672288149</v>
      </c>
      <c r="CW134" s="22">
        <f t="shared" si="121"/>
        <v>247.59253912923518</v>
      </c>
      <c r="CX134" s="62">
        <f t="shared" si="122"/>
        <v>531.66629137234088</v>
      </c>
      <c r="CY134" s="62">
        <f ca="1">AVERAGE(OFFSET($CX$3,0,0,'Données projet'!$E$13+1,1))-AVERAGE(OFFSET($H$3,0,0,'Données projet'!$E$13+1,1))</f>
        <v>470.0521927195926</v>
      </c>
      <c r="CZ134" s="62">
        <f t="shared" si="150"/>
        <v>299.27200854723435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projet'!$B$13,Paramètres!$A$1:$I$88,3,0)*0.475*44/12</f>
        <v>72.620865101944588</v>
      </c>
      <c r="DG134" s="23">
        <f>EXP(-LN(2)/25)*DG133+(1-EXP(-LN(2)/25))/(LN(2)/25)*Calculateur!DB134*Calculateur!DD134*VLOOKUP('Données projet'!$B$13,Paramètres!$A$1:$I$88,3,0)*0.475*44/12</f>
        <v>0</v>
      </c>
      <c r="DH134" s="23">
        <f>EXP(-LN(2)/2)*DH133+(1-EXP(-LN(2)/2))/(LN(2)/2)*DB134*DE134*VLOOKUP('Données projet'!$B$13,Paramètres!$A$1:$I$88,3,0)*0.475*44/12</f>
        <v>0</v>
      </c>
      <c r="DI134" s="24">
        <f t="shared" si="123"/>
        <v>72.620865101944588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-1.4210854715202004E-13</v>
      </c>
      <c r="DP134" s="18">
        <f>DO134*VLOOKUP('Données projet'!$B$14,Paramètres!$A$1:$I$88,3,0)*VLOOKUP('Données projet'!$B$14,Paramètres!$A$1:$I$88,5,0)</f>
        <v>-1.3744738680543379E-13</v>
      </c>
      <c r="DQ134" s="14" t="e">
        <f t="shared" si="151"/>
        <v>#NUM!</v>
      </c>
      <c r="DR134" s="22" t="e">
        <f t="shared" si="124"/>
        <v>#NUM!</v>
      </c>
      <c r="DS134" s="62" t="e">
        <f t="shared" si="125"/>
        <v>#NUM!</v>
      </c>
      <c r="DT134" s="62">
        <f ca="1">AVERAGE(OFFSET($DS$3,0,0,'Données projet'!$E$14+1,1))-AVERAGE(OFFSET($H$3,0,0,'Données projet'!$E$14+1,1))</f>
        <v>290.89727102147953</v>
      </c>
      <c r="DU134" s="62">
        <f t="shared" si="152"/>
        <v>173.19148969173838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projet'!$B$14,Paramètres!$A$1:$I$88,3,0)*0.475*44/12</f>
        <v>55.179535743869117</v>
      </c>
      <c r="EB134" s="23">
        <f>EXP(-LN(2)/25)*EB133+(1-EXP(-LN(2)/25))/(LN(2)/25)*Calculateur!DW134*Calculateur!DY134*VLOOKUP('Données projet'!$B$14,Paramètres!$A$1:$I$88,3,0)*0.475*44/12</f>
        <v>0</v>
      </c>
      <c r="EC134" s="23">
        <f>EXP(-LN(2)/2)*EC133+(1-EXP(-LN(2)/2))/(LN(2)/2)*DW134*DZ134*VLOOKUP('Données projet'!$B$14,Paramètres!$A$1:$I$88,3,0)*0.475*44/12</f>
        <v>0</v>
      </c>
      <c r="ED134" s="24">
        <f t="shared" si="126"/>
        <v>55.179535743869117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projet'!$B$15,Paramètres!$A$1:$I$88,3,0)*VLOOKUP('Données projet'!$B$15,Paramètres!$A$1:$I$88,5,0)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projet'!$B$15,Paramètres!$A$1:$I$88,3,0)*0.475*44/12</f>
        <v>#N/A</v>
      </c>
      <c r="EW134" s="23" t="e">
        <f>EXP(-LN(2)/25)*EW133+(1-EXP(-LN(2)/25))/(LN(2)/25)*Calculateur!ER134*Calculateur!ET134*VLOOKUP('Données projet'!$B$15,Paramètres!$A$1:$I$88,3,0)*0.475*44/12</f>
        <v>#N/A</v>
      </c>
      <c r="EX134" s="23" t="e">
        <f>EXP(-LN(2)/2)*EX133+(1-EXP(-LN(2)/2))/(LN(2)/2)*ER134*EU134*VLOOKUP('Données projet'!$B$15,Paramètres!$A$1:$I$88,3,0)*0.475*44/12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projet'!$B$16,Paramètres!$A$1:$I$88,3,0)*VLOOKUP('Données projet'!$B$16,Paramètres!$A$1:$I$88,5,0)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projet'!$B$16,Paramètres!$A$1:$I$88,3,0)*0.475*44/12</f>
        <v>#N/A</v>
      </c>
      <c r="FR134" s="23" t="e">
        <f>EXP(-LN(2)/25)*FR133+(1-EXP(-LN(2)/25))/(LN(2)/25)*Calculateur!FM134*Calculateur!FO134*VLOOKUP('Données projet'!$B$16,Paramètres!$A$1:$I$88,3,0)*0.475*44/12</f>
        <v>#N/A</v>
      </c>
      <c r="FS134" s="23" t="e">
        <f>EXP(-LN(2)/2)*FS133+(1-EXP(-LN(2)/2))/(LN(2)/2)*FM134*FP134*VLOOKUP('Données projet'!$B$16,Paramètres!$A$1:$I$88,3,0)*0.475*44/12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projet'!$B$17,Paramètres!$A$1:$I$88,3,0)*VLOOKUP('Données projet'!$B$17,Paramètres!$A$1:$I$88,5,0)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projet'!$B$17,Paramètres!$A$1:$I$88,3,0)*0.475*44/12</f>
        <v>#N/A</v>
      </c>
      <c r="GM134" s="23" t="e">
        <f>EXP(-LN(2)/25)*GM133+(1-EXP(-LN(2)/25))/(LN(2)/25)*Calculateur!GH134*Calculateur!GJ134*VLOOKUP('Données projet'!$B$17,Paramètres!$A$1:$I$88,3,0)*0.475*44/12</f>
        <v>#N/A</v>
      </c>
      <c r="GN134" s="23" t="e">
        <f>EXP(-LN(2)/2)*GN133+(1-EXP(-LN(2)/2))/(LN(2)/2)*GH134*GK134*VLOOKUP('Données projet'!$B$17,Paramètres!$A$1:$I$88,3,0)*0.475*44/12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projet'!$B$18,Paramètres!$A$1:$I$88,3,0)*VLOOKUP('Données projet'!$B$18,Paramètres!$A$1:$I$88,5,0)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projet'!$B$18,Paramètres!$A$1:$I$88,3,0)*0.475*44/12</f>
        <v>#N/A</v>
      </c>
      <c r="HH134" s="23" t="e">
        <f>EXP(-LN(2)/25)*HH133+(1-EXP(-LN(2)/25))/(LN(2)/25)*Calculateur!HC134*Calculateur!HE134*VLOOKUP('Données projet'!$B$18,Paramètres!$A$1:$I$88,3,0)*0.475*44/12</f>
        <v>#N/A</v>
      </c>
      <c r="HI134" s="23" t="e">
        <f>EXP(-LN(2)/2)*HI133+(1-EXP(-LN(2)/2))/(LN(2)/2)*HC134*HF134*VLOOKUP('Données projet'!$B$18,Paramètres!$A$1:$I$88,3,0)*0.475*44/12</f>
        <v>#N/A</v>
      </c>
      <c r="HJ134" s="24" t="e">
        <f t="shared" si="138"/>
        <v>#N/A</v>
      </c>
    </row>
    <row r="135" spans="1:218" s="5" customFormat="1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projet'!$B$9,Paramètres!$A$1:$I$88,3,0)*VLOOKUP('Données projet'!$B$9,Paramètres!$A$1:$I$88,5,0)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284.23438527370024</v>
      </c>
      <c r="S135" s="62">
        <f ca="1">AVERAGE(OFFSET($R$3,0,0,'Données projet'!$E$9+1,1))-AVERAGE(OFFSET($H$3,0,0,'Données projet'!$E$9+1,1))</f>
        <v>301.2688576786212</v>
      </c>
      <c r="T135" s="62">
        <f t="shared" si="142"/>
        <v>417.62172165132927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29.726201011517457</v>
      </c>
      <c r="AA135" s="23">
        <f>EXP(-LN(2)/25)*AA134+(1-EXP(-LN(2)/25))/(LN(2)/25)*Calculateur!V135*Calculateur!X135*VLOOKUP('Données projet'!$B$9,Paramètres!$A$1:$I$88,3,0)*0.475*44/12</f>
        <v>5.121616458982869</v>
      </c>
      <c r="AB135" s="23">
        <f>EXP(-LN(2)/2)*AB134+(1-EXP(-LN(2)/2))/(LN(2)/2)*V135*Y135*VLOOKUP('Données projet'!$B$9,Paramètres!$A$1:$I$88,3,0)*0.475*44/12</f>
        <v>1.3393581814922262E-11</v>
      </c>
      <c r="AC135" s="24">
        <f t="shared" si="111"/>
        <v>34.847817470513718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projet'!$B$10,Paramètres!$A$1:$I$88,3,0)*VLOOKUP('Données projet'!$B$10,Paramètres!$A$1:$I$88,5,0)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170.08673939431091</v>
      </c>
      <c r="AO135" s="62">
        <f t="shared" si="144"/>
        <v>252.97355497077106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projet'!$B$10,Paramètres!$A$1:$I$88,3,0)*0.475*44/12</f>
        <v>12.41150585779061</v>
      </c>
      <c r="AV135" s="23">
        <f>EXP(-LN(2)/25)*AV134+(1-EXP(-LN(2)/25))/(LN(2)/25)*Calculateur!AQ135*Calculateur!AS135*VLOOKUP('Données projet'!$B$10,Paramètres!$A$1:$I$88,3,0)*0.475*44/12</f>
        <v>5.1910318835657625</v>
      </c>
      <c r="AW135" s="23">
        <f>EXP(-LN(2)/2)*AW134+(1-EXP(-LN(2)/2))/(LN(2)/2)*AQ135*AT135*VLOOKUP('Données projet'!$B$10,Paramètres!$A$1:$I$88,3,0)*0.475*44/12</f>
        <v>1.7156101529373497E-11</v>
      </c>
      <c r="AX135" s="23">
        <f t="shared" si="114"/>
        <v>17.602537741373528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-1.1368683772161603E-13</v>
      </c>
      <c r="BE135" s="14">
        <f>BD135*VLOOKUP('Données projet'!$B$11,Paramètres!$A$1:$I$88,3,0)*VLOOKUP('Données projet'!$B$11,Paramètres!$A$1:$I$88,5,0)</f>
        <v>-1.0286385077051818E-13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362.63718589694594</v>
      </c>
      <c r="BJ135" s="62">
        <f t="shared" si="146"/>
        <v>250.47702091764884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projet'!$B$11,Paramètres!$A$1:$I$88,3,0)*0.475*44/12</f>
        <v>67.695331564519137</v>
      </c>
      <c r="BQ135" s="23">
        <f>EXP(-LN(2)/25)*BQ134+(1-EXP(-LN(2)/25))/(LN(2)/25)*Calculateur!BL135*Calculateur!BN135*VLOOKUP('Données projet'!$B$11,Paramètres!$A$1:$I$88,3,0)*0.475*44/12</f>
        <v>0</v>
      </c>
      <c r="BR135" s="23">
        <f>EXP(-LN(2)/2)*BR134+(1-EXP(-LN(2)/2))/(LN(2)/2)*BL135*BO135*VLOOKUP('Données projet'!$B$11,Paramètres!$A$1:$I$88,3,0)*0.475*44/12</f>
        <v>0</v>
      </c>
      <c r="BS135" s="24">
        <f t="shared" si="117"/>
        <v>67.695331564519137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-1.1368683772161603E-13</v>
      </c>
      <c r="BZ135" s="14">
        <f>BY135*VLOOKUP('Données projet'!$B$12,Paramètres!$A$1:$I$88,3,0)*VLOOKUP('Données projet'!$B$12,Paramètres!$A$1:$I$88,5,0)</f>
        <v>-1.1527845344971866E-13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398.14524781940196</v>
      </c>
      <c r="CE135" s="62">
        <f t="shared" si="148"/>
        <v>273.35778700650792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projet'!$B$12,Paramètres!$A$1:$I$88,3,0)*0.475*44/12</f>
        <v>75.865457787823203</v>
      </c>
      <c r="CL135" s="23">
        <f>EXP(-LN(2)/25)*CL134+(1-EXP(-LN(2)/25))/(LN(2)/25)*Calculateur!CG135*Calculateur!CI135*VLOOKUP('Données projet'!$B$12,Paramètres!$A$1:$I$88,3,0)*0.475*44/12</f>
        <v>0</v>
      </c>
      <c r="CM135" s="23">
        <f>EXP(-LN(2)/2)*CM134+(1-EXP(-LN(2)/2))/(LN(2)/2)*CG135*CJ135*VLOOKUP('Données projet'!$B$12,Paramètres!$A$1:$I$88,3,0)*0.475*44/12</f>
        <v>0</v>
      </c>
      <c r="CN135" s="24">
        <f t="shared" si="120"/>
        <v>75.865457787823203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118</v>
      </c>
      <c r="CU135" s="18">
        <f>CT135*VLOOKUP('Données projet'!$B$13,Paramètres!$A$1:$I$88,3,0)*VLOOKUP('Données projet'!$B$13,Paramètres!$A$1:$I$88,5,0)</f>
        <v>112.28880000000001</v>
      </c>
      <c r="CV135" s="14">
        <f t="shared" si="149"/>
        <v>29.869595672288149</v>
      </c>
      <c r="CW135" s="22">
        <f t="shared" si="121"/>
        <v>247.59253912923518</v>
      </c>
      <c r="CX135" s="62">
        <f t="shared" si="122"/>
        <v>531.82692440293431</v>
      </c>
      <c r="CY135" s="62">
        <f ca="1">AVERAGE(OFFSET($CX$3,0,0,'Données projet'!$E$13+1,1))-AVERAGE(OFFSET($H$3,0,0,'Données projet'!$E$13+1,1))</f>
        <v>470.0521927195926</v>
      </c>
      <c r="CZ135" s="62">
        <f t="shared" si="150"/>
        <v>299.27200854723435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projet'!$B$13,Paramètres!$A$1:$I$88,3,0)*0.475*44/12</f>
        <v>71.196814231649469</v>
      </c>
      <c r="DG135" s="23">
        <f>EXP(-LN(2)/25)*DG134+(1-EXP(-LN(2)/25))/(LN(2)/25)*Calculateur!DB135*Calculateur!DD135*VLOOKUP('Données projet'!$B$13,Paramètres!$A$1:$I$88,3,0)*0.475*44/12</f>
        <v>0</v>
      </c>
      <c r="DH135" s="23">
        <f>EXP(-LN(2)/2)*DH134+(1-EXP(-LN(2)/2))/(LN(2)/2)*DB135*DE135*VLOOKUP('Données projet'!$B$13,Paramètres!$A$1:$I$88,3,0)*0.475*44/12</f>
        <v>0</v>
      </c>
      <c r="DI135" s="24">
        <f t="shared" si="123"/>
        <v>71.196814231649469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-1.4210854715202004E-13</v>
      </c>
      <c r="DP135" s="18">
        <f>DO135*VLOOKUP('Données projet'!$B$14,Paramètres!$A$1:$I$88,3,0)*VLOOKUP('Données projet'!$B$14,Paramètres!$A$1:$I$88,5,0)</f>
        <v>-1.3744738680543379E-13</v>
      </c>
      <c r="DQ135" s="14" t="e">
        <f t="shared" si="151"/>
        <v>#NUM!</v>
      </c>
      <c r="DR135" s="22" t="e">
        <f t="shared" si="124"/>
        <v>#NUM!</v>
      </c>
      <c r="DS135" s="62" t="e">
        <f t="shared" si="125"/>
        <v>#NUM!</v>
      </c>
      <c r="DT135" s="62">
        <f ca="1">AVERAGE(OFFSET($DS$3,0,0,'Données projet'!$E$14+1,1))-AVERAGE(OFFSET($H$3,0,0,'Données projet'!$E$14+1,1))</f>
        <v>290.89727102147953</v>
      </c>
      <c r="DU135" s="62">
        <f t="shared" si="152"/>
        <v>173.19148969173838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projet'!$B$14,Paramètres!$A$1:$I$88,3,0)*0.475*44/12</f>
        <v>54.097498704125371</v>
      </c>
      <c r="EB135" s="23">
        <f>EXP(-LN(2)/25)*EB134+(1-EXP(-LN(2)/25))/(LN(2)/25)*Calculateur!DW135*Calculateur!DY135*VLOOKUP('Données projet'!$B$14,Paramètres!$A$1:$I$88,3,0)*0.475*44/12</f>
        <v>0</v>
      </c>
      <c r="EC135" s="23">
        <f>EXP(-LN(2)/2)*EC134+(1-EXP(-LN(2)/2))/(LN(2)/2)*DW135*DZ135*VLOOKUP('Données projet'!$B$14,Paramètres!$A$1:$I$88,3,0)*0.475*44/12</f>
        <v>0</v>
      </c>
      <c r="ED135" s="24">
        <f t="shared" si="126"/>
        <v>54.097498704125371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projet'!$B$15,Paramètres!$A$1:$I$88,3,0)*VLOOKUP('Données projet'!$B$15,Paramètres!$A$1:$I$88,5,0)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projet'!$B$15,Paramètres!$A$1:$I$88,3,0)*0.475*44/12</f>
        <v>#N/A</v>
      </c>
      <c r="EW135" s="23" t="e">
        <f>EXP(-LN(2)/25)*EW134+(1-EXP(-LN(2)/25))/(LN(2)/25)*Calculateur!ER135*Calculateur!ET135*VLOOKUP('Données projet'!$B$15,Paramètres!$A$1:$I$88,3,0)*0.475*44/12</f>
        <v>#N/A</v>
      </c>
      <c r="EX135" s="23" t="e">
        <f>EXP(-LN(2)/2)*EX134+(1-EXP(-LN(2)/2))/(LN(2)/2)*ER135*EU135*VLOOKUP('Données projet'!$B$15,Paramètres!$A$1:$I$88,3,0)*0.475*44/12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projet'!$B$16,Paramètres!$A$1:$I$88,3,0)*VLOOKUP('Données projet'!$B$16,Paramètres!$A$1:$I$88,5,0)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projet'!$B$16,Paramètres!$A$1:$I$88,3,0)*0.475*44/12</f>
        <v>#N/A</v>
      </c>
      <c r="FR135" s="23" t="e">
        <f>EXP(-LN(2)/25)*FR134+(1-EXP(-LN(2)/25))/(LN(2)/25)*Calculateur!FM135*Calculateur!FO135*VLOOKUP('Données projet'!$B$16,Paramètres!$A$1:$I$88,3,0)*0.475*44/12</f>
        <v>#N/A</v>
      </c>
      <c r="FS135" s="23" t="e">
        <f>EXP(-LN(2)/2)*FS134+(1-EXP(-LN(2)/2))/(LN(2)/2)*FM135*FP135*VLOOKUP('Données projet'!$B$16,Paramètres!$A$1:$I$88,3,0)*0.475*44/12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projet'!$B$17,Paramètres!$A$1:$I$88,3,0)*VLOOKUP('Données projet'!$B$17,Paramètres!$A$1:$I$88,5,0)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projet'!$B$17,Paramètres!$A$1:$I$88,3,0)*0.475*44/12</f>
        <v>#N/A</v>
      </c>
      <c r="GM135" s="23" t="e">
        <f>EXP(-LN(2)/25)*GM134+(1-EXP(-LN(2)/25))/(LN(2)/25)*Calculateur!GH135*Calculateur!GJ135*VLOOKUP('Données projet'!$B$17,Paramètres!$A$1:$I$88,3,0)*0.475*44/12</f>
        <v>#N/A</v>
      </c>
      <c r="GN135" s="23" t="e">
        <f>EXP(-LN(2)/2)*GN134+(1-EXP(-LN(2)/2))/(LN(2)/2)*GH135*GK135*VLOOKUP('Données projet'!$B$17,Paramètres!$A$1:$I$88,3,0)*0.475*44/12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projet'!$B$18,Paramètres!$A$1:$I$88,3,0)*VLOOKUP('Données projet'!$B$18,Paramètres!$A$1:$I$88,5,0)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projet'!$B$18,Paramètres!$A$1:$I$88,3,0)*0.475*44/12</f>
        <v>#N/A</v>
      </c>
      <c r="HH135" s="23" t="e">
        <f>EXP(-LN(2)/25)*HH134+(1-EXP(-LN(2)/25))/(LN(2)/25)*Calculateur!HC135*Calculateur!HE135*VLOOKUP('Données projet'!$B$18,Paramètres!$A$1:$I$88,3,0)*0.475*44/12</f>
        <v>#N/A</v>
      </c>
      <c r="HI135" s="23" t="e">
        <f>EXP(-LN(2)/2)*HI134+(1-EXP(-LN(2)/2))/(LN(2)/2)*HC135*HF135*VLOOKUP('Données projet'!$B$18,Paramètres!$A$1:$I$88,3,0)*0.475*44/12</f>
        <v>#N/A</v>
      </c>
      <c r="HJ135" s="24" t="e">
        <f t="shared" si="138"/>
        <v>#N/A</v>
      </c>
    </row>
    <row r="136" spans="1:218" s="5" customFormat="1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projet'!$B$9,Paramètres!$A$1:$I$88,3,0)*VLOOKUP('Données projet'!$B$9,Paramètres!$A$1:$I$88,5,0)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284.39223168033448</v>
      </c>
      <c r="S136" s="62">
        <f ca="1">AVERAGE(OFFSET($R$3,0,0,'Données projet'!$E$9+1,1))-AVERAGE(OFFSET($H$3,0,0,'Données projet'!$E$9+1,1))</f>
        <v>301.2688576786212</v>
      </c>
      <c r="T136" s="62">
        <f t="shared" si="142"/>
        <v>417.62172165132927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29.143288340873909</v>
      </c>
      <c r="AA136" s="23">
        <f>EXP(-LN(2)/25)*AA135+(1-EXP(-LN(2)/25))/(LN(2)/25)*Calculateur!V136*Calculateur!X136*VLOOKUP('Données projet'!$B$9,Paramètres!$A$1:$I$88,3,0)*0.475*44/12</f>
        <v>4.9815655875778786</v>
      </c>
      <c r="AB136" s="23">
        <f>EXP(-LN(2)/2)*AB135+(1-EXP(-LN(2)/2))/(LN(2)/2)*V136*Y136*VLOOKUP('Données projet'!$B$9,Paramètres!$A$1:$I$88,3,0)*0.475*44/12</f>
        <v>9.470692525708358E-12</v>
      </c>
      <c r="AC136" s="24">
        <f t="shared" si="111"/>
        <v>34.124853928461256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projet'!$B$10,Paramètres!$A$1:$I$88,3,0)*VLOOKUP('Données projet'!$B$10,Paramètres!$A$1:$I$88,5,0)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170.08673939431091</v>
      </c>
      <c r="AO136" s="62">
        <f t="shared" si="144"/>
        <v>252.97355497077106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projet'!$B$10,Paramètres!$A$1:$I$88,3,0)*0.475*44/12</f>
        <v>12.168123798190408</v>
      </c>
      <c r="AV136" s="23">
        <f>EXP(-LN(2)/25)*AV135+(1-EXP(-LN(2)/25))/(LN(2)/25)*Calculateur!AQ136*Calculateur!AS136*VLOOKUP('Données projet'!$B$10,Paramètres!$A$1:$I$88,3,0)*0.475*44/12</f>
        <v>5.049082843725154</v>
      </c>
      <c r="AW136" s="23">
        <f>EXP(-LN(2)/2)*AW135+(1-EXP(-LN(2)/2))/(LN(2)/2)*AQ136*AT136*VLOOKUP('Données projet'!$B$10,Paramètres!$A$1:$I$88,3,0)*0.475*44/12</f>
        <v>1.2131195730144899E-11</v>
      </c>
      <c r="AX136" s="23">
        <f t="shared" si="114"/>
        <v>17.217206641927692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-1.1368683772161603E-13</v>
      </c>
      <c r="BE136" s="14">
        <f>BD136*VLOOKUP('Données projet'!$B$11,Paramètres!$A$1:$I$88,3,0)*VLOOKUP('Données projet'!$B$11,Paramètres!$A$1:$I$88,5,0)</f>
        <v>-1.0286385077051818E-13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362.63718589694594</v>
      </c>
      <c r="BJ136" s="62">
        <f t="shared" si="146"/>
        <v>250.47702091764884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projet'!$B$11,Paramètres!$A$1:$I$88,3,0)*0.475*44/12</f>
        <v>66.36786740261411</v>
      </c>
      <c r="BQ136" s="23">
        <f>EXP(-LN(2)/25)*BQ135+(1-EXP(-LN(2)/25))/(LN(2)/25)*Calculateur!BL136*Calculateur!BN136*VLOOKUP('Données projet'!$B$11,Paramètres!$A$1:$I$88,3,0)*0.475*44/12</f>
        <v>0</v>
      </c>
      <c r="BR136" s="23">
        <f>EXP(-LN(2)/2)*BR135+(1-EXP(-LN(2)/2))/(LN(2)/2)*BL136*BO136*VLOOKUP('Données projet'!$B$11,Paramètres!$A$1:$I$88,3,0)*0.475*44/12</f>
        <v>0</v>
      </c>
      <c r="BS136" s="24">
        <f t="shared" si="117"/>
        <v>66.36786740261411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-1.1368683772161603E-13</v>
      </c>
      <c r="BZ136" s="14">
        <f>BY136*VLOOKUP('Données projet'!$B$12,Paramètres!$A$1:$I$88,3,0)*VLOOKUP('Données projet'!$B$12,Paramètres!$A$1:$I$88,5,0)</f>
        <v>-1.1527845344971866E-13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398.14524781940196</v>
      </c>
      <c r="CE136" s="62">
        <f t="shared" si="148"/>
        <v>273.35778700650792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projet'!$B$12,Paramètres!$A$1:$I$88,3,0)*0.475*44/12</f>
        <v>74.377782433964128</v>
      </c>
      <c r="CL136" s="23">
        <f>EXP(-LN(2)/25)*CL135+(1-EXP(-LN(2)/25))/(LN(2)/25)*Calculateur!CG136*Calculateur!CI136*VLOOKUP('Données projet'!$B$12,Paramètres!$A$1:$I$88,3,0)*0.475*44/12</f>
        <v>0</v>
      </c>
      <c r="CM136" s="23">
        <f>EXP(-LN(2)/2)*CM135+(1-EXP(-LN(2)/2))/(LN(2)/2)*CG136*CJ136*VLOOKUP('Données projet'!$B$12,Paramètres!$A$1:$I$88,3,0)*0.475*44/12</f>
        <v>0</v>
      </c>
      <c r="CN136" s="24">
        <f t="shared" si="120"/>
        <v>74.377782433964128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118</v>
      </c>
      <c r="CU136" s="18">
        <f>CT136*VLOOKUP('Données projet'!$B$13,Paramètres!$A$1:$I$88,3,0)*VLOOKUP('Données projet'!$B$13,Paramètres!$A$1:$I$88,5,0)</f>
        <v>112.28880000000001</v>
      </c>
      <c r="CV136" s="14">
        <f t="shared" si="149"/>
        <v>29.869595672288149</v>
      </c>
      <c r="CW136" s="22">
        <f t="shared" si="121"/>
        <v>247.59253912923518</v>
      </c>
      <c r="CX136" s="62">
        <f t="shared" si="122"/>
        <v>531.98477080956854</v>
      </c>
      <c r="CY136" s="62">
        <f ca="1">AVERAGE(OFFSET($CX$3,0,0,'Données projet'!$E$13+1,1))-AVERAGE(OFFSET($H$3,0,0,'Données projet'!$E$13+1,1))</f>
        <v>470.0521927195926</v>
      </c>
      <c r="CZ136" s="62">
        <f t="shared" si="150"/>
        <v>299.27200854723435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projet'!$B$13,Paramètres!$A$1:$I$88,3,0)*0.475*44/12</f>
        <v>69.800688130335573</v>
      </c>
      <c r="DG136" s="23">
        <f>EXP(-LN(2)/25)*DG135+(1-EXP(-LN(2)/25))/(LN(2)/25)*Calculateur!DB136*Calculateur!DD136*VLOOKUP('Données projet'!$B$13,Paramètres!$A$1:$I$88,3,0)*0.475*44/12</f>
        <v>0</v>
      </c>
      <c r="DH136" s="23">
        <f>EXP(-LN(2)/2)*DH135+(1-EXP(-LN(2)/2))/(LN(2)/2)*DB136*DE136*VLOOKUP('Données projet'!$B$13,Paramètres!$A$1:$I$88,3,0)*0.475*44/12</f>
        <v>0</v>
      </c>
      <c r="DI136" s="24">
        <f t="shared" si="123"/>
        <v>69.800688130335573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-1.4210854715202004E-13</v>
      </c>
      <c r="DP136" s="18">
        <f>DO136*VLOOKUP('Données projet'!$B$14,Paramètres!$A$1:$I$88,3,0)*VLOOKUP('Données projet'!$B$14,Paramètres!$A$1:$I$88,5,0)</f>
        <v>-1.3744738680543379E-13</v>
      </c>
      <c r="DQ136" s="14" t="e">
        <f t="shared" si="151"/>
        <v>#NUM!</v>
      </c>
      <c r="DR136" s="22" t="e">
        <f t="shared" si="124"/>
        <v>#NUM!</v>
      </c>
      <c r="DS136" s="62" t="e">
        <f t="shared" si="125"/>
        <v>#NUM!</v>
      </c>
      <c r="DT136" s="62">
        <f ca="1">AVERAGE(OFFSET($DS$3,0,0,'Données projet'!$E$14+1,1))-AVERAGE(OFFSET($H$3,0,0,'Données projet'!$E$14+1,1))</f>
        <v>290.89727102147953</v>
      </c>
      <c r="DU136" s="62">
        <f t="shared" si="152"/>
        <v>173.19148969173838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projet'!$B$14,Paramètres!$A$1:$I$88,3,0)*0.475*44/12</f>
        <v>53.036679750753578</v>
      </c>
      <c r="EB136" s="23">
        <f>EXP(-LN(2)/25)*EB135+(1-EXP(-LN(2)/25))/(LN(2)/25)*Calculateur!DW136*Calculateur!DY136*VLOOKUP('Données projet'!$B$14,Paramètres!$A$1:$I$88,3,0)*0.475*44/12</f>
        <v>0</v>
      </c>
      <c r="EC136" s="23">
        <f>EXP(-LN(2)/2)*EC135+(1-EXP(-LN(2)/2))/(LN(2)/2)*DW136*DZ136*VLOOKUP('Données projet'!$B$14,Paramètres!$A$1:$I$88,3,0)*0.475*44/12</f>
        <v>0</v>
      </c>
      <c r="ED136" s="24">
        <f t="shared" si="126"/>
        <v>53.036679750753578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projet'!$B$15,Paramètres!$A$1:$I$88,3,0)*VLOOKUP('Données projet'!$B$15,Paramètres!$A$1:$I$88,5,0)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projet'!$B$15,Paramètres!$A$1:$I$88,3,0)*0.475*44/12</f>
        <v>#N/A</v>
      </c>
      <c r="EW136" s="23" t="e">
        <f>EXP(-LN(2)/25)*EW135+(1-EXP(-LN(2)/25))/(LN(2)/25)*Calculateur!ER136*Calculateur!ET136*VLOOKUP('Données projet'!$B$15,Paramètres!$A$1:$I$88,3,0)*0.475*44/12</f>
        <v>#N/A</v>
      </c>
      <c r="EX136" s="23" t="e">
        <f>EXP(-LN(2)/2)*EX135+(1-EXP(-LN(2)/2))/(LN(2)/2)*ER136*EU136*VLOOKUP('Données projet'!$B$15,Paramètres!$A$1:$I$88,3,0)*0.475*44/12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projet'!$B$16,Paramètres!$A$1:$I$88,3,0)*VLOOKUP('Données projet'!$B$16,Paramètres!$A$1:$I$88,5,0)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projet'!$B$16,Paramètres!$A$1:$I$88,3,0)*0.475*44/12</f>
        <v>#N/A</v>
      </c>
      <c r="FR136" s="23" t="e">
        <f>EXP(-LN(2)/25)*FR135+(1-EXP(-LN(2)/25))/(LN(2)/25)*Calculateur!FM136*Calculateur!FO136*VLOOKUP('Données projet'!$B$16,Paramètres!$A$1:$I$88,3,0)*0.475*44/12</f>
        <v>#N/A</v>
      </c>
      <c r="FS136" s="23" t="e">
        <f>EXP(-LN(2)/2)*FS135+(1-EXP(-LN(2)/2))/(LN(2)/2)*FM136*FP136*VLOOKUP('Données projet'!$B$16,Paramètres!$A$1:$I$88,3,0)*0.475*44/12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projet'!$B$17,Paramètres!$A$1:$I$88,3,0)*VLOOKUP('Données projet'!$B$17,Paramètres!$A$1:$I$88,5,0)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projet'!$B$17,Paramètres!$A$1:$I$88,3,0)*0.475*44/12</f>
        <v>#N/A</v>
      </c>
      <c r="GM136" s="23" t="e">
        <f>EXP(-LN(2)/25)*GM135+(1-EXP(-LN(2)/25))/(LN(2)/25)*Calculateur!GH136*Calculateur!GJ136*VLOOKUP('Données projet'!$B$17,Paramètres!$A$1:$I$88,3,0)*0.475*44/12</f>
        <v>#N/A</v>
      </c>
      <c r="GN136" s="23" t="e">
        <f>EXP(-LN(2)/2)*GN135+(1-EXP(-LN(2)/2))/(LN(2)/2)*GH136*GK136*VLOOKUP('Données projet'!$B$17,Paramètres!$A$1:$I$88,3,0)*0.475*44/12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projet'!$B$18,Paramètres!$A$1:$I$88,3,0)*VLOOKUP('Données projet'!$B$18,Paramètres!$A$1:$I$88,5,0)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projet'!$B$18,Paramètres!$A$1:$I$88,3,0)*0.475*44/12</f>
        <v>#N/A</v>
      </c>
      <c r="HH136" s="23" t="e">
        <f>EXP(-LN(2)/25)*HH135+(1-EXP(-LN(2)/25))/(LN(2)/25)*Calculateur!HC136*Calculateur!HE136*VLOOKUP('Données projet'!$B$18,Paramètres!$A$1:$I$88,3,0)*0.475*44/12</f>
        <v>#N/A</v>
      </c>
      <c r="HI136" s="23" t="e">
        <f>EXP(-LN(2)/2)*HI135+(1-EXP(-LN(2)/2))/(LN(2)/2)*HC136*HF136*VLOOKUP('Données projet'!$B$18,Paramètres!$A$1:$I$88,3,0)*0.475*44/12</f>
        <v>#N/A</v>
      </c>
      <c r="HJ136" s="24" t="e">
        <f t="shared" si="138"/>
        <v>#N/A</v>
      </c>
    </row>
    <row r="137" spans="1:218" s="5" customFormat="1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projet'!$B$9,Paramètres!$A$1:$I$88,3,0)*VLOOKUP('Données projet'!$B$9,Paramètres!$A$1:$I$88,5,0)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284.54733980470536</v>
      </c>
      <c r="S137" s="62">
        <f ca="1">AVERAGE(OFFSET($R$3,0,0,'Données projet'!$E$9+1,1))-AVERAGE(OFFSET($H$3,0,0,'Données projet'!$E$9+1,1))</f>
        <v>301.2688576786212</v>
      </c>
      <c r="T137" s="62">
        <f t="shared" si="142"/>
        <v>417.62172165132927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28.571806232160061</v>
      </c>
      <c r="AA137" s="23">
        <f>EXP(-LN(2)/25)*AA136+(1-EXP(-LN(2)/25))/(LN(2)/25)*Calculateur!V137*Calculateur!X137*VLOOKUP('Données projet'!$B$9,Paramètres!$A$1:$I$88,3,0)*0.475*44/12</f>
        <v>4.8453444146164131</v>
      </c>
      <c r="AB137" s="23">
        <f>EXP(-LN(2)/2)*AB136+(1-EXP(-LN(2)/2))/(LN(2)/2)*V137*Y137*VLOOKUP('Données projet'!$B$9,Paramètres!$A$1:$I$88,3,0)*0.475*44/12</f>
        <v>6.6967909074611311E-12</v>
      </c>
      <c r="AC137" s="24">
        <f t="shared" si="111"/>
        <v>33.41715064678317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projet'!$B$10,Paramètres!$A$1:$I$88,3,0)*VLOOKUP('Données projet'!$B$10,Paramètres!$A$1:$I$88,5,0)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170.08673939431091</v>
      </c>
      <c r="AO137" s="62">
        <f t="shared" si="144"/>
        <v>252.97355497077106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projet'!$B$10,Paramètres!$A$1:$I$88,3,0)*0.475*44/12</f>
        <v>11.929514312330566</v>
      </c>
      <c r="AV137" s="23">
        <f>EXP(-LN(2)/25)*AV136+(1-EXP(-LN(2)/25))/(LN(2)/25)*Calculateur!AQ137*Calculateur!AS137*VLOOKUP('Données projet'!$B$10,Paramètres!$A$1:$I$88,3,0)*0.475*44/12</f>
        <v>4.9110154078437631</v>
      </c>
      <c r="AW137" s="23">
        <f>EXP(-LN(2)/2)*AW136+(1-EXP(-LN(2)/2))/(LN(2)/2)*AQ137*AT137*VLOOKUP('Données projet'!$B$10,Paramètres!$A$1:$I$88,3,0)*0.475*44/12</f>
        <v>8.5780507646867487E-12</v>
      </c>
      <c r="AX137" s="23">
        <f t="shared" si="114"/>
        <v>16.840529720182911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-1.1368683772161603E-13</v>
      </c>
      <c r="BE137" s="14">
        <f>BD137*VLOOKUP('Données projet'!$B$11,Paramètres!$A$1:$I$88,3,0)*VLOOKUP('Données projet'!$B$11,Paramètres!$A$1:$I$88,5,0)</f>
        <v>-1.0286385077051818E-13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362.63718589694594</v>
      </c>
      <c r="BJ137" s="62">
        <f t="shared" si="146"/>
        <v>250.47702091764884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projet'!$B$11,Paramètres!$A$1:$I$88,3,0)*0.475*44/12</f>
        <v>65.066434003250848</v>
      </c>
      <c r="BQ137" s="23">
        <f>EXP(-LN(2)/25)*BQ136+(1-EXP(-LN(2)/25))/(LN(2)/25)*Calculateur!BL137*Calculateur!BN137*VLOOKUP('Données projet'!$B$11,Paramètres!$A$1:$I$88,3,0)*0.475*44/12</f>
        <v>0</v>
      </c>
      <c r="BR137" s="23">
        <f>EXP(-LN(2)/2)*BR136+(1-EXP(-LN(2)/2))/(LN(2)/2)*BL137*BO137*VLOOKUP('Données projet'!$B$11,Paramètres!$A$1:$I$88,3,0)*0.475*44/12</f>
        <v>0</v>
      </c>
      <c r="BS137" s="24">
        <f t="shared" si="117"/>
        <v>65.066434003250848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-1.1368683772161603E-13</v>
      </c>
      <c r="BZ137" s="14">
        <f>BY137*VLOOKUP('Données projet'!$B$12,Paramètres!$A$1:$I$88,3,0)*VLOOKUP('Données projet'!$B$12,Paramètres!$A$1:$I$88,5,0)</f>
        <v>-1.1527845344971866E-13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398.14524781940196</v>
      </c>
      <c r="CE137" s="62">
        <f t="shared" si="148"/>
        <v>273.35778700650792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projet'!$B$12,Paramètres!$A$1:$I$88,3,0)*0.475*44/12</f>
        <v>72.919279486401862</v>
      </c>
      <c r="CL137" s="23">
        <f>EXP(-LN(2)/25)*CL136+(1-EXP(-LN(2)/25))/(LN(2)/25)*Calculateur!CG137*Calculateur!CI137*VLOOKUP('Données projet'!$B$12,Paramètres!$A$1:$I$88,3,0)*0.475*44/12</f>
        <v>0</v>
      </c>
      <c r="CM137" s="23">
        <f>EXP(-LN(2)/2)*CM136+(1-EXP(-LN(2)/2))/(LN(2)/2)*CG137*CJ137*VLOOKUP('Données projet'!$B$12,Paramètres!$A$1:$I$88,3,0)*0.475*44/12</f>
        <v>0</v>
      </c>
      <c r="CN137" s="24">
        <f t="shared" si="120"/>
        <v>72.919279486401862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118</v>
      </c>
      <c r="CU137" s="18">
        <f>CT137*VLOOKUP('Données projet'!$B$13,Paramètres!$A$1:$I$88,3,0)*VLOOKUP('Données projet'!$B$13,Paramètres!$A$1:$I$88,5,0)</f>
        <v>112.28880000000001</v>
      </c>
      <c r="CV137" s="14">
        <f t="shared" si="149"/>
        <v>29.869595672288149</v>
      </c>
      <c r="CW137" s="22">
        <f t="shared" si="121"/>
        <v>247.59253912923518</v>
      </c>
      <c r="CX137" s="62">
        <f t="shared" si="122"/>
        <v>532.13987893393949</v>
      </c>
      <c r="CY137" s="62">
        <f ca="1">AVERAGE(OFFSET($CX$3,0,0,'Données projet'!$E$13+1,1))-AVERAGE(OFFSET($H$3,0,0,'Données projet'!$E$13+1,1))</f>
        <v>470.0521927195926</v>
      </c>
      <c r="CZ137" s="62">
        <f t="shared" si="150"/>
        <v>299.27200854723435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projet'!$B$13,Paramètres!$A$1:$I$88,3,0)*0.475*44/12</f>
        <v>68.431939210315591</v>
      </c>
      <c r="DG137" s="23">
        <f>EXP(-LN(2)/25)*DG136+(1-EXP(-LN(2)/25))/(LN(2)/25)*Calculateur!DB137*Calculateur!DD137*VLOOKUP('Données projet'!$B$13,Paramètres!$A$1:$I$88,3,0)*0.475*44/12</f>
        <v>0</v>
      </c>
      <c r="DH137" s="23">
        <f>EXP(-LN(2)/2)*DH136+(1-EXP(-LN(2)/2))/(LN(2)/2)*DB137*DE137*VLOOKUP('Données projet'!$B$13,Paramètres!$A$1:$I$88,3,0)*0.475*44/12</f>
        <v>0</v>
      </c>
      <c r="DI137" s="24">
        <f t="shared" si="123"/>
        <v>68.431939210315591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-1.4210854715202004E-13</v>
      </c>
      <c r="DP137" s="18">
        <f>DO137*VLOOKUP('Données projet'!$B$14,Paramètres!$A$1:$I$88,3,0)*VLOOKUP('Données projet'!$B$14,Paramètres!$A$1:$I$88,5,0)</f>
        <v>-1.3744738680543379E-13</v>
      </c>
      <c r="DQ137" s="14" t="e">
        <f t="shared" si="151"/>
        <v>#NUM!</v>
      </c>
      <c r="DR137" s="22" t="e">
        <f t="shared" si="124"/>
        <v>#NUM!</v>
      </c>
      <c r="DS137" s="62" t="e">
        <f t="shared" si="125"/>
        <v>#NUM!</v>
      </c>
      <c r="DT137" s="62">
        <f ca="1">AVERAGE(OFFSET($DS$3,0,0,'Données projet'!$E$14+1,1))-AVERAGE(OFFSET($H$3,0,0,'Données projet'!$E$14+1,1))</f>
        <v>290.89727102147953</v>
      </c>
      <c r="DU137" s="62">
        <f t="shared" si="152"/>
        <v>173.19148969173838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projet'!$B$14,Paramètres!$A$1:$I$88,3,0)*0.475*44/12</f>
        <v>51.996662810021732</v>
      </c>
      <c r="EB137" s="23">
        <f>EXP(-LN(2)/25)*EB136+(1-EXP(-LN(2)/25))/(LN(2)/25)*Calculateur!DW137*Calculateur!DY137*VLOOKUP('Données projet'!$B$14,Paramètres!$A$1:$I$88,3,0)*0.475*44/12</f>
        <v>0</v>
      </c>
      <c r="EC137" s="23">
        <f>EXP(-LN(2)/2)*EC136+(1-EXP(-LN(2)/2))/(LN(2)/2)*DW137*DZ137*VLOOKUP('Données projet'!$B$14,Paramètres!$A$1:$I$88,3,0)*0.475*44/12</f>
        <v>0</v>
      </c>
      <c r="ED137" s="24">
        <f t="shared" si="126"/>
        <v>51.996662810021732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projet'!$B$15,Paramètres!$A$1:$I$88,3,0)*VLOOKUP('Données projet'!$B$15,Paramètres!$A$1:$I$88,5,0)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projet'!$B$15,Paramètres!$A$1:$I$88,3,0)*0.475*44/12</f>
        <v>#N/A</v>
      </c>
      <c r="EW137" s="23" t="e">
        <f>EXP(-LN(2)/25)*EW136+(1-EXP(-LN(2)/25))/(LN(2)/25)*Calculateur!ER137*Calculateur!ET137*VLOOKUP('Données projet'!$B$15,Paramètres!$A$1:$I$88,3,0)*0.475*44/12</f>
        <v>#N/A</v>
      </c>
      <c r="EX137" s="23" t="e">
        <f>EXP(-LN(2)/2)*EX136+(1-EXP(-LN(2)/2))/(LN(2)/2)*ER137*EU137*VLOOKUP('Données projet'!$B$15,Paramètres!$A$1:$I$88,3,0)*0.475*44/12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projet'!$B$16,Paramètres!$A$1:$I$88,3,0)*VLOOKUP('Données projet'!$B$16,Paramètres!$A$1:$I$88,5,0)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projet'!$B$16,Paramètres!$A$1:$I$88,3,0)*0.475*44/12</f>
        <v>#N/A</v>
      </c>
      <c r="FR137" s="23" t="e">
        <f>EXP(-LN(2)/25)*FR136+(1-EXP(-LN(2)/25))/(LN(2)/25)*Calculateur!FM137*Calculateur!FO137*VLOOKUP('Données projet'!$B$16,Paramètres!$A$1:$I$88,3,0)*0.475*44/12</f>
        <v>#N/A</v>
      </c>
      <c r="FS137" s="23" t="e">
        <f>EXP(-LN(2)/2)*FS136+(1-EXP(-LN(2)/2))/(LN(2)/2)*FM137*FP137*VLOOKUP('Données projet'!$B$16,Paramètres!$A$1:$I$88,3,0)*0.475*44/12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projet'!$B$17,Paramètres!$A$1:$I$88,3,0)*VLOOKUP('Données projet'!$B$17,Paramètres!$A$1:$I$88,5,0)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projet'!$B$17,Paramètres!$A$1:$I$88,3,0)*0.475*44/12</f>
        <v>#N/A</v>
      </c>
      <c r="GM137" s="23" t="e">
        <f>EXP(-LN(2)/25)*GM136+(1-EXP(-LN(2)/25))/(LN(2)/25)*Calculateur!GH137*Calculateur!GJ137*VLOOKUP('Données projet'!$B$17,Paramètres!$A$1:$I$88,3,0)*0.475*44/12</f>
        <v>#N/A</v>
      </c>
      <c r="GN137" s="23" t="e">
        <f>EXP(-LN(2)/2)*GN136+(1-EXP(-LN(2)/2))/(LN(2)/2)*GH137*GK137*VLOOKUP('Données projet'!$B$17,Paramètres!$A$1:$I$88,3,0)*0.475*44/12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projet'!$B$18,Paramètres!$A$1:$I$88,3,0)*VLOOKUP('Données projet'!$B$18,Paramètres!$A$1:$I$88,5,0)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projet'!$B$18,Paramètres!$A$1:$I$88,3,0)*0.475*44/12</f>
        <v>#N/A</v>
      </c>
      <c r="HH137" s="23" t="e">
        <f>EXP(-LN(2)/25)*HH136+(1-EXP(-LN(2)/25))/(LN(2)/25)*Calculateur!HC137*Calculateur!HE137*VLOOKUP('Données projet'!$B$18,Paramètres!$A$1:$I$88,3,0)*0.475*44/12</f>
        <v>#N/A</v>
      </c>
      <c r="HI137" s="23" t="e">
        <f>EXP(-LN(2)/2)*HI136+(1-EXP(-LN(2)/2))/(LN(2)/2)*HC137*HF137*VLOOKUP('Données projet'!$B$18,Paramètres!$A$1:$I$88,3,0)*0.475*44/12</f>
        <v>#N/A</v>
      </c>
      <c r="HJ137" s="24" t="e">
        <f t="shared" si="138"/>
        <v>#N/A</v>
      </c>
    </row>
    <row r="138" spans="1:218" s="5" customFormat="1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projet'!$B$9,Paramètres!$A$1:$I$88,3,0)*VLOOKUP('Données projet'!$B$9,Paramètres!$A$1:$I$88,5,0)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284.69975714988823</v>
      </c>
      <c r="S138" s="62">
        <f ca="1">AVERAGE(OFFSET($R$3,0,0,'Données projet'!$E$9+1,1))-AVERAGE(OFFSET($H$3,0,0,'Données projet'!$E$9+1,1))</f>
        <v>301.2688576786212</v>
      </c>
      <c r="T138" s="62">
        <f t="shared" si="142"/>
        <v>417.62172165132927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projet'!$B$9,Paramètres!$A$1:$I$88,7,0))</f>
        <v>0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28.011530539028421</v>
      </c>
      <c r="AA138" s="23">
        <f>EXP(-LN(2)/25)*AA137+(1-EXP(-LN(2)/25))/(LN(2)/25)*Calculateur!V138*Calculateur!X138*VLOOKUP('Données projet'!$B$9,Paramètres!$A$1:$I$88,3,0)*0.475*44/12</f>
        <v>4.7128482167931383</v>
      </c>
      <c r="AB138" s="23">
        <f>EXP(-LN(2)/2)*AB137+(1-EXP(-LN(2)/2))/(LN(2)/2)*V138*Y138*VLOOKUP('Données projet'!$B$9,Paramètres!$A$1:$I$88,3,0)*0.475*44/12</f>
        <v>4.735346262854179E-12</v>
      </c>
      <c r="AC138" s="24">
        <f t="shared" si="111"/>
        <v>32.724378755826294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projet'!$B$10,Paramètres!$A$1:$I$88,3,0)*VLOOKUP('Données projet'!$B$10,Paramètres!$A$1:$I$88,5,0)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170.08673939431091</v>
      </c>
      <c r="AO138" s="62">
        <f t="shared" si="144"/>
        <v>252.97355497077106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projet'!$B$10,Paramètres!$A$1:$I$88,3,0)*0.475*44/12</f>
        <v>11.695583812951021</v>
      </c>
      <c r="AV138" s="23">
        <f>EXP(-LN(2)/25)*AV137+(1-EXP(-LN(2)/25))/(LN(2)/25)*Calculateur!AQ138*Calculateur!AS138*VLOOKUP('Données projet'!$B$10,Paramètres!$A$1:$I$88,3,0)*0.475*44/12</f>
        <v>4.7767234332571995</v>
      </c>
      <c r="AW138" s="23">
        <f>EXP(-LN(2)/2)*AW137+(1-EXP(-LN(2)/2))/(LN(2)/2)*AQ138*AT138*VLOOKUP('Données projet'!$B$10,Paramètres!$A$1:$I$88,3,0)*0.475*44/12</f>
        <v>6.0655978650724496E-12</v>
      </c>
      <c r="AX138" s="23">
        <f t="shared" si="114"/>
        <v>16.472307246214285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-1.1368683772161603E-13</v>
      </c>
      <c r="BE138" s="14">
        <f>BD138*VLOOKUP('Données projet'!$B$11,Paramètres!$A$1:$I$88,3,0)*VLOOKUP('Données projet'!$B$11,Paramètres!$A$1:$I$88,5,0)</f>
        <v>-1.0286385077051818E-13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362.63718589694594</v>
      </c>
      <c r="BJ138" s="62">
        <f t="shared" si="146"/>
        <v>250.47702091764884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projet'!$B$11,Paramètres!$A$1:$I$88,3,0)*0.475*44/12</f>
        <v>63.790520919053115</v>
      </c>
      <c r="BQ138" s="23">
        <f>EXP(-LN(2)/25)*BQ137+(1-EXP(-LN(2)/25))/(LN(2)/25)*Calculateur!BL138*Calculateur!BN138*VLOOKUP('Données projet'!$B$11,Paramètres!$A$1:$I$88,3,0)*0.475*44/12</f>
        <v>0</v>
      </c>
      <c r="BR138" s="23">
        <f>EXP(-LN(2)/2)*BR137+(1-EXP(-LN(2)/2))/(LN(2)/2)*BL138*BO138*VLOOKUP('Données projet'!$B$11,Paramètres!$A$1:$I$88,3,0)*0.475*44/12</f>
        <v>0</v>
      </c>
      <c r="BS138" s="24">
        <f t="shared" si="117"/>
        <v>63.790520919053115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-1.1368683772161603E-13</v>
      </c>
      <c r="BZ138" s="14">
        <f>BY138*VLOOKUP('Données projet'!$B$12,Paramètres!$A$1:$I$88,3,0)*VLOOKUP('Données projet'!$B$12,Paramètres!$A$1:$I$88,5,0)</f>
        <v>-1.1527845344971866E-13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398.14524781940196</v>
      </c>
      <c r="CE138" s="62">
        <f t="shared" si="148"/>
        <v>273.35778700650792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projet'!$B$12,Paramètres!$A$1:$I$88,3,0)*0.475*44/12</f>
        <v>71.48937689204233</v>
      </c>
      <c r="CL138" s="23">
        <f>EXP(-LN(2)/25)*CL137+(1-EXP(-LN(2)/25))/(LN(2)/25)*Calculateur!CG138*Calculateur!CI138*VLOOKUP('Données projet'!$B$12,Paramètres!$A$1:$I$88,3,0)*0.475*44/12</f>
        <v>0</v>
      </c>
      <c r="CM138" s="23">
        <f>EXP(-LN(2)/2)*CM137+(1-EXP(-LN(2)/2))/(LN(2)/2)*CG138*CJ138*VLOOKUP('Données projet'!$B$12,Paramètres!$A$1:$I$88,3,0)*0.475*44/12</f>
        <v>0</v>
      </c>
      <c r="CN138" s="24">
        <f t="shared" si="120"/>
        <v>71.48937689204233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118</v>
      </c>
      <c r="CU138" s="18">
        <f>CT138*VLOOKUP('Données projet'!$B$13,Paramètres!$A$1:$I$88,3,0)*VLOOKUP('Données projet'!$B$13,Paramètres!$A$1:$I$88,5,0)</f>
        <v>112.28880000000001</v>
      </c>
      <c r="CV138" s="14">
        <f t="shared" si="149"/>
        <v>29.869595672288149</v>
      </c>
      <c r="CW138" s="22">
        <f t="shared" si="121"/>
        <v>247.59253912923518</v>
      </c>
      <c r="CX138" s="62">
        <f t="shared" si="122"/>
        <v>532.2922962791223</v>
      </c>
      <c r="CY138" s="62">
        <f ca="1">AVERAGE(OFFSET($CX$3,0,0,'Données projet'!$E$13+1,1))-AVERAGE(OFFSET($H$3,0,0,'Données projet'!$E$13+1,1))</f>
        <v>470.0521927195926</v>
      </c>
      <c r="CZ138" s="62">
        <f t="shared" si="150"/>
        <v>299.27200854723435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projet'!$B$13,Paramètres!$A$1:$I$88,7,0))</f>
        <v>0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projet'!$B$13,Paramètres!$A$1:$I$88,3,0)*0.475*44/12</f>
        <v>67.090030621762807</v>
      </c>
      <c r="DG138" s="23">
        <f>EXP(-LN(2)/25)*DG137+(1-EXP(-LN(2)/25))/(LN(2)/25)*Calculateur!DB138*Calculateur!DD138*VLOOKUP('Données projet'!$B$13,Paramètres!$A$1:$I$88,3,0)*0.475*44/12</f>
        <v>0</v>
      </c>
      <c r="DH138" s="23">
        <f>EXP(-LN(2)/2)*DH137+(1-EXP(-LN(2)/2))/(LN(2)/2)*DB138*DE138*VLOOKUP('Données projet'!$B$13,Paramètres!$A$1:$I$88,3,0)*0.475*44/12</f>
        <v>0</v>
      </c>
      <c r="DI138" s="24">
        <f t="shared" si="123"/>
        <v>67.090030621762807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-1.4210854715202004E-13</v>
      </c>
      <c r="DP138" s="18">
        <f>DO138*VLOOKUP('Données projet'!$B$14,Paramètres!$A$1:$I$88,3,0)*VLOOKUP('Données projet'!$B$14,Paramètres!$A$1:$I$88,5,0)</f>
        <v>-1.3744738680543379E-13</v>
      </c>
      <c r="DQ138" s="14" t="e">
        <f t="shared" si="151"/>
        <v>#NUM!</v>
      </c>
      <c r="DR138" s="22" t="e">
        <f t="shared" si="124"/>
        <v>#NUM!</v>
      </c>
      <c r="DS138" s="62" t="e">
        <f t="shared" si="125"/>
        <v>#NUM!</v>
      </c>
      <c r="DT138" s="62">
        <f ca="1">AVERAGE(OFFSET($DS$3,0,0,'Données projet'!$E$14+1,1))-AVERAGE(OFFSET($H$3,0,0,'Données projet'!$E$14+1,1))</f>
        <v>290.89727102147953</v>
      </c>
      <c r="DU138" s="62">
        <f t="shared" si="152"/>
        <v>173.19148969173838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projet'!$B$14,Paramètres!$A$1:$I$88,3,0)*0.475*44/12</f>
        <v>50.977039967149942</v>
      </c>
      <c r="EB138" s="23">
        <f>EXP(-LN(2)/25)*EB137+(1-EXP(-LN(2)/25))/(LN(2)/25)*Calculateur!DW138*Calculateur!DY138*VLOOKUP('Données projet'!$B$14,Paramètres!$A$1:$I$88,3,0)*0.475*44/12</f>
        <v>0</v>
      </c>
      <c r="EC138" s="23">
        <f>EXP(-LN(2)/2)*EC137+(1-EXP(-LN(2)/2))/(LN(2)/2)*DW138*DZ138*VLOOKUP('Données projet'!$B$14,Paramètres!$A$1:$I$88,3,0)*0.475*44/12</f>
        <v>0</v>
      </c>
      <c r="ED138" s="24">
        <f t="shared" si="126"/>
        <v>50.977039967149942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projet'!$B$15,Paramètres!$A$1:$I$88,3,0)*VLOOKUP('Données projet'!$B$15,Paramètres!$A$1:$I$88,5,0)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projet'!$B$15,Paramètres!$A$1:$I$88,3,0)*0.475*44/12</f>
        <v>#N/A</v>
      </c>
      <c r="EW138" s="23" t="e">
        <f>EXP(-LN(2)/25)*EW137+(1-EXP(-LN(2)/25))/(LN(2)/25)*Calculateur!ER138*Calculateur!ET138*VLOOKUP('Données projet'!$B$15,Paramètres!$A$1:$I$88,3,0)*0.475*44/12</f>
        <v>#N/A</v>
      </c>
      <c r="EX138" s="23" t="e">
        <f>EXP(-LN(2)/2)*EX137+(1-EXP(-LN(2)/2))/(LN(2)/2)*ER138*EU138*VLOOKUP('Données projet'!$B$15,Paramètres!$A$1:$I$88,3,0)*0.475*44/12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projet'!$B$16,Paramètres!$A$1:$I$88,3,0)*VLOOKUP('Données projet'!$B$16,Paramètres!$A$1:$I$88,5,0)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projet'!$B$16,Paramètres!$A$1:$I$88,3,0)*0.475*44/12</f>
        <v>#N/A</v>
      </c>
      <c r="FR138" s="23" t="e">
        <f>EXP(-LN(2)/25)*FR137+(1-EXP(-LN(2)/25))/(LN(2)/25)*Calculateur!FM138*Calculateur!FO138*VLOOKUP('Données projet'!$B$16,Paramètres!$A$1:$I$88,3,0)*0.475*44/12</f>
        <v>#N/A</v>
      </c>
      <c r="FS138" s="23" t="e">
        <f>EXP(-LN(2)/2)*FS137+(1-EXP(-LN(2)/2))/(LN(2)/2)*FM138*FP138*VLOOKUP('Données projet'!$B$16,Paramètres!$A$1:$I$88,3,0)*0.475*44/12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projet'!$B$17,Paramètres!$A$1:$I$88,3,0)*VLOOKUP('Données projet'!$B$17,Paramètres!$A$1:$I$88,5,0)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projet'!$B$17,Paramètres!$A$1:$I$88,3,0)*0.475*44/12</f>
        <v>#N/A</v>
      </c>
      <c r="GM138" s="23" t="e">
        <f>EXP(-LN(2)/25)*GM137+(1-EXP(-LN(2)/25))/(LN(2)/25)*Calculateur!GH138*Calculateur!GJ138*VLOOKUP('Données projet'!$B$17,Paramètres!$A$1:$I$88,3,0)*0.475*44/12</f>
        <v>#N/A</v>
      </c>
      <c r="GN138" s="23" t="e">
        <f>EXP(-LN(2)/2)*GN137+(1-EXP(-LN(2)/2))/(LN(2)/2)*GH138*GK138*VLOOKUP('Données projet'!$B$17,Paramètres!$A$1:$I$88,3,0)*0.475*44/12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projet'!$B$18,Paramètres!$A$1:$I$88,3,0)*VLOOKUP('Données projet'!$B$18,Paramètres!$A$1:$I$88,5,0)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projet'!$B$18,Paramètres!$A$1:$I$88,3,0)*0.475*44/12</f>
        <v>#N/A</v>
      </c>
      <c r="HH138" s="23" t="e">
        <f>EXP(-LN(2)/25)*HH137+(1-EXP(-LN(2)/25))/(LN(2)/25)*Calculateur!HC138*Calculateur!HE138*VLOOKUP('Données projet'!$B$18,Paramètres!$A$1:$I$88,3,0)*0.475*44/12</f>
        <v>#N/A</v>
      </c>
      <c r="HI138" s="23" t="e">
        <f>EXP(-LN(2)/2)*HI137+(1-EXP(-LN(2)/2))/(LN(2)/2)*HC138*HF138*VLOOKUP('Données projet'!$B$18,Paramètres!$A$1:$I$88,3,0)*0.475*44/12</f>
        <v>#N/A</v>
      </c>
      <c r="HJ138" s="24" t="e">
        <f t="shared" si="138"/>
        <v>#N/A</v>
      </c>
    </row>
    <row r="139" spans="1:218" s="5" customFormat="1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projet'!$B$9,Paramètres!$A$1:$I$88,3,0)*VLOOKUP('Données projet'!$B$9,Paramètres!$A$1:$I$88,5,0)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284.8495303948863</v>
      </c>
      <c r="S139" s="62">
        <f ca="1">AVERAGE(OFFSET($R$3,0,0,'Données projet'!$E$9+1,1))-AVERAGE(OFFSET($H$3,0,0,'Données projet'!$E$9+1,1))</f>
        <v>301.2688576786212</v>
      </c>
      <c r="T139" s="62">
        <f t="shared" si="142"/>
        <v>417.62172165132927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27.462241510504665</v>
      </c>
      <c r="AA139" s="23">
        <f>EXP(-LN(2)/25)*AA138+(1-EXP(-LN(2)/25))/(LN(2)/25)*Calculateur!V139*Calculateur!X139*VLOOKUP('Données projet'!$B$9,Paramètres!$A$1:$I$88,3,0)*0.475*44/12</f>
        <v>4.5839751344670132</v>
      </c>
      <c r="AB139" s="23">
        <f>EXP(-LN(2)/2)*AB138+(1-EXP(-LN(2)/2))/(LN(2)/2)*V139*Y139*VLOOKUP('Données projet'!$B$9,Paramètres!$A$1:$I$88,3,0)*0.475*44/12</f>
        <v>3.3483954537305655E-12</v>
      </c>
      <c r="AC139" s="24">
        <f t="shared" si="111"/>
        <v>32.046216644975026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projet'!$B$10,Paramètres!$A$1:$I$88,3,0)*VLOOKUP('Données projet'!$B$10,Paramètres!$A$1:$I$88,5,0)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170.08673939431091</v>
      </c>
      <c r="AO139" s="62">
        <f t="shared" si="144"/>
        <v>252.97355497077106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projet'!$B$10,Paramètres!$A$1:$I$88,3,0)*0.475*44/12</f>
        <v>11.466240547980792</v>
      </c>
      <c r="AV139" s="23">
        <f>EXP(-LN(2)/25)*AV138+(1-EXP(-LN(2)/25))/(LN(2)/25)*Calculateur!AQ139*Calculateur!AS139*VLOOKUP('Données projet'!$B$10,Paramètres!$A$1:$I$88,3,0)*0.475*44/12</f>
        <v>4.6461036797778137</v>
      </c>
      <c r="AW139" s="23">
        <f>EXP(-LN(2)/2)*AW138+(1-EXP(-LN(2)/2))/(LN(2)/2)*AQ139*AT139*VLOOKUP('Données projet'!$B$10,Paramètres!$A$1:$I$88,3,0)*0.475*44/12</f>
        <v>4.2890253823433744E-12</v>
      </c>
      <c r="AX139" s="23">
        <f t="shared" si="114"/>
        <v>16.112344227762893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-1.1368683772161603E-13</v>
      </c>
      <c r="BE139" s="14">
        <f>BD139*VLOOKUP('Données projet'!$B$11,Paramètres!$A$1:$I$88,3,0)*VLOOKUP('Données projet'!$B$11,Paramètres!$A$1:$I$88,5,0)</f>
        <v>-1.0286385077051818E-13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362.63718589694594</v>
      </c>
      <c r="BJ139" s="62">
        <f t="shared" si="146"/>
        <v>250.47702091764884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projet'!$B$11,Paramètres!$A$1:$I$88,3,0)*0.475*44/12</f>
        <v>62.539627712206361</v>
      </c>
      <c r="BQ139" s="23">
        <f>EXP(-LN(2)/25)*BQ138+(1-EXP(-LN(2)/25))/(LN(2)/25)*Calculateur!BL139*Calculateur!BN139*VLOOKUP('Données projet'!$B$11,Paramètres!$A$1:$I$88,3,0)*0.475*44/12</f>
        <v>0</v>
      </c>
      <c r="BR139" s="23">
        <f>EXP(-LN(2)/2)*BR138+(1-EXP(-LN(2)/2))/(LN(2)/2)*BL139*BO139*VLOOKUP('Données projet'!$B$11,Paramètres!$A$1:$I$88,3,0)*0.475*44/12</f>
        <v>0</v>
      </c>
      <c r="BS139" s="24">
        <f t="shared" si="117"/>
        <v>62.539627712206361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-1.1368683772161603E-13</v>
      </c>
      <c r="BZ139" s="14">
        <f>BY139*VLOOKUP('Données projet'!$B$12,Paramètres!$A$1:$I$88,3,0)*VLOOKUP('Données projet'!$B$12,Paramètres!$A$1:$I$88,5,0)</f>
        <v>-1.1527845344971866E-13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398.14524781940196</v>
      </c>
      <c r="CE139" s="62">
        <f t="shared" si="148"/>
        <v>273.35778700650792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projet'!$B$12,Paramètres!$A$1:$I$88,3,0)*0.475*44/12</f>
        <v>70.087513815403724</v>
      </c>
      <c r="CL139" s="23">
        <f>EXP(-LN(2)/25)*CL138+(1-EXP(-LN(2)/25))/(LN(2)/25)*Calculateur!CG139*Calculateur!CI139*VLOOKUP('Données projet'!$B$12,Paramètres!$A$1:$I$88,3,0)*0.475*44/12</f>
        <v>0</v>
      </c>
      <c r="CM139" s="23">
        <f>EXP(-LN(2)/2)*CM138+(1-EXP(-LN(2)/2))/(LN(2)/2)*CG139*CJ139*VLOOKUP('Données projet'!$B$12,Paramètres!$A$1:$I$88,3,0)*0.475*44/12</f>
        <v>0</v>
      </c>
      <c r="CN139" s="24">
        <f t="shared" si="120"/>
        <v>70.087513815403724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118</v>
      </c>
      <c r="CU139" s="18">
        <f>CT139*VLOOKUP('Données projet'!$B$13,Paramètres!$A$1:$I$88,3,0)*VLOOKUP('Données projet'!$B$13,Paramètres!$A$1:$I$88,5,0)</f>
        <v>112.28880000000001</v>
      </c>
      <c r="CV139" s="14">
        <f t="shared" si="149"/>
        <v>29.869595672288149</v>
      </c>
      <c r="CW139" s="22">
        <f t="shared" si="121"/>
        <v>247.59253912923518</v>
      </c>
      <c r="CX139" s="62">
        <f t="shared" si="122"/>
        <v>532.44206952412037</v>
      </c>
      <c r="CY139" s="62">
        <f ca="1">AVERAGE(OFFSET($CX$3,0,0,'Données projet'!$E$13+1,1))-AVERAGE(OFFSET($H$3,0,0,'Données projet'!$E$13+1,1))</f>
        <v>470.0521927195926</v>
      </c>
      <c r="CZ139" s="62">
        <f t="shared" si="150"/>
        <v>299.27200854723435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projet'!$B$13,Paramètres!$A$1:$I$88,3,0)*0.475*44/12</f>
        <v>65.77443604214811</v>
      </c>
      <c r="DG139" s="23">
        <f>EXP(-LN(2)/25)*DG138+(1-EXP(-LN(2)/25))/(LN(2)/25)*Calculateur!DB139*Calculateur!DD139*VLOOKUP('Données projet'!$B$13,Paramètres!$A$1:$I$88,3,0)*0.475*44/12</f>
        <v>0</v>
      </c>
      <c r="DH139" s="23">
        <f>EXP(-LN(2)/2)*DH138+(1-EXP(-LN(2)/2))/(LN(2)/2)*DB139*DE139*VLOOKUP('Données projet'!$B$13,Paramètres!$A$1:$I$88,3,0)*0.475*44/12</f>
        <v>0</v>
      </c>
      <c r="DI139" s="24">
        <f t="shared" si="123"/>
        <v>65.77443604214811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-1.4210854715202004E-13</v>
      </c>
      <c r="DP139" s="18">
        <f>DO139*VLOOKUP('Données projet'!$B$14,Paramètres!$A$1:$I$88,3,0)*VLOOKUP('Données projet'!$B$14,Paramètres!$A$1:$I$88,5,0)</f>
        <v>-1.3744738680543379E-13</v>
      </c>
      <c r="DQ139" s="14" t="e">
        <f t="shared" si="151"/>
        <v>#NUM!</v>
      </c>
      <c r="DR139" s="22" t="e">
        <f t="shared" si="124"/>
        <v>#NUM!</v>
      </c>
      <c r="DS139" s="62" t="e">
        <f t="shared" si="125"/>
        <v>#NUM!</v>
      </c>
      <c r="DT139" s="62">
        <f ca="1">AVERAGE(OFFSET($DS$3,0,0,'Données projet'!$E$14+1,1))-AVERAGE(OFFSET($H$3,0,0,'Données projet'!$E$14+1,1))</f>
        <v>290.89727102147953</v>
      </c>
      <c r="DU139" s="62">
        <f t="shared" si="152"/>
        <v>173.19148969173838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projet'!$B$14,Paramètres!$A$1:$I$88,3,0)*0.475*44/12</f>
        <v>49.977411306318338</v>
      </c>
      <c r="EB139" s="23">
        <f>EXP(-LN(2)/25)*EB138+(1-EXP(-LN(2)/25))/(LN(2)/25)*Calculateur!DW139*Calculateur!DY139*VLOOKUP('Données projet'!$B$14,Paramètres!$A$1:$I$88,3,0)*0.475*44/12</f>
        <v>0</v>
      </c>
      <c r="EC139" s="23">
        <f>EXP(-LN(2)/2)*EC138+(1-EXP(-LN(2)/2))/(LN(2)/2)*DW139*DZ139*VLOOKUP('Données projet'!$B$14,Paramètres!$A$1:$I$88,3,0)*0.475*44/12</f>
        <v>0</v>
      </c>
      <c r="ED139" s="24">
        <f t="shared" si="126"/>
        <v>49.977411306318338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projet'!$B$15,Paramètres!$A$1:$I$88,3,0)*VLOOKUP('Données projet'!$B$15,Paramètres!$A$1:$I$88,5,0)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projet'!$B$15,Paramètres!$A$1:$I$88,3,0)*0.475*44/12</f>
        <v>#N/A</v>
      </c>
      <c r="EW139" s="23" t="e">
        <f>EXP(-LN(2)/25)*EW138+(1-EXP(-LN(2)/25))/(LN(2)/25)*Calculateur!ER139*Calculateur!ET139*VLOOKUP('Données projet'!$B$15,Paramètres!$A$1:$I$88,3,0)*0.475*44/12</f>
        <v>#N/A</v>
      </c>
      <c r="EX139" s="23" t="e">
        <f>EXP(-LN(2)/2)*EX138+(1-EXP(-LN(2)/2))/(LN(2)/2)*ER139*EU139*VLOOKUP('Données projet'!$B$15,Paramètres!$A$1:$I$88,3,0)*0.475*44/12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projet'!$B$16,Paramètres!$A$1:$I$88,3,0)*VLOOKUP('Données projet'!$B$16,Paramètres!$A$1:$I$88,5,0)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projet'!$B$16,Paramètres!$A$1:$I$88,3,0)*0.475*44/12</f>
        <v>#N/A</v>
      </c>
      <c r="FR139" s="23" t="e">
        <f>EXP(-LN(2)/25)*FR138+(1-EXP(-LN(2)/25))/(LN(2)/25)*Calculateur!FM139*Calculateur!FO139*VLOOKUP('Données projet'!$B$16,Paramètres!$A$1:$I$88,3,0)*0.475*44/12</f>
        <v>#N/A</v>
      </c>
      <c r="FS139" s="23" t="e">
        <f>EXP(-LN(2)/2)*FS138+(1-EXP(-LN(2)/2))/(LN(2)/2)*FM139*FP139*VLOOKUP('Données projet'!$B$16,Paramètres!$A$1:$I$88,3,0)*0.475*44/12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projet'!$B$17,Paramètres!$A$1:$I$88,3,0)*VLOOKUP('Données projet'!$B$17,Paramètres!$A$1:$I$88,5,0)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projet'!$B$17,Paramètres!$A$1:$I$88,3,0)*0.475*44/12</f>
        <v>#N/A</v>
      </c>
      <c r="GM139" s="23" t="e">
        <f>EXP(-LN(2)/25)*GM138+(1-EXP(-LN(2)/25))/(LN(2)/25)*Calculateur!GH139*Calculateur!GJ139*VLOOKUP('Données projet'!$B$17,Paramètres!$A$1:$I$88,3,0)*0.475*44/12</f>
        <v>#N/A</v>
      </c>
      <c r="GN139" s="23" t="e">
        <f>EXP(-LN(2)/2)*GN138+(1-EXP(-LN(2)/2))/(LN(2)/2)*GH139*GK139*VLOOKUP('Données projet'!$B$17,Paramètres!$A$1:$I$88,3,0)*0.475*44/12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projet'!$B$18,Paramètres!$A$1:$I$88,3,0)*VLOOKUP('Données projet'!$B$18,Paramètres!$A$1:$I$88,5,0)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projet'!$B$18,Paramètres!$A$1:$I$88,3,0)*0.475*44/12</f>
        <v>#N/A</v>
      </c>
      <c r="HH139" s="23" t="e">
        <f>EXP(-LN(2)/25)*HH138+(1-EXP(-LN(2)/25))/(LN(2)/25)*Calculateur!HC139*Calculateur!HE139*VLOOKUP('Données projet'!$B$18,Paramètres!$A$1:$I$88,3,0)*0.475*44/12</f>
        <v>#N/A</v>
      </c>
      <c r="HI139" s="23" t="e">
        <f>EXP(-LN(2)/2)*HI138+(1-EXP(-LN(2)/2))/(LN(2)/2)*HC139*HF139*VLOOKUP('Données projet'!$B$18,Paramètres!$A$1:$I$88,3,0)*0.475*44/12</f>
        <v>#N/A</v>
      </c>
      <c r="HJ139" s="24" t="e">
        <f t="shared" si="138"/>
        <v>#N/A</v>
      </c>
    </row>
    <row r="140" spans="1:218" s="5" customFormat="1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projet'!$B$9,Paramètres!$A$1:$I$88,3,0)*VLOOKUP('Données projet'!$B$9,Paramètres!$A$1:$I$88,5,0)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284.99670540892646</v>
      </c>
      <c r="S140" s="62">
        <f ca="1">AVERAGE(OFFSET($R$3,0,0,'Données projet'!$E$9+1,1))-AVERAGE(OFFSET($H$3,0,0,'Données projet'!$E$9+1,1))</f>
        <v>301.2688576786212</v>
      </c>
      <c r="T140" s="62">
        <f t="shared" si="142"/>
        <v>417.62172165132927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26.923723704797034</v>
      </c>
      <c r="AA140" s="23">
        <f>EXP(-LN(2)/25)*AA139+(1-EXP(-LN(2)/25))/(LN(2)/25)*Calculateur!V140*Calculateur!X140*VLOOKUP('Données projet'!$B$9,Paramètres!$A$1:$I$88,3,0)*0.475*44/12</f>
        <v>4.458626093354237</v>
      </c>
      <c r="AB140" s="23">
        <f>EXP(-LN(2)/2)*AB139+(1-EXP(-LN(2)/2))/(LN(2)/2)*V140*Y140*VLOOKUP('Données projet'!$B$9,Paramètres!$A$1:$I$88,3,0)*0.475*44/12</f>
        <v>2.3676731314270895E-12</v>
      </c>
      <c r="AC140" s="24">
        <f t="shared" si="111"/>
        <v>31.382349798153637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projet'!$B$10,Paramètres!$A$1:$I$88,3,0)*VLOOKUP('Données projet'!$B$10,Paramètres!$A$1:$I$88,5,0)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170.08673939431091</v>
      </c>
      <c r="AO140" s="62">
        <f t="shared" si="144"/>
        <v>252.97355497077106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projet'!$B$10,Paramètres!$A$1:$I$88,3,0)*0.475*44/12</f>
        <v>11.241394564551051</v>
      </c>
      <c r="AV140" s="23">
        <f>EXP(-LN(2)/25)*AV139+(1-EXP(-LN(2)/25))/(LN(2)/25)*Calculateur!AQ140*Calculateur!AS140*VLOOKUP('Données projet'!$B$10,Paramètres!$A$1:$I$88,3,0)*0.475*44/12</f>
        <v>4.5190557303263157</v>
      </c>
      <c r="AW140" s="23">
        <f>EXP(-LN(2)/2)*AW139+(1-EXP(-LN(2)/2))/(LN(2)/2)*AQ140*AT140*VLOOKUP('Données projet'!$B$10,Paramètres!$A$1:$I$88,3,0)*0.475*44/12</f>
        <v>3.0327989325362248E-12</v>
      </c>
      <c r="AX140" s="23">
        <f t="shared" si="114"/>
        <v>15.760450294880398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-1.1368683772161603E-13</v>
      </c>
      <c r="BE140" s="14">
        <f>BD140*VLOOKUP('Données projet'!$B$11,Paramètres!$A$1:$I$88,3,0)*VLOOKUP('Données projet'!$B$11,Paramètres!$A$1:$I$88,5,0)</f>
        <v>-1.0286385077051818E-13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362.63718589694594</v>
      </c>
      <c r="BJ140" s="62">
        <f t="shared" si="146"/>
        <v>250.47702091764884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projet'!$B$11,Paramètres!$A$1:$I$88,7,0))</f>
        <v>0</v>
      </c>
      <c r="BN140" s="17">
        <f>IF(ISNA(VLOOKUP(A140,'Données projet'!$A$87:$I$107,6,0)),0%,VLOOKUP(A140,'Données projet'!$A$87:$I$107,6,0)*VLOOKUP('Données projet'!$B$11,Paramètres!$A$1:$I$88,7,0))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projet'!$B$11,Paramètres!$A$1:$I$88,3,0)*0.475*44/12</f>
        <v>61.313263758176355</v>
      </c>
      <c r="BQ140" s="23">
        <f>EXP(-LN(2)/25)*BQ139+(1-EXP(-LN(2)/25))/(LN(2)/25)*Calculateur!BL140*Calculateur!BN140*VLOOKUP('Données projet'!$B$11,Paramètres!$A$1:$I$88,3,0)*0.475*44/12</f>
        <v>0</v>
      </c>
      <c r="BR140" s="23">
        <f>EXP(-LN(2)/2)*BR139+(1-EXP(-LN(2)/2))/(LN(2)/2)*BL140*BO140*VLOOKUP('Données projet'!$B$11,Paramètres!$A$1:$I$88,3,0)*0.475*44/12</f>
        <v>0</v>
      </c>
      <c r="BS140" s="24">
        <f t="shared" si="117"/>
        <v>61.313263758176355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-1.1368683772161603E-13</v>
      </c>
      <c r="BZ140" s="14">
        <f>BY140*VLOOKUP('Données projet'!$B$12,Paramètres!$A$1:$I$88,3,0)*VLOOKUP('Données projet'!$B$12,Paramètres!$A$1:$I$88,5,0)</f>
        <v>-1.1527845344971866E-13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398.14524781940196</v>
      </c>
      <c r="CE140" s="62">
        <f t="shared" si="148"/>
        <v>273.35778700650792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projet'!$B$12,Paramètres!$A$1:$I$88,3,0)*0.475*44/12</f>
        <v>68.713140418645949</v>
      </c>
      <c r="CL140" s="23">
        <f>EXP(-LN(2)/25)*CL139+(1-EXP(-LN(2)/25))/(LN(2)/25)*Calculateur!CG140*Calculateur!CI140*VLOOKUP('Données projet'!$B$12,Paramètres!$A$1:$I$88,3,0)*0.475*44/12</f>
        <v>0</v>
      </c>
      <c r="CM140" s="23">
        <f>EXP(-LN(2)/2)*CM139+(1-EXP(-LN(2)/2))/(LN(2)/2)*CG140*CJ140*VLOOKUP('Données projet'!$B$12,Paramètres!$A$1:$I$88,3,0)*0.475*44/12</f>
        <v>0</v>
      </c>
      <c r="CN140" s="24">
        <f t="shared" si="120"/>
        <v>68.713140418645949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118</v>
      </c>
      <c r="CU140" s="18">
        <f>CT140*VLOOKUP('Données projet'!$B$13,Paramètres!$A$1:$I$88,3,0)*VLOOKUP('Données projet'!$B$13,Paramètres!$A$1:$I$88,5,0)</f>
        <v>112.28880000000001</v>
      </c>
      <c r="CV140" s="14">
        <f t="shared" si="149"/>
        <v>29.869595672288149</v>
      </c>
      <c r="CW140" s="22">
        <f t="shared" si="121"/>
        <v>247.59253912923518</v>
      </c>
      <c r="CX140" s="62">
        <f t="shared" si="122"/>
        <v>532.58924453816053</v>
      </c>
      <c r="CY140" s="62">
        <f ca="1">AVERAGE(OFFSET($CX$3,0,0,'Données projet'!$E$13+1,1))-AVERAGE(OFFSET($H$3,0,0,'Données projet'!$E$13+1,1))</f>
        <v>470.0521927195926</v>
      </c>
      <c r="CZ140" s="62">
        <f t="shared" si="150"/>
        <v>299.27200854723435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projet'!$B$13,Paramètres!$A$1:$I$88,3,0)*0.475*44/12</f>
        <v>64.484639469806211</v>
      </c>
      <c r="DG140" s="23">
        <f>EXP(-LN(2)/25)*DG139+(1-EXP(-LN(2)/25))/(LN(2)/25)*Calculateur!DB140*Calculateur!DD140*VLOOKUP('Données projet'!$B$13,Paramètres!$A$1:$I$88,3,0)*0.475*44/12</f>
        <v>0</v>
      </c>
      <c r="DH140" s="23">
        <f>EXP(-LN(2)/2)*DH139+(1-EXP(-LN(2)/2))/(LN(2)/2)*DB140*DE140*VLOOKUP('Données projet'!$B$13,Paramètres!$A$1:$I$88,3,0)*0.475*44/12</f>
        <v>0</v>
      </c>
      <c r="DI140" s="24">
        <f t="shared" si="123"/>
        <v>64.484639469806211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-1.4210854715202004E-13</v>
      </c>
      <c r="DP140" s="18">
        <f>DO140*VLOOKUP('Données projet'!$B$14,Paramètres!$A$1:$I$88,3,0)*VLOOKUP('Données projet'!$B$14,Paramètres!$A$1:$I$88,5,0)</f>
        <v>-1.3744738680543379E-13</v>
      </c>
      <c r="DQ140" s="14" t="e">
        <f t="shared" si="151"/>
        <v>#NUM!</v>
      </c>
      <c r="DR140" s="22" t="e">
        <f t="shared" si="124"/>
        <v>#NUM!</v>
      </c>
      <c r="DS140" s="62" t="e">
        <f t="shared" si="125"/>
        <v>#NUM!</v>
      </c>
      <c r="DT140" s="62">
        <f ca="1">AVERAGE(OFFSET($DS$3,0,0,'Données projet'!$E$14+1,1))-AVERAGE(OFFSET($H$3,0,0,'Données projet'!$E$14+1,1))</f>
        <v>290.89727102147953</v>
      </c>
      <c r="DU140" s="62">
        <f t="shared" si="152"/>
        <v>173.19148969173838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projet'!$B$14,Paramètres!$A$1:$I$88,3,0)*0.475*44/12</f>
        <v>48.997384753812362</v>
      </c>
      <c r="EB140" s="23">
        <f>EXP(-LN(2)/25)*EB139+(1-EXP(-LN(2)/25))/(LN(2)/25)*Calculateur!DW140*Calculateur!DY140*VLOOKUP('Données projet'!$B$14,Paramètres!$A$1:$I$88,3,0)*0.475*44/12</f>
        <v>0</v>
      </c>
      <c r="EC140" s="23">
        <f>EXP(-LN(2)/2)*EC139+(1-EXP(-LN(2)/2))/(LN(2)/2)*DW140*DZ140*VLOOKUP('Données projet'!$B$14,Paramètres!$A$1:$I$88,3,0)*0.475*44/12</f>
        <v>0</v>
      </c>
      <c r="ED140" s="24">
        <f t="shared" si="126"/>
        <v>48.997384753812362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projet'!$B$15,Paramètres!$A$1:$I$88,3,0)*VLOOKUP('Données projet'!$B$15,Paramètres!$A$1:$I$88,5,0)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projet'!$B$15,Paramètres!$A$1:$I$88,3,0)*0.475*44/12</f>
        <v>#N/A</v>
      </c>
      <c r="EW140" s="23" t="e">
        <f>EXP(-LN(2)/25)*EW139+(1-EXP(-LN(2)/25))/(LN(2)/25)*Calculateur!ER140*Calculateur!ET140*VLOOKUP('Données projet'!$B$15,Paramètres!$A$1:$I$88,3,0)*0.475*44/12</f>
        <v>#N/A</v>
      </c>
      <c r="EX140" s="23" t="e">
        <f>EXP(-LN(2)/2)*EX139+(1-EXP(-LN(2)/2))/(LN(2)/2)*ER140*EU140*VLOOKUP('Données projet'!$B$15,Paramètres!$A$1:$I$88,3,0)*0.475*44/12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projet'!$B$16,Paramètres!$A$1:$I$88,3,0)*VLOOKUP('Données projet'!$B$16,Paramètres!$A$1:$I$88,5,0)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projet'!$B$16,Paramètres!$A$1:$I$88,3,0)*0.475*44/12</f>
        <v>#N/A</v>
      </c>
      <c r="FR140" s="23" t="e">
        <f>EXP(-LN(2)/25)*FR139+(1-EXP(-LN(2)/25))/(LN(2)/25)*Calculateur!FM140*Calculateur!FO140*VLOOKUP('Données projet'!$B$16,Paramètres!$A$1:$I$88,3,0)*0.475*44/12</f>
        <v>#N/A</v>
      </c>
      <c r="FS140" s="23" t="e">
        <f>EXP(-LN(2)/2)*FS139+(1-EXP(-LN(2)/2))/(LN(2)/2)*FM140*FP140*VLOOKUP('Données projet'!$B$16,Paramètres!$A$1:$I$88,3,0)*0.475*44/12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projet'!$B$17,Paramètres!$A$1:$I$88,3,0)*VLOOKUP('Données projet'!$B$17,Paramètres!$A$1:$I$88,5,0)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projet'!$B$17,Paramètres!$A$1:$I$88,3,0)*0.475*44/12</f>
        <v>#N/A</v>
      </c>
      <c r="GM140" s="23" t="e">
        <f>EXP(-LN(2)/25)*GM139+(1-EXP(-LN(2)/25))/(LN(2)/25)*Calculateur!GH140*Calculateur!GJ140*VLOOKUP('Données projet'!$B$17,Paramètres!$A$1:$I$88,3,0)*0.475*44/12</f>
        <v>#N/A</v>
      </c>
      <c r="GN140" s="23" t="e">
        <f>EXP(-LN(2)/2)*GN139+(1-EXP(-LN(2)/2))/(LN(2)/2)*GH140*GK140*VLOOKUP('Données projet'!$B$17,Paramètres!$A$1:$I$88,3,0)*0.475*44/12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projet'!$B$18,Paramètres!$A$1:$I$88,3,0)*VLOOKUP('Données projet'!$B$18,Paramètres!$A$1:$I$88,5,0)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projet'!$B$18,Paramètres!$A$1:$I$88,3,0)*0.475*44/12</f>
        <v>#N/A</v>
      </c>
      <c r="HH140" s="23" t="e">
        <f>EXP(-LN(2)/25)*HH139+(1-EXP(-LN(2)/25))/(LN(2)/25)*Calculateur!HC140*Calculateur!HE140*VLOOKUP('Données projet'!$B$18,Paramètres!$A$1:$I$88,3,0)*0.475*44/12</f>
        <v>#N/A</v>
      </c>
      <c r="HI140" s="23" t="e">
        <f>EXP(-LN(2)/2)*HI139+(1-EXP(-LN(2)/2))/(LN(2)/2)*HC140*HF140*VLOOKUP('Données projet'!$B$18,Paramètres!$A$1:$I$88,3,0)*0.475*44/12</f>
        <v>#N/A</v>
      </c>
      <c r="HJ140" s="24" t="e">
        <f t="shared" si="138"/>
        <v>#N/A</v>
      </c>
    </row>
    <row r="141" spans="1:218" s="5" customFormat="1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projet'!$B$9,Paramètres!$A$1:$I$88,3,0)*VLOOKUP('Données projet'!$B$9,Paramètres!$A$1:$I$88,5,0)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285.14132726550702</v>
      </c>
      <c r="S141" s="62">
        <f ca="1">AVERAGE(OFFSET($R$3,0,0,'Données projet'!$E$9+1,1))-AVERAGE(OFFSET($H$3,0,0,'Données projet'!$E$9+1,1))</f>
        <v>301.2688576786212</v>
      </c>
      <c r="T141" s="62">
        <f t="shared" si="142"/>
        <v>417.62172165132927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projet'!$B$9,Paramètres!$A$1:$I$88,7,0))</f>
        <v>0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26.395765904795901</v>
      </c>
      <c r="AA141" s="23">
        <f>EXP(-LN(2)/25)*AA140+(1-EXP(-LN(2)/25))/(LN(2)/25)*Calculateur!V141*Calculateur!X141*VLOOKUP('Données projet'!$B$9,Paramètres!$A$1:$I$88,3,0)*0.475*44/12</f>
        <v>4.3367047283625091</v>
      </c>
      <c r="AB141" s="23">
        <f>EXP(-LN(2)/2)*AB140+(1-EXP(-LN(2)/2))/(LN(2)/2)*V141*Y141*VLOOKUP('Données projet'!$B$9,Paramètres!$A$1:$I$88,3,0)*0.475*44/12</f>
        <v>1.6741977268652828E-12</v>
      </c>
      <c r="AC141" s="24">
        <f t="shared" si="111"/>
        <v>30.732470633160084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projet'!$B$10,Paramètres!$A$1:$I$88,3,0)*VLOOKUP('Données projet'!$B$10,Paramètres!$A$1:$I$88,5,0)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170.08673939431091</v>
      </c>
      <c r="AO141" s="62">
        <f t="shared" si="144"/>
        <v>252.97355497077106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projet'!$B$10,Paramètres!$A$1:$I$88,3,0)*0.475*44/12</f>
        <v>11.020957673713859</v>
      </c>
      <c r="AV141" s="23">
        <f>EXP(-LN(2)/25)*AV140+(1-EXP(-LN(2)/25))/(LN(2)/25)*Calculateur!AQ141*Calculateur!AS141*VLOOKUP('Données projet'!$B$10,Paramètres!$A$1:$I$88,3,0)*0.475*44/12</f>
        <v>4.3954819137337298</v>
      </c>
      <c r="AW141" s="23">
        <f>EXP(-LN(2)/2)*AW140+(1-EXP(-LN(2)/2))/(LN(2)/2)*AQ141*AT141*VLOOKUP('Données projet'!$B$10,Paramètres!$A$1:$I$88,3,0)*0.475*44/12</f>
        <v>2.1445126911716872E-12</v>
      </c>
      <c r="AX141" s="23">
        <f t="shared" si="114"/>
        <v>15.416439587449732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-1.1368683772161603E-13</v>
      </c>
      <c r="BE141" s="14">
        <f>BD141*VLOOKUP('Données projet'!$B$11,Paramètres!$A$1:$I$88,3,0)*VLOOKUP('Données projet'!$B$11,Paramètres!$A$1:$I$88,5,0)</f>
        <v>-1.0286385077051818E-13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362.63718589694594</v>
      </c>
      <c r="BJ141" s="62">
        <f t="shared" si="146"/>
        <v>250.47702091764884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projet'!$B$11,Paramètres!$A$1:$I$88,3,0)*0.475*44/12</f>
        <v>60.110948053276722</v>
      </c>
      <c r="BQ141" s="23">
        <f>EXP(-LN(2)/25)*BQ140+(1-EXP(-LN(2)/25))/(LN(2)/25)*Calculateur!BL141*Calculateur!BN141*VLOOKUP('Données projet'!$B$11,Paramètres!$A$1:$I$88,3,0)*0.475*44/12</f>
        <v>0</v>
      </c>
      <c r="BR141" s="23">
        <f>EXP(-LN(2)/2)*BR140+(1-EXP(-LN(2)/2))/(LN(2)/2)*BL141*BO141*VLOOKUP('Données projet'!$B$11,Paramètres!$A$1:$I$88,3,0)*0.475*44/12</f>
        <v>0</v>
      </c>
      <c r="BS141" s="24">
        <f t="shared" si="117"/>
        <v>60.110948053276722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-1.1368683772161603E-13</v>
      </c>
      <c r="BZ141" s="14">
        <f>BY141*VLOOKUP('Données projet'!$B$12,Paramètres!$A$1:$I$88,3,0)*VLOOKUP('Données projet'!$B$12,Paramètres!$A$1:$I$88,5,0)</f>
        <v>-1.1527845344971866E-13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398.14524781940196</v>
      </c>
      <c r="CE141" s="62">
        <f t="shared" si="148"/>
        <v>273.35778700650792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projet'!$B$12,Paramètres!$A$1:$I$88,3,0)*0.475*44/12</f>
        <v>67.365717645913605</v>
      </c>
      <c r="CL141" s="23">
        <f>EXP(-LN(2)/25)*CL140+(1-EXP(-LN(2)/25))/(LN(2)/25)*Calculateur!CG141*Calculateur!CI141*VLOOKUP('Données projet'!$B$12,Paramètres!$A$1:$I$88,3,0)*0.475*44/12</f>
        <v>0</v>
      </c>
      <c r="CM141" s="23">
        <f>EXP(-LN(2)/2)*CM140+(1-EXP(-LN(2)/2))/(LN(2)/2)*CG141*CJ141*VLOOKUP('Données projet'!$B$12,Paramètres!$A$1:$I$88,3,0)*0.475*44/12</f>
        <v>0</v>
      </c>
      <c r="CN141" s="24">
        <f t="shared" si="120"/>
        <v>67.365717645913605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118</v>
      </c>
      <c r="CU141" s="18">
        <f>CT141*VLOOKUP('Données projet'!$B$13,Paramètres!$A$1:$I$88,3,0)*VLOOKUP('Données projet'!$B$13,Paramètres!$A$1:$I$88,5,0)</f>
        <v>112.28880000000001</v>
      </c>
      <c r="CV141" s="14">
        <f t="shared" si="149"/>
        <v>29.869595672288149</v>
      </c>
      <c r="CW141" s="22">
        <f t="shared" si="121"/>
        <v>247.59253912923518</v>
      </c>
      <c r="CX141" s="62">
        <f t="shared" si="122"/>
        <v>532.73386639474109</v>
      </c>
      <c r="CY141" s="62">
        <f ca="1">AVERAGE(OFFSET($CX$3,0,0,'Données projet'!$E$13+1,1))-AVERAGE(OFFSET($H$3,0,0,'Données projet'!$E$13+1,1))</f>
        <v>470.0521927195926</v>
      </c>
      <c r="CZ141" s="62">
        <f t="shared" si="150"/>
        <v>299.27200854723435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projet'!$B$13,Paramètres!$A$1:$I$88,3,0)*0.475*44/12</f>
        <v>63.220135021549702</v>
      </c>
      <c r="DG141" s="23">
        <f>EXP(-LN(2)/25)*DG140+(1-EXP(-LN(2)/25))/(LN(2)/25)*Calculateur!DB141*Calculateur!DD141*VLOOKUP('Données projet'!$B$13,Paramètres!$A$1:$I$88,3,0)*0.475*44/12</f>
        <v>0</v>
      </c>
      <c r="DH141" s="23">
        <f>EXP(-LN(2)/2)*DH140+(1-EXP(-LN(2)/2))/(LN(2)/2)*DB141*DE141*VLOOKUP('Données projet'!$B$13,Paramètres!$A$1:$I$88,3,0)*0.475*44/12</f>
        <v>0</v>
      </c>
      <c r="DI141" s="24">
        <f t="shared" si="123"/>
        <v>63.220135021549702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-1.4210854715202004E-13</v>
      </c>
      <c r="DP141" s="18">
        <f>DO141*VLOOKUP('Données projet'!$B$14,Paramètres!$A$1:$I$88,3,0)*VLOOKUP('Données projet'!$B$14,Paramètres!$A$1:$I$88,5,0)</f>
        <v>-1.3744738680543379E-13</v>
      </c>
      <c r="DQ141" s="14" t="e">
        <f t="shared" si="151"/>
        <v>#NUM!</v>
      </c>
      <c r="DR141" s="22" t="e">
        <f t="shared" si="124"/>
        <v>#NUM!</v>
      </c>
      <c r="DS141" s="62" t="e">
        <f t="shared" si="125"/>
        <v>#NUM!</v>
      </c>
      <c r="DT141" s="62">
        <f ca="1">AVERAGE(OFFSET($DS$3,0,0,'Données projet'!$E$14+1,1))-AVERAGE(OFFSET($H$3,0,0,'Données projet'!$E$14+1,1))</f>
        <v>290.89727102147953</v>
      </c>
      <c r="DU141" s="62">
        <f t="shared" si="152"/>
        <v>173.19148969173838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projet'!$B$14,Paramètres!$A$1:$I$88,3,0)*0.475*44/12</f>
        <v>48.036575924243856</v>
      </c>
      <c r="EB141" s="23">
        <f>EXP(-LN(2)/25)*EB140+(1-EXP(-LN(2)/25))/(LN(2)/25)*Calculateur!DW141*Calculateur!DY141*VLOOKUP('Données projet'!$B$14,Paramètres!$A$1:$I$88,3,0)*0.475*44/12</f>
        <v>0</v>
      </c>
      <c r="EC141" s="23">
        <f>EXP(-LN(2)/2)*EC140+(1-EXP(-LN(2)/2))/(LN(2)/2)*DW141*DZ141*VLOOKUP('Données projet'!$B$14,Paramètres!$A$1:$I$88,3,0)*0.475*44/12</f>
        <v>0</v>
      </c>
      <c r="ED141" s="24">
        <f t="shared" si="126"/>
        <v>48.036575924243856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projet'!$B$15,Paramètres!$A$1:$I$88,3,0)*VLOOKUP('Données projet'!$B$15,Paramètres!$A$1:$I$88,5,0)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projet'!$B$15,Paramètres!$A$1:$I$88,3,0)*0.475*44/12</f>
        <v>#N/A</v>
      </c>
      <c r="EW141" s="23" t="e">
        <f>EXP(-LN(2)/25)*EW140+(1-EXP(-LN(2)/25))/(LN(2)/25)*Calculateur!ER141*Calculateur!ET141*VLOOKUP('Données projet'!$B$15,Paramètres!$A$1:$I$88,3,0)*0.475*44/12</f>
        <v>#N/A</v>
      </c>
      <c r="EX141" s="23" t="e">
        <f>EXP(-LN(2)/2)*EX140+(1-EXP(-LN(2)/2))/(LN(2)/2)*ER141*EU141*VLOOKUP('Données projet'!$B$15,Paramètres!$A$1:$I$88,3,0)*0.475*44/12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projet'!$B$16,Paramètres!$A$1:$I$88,3,0)*VLOOKUP('Données projet'!$B$16,Paramètres!$A$1:$I$88,5,0)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projet'!$B$16,Paramètres!$A$1:$I$88,3,0)*0.475*44/12</f>
        <v>#N/A</v>
      </c>
      <c r="FR141" s="23" t="e">
        <f>EXP(-LN(2)/25)*FR140+(1-EXP(-LN(2)/25))/(LN(2)/25)*Calculateur!FM141*Calculateur!FO141*VLOOKUP('Données projet'!$B$16,Paramètres!$A$1:$I$88,3,0)*0.475*44/12</f>
        <v>#N/A</v>
      </c>
      <c r="FS141" s="23" t="e">
        <f>EXP(-LN(2)/2)*FS140+(1-EXP(-LN(2)/2))/(LN(2)/2)*FM141*FP141*VLOOKUP('Données projet'!$B$16,Paramètres!$A$1:$I$88,3,0)*0.475*44/12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projet'!$B$17,Paramètres!$A$1:$I$88,3,0)*VLOOKUP('Données projet'!$B$17,Paramètres!$A$1:$I$88,5,0)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projet'!$B$17,Paramètres!$A$1:$I$88,3,0)*0.475*44/12</f>
        <v>#N/A</v>
      </c>
      <c r="GM141" s="23" t="e">
        <f>EXP(-LN(2)/25)*GM140+(1-EXP(-LN(2)/25))/(LN(2)/25)*Calculateur!GH141*Calculateur!GJ141*VLOOKUP('Données projet'!$B$17,Paramètres!$A$1:$I$88,3,0)*0.475*44/12</f>
        <v>#N/A</v>
      </c>
      <c r="GN141" s="23" t="e">
        <f>EXP(-LN(2)/2)*GN140+(1-EXP(-LN(2)/2))/(LN(2)/2)*GH141*GK141*VLOOKUP('Données projet'!$B$17,Paramètres!$A$1:$I$88,3,0)*0.475*44/12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projet'!$B$18,Paramètres!$A$1:$I$88,3,0)*VLOOKUP('Données projet'!$B$18,Paramètres!$A$1:$I$88,5,0)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projet'!$B$18,Paramètres!$A$1:$I$88,3,0)*0.475*44/12</f>
        <v>#N/A</v>
      </c>
      <c r="HH141" s="23" t="e">
        <f>EXP(-LN(2)/25)*HH140+(1-EXP(-LN(2)/25))/(LN(2)/25)*Calculateur!HC141*Calculateur!HE141*VLOOKUP('Données projet'!$B$18,Paramètres!$A$1:$I$88,3,0)*0.475*44/12</f>
        <v>#N/A</v>
      </c>
      <c r="HI141" s="23" t="e">
        <f>EXP(-LN(2)/2)*HI140+(1-EXP(-LN(2)/2))/(LN(2)/2)*HC141*HF141*VLOOKUP('Données projet'!$B$18,Paramètres!$A$1:$I$88,3,0)*0.475*44/12</f>
        <v>#N/A</v>
      </c>
      <c r="HJ141" s="24" t="e">
        <f t="shared" si="138"/>
        <v>#N/A</v>
      </c>
    </row>
    <row r="142" spans="1:218" s="5" customFormat="1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projet'!$B$9,Paramètres!$A$1:$I$88,3,0)*VLOOKUP('Données projet'!$B$9,Paramètres!$A$1:$I$88,5,0)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285.28344025620197</v>
      </c>
      <c r="S142" s="62">
        <f ca="1">AVERAGE(OFFSET($R$3,0,0,'Données projet'!$E$9+1,1))-AVERAGE(OFFSET($H$3,0,0,'Données projet'!$E$9+1,1))</f>
        <v>301.2688576786212</v>
      </c>
      <c r="T142" s="62">
        <f t="shared" si="142"/>
        <v>417.62172165132927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projet'!$B$9,Paramètres!$A$1:$I$88,7,0))</f>
        <v>0</v>
      </c>
      <c r="X142" s="17">
        <f>IF(ISNA(VLOOKUP(A142,'Données projet'!$A$35:$I$55,6,0)),0%,VLOOKUP(A142,'Données projet'!$A$35:$I$55,6,0)*VLOOKUP('Données projet'!$B$9,Paramètres!$A$1:$I$88,7,0))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25.878161035230331</v>
      </c>
      <c r="AA142" s="23">
        <f>EXP(-LN(2)/25)*AA141+(1-EXP(-LN(2)/25))/(LN(2)/25)*Calculateur!V142*Calculateur!X142*VLOOKUP('Données projet'!$B$9,Paramètres!$A$1:$I$88,3,0)*0.475*44/12</f>
        <v>4.2181173095080462</v>
      </c>
      <c r="AB142" s="23">
        <f>EXP(-LN(2)/2)*AB141+(1-EXP(-LN(2)/2))/(LN(2)/2)*V142*Y142*VLOOKUP('Données projet'!$B$9,Paramètres!$A$1:$I$88,3,0)*0.475*44/12</f>
        <v>1.1838365657135447E-12</v>
      </c>
      <c r="AC142" s="24">
        <f t="shared" si="111"/>
        <v>30.096278344739559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projet'!$B$10,Paramètres!$A$1:$I$88,3,0)*VLOOKUP('Données projet'!$B$10,Paramètres!$A$1:$I$88,5,0)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170.08673939431091</v>
      </c>
      <c r="AO142" s="62">
        <f t="shared" si="144"/>
        <v>252.97355497077106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projet'!$B$10,Paramètres!$A$1:$I$88,3,0)*0.475*44/12</f>
        <v>10.804843415852757</v>
      </c>
      <c r="AV142" s="23">
        <f>EXP(-LN(2)/25)*AV141+(1-EXP(-LN(2)/25))/(LN(2)/25)*Calculateur!AQ142*Calculateur!AS142*VLOOKUP('Données projet'!$B$10,Paramètres!$A$1:$I$88,3,0)*0.475*44/12</f>
        <v>4.2752872296543334</v>
      </c>
      <c r="AW142" s="23">
        <f>EXP(-LN(2)/2)*AW141+(1-EXP(-LN(2)/2))/(LN(2)/2)*AQ142*AT142*VLOOKUP('Données projet'!$B$10,Paramètres!$A$1:$I$88,3,0)*0.475*44/12</f>
        <v>1.5163994662681124E-12</v>
      </c>
      <c r="AX142" s="23">
        <f t="shared" si="114"/>
        <v>15.080130645508607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-1.1368683772161603E-13</v>
      </c>
      <c r="BE142" s="14">
        <f>BD142*VLOOKUP('Données projet'!$B$11,Paramètres!$A$1:$I$88,3,0)*VLOOKUP('Données projet'!$B$11,Paramètres!$A$1:$I$88,5,0)</f>
        <v>-1.0286385077051818E-13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362.63718589694594</v>
      </c>
      <c r="BJ142" s="62">
        <f t="shared" si="146"/>
        <v>250.47702091764884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projet'!$B$11,Paramètres!$A$1:$I$88,3,0)*0.475*44/12</f>
        <v>58.93220902601</v>
      </c>
      <c r="BQ142" s="23">
        <f>EXP(-LN(2)/25)*BQ141+(1-EXP(-LN(2)/25))/(LN(2)/25)*Calculateur!BL142*Calculateur!BN142*VLOOKUP('Données projet'!$B$11,Paramètres!$A$1:$I$88,3,0)*0.475*44/12</f>
        <v>0</v>
      </c>
      <c r="BR142" s="23">
        <f>EXP(-LN(2)/2)*BR141+(1-EXP(-LN(2)/2))/(LN(2)/2)*BL142*BO142*VLOOKUP('Données projet'!$B$11,Paramètres!$A$1:$I$88,3,0)*0.475*44/12</f>
        <v>0</v>
      </c>
      <c r="BS142" s="24">
        <f t="shared" si="117"/>
        <v>58.93220902601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-1.1368683772161603E-13</v>
      </c>
      <c r="BZ142" s="14">
        <f>BY142*VLOOKUP('Données projet'!$B$12,Paramètres!$A$1:$I$88,3,0)*VLOOKUP('Données projet'!$B$12,Paramètres!$A$1:$I$88,5,0)</f>
        <v>-1.1527845344971866E-13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398.14524781940196</v>
      </c>
      <c r="CE142" s="62">
        <f t="shared" si="148"/>
        <v>273.35778700650792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projet'!$B$12,Paramètres!$A$1:$I$88,3,0)*0.475*44/12</f>
        <v>66.044717011907792</v>
      </c>
      <c r="CL142" s="23">
        <f>EXP(-LN(2)/25)*CL141+(1-EXP(-LN(2)/25))/(LN(2)/25)*Calculateur!CG142*Calculateur!CI142*VLOOKUP('Données projet'!$B$12,Paramètres!$A$1:$I$88,3,0)*0.475*44/12</f>
        <v>0</v>
      </c>
      <c r="CM142" s="23">
        <f>EXP(-LN(2)/2)*CM141+(1-EXP(-LN(2)/2))/(LN(2)/2)*CG142*CJ142*VLOOKUP('Données projet'!$B$12,Paramètres!$A$1:$I$88,3,0)*0.475*44/12</f>
        <v>0</v>
      </c>
      <c r="CN142" s="24">
        <f t="shared" si="120"/>
        <v>66.044717011907792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118</v>
      </c>
      <c r="CU142" s="18">
        <f>CT142*VLOOKUP('Données projet'!$B$13,Paramètres!$A$1:$I$88,3,0)*VLOOKUP('Données projet'!$B$13,Paramètres!$A$1:$I$88,5,0)</f>
        <v>112.28880000000001</v>
      </c>
      <c r="CV142" s="14">
        <f t="shared" si="149"/>
        <v>29.869595672288149</v>
      </c>
      <c r="CW142" s="22">
        <f t="shared" si="121"/>
        <v>247.59253912923518</v>
      </c>
      <c r="CX142" s="62">
        <f t="shared" si="122"/>
        <v>532.87597938543604</v>
      </c>
      <c r="CY142" s="62">
        <f ca="1">AVERAGE(OFFSET($CX$3,0,0,'Données projet'!$E$13+1,1))-AVERAGE(OFFSET($H$3,0,0,'Données projet'!$E$13+1,1))</f>
        <v>470.0521927195926</v>
      </c>
      <c r="CZ142" s="62">
        <f t="shared" si="150"/>
        <v>299.27200854723435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projet'!$B$13,Paramètres!$A$1:$I$88,3,0)*0.475*44/12</f>
        <v>61.980426734251942</v>
      </c>
      <c r="DG142" s="23">
        <f>EXP(-LN(2)/25)*DG141+(1-EXP(-LN(2)/25))/(LN(2)/25)*Calculateur!DB142*Calculateur!DD142*VLOOKUP('Données projet'!$B$13,Paramètres!$A$1:$I$88,3,0)*0.475*44/12</f>
        <v>0</v>
      </c>
      <c r="DH142" s="23">
        <f>EXP(-LN(2)/2)*DH141+(1-EXP(-LN(2)/2))/(LN(2)/2)*DB142*DE142*VLOOKUP('Données projet'!$B$13,Paramètres!$A$1:$I$88,3,0)*0.475*44/12</f>
        <v>0</v>
      </c>
      <c r="DI142" s="24">
        <f t="shared" si="123"/>
        <v>61.980426734251942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-1.4210854715202004E-13</v>
      </c>
      <c r="DP142" s="18">
        <f>DO142*VLOOKUP('Données projet'!$B$14,Paramètres!$A$1:$I$88,3,0)*VLOOKUP('Données projet'!$B$14,Paramètres!$A$1:$I$88,5,0)</f>
        <v>-1.3744738680543379E-13</v>
      </c>
      <c r="DQ142" s="14" t="e">
        <f t="shared" si="151"/>
        <v>#NUM!</v>
      </c>
      <c r="DR142" s="22" t="e">
        <f t="shared" si="124"/>
        <v>#NUM!</v>
      </c>
      <c r="DS142" s="62" t="e">
        <f t="shared" si="125"/>
        <v>#NUM!</v>
      </c>
      <c r="DT142" s="62">
        <f ca="1">AVERAGE(OFFSET($DS$3,0,0,'Données projet'!$E$14+1,1))-AVERAGE(OFFSET($H$3,0,0,'Données projet'!$E$14+1,1))</f>
        <v>290.89727102147953</v>
      </c>
      <c r="DU142" s="62">
        <f t="shared" si="152"/>
        <v>173.19148969173838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projet'!$B$14,Paramètres!$A$1:$I$88,3,0)*0.475*44/12</f>
        <v>47.094607969787667</v>
      </c>
      <c r="EB142" s="23">
        <f>EXP(-LN(2)/25)*EB141+(1-EXP(-LN(2)/25))/(LN(2)/25)*Calculateur!DW142*Calculateur!DY142*VLOOKUP('Données projet'!$B$14,Paramètres!$A$1:$I$88,3,0)*0.475*44/12</f>
        <v>0</v>
      </c>
      <c r="EC142" s="23">
        <f>EXP(-LN(2)/2)*EC141+(1-EXP(-LN(2)/2))/(LN(2)/2)*DW142*DZ142*VLOOKUP('Données projet'!$B$14,Paramètres!$A$1:$I$88,3,0)*0.475*44/12</f>
        <v>0</v>
      </c>
      <c r="ED142" s="24">
        <f t="shared" si="126"/>
        <v>47.094607969787667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projet'!$B$15,Paramètres!$A$1:$I$88,3,0)*VLOOKUP('Données projet'!$B$15,Paramètres!$A$1:$I$88,5,0)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projet'!$B$15,Paramètres!$A$1:$I$88,3,0)*0.475*44/12</f>
        <v>#N/A</v>
      </c>
      <c r="EW142" s="23" t="e">
        <f>EXP(-LN(2)/25)*EW141+(1-EXP(-LN(2)/25))/(LN(2)/25)*Calculateur!ER142*Calculateur!ET142*VLOOKUP('Données projet'!$B$15,Paramètres!$A$1:$I$88,3,0)*0.475*44/12</f>
        <v>#N/A</v>
      </c>
      <c r="EX142" s="23" t="e">
        <f>EXP(-LN(2)/2)*EX141+(1-EXP(-LN(2)/2))/(LN(2)/2)*ER142*EU142*VLOOKUP('Données projet'!$B$15,Paramètres!$A$1:$I$88,3,0)*0.475*44/12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projet'!$B$16,Paramètres!$A$1:$I$88,3,0)*VLOOKUP('Données projet'!$B$16,Paramètres!$A$1:$I$88,5,0)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projet'!$B$16,Paramètres!$A$1:$I$88,3,0)*0.475*44/12</f>
        <v>#N/A</v>
      </c>
      <c r="FR142" s="23" t="e">
        <f>EXP(-LN(2)/25)*FR141+(1-EXP(-LN(2)/25))/(LN(2)/25)*Calculateur!FM142*Calculateur!FO142*VLOOKUP('Données projet'!$B$16,Paramètres!$A$1:$I$88,3,0)*0.475*44/12</f>
        <v>#N/A</v>
      </c>
      <c r="FS142" s="23" t="e">
        <f>EXP(-LN(2)/2)*FS141+(1-EXP(-LN(2)/2))/(LN(2)/2)*FM142*FP142*VLOOKUP('Données projet'!$B$16,Paramètres!$A$1:$I$88,3,0)*0.475*44/12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projet'!$B$17,Paramètres!$A$1:$I$88,3,0)*VLOOKUP('Données projet'!$B$17,Paramètres!$A$1:$I$88,5,0)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projet'!$B$17,Paramètres!$A$1:$I$88,3,0)*0.475*44/12</f>
        <v>#N/A</v>
      </c>
      <c r="GM142" s="23" t="e">
        <f>EXP(-LN(2)/25)*GM141+(1-EXP(-LN(2)/25))/(LN(2)/25)*Calculateur!GH142*Calculateur!GJ142*VLOOKUP('Données projet'!$B$17,Paramètres!$A$1:$I$88,3,0)*0.475*44/12</f>
        <v>#N/A</v>
      </c>
      <c r="GN142" s="23" t="e">
        <f>EXP(-LN(2)/2)*GN141+(1-EXP(-LN(2)/2))/(LN(2)/2)*GH142*GK142*VLOOKUP('Données projet'!$B$17,Paramètres!$A$1:$I$88,3,0)*0.475*44/12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projet'!$B$18,Paramètres!$A$1:$I$88,3,0)*VLOOKUP('Données projet'!$B$18,Paramètres!$A$1:$I$88,5,0)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projet'!$B$18,Paramètres!$A$1:$I$88,3,0)*0.475*44/12</f>
        <v>#N/A</v>
      </c>
      <c r="HH142" s="23" t="e">
        <f>EXP(-LN(2)/25)*HH141+(1-EXP(-LN(2)/25))/(LN(2)/25)*Calculateur!HC142*Calculateur!HE142*VLOOKUP('Données projet'!$B$18,Paramètres!$A$1:$I$88,3,0)*0.475*44/12</f>
        <v>#N/A</v>
      </c>
      <c r="HI142" s="23" t="e">
        <f>EXP(-LN(2)/2)*HI141+(1-EXP(-LN(2)/2))/(LN(2)/2)*HC142*HF142*VLOOKUP('Données projet'!$B$18,Paramètres!$A$1:$I$88,3,0)*0.475*44/12</f>
        <v>#N/A</v>
      </c>
      <c r="HJ142" s="24" t="e">
        <f t="shared" si="138"/>
        <v>#N/A</v>
      </c>
    </row>
    <row r="143" spans="1:218" s="5" customFormat="1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projet'!$B$9,Paramètres!$A$1:$I$88,3,0)*VLOOKUP('Données projet'!$B$9,Paramètres!$A$1:$I$88,5,0)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285.42308790422544</v>
      </c>
      <c r="S143" s="62">
        <f ca="1">AVERAGE(OFFSET($R$3,0,0,'Données projet'!$E$9+1,1))-AVERAGE(OFFSET($H$3,0,0,'Données projet'!$E$9+1,1))</f>
        <v>301.2688576786212</v>
      </c>
      <c r="T143" s="62">
        <f t="shared" si="142"/>
        <v>417.62172165132927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projet'!$B$9,Paramètres!$A$1:$I$88,7,0))</f>
        <v>0</v>
      </c>
      <c r="X143" s="17">
        <f>IF(ISNA(VLOOKUP(A143,'Données projet'!$A$35:$I$55,6,0)),0%,VLOOKUP(A143,'Données projet'!$A$35:$I$55,6,0)*VLOOKUP('Données projet'!$B$9,Paramètres!$A$1:$I$88,7,0))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projet'!$B$9,Paramètres!$A$1:$I$88,3,0)*0.475*44/12</f>
        <v>25.370706081449143</v>
      </c>
      <c r="AA143" s="23">
        <f>EXP(-LN(2)/25)*AA142+(1-EXP(-LN(2)/25))/(LN(2)/25)*Calculateur!V143*Calculateur!X143*VLOOKUP('Données projet'!$B$9,Paramètres!$A$1:$I$88,3,0)*0.475*44/12</f>
        <v>4.1027726698583997</v>
      </c>
      <c r="AB143" s="23">
        <f>EXP(-LN(2)/2)*AB142+(1-EXP(-LN(2)/2))/(LN(2)/2)*V143*Y143*VLOOKUP('Données projet'!$B$9,Paramètres!$A$1:$I$88,3,0)*0.475*44/12</f>
        <v>8.3709886343264138E-13</v>
      </c>
      <c r="AC143" s="24">
        <f t="shared" si="111"/>
        <v>29.473478751308381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projet'!$B$10,Paramètres!$A$1:$I$88,3,0)*VLOOKUP('Données projet'!$B$10,Paramètres!$A$1:$I$88,5,0)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170.08673939431091</v>
      </c>
      <c r="AO143" s="62">
        <f t="shared" si="144"/>
        <v>252.97355497077106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projet'!$B$10,Paramètres!$A$1:$I$88,7,0))</f>
        <v>0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projet'!$B$10,Paramètres!$A$1:$I$88,3,0)*0.475*44/12</f>
        <v>10.59296702677163</v>
      </c>
      <c r="AV143" s="23">
        <f>EXP(-LN(2)/25)*AV142+(1-EXP(-LN(2)/25))/(LN(2)/25)*Calculateur!AQ143*Calculateur!AS143*VLOOKUP('Données projet'!$B$10,Paramètres!$A$1:$I$88,3,0)*0.475*44/12</f>
        <v>4.1583792755318516</v>
      </c>
      <c r="AW143" s="23">
        <f>EXP(-LN(2)/2)*AW142+(1-EXP(-LN(2)/2))/(LN(2)/2)*AQ143*AT143*VLOOKUP('Données projet'!$B$10,Paramètres!$A$1:$I$88,3,0)*0.475*44/12</f>
        <v>1.0722563455858436E-12</v>
      </c>
      <c r="AX143" s="23">
        <f t="shared" si="114"/>
        <v>14.751346302304555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-1.1368683772161603E-13</v>
      </c>
      <c r="BE143" s="14">
        <f>BD143*VLOOKUP('Données projet'!$B$11,Paramètres!$A$1:$I$88,3,0)*VLOOKUP('Données projet'!$B$11,Paramètres!$A$1:$I$88,5,0)</f>
        <v>-1.0286385077051818E-13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362.63718589694594</v>
      </c>
      <c r="BJ143" s="62">
        <f t="shared" si="146"/>
        <v>250.47702091764884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projet'!$B$11,Paramètres!$A$1:$I$88,7,0))</f>
        <v>0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projet'!$B$11,Paramètres!$A$1:$I$88,3,0)*0.475*44/12</f>
        <v>57.776584352108166</v>
      </c>
      <c r="BQ143" s="23">
        <f>EXP(-LN(2)/25)*BQ142+(1-EXP(-LN(2)/25))/(LN(2)/25)*Calculateur!BL143*Calculateur!BN143*VLOOKUP('Données projet'!$B$11,Paramètres!$A$1:$I$88,3,0)*0.475*44/12</f>
        <v>0</v>
      </c>
      <c r="BR143" s="23">
        <f>EXP(-LN(2)/2)*BR142+(1-EXP(-LN(2)/2))/(LN(2)/2)*BL143*BO143*VLOOKUP('Données projet'!$B$11,Paramètres!$A$1:$I$88,3,0)*0.475*44/12</f>
        <v>0</v>
      </c>
      <c r="BS143" s="24">
        <f t="shared" si="117"/>
        <v>57.776584352108166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-1.1368683772161603E-13</v>
      </c>
      <c r="BZ143" s="14">
        <f>BY143*VLOOKUP('Données projet'!$B$12,Paramètres!$A$1:$I$88,3,0)*VLOOKUP('Données projet'!$B$12,Paramètres!$A$1:$I$88,5,0)</f>
        <v>-1.1527845344971866E-13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398.14524781940196</v>
      </c>
      <c r="CE143" s="62">
        <f t="shared" si="148"/>
        <v>273.35778700650792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projet'!$B$12,Paramètres!$A$1:$I$88,3,0)*0.475*44/12</f>
        <v>64.749620394604008</v>
      </c>
      <c r="CL143" s="23">
        <f>EXP(-LN(2)/25)*CL142+(1-EXP(-LN(2)/25))/(LN(2)/25)*Calculateur!CG143*Calculateur!CI143*VLOOKUP('Données projet'!$B$12,Paramètres!$A$1:$I$88,3,0)*0.475*44/12</f>
        <v>0</v>
      </c>
      <c r="CM143" s="23">
        <f>EXP(-LN(2)/2)*CM142+(1-EXP(-LN(2)/2))/(LN(2)/2)*CG143*CJ143*VLOOKUP('Données projet'!$B$12,Paramètres!$A$1:$I$88,3,0)*0.475*44/12</f>
        <v>0</v>
      </c>
      <c r="CN143" s="24">
        <f t="shared" si="120"/>
        <v>64.749620394604008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118</v>
      </c>
      <c r="CU143" s="18">
        <f>CT143*VLOOKUP('Données projet'!$B$13,Paramètres!$A$1:$I$88,3,0)*VLOOKUP('Données projet'!$B$13,Paramètres!$A$1:$I$88,5,0)</f>
        <v>112.28880000000001</v>
      </c>
      <c r="CV143" s="14">
        <f t="shared" si="149"/>
        <v>29.869595672288149</v>
      </c>
      <c r="CW143" s="22">
        <f t="shared" si="121"/>
        <v>247.59253912923518</v>
      </c>
      <c r="CX143" s="62">
        <f t="shared" si="122"/>
        <v>533.01562703345951</v>
      </c>
      <c r="CY143" s="62">
        <f ca="1">AVERAGE(OFFSET($CX$3,0,0,'Données projet'!$E$13+1,1))-AVERAGE(OFFSET($H$3,0,0,'Données projet'!$E$13+1,1))</f>
        <v>470.0521927195926</v>
      </c>
      <c r="CZ143" s="62">
        <f t="shared" si="150"/>
        <v>299.27200854723435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projet'!$B$13,Paramètres!$A$1:$I$88,3,0)*0.475*44/12</f>
        <v>60.765028370320699</v>
      </c>
      <c r="DG143" s="23">
        <f>EXP(-LN(2)/25)*DG142+(1-EXP(-LN(2)/25))/(LN(2)/25)*Calculateur!DB143*Calculateur!DD143*VLOOKUP('Données projet'!$B$13,Paramètres!$A$1:$I$88,3,0)*0.475*44/12</f>
        <v>0</v>
      </c>
      <c r="DH143" s="23">
        <f>EXP(-LN(2)/2)*DH142+(1-EXP(-LN(2)/2))/(LN(2)/2)*DB143*DE143*VLOOKUP('Données projet'!$B$13,Paramètres!$A$1:$I$88,3,0)*0.475*44/12</f>
        <v>0</v>
      </c>
      <c r="DI143" s="24">
        <f t="shared" si="123"/>
        <v>60.765028370320699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-1.4210854715202004E-13</v>
      </c>
      <c r="DP143" s="18">
        <f>DO143*VLOOKUP('Données projet'!$B$14,Paramètres!$A$1:$I$88,3,0)*VLOOKUP('Données projet'!$B$14,Paramètres!$A$1:$I$88,5,0)</f>
        <v>-1.3744738680543379E-13</v>
      </c>
      <c r="DQ143" s="14" t="e">
        <f t="shared" si="151"/>
        <v>#NUM!</v>
      </c>
      <c r="DR143" s="22" t="e">
        <f t="shared" si="124"/>
        <v>#NUM!</v>
      </c>
      <c r="DS143" s="62" t="e">
        <f t="shared" si="125"/>
        <v>#NUM!</v>
      </c>
      <c r="DT143" s="62">
        <f ca="1">AVERAGE(OFFSET($DS$3,0,0,'Données projet'!$E$14+1,1))-AVERAGE(OFFSET($H$3,0,0,'Données projet'!$E$14+1,1))</f>
        <v>290.89727102147953</v>
      </c>
      <c r="DU143" s="62">
        <f t="shared" si="152"/>
        <v>173.19148969173838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projet'!$B$14,Paramètres!$A$1:$I$88,3,0)*0.475*44/12</f>
        <v>46.171111432374644</v>
      </c>
      <c r="EB143" s="23">
        <f>EXP(-LN(2)/25)*EB142+(1-EXP(-LN(2)/25))/(LN(2)/25)*Calculateur!DW143*Calculateur!DY143*VLOOKUP('Données projet'!$B$14,Paramètres!$A$1:$I$88,3,0)*0.475*44/12</f>
        <v>0</v>
      </c>
      <c r="EC143" s="23">
        <f>EXP(-LN(2)/2)*EC142+(1-EXP(-LN(2)/2))/(LN(2)/2)*DW143*DZ143*VLOOKUP('Données projet'!$B$14,Paramètres!$A$1:$I$88,3,0)*0.475*44/12</f>
        <v>0</v>
      </c>
      <c r="ED143" s="24">
        <f t="shared" si="126"/>
        <v>46.171111432374644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projet'!$B$15,Paramètres!$A$1:$I$88,3,0)*VLOOKUP('Données projet'!$B$15,Paramètres!$A$1:$I$88,5,0)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projet'!$B$15,Paramètres!$A$1:$I$88,3,0)*0.475*44/12</f>
        <v>#N/A</v>
      </c>
      <c r="EW143" s="23" t="e">
        <f>EXP(-LN(2)/25)*EW142+(1-EXP(-LN(2)/25))/(LN(2)/25)*Calculateur!ER143*Calculateur!ET143*VLOOKUP('Données projet'!$B$15,Paramètres!$A$1:$I$88,3,0)*0.475*44/12</f>
        <v>#N/A</v>
      </c>
      <c r="EX143" s="23" t="e">
        <f>EXP(-LN(2)/2)*EX142+(1-EXP(-LN(2)/2))/(LN(2)/2)*ER143*EU143*VLOOKUP('Données projet'!$B$15,Paramètres!$A$1:$I$88,3,0)*0.475*44/12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projet'!$B$16,Paramètres!$A$1:$I$88,3,0)*VLOOKUP('Données projet'!$B$16,Paramètres!$A$1:$I$88,5,0)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projet'!$B$16,Paramètres!$A$1:$I$88,3,0)*0.475*44/12</f>
        <v>#N/A</v>
      </c>
      <c r="FR143" s="23" t="e">
        <f>EXP(-LN(2)/25)*FR142+(1-EXP(-LN(2)/25))/(LN(2)/25)*Calculateur!FM143*Calculateur!FO143*VLOOKUP('Données projet'!$B$16,Paramètres!$A$1:$I$88,3,0)*0.475*44/12</f>
        <v>#N/A</v>
      </c>
      <c r="FS143" s="23" t="e">
        <f>EXP(-LN(2)/2)*FS142+(1-EXP(-LN(2)/2))/(LN(2)/2)*FM143*FP143*VLOOKUP('Données projet'!$B$16,Paramètres!$A$1:$I$88,3,0)*0.475*44/12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projet'!$B$17,Paramètres!$A$1:$I$88,3,0)*VLOOKUP('Données projet'!$B$17,Paramètres!$A$1:$I$88,5,0)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projet'!$B$17,Paramètres!$A$1:$I$88,3,0)*0.475*44/12</f>
        <v>#N/A</v>
      </c>
      <c r="GM143" s="23" t="e">
        <f>EXP(-LN(2)/25)*GM142+(1-EXP(-LN(2)/25))/(LN(2)/25)*Calculateur!GH143*Calculateur!GJ143*VLOOKUP('Données projet'!$B$17,Paramètres!$A$1:$I$88,3,0)*0.475*44/12</f>
        <v>#N/A</v>
      </c>
      <c r="GN143" s="23" t="e">
        <f>EXP(-LN(2)/2)*GN142+(1-EXP(-LN(2)/2))/(LN(2)/2)*GH143*GK143*VLOOKUP('Données projet'!$B$17,Paramètres!$A$1:$I$88,3,0)*0.475*44/12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projet'!$B$18,Paramètres!$A$1:$I$88,3,0)*VLOOKUP('Données projet'!$B$18,Paramètres!$A$1:$I$88,5,0)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projet'!$B$18,Paramètres!$A$1:$I$88,3,0)*0.475*44/12</f>
        <v>#N/A</v>
      </c>
      <c r="HH143" s="23" t="e">
        <f>EXP(-LN(2)/25)*HH142+(1-EXP(-LN(2)/25))/(LN(2)/25)*Calculateur!HC143*Calculateur!HE143*VLOOKUP('Données projet'!$B$18,Paramètres!$A$1:$I$88,3,0)*0.475*44/12</f>
        <v>#N/A</v>
      </c>
      <c r="HI143" s="23" t="e">
        <f>EXP(-LN(2)/2)*HI142+(1-EXP(-LN(2)/2))/(LN(2)/2)*HC143*HF143*VLOOKUP('Données projet'!$B$18,Paramètres!$A$1:$I$88,3,0)*0.475*44/12</f>
        <v>#N/A</v>
      </c>
      <c r="HJ143" s="24" t="e">
        <f t="shared" si="138"/>
        <v>#N/A</v>
      </c>
    </row>
    <row r="144" spans="1:218" s="5" customFormat="1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projet'!$B$9,Paramètres!$A$1:$I$88,3,0)*VLOOKUP('Données projet'!$B$9,Paramètres!$A$1:$I$88,5,0)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285.5603129777611</v>
      </c>
      <c r="S144" s="62">
        <f ca="1">AVERAGE(OFFSET($R$3,0,0,'Données projet'!$E$9+1,1))-AVERAGE(OFFSET($H$3,0,0,'Données projet'!$E$9+1,1))</f>
        <v>301.2688576786212</v>
      </c>
      <c r="T144" s="62">
        <f t="shared" si="142"/>
        <v>417.62172165132927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24.873202009794646</v>
      </c>
      <c r="AA144" s="23">
        <f>EXP(-LN(2)/25)*AA143+(1-EXP(-LN(2)/25))/(LN(2)/25)*Calculateur!V144*Calculateur!X144*VLOOKUP('Données projet'!$B$9,Paramètres!$A$1:$I$88,3,0)*0.475*44/12</f>
        <v>3.9905821354456843</v>
      </c>
      <c r="AB144" s="23">
        <f>EXP(-LN(2)/2)*AB143+(1-EXP(-LN(2)/2))/(LN(2)/2)*V144*Y144*VLOOKUP('Données projet'!$B$9,Paramètres!$A$1:$I$88,3,0)*0.475*44/12</f>
        <v>5.9191828285677237E-13</v>
      </c>
      <c r="AC144" s="24">
        <f t="shared" si="111"/>
        <v>28.863784145240924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projet'!$B$10,Paramètres!$A$1:$I$88,3,0)*VLOOKUP('Données projet'!$B$10,Paramètres!$A$1:$I$88,5,0)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170.08673939431091</v>
      </c>
      <c r="AO144" s="62">
        <f t="shared" si="144"/>
        <v>252.97355497077106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projet'!$B$10,Paramètres!$A$1:$I$88,3,0)*0.475*44/12</f>
        <v>10.385245404448547</v>
      </c>
      <c r="AV144" s="23">
        <f>EXP(-LN(2)/25)*AV143+(1-EXP(-LN(2)/25))/(LN(2)/25)*Calculateur!AQ144*Calculateur!AS144*VLOOKUP('Données projet'!$B$10,Paramètres!$A$1:$I$88,3,0)*0.475*44/12</f>
        <v>4.0446681755627711</v>
      </c>
      <c r="AW144" s="23">
        <f>EXP(-LN(2)/2)*AW143+(1-EXP(-LN(2)/2))/(LN(2)/2)*AQ144*AT144*VLOOKUP('Données projet'!$B$10,Paramètres!$A$1:$I$88,3,0)*0.475*44/12</f>
        <v>7.581997331340562E-13</v>
      </c>
      <c r="AX144" s="23">
        <f t="shared" si="114"/>
        <v>14.429913580012077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-1.1368683772161603E-13</v>
      </c>
      <c r="BE144" s="14">
        <f>BD144*VLOOKUP('Données projet'!$B$11,Paramètres!$A$1:$I$88,3,0)*VLOOKUP('Données projet'!$B$11,Paramètres!$A$1:$I$88,5,0)</f>
        <v>-1.0286385077051818E-13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362.63718589694594</v>
      </c>
      <c r="BJ144" s="62">
        <f t="shared" si="146"/>
        <v>250.47702091764884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projet'!$B$11,Paramètres!$A$1:$I$88,7,0))</f>
        <v>0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projet'!$B$11,Paramètres!$A$1:$I$88,3,0)*0.475*44/12</f>
        <v>56.643620773200098</v>
      </c>
      <c r="BQ144" s="23">
        <f>EXP(-LN(2)/25)*BQ143+(1-EXP(-LN(2)/25))/(LN(2)/25)*Calculateur!BL144*Calculateur!BN144*VLOOKUP('Données projet'!$B$11,Paramètres!$A$1:$I$88,3,0)*0.475*44/12</f>
        <v>0</v>
      </c>
      <c r="BR144" s="23">
        <f>EXP(-LN(2)/2)*BR143+(1-EXP(-LN(2)/2))/(LN(2)/2)*BL144*BO144*VLOOKUP('Données projet'!$B$11,Paramètres!$A$1:$I$88,3,0)*0.475*44/12</f>
        <v>0</v>
      </c>
      <c r="BS144" s="24">
        <f t="shared" si="117"/>
        <v>56.643620773200098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-1.1368683772161603E-13</v>
      </c>
      <c r="BZ144" s="14">
        <f>BY144*VLOOKUP('Données projet'!$B$12,Paramètres!$A$1:$I$88,3,0)*VLOOKUP('Données projet'!$B$12,Paramètres!$A$1:$I$88,5,0)</f>
        <v>-1.1527845344971866E-13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398.14524781940196</v>
      </c>
      <c r="CE144" s="62">
        <f t="shared" si="148"/>
        <v>273.35778700650792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projet'!$B$12,Paramètres!$A$1:$I$88,3,0)*0.475*44/12</f>
        <v>63.479919832034618</v>
      </c>
      <c r="CL144" s="23">
        <f>EXP(-LN(2)/25)*CL143+(1-EXP(-LN(2)/25))/(LN(2)/25)*Calculateur!CG144*Calculateur!CI144*VLOOKUP('Données projet'!$B$12,Paramètres!$A$1:$I$88,3,0)*0.475*44/12</f>
        <v>0</v>
      </c>
      <c r="CM144" s="23">
        <f>EXP(-LN(2)/2)*CM143+(1-EXP(-LN(2)/2))/(LN(2)/2)*CG144*CJ144*VLOOKUP('Données projet'!$B$12,Paramètres!$A$1:$I$88,3,0)*0.475*44/12</f>
        <v>0</v>
      </c>
      <c r="CN144" s="24">
        <f t="shared" si="120"/>
        <v>63.479919832034618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118</v>
      </c>
      <c r="CU144" s="18">
        <f>CT144*VLOOKUP('Données projet'!$B$13,Paramètres!$A$1:$I$88,3,0)*VLOOKUP('Données projet'!$B$13,Paramètres!$A$1:$I$88,5,0)</f>
        <v>112.28880000000001</v>
      </c>
      <c r="CV144" s="14">
        <f t="shared" si="149"/>
        <v>29.869595672288149</v>
      </c>
      <c r="CW144" s="22">
        <f t="shared" si="121"/>
        <v>247.59253912923518</v>
      </c>
      <c r="CX144" s="62">
        <f t="shared" si="122"/>
        <v>533.15285210699517</v>
      </c>
      <c r="CY144" s="62">
        <f ca="1">AVERAGE(OFFSET($CX$3,0,0,'Données projet'!$E$13+1,1))-AVERAGE(OFFSET($H$3,0,0,'Données projet'!$E$13+1,1))</f>
        <v>470.0521927195926</v>
      </c>
      <c r="CZ144" s="62">
        <f t="shared" si="150"/>
        <v>299.27200854723435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projet'!$B$13,Paramètres!$A$1:$I$88,3,0)*0.475*44/12</f>
        <v>59.573463226986348</v>
      </c>
      <c r="DG144" s="23">
        <f>EXP(-LN(2)/25)*DG143+(1-EXP(-LN(2)/25))/(LN(2)/25)*Calculateur!DB144*Calculateur!DD144*VLOOKUP('Données projet'!$B$13,Paramètres!$A$1:$I$88,3,0)*0.475*44/12</f>
        <v>0</v>
      </c>
      <c r="DH144" s="23">
        <f>EXP(-LN(2)/2)*DH143+(1-EXP(-LN(2)/2))/(LN(2)/2)*DB144*DE144*VLOOKUP('Données projet'!$B$13,Paramètres!$A$1:$I$88,3,0)*0.475*44/12</f>
        <v>0</v>
      </c>
      <c r="DI144" s="24">
        <f t="shared" si="123"/>
        <v>59.573463226986348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-1.4210854715202004E-13</v>
      </c>
      <c r="DP144" s="18">
        <f>DO144*VLOOKUP('Données projet'!$B$14,Paramètres!$A$1:$I$88,3,0)*VLOOKUP('Données projet'!$B$14,Paramètres!$A$1:$I$88,5,0)</f>
        <v>-1.3744738680543379E-13</v>
      </c>
      <c r="DQ144" s="14" t="e">
        <f t="shared" si="151"/>
        <v>#NUM!</v>
      </c>
      <c r="DR144" s="22" t="e">
        <f t="shared" si="124"/>
        <v>#NUM!</v>
      </c>
      <c r="DS144" s="62" t="e">
        <f t="shared" si="125"/>
        <v>#NUM!</v>
      </c>
      <c r="DT144" s="62">
        <f ca="1">AVERAGE(OFFSET($DS$3,0,0,'Données projet'!$E$14+1,1))-AVERAGE(OFFSET($H$3,0,0,'Données projet'!$E$14+1,1))</f>
        <v>290.89727102147953</v>
      </c>
      <c r="DU144" s="62">
        <f t="shared" si="152"/>
        <v>173.19148969173838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projet'!$B$14,Paramètres!$A$1:$I$88,3,0)*0.475*44/12</f>
        <v>45.265724098783025</v>
      </c>
      <c r="EB144" s="23">
        <f>EXP(-LN(2)/25)*EB143+(1-EXP(-LN(2)/25))/(LN(2)/25)*Calculateur!DW144*Calculateur!DY144*VLOOKUP('Données projet'!$B$14,Paramètres!$A$1:$I$88,3,0)*0.475*44/12</f>
        <v>0</v>
      </c>
      <c r="EC144" s="23">
        <f>EXP(-LN(2)/2)*EC143+(1-EXP(-LN(2)/2))/(LN(2)/2)*DW144*DZ144*VLOOKUP('Données projet'!$B$14,Paramètres!$A$1:$I$88,3,0)*0.475*44/12</f>
        <v>0</v>
      </c>
      <c r="ED144" s="24">
        <f t="shared" si="126"/>
        <v>45.265724098783025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projet'!$B$15,Paramètres!$A$1:$I$88,3,0)*VLOOKUP('Données projet'!$B$15,Paramètres!$A$1:$I$88,5,0)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projet'!$B$15,Paramètres!$A$1:$I$88,3,0)*0.475*44/12</f>
        <v>#N/A</v>
      </c>
      <c r="EW144" s="23" t="e">
        <f>EXP(-LN(2)/25)*EW143+(1-EXP(-LN(2)/25))/(LN(2)/25)*Calculateur!ER144*Calculateur!ET144*VLOOKUP('Données projet'!$B$15,Paramètres!$A$1:$I$88,3,0)*0.475*44/12</f>
        <v>#N/A</v>
      </c>
      <c r="EX144" s="23" t="e">
        <f>EXP(-LN(2)/2)*EX143+(1-EXP(-LN(2)/2))/(LN(2)/2)*ER144*EU144*VLOOKUP('Données projet'!$B$15,Paramètres!$A$1:$I$88,3,0)*0.475*44/12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projet'!$B$16,Paramètres!$A$1:$I$88,3,0)*VLOOKUP('Données projet'!$B$16,Paramètres!$A$1:$I$88,5,0)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projet'!$B$16,Paramètres!$A$1:$I$88,3,0)*0.475*44/12</f>
        <v>#N/A</v>
      </c>
      <c r="FR144" s="23" t="e">
        <f>EXP(-LN(2)/25)*FR143+(1-EXP(-LN(2)/25))/(LN(2)/25)*Calculateur!FM144*Calculateur!FO144*VLOOKUP('Données projet'!$B$16,Paramètres!$A$1:$I$88,3,0)*0.475*44/12</f>
        <v>#N/A</v>
      </c>
      <c r="FS144" s="23" t="e">
        <f>EXP(-LN(2)/2)*FS143+(1-EXP(-LN(2)/2))/(LN(2)/2)*FM144*FP144*VLOOKUP('Données projet'!$B$16,Paramètres!$A$1:$I$88,3,0)*0.475*44/12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projet'!$B$17,Paramètres!$A$1:$I$88,3,0)*VLOOKUP('Données projet'!$B$17,Paramètres!$A$1:$I$88,5,0)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projet'!$B$17,Paramètres!$A$1:$I$88,3,0)*0.475*44/12</f>
        <v>#N/A</v>
      </c>
      <c r="GM144" s="23" t="e">
        <f>EXP(-LN(2)/25)*GM143+(1-EXP(-LN(2)/25))/(LN(2)/25)*Calculateur!GH144*Calculateur!GJ144*VLOOKUP('Données projet'!$B$17,Paramètres!$A$1:$I$88,3,0)*0.475*44/12</f>
        <v>#N/A</v>
      </c>
      <c r="GN144" s="23" t="e">
        <f>EXP(-LN(2)/2)*GN143+(1-EXP(-LN(2)/2))/(LN(2)/2)*GH144*GK144*VLOOKUP('Données projet'!$B$17,Paramètres!$A$1:$I$88,3,0)*0.475*44/12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projet'!$B$18,Paramètres!$A$1:$I$88,3,0)*VLOOKUP('Données projet'!$B$18,Paramètres!$A$1:$I$88,5,0)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projet'!$B$18,Paramètres!$A$1:$I$88,3,0)*0.475*44/12</f>
        <v>#N/A</v>
      </c>
      <c r="HH144" s="23" t="e">
        <f>EXP(-LN(2)/25)*HH143+(1-EXP(-LN(2)/25))/(LN(2)/25)*Calculateur!HC144*Calculateur!HE144*VLOOKUP('Données projet'!$B$18,Paramètres!$A$1:$I$88,3,0)*0.475*44/12</f>
        <v>#N/A</v>
      </c>
      <c r="HI144" s="23" t="e">
        <f>EXP(-LN(2)/2)*HI143+(1-EXP(-LN(2)/2))/(LN(2)/2)*HC144*HF144*VLOOKUP('Données projet'!$B$18,Paramètres!$A$1:$I$88,3,0)*0.475*44/12</f>
        <v>#N/A</v>
      </c>
      <c r="HJ144" s="24" t="e">
        <f t="shared" si="138"/>
        <v>#N/A</v>
      </c>
    </row>
    <row r="145" spans="1:218" s="5" customFormat="1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projet'!$B$9,Paramètres!$A$1:$I$88,3,0)*VLOOKUP('Données projet'!$B$9,Paramètres!$A$1:$I$88,5,0)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285.69515750306016</v>
      </c>
      <c r="S145" s="62">
        <f ca="1">AVERAGE(OFFSET($R$3,0,0,'Données projet'!$E$9+1,1))-AVERAGE(OFFSET($H$3,0,0,'Données projet'!$E$9+1,1))</f>
        <v>301.2688576786212</v>
      </c>
      <c r="T145" s="62">
        <f t="shared" si="142"/>
        <v>417.62172165132927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24.385453689537773</v>
      </c>
      <c r="AA145" s="23">
        <f>EXP(-LN(2)/25)*AA144+(1-EXP(-LN(2)/25))/(LN(2)/25)*Calculateur!V145*Calculateur!X145*VLOOKUP('Données projet'!$B$9,Paramètres!$A$1:$I$88,3,0)*0.475*44/12</f>
        <v>3.8814594570963283</v>
      </c>
      <c r="AB145" s="23">
        <f>EXP(-LN(2)/2)*AB144+(1-EXP(-LN(2)/2))/(LN(2)/2)*V145*Y145*VLOOKUP('Données projet'!$B$9,Paramètres!$A$1:$I$88,3,0)*0.475*44/12</f>
        <v>4.1854943171632069E-13</v>
      </c>
      <c r="AC145" s="24">
        <f t="shared" si="111"/>
        <v>28.266913146634522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projet'!$B$10,Paramètres!$A$1:$I$88,3,0)*VLOOKUP('Données projet'!$B$10,Paramètres!$A$1:$I$88,5,0)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170.08673939431091</v>
      </c>
      <c r="AO145" s="62">
        <f t="shared" si="144"/>
        <v>252.97355497077106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projet'!$B$10,Paramètres!$A$1:$I$88,3,0)*0.475*44/12</f>
        <v>10.181597076441539</v>
      </c>
      <c r="AV145" s="23">
        <f>EXP(-LN(2)/25)*AV144+(1-EXP(-LN(2)/25))/(LN(2)/25)*Calculateur!AQ145*Calculateur!AS145*VLOOKUP('Données projet'!$B$10,Paramètres!$A$1:$I$88,3,0)*0.475*44/12</f>
        <v>3.9340665116021518</v>
      </c>
      <c r="AW145" s="23">
        <f>EXP(-LN(2)/2)*AW144+(1-EXP(-LN(2)/2))/(LN(2)/2)*AQ145*AT145*VLOOKUP('Données projet'!$B$10,Paramètres!$A$1:$I$88,3,0)*0.475*44/12</f>
        <v>5.3612817279292179E-13</v>
      </c>
      <c r="AX145" s="23">
        <f t="shared" si="114"/>
        <v>14.115663588044228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-1.1368683772161603E-13</v>
      </c>
      <c r="BE145" s="14">
        <f>BD145*VLOOKUP('Données projet'!$B$11,Paramètres!$A$1:$I$88,3,0)*VLOOKUP('Données projet'!$B$11,Paramètres!$A$1:$I$88,5,0)</f>
        <v>-1.0286385077051818E-13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362.63718589694594</v>
      </c>
      <c r="BJ145" s="62">
        <f t="shared" si="146"/>
        <v>250.47702091764884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projet'!$B$11,Paramètres!$A$1:$I$88,3,0)*0.475*44/12</f>
        <v>55.532873919034863</v>
      </c>
      <c r="BQ145" s="23">
        <f>EXP(-LN(2)/25)*BQ144+(1-EXP(-LN(2)/25))/(LN(2)/25)*Calculateur!BL145*Calculateur!BN145*VLOOKUP('Données projet'!$B$11,Paramètres!$A$1:$I$88,3,0)*0.475*44/12</f>
        <v>0</v>
      </c>
      <c r="BR145" s="23">
        <f>EXP(-LN(2)/2)*BR144+(1-EXP(-LN(2)/2))/(LN(2)/2)*BL145*BO145*VLOOKUP('Données projet'!$B$11,Paramètres!$A$1:$I$88,3,0)*0.475*44/12</f>
        <v>0</v>
      </c>
      <c r="BS145" s="24">
        <f t="shared" si="117"/>
        <v>55.532873919034863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-1.1368683772161603E-13</v>
      </c>
      <c r="BZ145" s="14">
        <f>BY145*VLOOKUP('Données projet'!$B$12,Paramètres!$A$1:$I$88,3,0)*VLOOKUP('Données projet'!$B$12,Paramètres!$A$1:$I$88,5,0)</f>
        <v>-1.1527845344971866E-13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398.14524781940196</v>
      </c>
      <c r="CE145" s="62">
        <f t="shared" si="148"/>
        <v>273.35778700650792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projet'!$B$12,Paramètres!$A$1:$I$88,3,0)*0.475*44/12</f>
        <v>62.235117323056343</v>
      </c>
      <c r="CL145" s="23">
        <f>EXP(-LN(2)/25)*CL144+(1-EXP(-LN(2)/25))/(LN(2)/25)*Calculateur!CG145*Calculateur!CI145*VLOOKUP('Données projet'!$B$12,Paramètres!$A$1:$I$88,3,0)*0.475*44/12</f>
        <v>0</v>
      </c>
      <c r="CM145" s="23">
        <f>EXP(-LN(2)/2)*CM144+(1-EXP(-LN(2)/2))/(LN(2)/2)*CG145*CJ145*VLOOKUP('Données projet'!$B$12,Paramètres!$A$1:$I$88,3,0)*0.475*44/12</f>
        <v>0</v>
      </c>
      <c r="CN145" s="24">
        <f t="shared" si="120"/>
        <v>62.235117323056343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118</v>
      </c>
      <c r="CU145" s="18">
        <f>CT145*VLOOKUP('Données projet'!$B$13,Paramètres!$A$1:$I$88,3,0)*VLOOKUP('Données projet'!$B$13,Paramètres!$A$1:$I$88,5,0)</f>
        <v>112.28880000000001</v>
      </c>
      <c r="CV145" s="14">
        <f t="shared" si="149"/>
        <v>29.869595672288149</v>
      </c>
      <c r="CW145" s="22">
        <f t="shared" si="121"/>
        <v>247.59253912923518</v>
      </c>
      <c r="CX145" s="62">
        <f t="shared" si="122"/>
        <v>533.28769663229423</v>
      </c>
      <c r="CY145" s="62">
        <f ca="1">AVERAGE(OFFSET($CX$3,0,0,'Données projet'!$E$13+1,1))-AVERAGE(OFFSET($H$3,0,0,'Données projet'!$E$13+1,1))</f>
        <v>470.0521927195926</v>
      </c>
      <c r="CZ145" s="62">
        <f t="shared" si="150"/>
        <v>299.27200854723435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projet'!$B$13,Paramètres!$A$1:$I$88,3,0)*0.475*44/12</f>
        <v>58.405263949329807</v>
      </c>
      <c r="DG145" s="23">
        <f>EXP(-LN(2)/25)*DG144+(1-EXP(-LN(2)/25))/(LN(2)/25)*Calculateur!DB145*Calculateur!DD145*VLOOKUP('Données projet'!$B$13,Paramètres!$A$1:$I$88,3,0)*0.475*44/12</f>
        <v>0</v>
      </c>
      <c r="DH145" s="23">
        <f>EXP(-LN(2)/2)*DH144+(1-EXP(-LN(2)/2))/(LN(2)/2)*DB145*DE145*VLOOKUP('Données projet'!$B$13,Paramètres!$A$1:$I$88,3,0)*0.475*44/12</f>
        <v>0</v>
      </c>
      <c r="DI145" s="24">
        <f t="shared" si="123"/>
        <v>58.405263949329807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-1.4210854715202004E-13</v>
      </c>
      <c r="DP145" s="18">
        <f>DO145*VLOOKUP('Données projet'!$B$14,Paramètres!$A$1:$I$88,3,0)*VLOOKUP('Données projet'!$B$14,Paramètres!$A$1:$I$88,5,0)</f>
        <v>-1.3744738680543379E-13</v>
      </c>
      <c r="DQ145" s="14" t="e">
        <f t="shared" si="151"/>
        <v>#NUM!</v>
      </c>
      <c r="DR145" s="22" t="e">
        <f t="shared" si="124"/>
        <v>#NUM!</v>
      </c>
      <c r="DS145" s="62" t="e">
        <f t="shared" si="125"/>
        <v>#NUM!</v>
      </c>
      <c r="DT145" s="62">
        <f ca="1">AVERAGE(OFFSET($DS$3,0,0,'Données projet'!$E$14+1,1))-AVERAGE(OFFSET($H$3,0,0,'Données projet'!$E$14+1,1))</f>
        <v>290.89727102147953</v>
      </c>
      <c r="DU145" s="62">
        <f t="shared" si="152"/>
        <v>173.19148969173838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projet'!$B$14,Paramètres!$A$1:$I$88,3,0)*0.475*44/12</f>
        <v>44.37809085857139</v>
      </c>
      <c r="EB145" s="23">
        <f>EXP(-LN(2)/25)*EB144+(1-EXP(-LN(2)/25))/(LN(2)/25)*Calculateur!DW145*Calculateur!DY145*VLOOKUP('Données projet'!$B$14,Paramètres!$A$1:$I$88,3,0)*0.475*44/12</f>
        <v>0</v>
      </c>
      <c r="EC145" s="23">
        <f>EXP(-LN(2)/2)*EC144+(1-EXP(-LN(2)/2))/(LN(2)/2)*DW145*DZ145*VLOOKUP('Données projet'!$B$14,Paramètres!$A$1:$I$88,3,0)*0.475*44/12</f>
        <v>0</v>
      </c>
      <c r="ED145" s="24">
        <f t="shared" si="126"/>
        <v>44.37809085857139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projet'!$B$15,Paramètres!$A$1:$I$88,3,0)*VLOOKUP('Données projet'!$B$15,Paramètres!$A$1:$I$88,5,0)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projet'!$B$15,Paramètres!$A$1:$I$88,3,0)*0.475*44/12</f>
        <v>#N/A</v>
      </c>
      <c r="EW145" s="23" t="e">
        <f>EXP(-LN(2)/25)*EW144+(1-EXP(-LN(2)/25))/(LN(2)/25)*Calculateur!ER145*Calculateur!ET145*VLOOKUP('Données projet'!$B$15,Paramètres!$A$1:$I$88,3,0)*0.475*44/12</f>
        <v>#N/A</v>
      </c>
      <c r="EX145" s="23" t="e">
        <f>EXP(-LN(2)/2)*EX144+(1-EXP(-LN(2)/2))/(LN(2)/2)*ER145*EU145*VLOOKUP('Données projet'!$B$15,Paramètres!$A$1:$I$88,3,0)*0.475*44/12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projet'!$B$16,Paramètres!$A$1:$I$88,3,0)*VLOOKUP('Données projet'!$B$16,Paramètres!$A$1:$I$88,5,0)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projet'!$B$16,Paramètres!$A$1:$I$88,3,0)*0.475*44/12</f>
        <v>#N/A</v>
      </c>
      <c r="FR145" s="23" t="e">
        <f>EXP(-LN(2)/25)*FR144+(1-EXP(-LN(2)/25))/(LN(2)/25)*Calculateur!FM145*Calculateur!FO145*VLOOKUP('Données projet'!$B$16,Paramètres!$A$1:$I$88,3,0)*0.475*44/12</f>
        <v>#N/A</v>
      </c>
      <c r="FS145" s="23" t="e">
        <f>EXP(-LN(2)/2)*FS144+(1-EXP(-LN(2)/2))/(LN(2)/2)*FM145*FP145*VLOOKUP('Données projet'!$B$16,Paramètres!$A$1:$I$88,3,0)*0.475*44/12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projet'!$B$17,Paramètres!$A$1:$I$88,3,0)*VLOOKUP('Données projet'!$B$17,Paramètres!$A$1:$I$88,5,0)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projet'!$B$17,Paramètres!$A$1:$I$88,3,0)*0.475*44/12</f>
        <v>#N/A</v>
      </c>
      <c r="GM145" s="23" t="e">
        <f>EXP(-LN(2)/25)*GM144+(1-EXP(-LN(2)/25))/(LN(2)/25)*Calculateur!GH145*Calculateur!GJ145*VLOOKUP('Données projet'!$B$17,Paramètres!$A$1:$I$88,3,0)*0.475*44/12</f>
        <v>#N/A</v>
      </c>
      <c r="GN145" s="23" t="e">
        <f>EXP(-LN(2)/2)*GN144+(1-EXP(-LN(2)/2))/(LN(2)/2)*GH145*GK145*VLOOKUP('Données projet'!$B$17,Paramètres!$A$1:$I$88,3,0)*0.475*44/12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projet'!$B$18,Paramètres!$A$1:$I$88,3,0)*VLOOKUP('Données projet'!$B$18,Paramètres!$A$1:$I$88,5,0)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projet'!$B$18,Paramètres!$A$1:$I$88,3,0)*0.475*44/12</f>
        <v>#N/A</v>
      </c>
      <c r="HH145" s="23" t="e">
        <f>EXP(-LN(2)/25)*HH144+(1-EXP(-LN(2)/25))/(LN(2)/25)*Calculateur!HC145*Calculateur!HE145*VLOOKUP('Données projet'!$B$18,Paramètres!$A$1:$I$88,3,0)*0.475*44/12</f>
        <v>#N/A</v>
      </c>
      <c r="HI145" s="23" t="e">
        <f>EXP(-LN(2)/2)*HI144+(1-EXP(-LN(2)/2))/(LN(2)/2)*HC145*HF145*VLOOKUP('Données projet'!$B$18,Paramètres!$A$1:$I$88,3,0)*0.475*44/12</f>
        <v>#N/A</v>
      </c>
      <c r="HJ145" s="24" t="e">
        <f t="shared" si="138"/>
        <v>#N/A</v>
      </c>
    </row>
    <row r="146" spans="1:218" s="5" customFormat="1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projet'!$B$9,Paramètres!$A$1:$I$88,3,0)*VLOOKUP('Données projet'!$B$9,Paramètres!$A$1:$I$88,5,0)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285.82766277731253</v>
      </c>
      <c r="S146" s="62">
        <f ca="1">AVERAGE(OFFSET($R$3,0,0,'Données projet'!$E$9+1,1))-AVERAGE(OFFSET($H$3,0,0,'Données projet'!$E$9+1,1))</f>
        <v>301.2688576786212</v>
      </c>
      <c r="T146" s="62">
        <f t="shared" si="142"/>
        <v>417.62172165132927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23.907269816344037</v>
      </c>
      <c r="AA146" s="23">
        <f>EXP(-LN(2)/25)*AA145+(1-EXP(-LN(2)/25))/(LN(2)/25)*Calculateur!V146*Calculateur!X146*VLOOKUP('Données projet'!$B$9,Paramètres!$A$1:$I$88,3,0)*0.475*44/12</f>
        <v>3.7753207441249477</v>
      </c>
      <c r="AB146" s="23">
        <f>EXP(-LN(2)/2)*AB145+(1-EXP(-LN(2)/2))/(LN(2)/2)*V146*Y146*VLOOKUP('Données projet'!$B$9,Paramètres!$A$1:$I$88,3,0)*0.475*44/12</f>
        <v>2.9595914142838619E-13</v>
      </c>
      <c r="AC146" s="24">
        <f t="shared" si="111"/>
        <v>27.682590560469279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projet'!$B$10,Paramètres!$A$1:$I$88,3,0)*VLOOKUP('Données projet'!$B$10,Paramètres!$A$1:$I$88,5,0)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170.08673939431091</v>
      </c>
      <c r="AO146" s="62">
        <f t="shared" si="144"/>
        <v>252.97355497077106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projet'!$B$10,Paramètres!$A$1:$I$88,3,0)*0.475*44/12</f>
        <v>9.9819421679335356</v>
      </c>
      <c r="AV146" s="23">
        <f>EXP(-LN(2)/25)*AV145+(1-EXP(-LN(2)/25))/(LN(2)/25)*Calculateur!AQ146*Calculateur!AS146*VLOOKUP('Données projet'!$B$10,Paramètres!$A$1:$I$88,3,0)*0.475*44/12</f>
        <v>3.8264892559588244</v>
      </c>
      <c r="AW146" s="23">
        <f>EXP(-LN(2)/2)*AW145+(1-EXP(-LN(2)/2))/(LN(2)/2)*AQ146*AT146*VLOOKUP('Données projet'!$B$10,Paramètres!$A$1:$I$88,3,0)*0.475*44/12</f>
        <v>3.790998665670281E-13</v>
      </c>
      <c r="AX146" s="23">
        <f t="shared" si="114"/>
        <v>13.808431423892738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-1.1368683772161603E-13</v>
      </c>
      <c r="BE146" s="14">
        <f>BD146*VLOOKUP('Données projet'!$B$11,Paramètres!$A$1:$I$88,3,0)*VLOOKUP('Données projet'!$B$11,Paramètres!$A$1:$I$88,5,0)</f>
        <v>-1.0286385077051818E-13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362.63718589694594</v>
      </c>
      <c r="BJ146" s="62">
        <f t="shared" si="146"/>
        <v>250.47702091764884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projet'!$B$11,Paramètres!$A$1:$I$88,3,0)*0.475*44/12</f>
        <v>54.44390813319113</v>
      </c>
      <c r="BQ146" s="23">
        <f>EXP(-LN(2)/25)*BQ145+(1-EXP(-LN(2)/25))/(LN(2)/25)*Calculateur!BL146*Calculateur!BN146*VLOOKUP('Données projet'!$B$11,Paramètres!$A$1:$I$88,3,0)*0.475*44/12</f>
        <v>0</v>
      </c>
      <c r="BR146" s="23">
        <f>EXP(-LN(2)/2)*BR145+(1-EXP(-LN(2)/2))/(LN(2)/2)*BL146*BO146*VLOOKUP('Données projet'!$B$11,Paramètres!$A$1:$I$88,3,0)*0.475*44/12</f>
        <v>0</v>
      </c>
      <c r="BS146" s="24">
        <f t="shared" si="117"/>
        <v>54.44390813319113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-1.1368683772161603E-13</v>
      </c>
      <c r="BZ146" s="14">
        <f>BY146*VLOOKUP('Données projet'!$B$12,Paramètres!$A$1:$I$88,3,0)*VLOOKUP('Données projet'!$B$12,Paramètres!$A$1:$I$88,5,0)</f>
        <v>-1.1527845344971866E-13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398.14524781940196</v>
      </c>
      <c r="CE146" s="62">
        <f t="shared" si="148"/>
        <v>273.35778700650792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projet'!$B$12,Paramètres!$A$1:$I$88,3,0)*0.475*44/12</f>
        <v>61.014724632024567</v>
      </c>
      <c r="CL146" s="23">
        <f>EXP(-LN(2)/25)*CL145+(1-EXP(-LN(2)/25))/(LN(2)/25)*Calculateur!CG146*Calculateur!CI146*VLOOKUP('Données projet'!$B$12,Paramètres!$A$1:$I$88,3,0)*0.475*44/12</f>
        <v>0</v>
      </c>
      <c r="CM146" s="23">
        <f>EXP(-LN(2)/2)*CM145+(1-EXP(-LN(2)/2))/(LN(2)/2)*CG146*CJ146*VLOOKUP('Données projet'!$B$12,Paramètres!$A$1:$I$88,3,0)*0.475*44/12</f>
        <v>0</v>
      </c>
      <c r="CN146" s="24">
        <f t="shared" si="120"/>
        <v>61.014724632024567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118</v>
      </c>
      <c r="CU146" s="18">
        <f>CT146*VLOOKUP('Données projet'!$B$13,Paramètres!$A$1:$I$88,3,0)*VLOOKUP('Données projet'!$B$13,Paramètres!$A$1:$I$88,5,0)</f>
        <v>112.28880000000001</v>
      </c>
      <c r="CV146" s="14">
        <f t="shared" si="149"/>
        <v>29.869595672288149</v>
      </c>
      <c r="CW146" s="22">
        <f t="shared" si="121"/>
        <v>247.59253912923518</v>
      </c>
      <c r="CX146" s="62">
        <f t="shared" si="122"/>
        <v>533.42020190654659</v>
      </c>
      <c r="CY146" s="62">
        <f ca="1">AVERAGE(OFFSET($CX$3,0,0,'Données projet'!$E$13+1,1))-AVERAGE(OFFSET($H$3,0,0,'Données projet'!$E$13+1,1))</f>
        <v>470.0521927195926</v>
      </c>
      <c r="CZ146" s="62">
        <f t="shared" si="150"/>
        <v>299.27200854723435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projet'!$B$13,Paramètres!$A$1:$I$88,3,0)*0.475*44/12</f>
        <v>57.259972346976909</v>
      </c>
      <c r="DG146" s="23">
        <f>EXP(-LN(2)/25)*DG145+(1-EXP(-LN(2)/25))/(LN(2)/25)*Calculateur!DB146*Calculateur!DD146*VLOOKUP('Données projet'!$B$13,Paramètres!$A$1:$I$88,3,0)*0.475*44/12</f>
        <v>0</v>
      </c>
      <c r="DH146" s="23">
        <f>EXP(-LN(2)/2)*DH145+(1-EXP(-LN(2)/2))/(LN(2)/2)*DB146*DE146*VLOOKUP('Données projet'!$B$13,Paramètres!$A$1:$I$88,3,0)*0.475*44/12</f>
        <v>0</v>
      </c>
      <c r="DI146" s="24">
        <f t="shared" si="123"/>
        <v>57.259972346976909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-1.4210854715202004E-13</v>
      </c>
      <c r="DP146" s="18">
        <f>DO146*VLOOKUP('Données projet'!$B$14,Paramètres!$A$1:$I$88,3,0)*VLOOKUP('Données projet'!$B$14,Paramètres!$A$1:$I$88,5,0)</f>
        <v>-1.3744738680543379E-13</v>
      </c>
      <c r="DQ146" s="14" t="e">
        <f t="shared" si="151"/>
        <v>#NUM!</v>
      </c>
      <c r="DR146" s="22" t="e">
        <f t="shared" si="124"/>
        <v>#NUM!</v>
      </c>
      <c r="DS146" s="62" t="e">
        <f t="shared" si="125"/>
        <v>#NUM!</v>
      </c>
      <c r="DT146" s="62">
        <f ca="1">AVERAGE(OFFSET($DS$3,0,0,'Données projet'!$E$14+1,1))-AVERAGE(OFFSET($H$3,0,0,'Données projet'!$E$14+1,1))</f>
        <v>290.89727102147953</v>
      </c>
      <c r="DU146" s="62">
        <f t="shared" si="152"/>
        <v>173.19148969173838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projet'!$B$14,Paramètres!$A$1:$I$88,3,0)*0.475*44/12</f>
        <v>43.507863564797489</v>
      </c>
      <c r="EB146" s="23">
        <f>EXP(-LN(2)/25)*EB145+(1-EXP(-LN(2)/25))/(LN(2)/25)*Calculateur!DW146*Calculateur!DY146*VLOOKUP('Données projet'!$B$14,Paramètres!$A$1:$I$88,3,0)*0.475*44/12</f>
        <v>0</v>
      </c>
      <c r="EC146" s="23">
        <f>EXP(-LN(2)/2)*EC145+(1-EXP(-LN(2)/2))/(LN(2)/2)*DW146*DZ146*VLOOKUP('Données projet'!$B$14,Paramètres!$A$1:$I$88,3,0)*0.475*44/12</f>
        <v>0</v>
      </c>
      <c r="ED146" s="24">
        <f t="shared" si="126"/>
        <v>43.507863564797489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projet'!$B$15,Paramètres!$A$1:$I$88,3,0)*VLOOKUP('Données projet'!$B$15,Paramètres!$A$1:$I$88,5,0)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projet'!$B$15,Paramètres!$A$1:$I$88,3,0)*0.475*44/12</f>
        <v>#N/A</v>
      </c>
      <c r="EW146" s="23" t="e">
        <f>EXP(-LN(2)/25)*EW145+(1-EXP(-LN(2)/25))/(LN(2)/25)*Calculateur!ER146*Calculateur!ET146*VLOOKUP('Données projet'!$B$15,Paramètres!$A$1:$I$88,3,0)*0.475*44/12</f>
        <v>#N/A</v>
      </c>
      <c r="EX146" s="23" t="e">
        <f>EXP(-LN(2)/2)*EX145+(1-EXP(-LN(2)/2))/(LN(2)/2)*ER146*EU146*VLOOKUP('Données projet'!$B$15,Paramètres!$A$1:$I$88,3,0)*0.475*44/12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projet'!$B$16,Paramètres!$A$1:$I$88,3,0)*VLOOKUP('Données projet'!$B$16,Paramètres!$A$1:$I$88,5,0)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projet'!$B$16,Paramètres!$A$1:$I$88,3,0)*0.475*44/12</f>
        <v>#N/A</v>
      </c>
      <c r="FR146" s="23" t="e">
        <f>EXP(-LN(2)/25)*FR145+(1-EXP(-LN(2)/25))/(LN(2)/25)*Calculateur!FM146*Calculateur!FO146*VLOOKUP('Données projet'!$B$16,Paramètres!$A$1:$I$88,3,0)*0.475*44/12</f>
        <v>#N/A</v>
      </c>
      <c r="FS146" s="23" t="e">
        <f>EXP(-LN(2)/2)*FS145+(1-EXP(-LN(2)/2))/(LN(2)/2)*FM146*FP146*VLOOKUP('Données projet'!$B$16,Paramètres!$A$1:$I$88,3,0)*0.475*44/12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projet'!$B$17,Paramètres!$A$1:$I$88,3,0)*VLOOKUP('Données projet'!$B$17,Paramètres!$A$1:$I$88,5,0)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projet'!$B$17,Paramètres!$A$1:$I$88,3,0)*0.475*44/12</f>
        <v>#N/A</v>
      </c>
      <c r="GM146" s="23" t="e">
        <f>EXP(-LN(2)/25)*GM145+(1-EXP(-LN(2)/25))/(LN(2)/25)*Calculateur!GH146*Calculateur!GJ146*VLOOKUP('Données projet'!$B$17,Paramètres!$A$1:$I$88,3,0)*0.475*44/12</f>
        <v>#N/A</v>
      </c>
      <c r="GN146" s="23" t="e">
        <f>EXP(-LN(2)/2)*GN145+(1-EXP(-LN(2)/2))/(LN(2)/2)*GH146*GK146*VLOOKUP('Données projet'!$B$17,Paramètres!$A$1:$I$88,3,0)*0.475*44/12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projet'!$B$18,Paramètres!$A$1:$I$88,3,0)*VLOOKUP('Données projet'!$B$18,Paramètres!$A$1:$I$88,5,0)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projet'!$B$18,Paramètres!$A$1:$I$88,3,0)*0.475*44/12</f>
        <v>#N/A</v>
      </c>
      <c r="HH146" s="23" t="e">
        <f>EXP(-LN(2)/25)*HH145+(1-EXP(-LN(2)/25))/(LN(2)/25)*Calculateur!HC146*Calculateur!HE146*VLOOKUP('Données projet'!$B$18,Paramètres!$A$1:$I$88,3,0)*0.475*44/12</f>
        <v>#N/A</v>
      </c>
      <c r="HI146" s="23" t="e">
        <f>EXP(-LN(2)/2)*HI145+(1-EXP(-LN(2)/2))/(LN(2)/2)*HC146*HF146*VLOOKUP('Données projet'!$B$18,Paramètres!$A$1:$I$88,3,0)*0.475*44/12</f>
        <v>#N/A</v>
      </c>
      <c r="HJ146" s="24" t="e">
        <f t="shared" si="138"/>
        <v>#N/A</v>
      </c>
    </row>
    <row r="147" spans="1:218" s="5" customFormat="1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projet'!$B$9,Paramètres!$A$1:$I$88,3,0)*VLOOKUP('Données projet'!$B$9,Paramètres!$A$1:$I$88,5,0)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285.95786938129396</v>
      </c>
      <c r="S147" s="62">
        <f ca="1">AVERAGE(OFFSET($R$3,0,0,'Données projet'!$E$9+1,1))-AVERAGE(OFFSET($H$3,0,0,'Données projet'!$E$9+1,1))</f>
        <v>301.2688576786212</v>
      </c>
      <c r="T147" s="62">
        <f t="shared" si="142"/>
        <v>417.62172165132927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23.438462837240266</v>
      </c>
      <c r="AA147" s="23">
        <f>EXP(-LN(2)/25)*AA146+(1-EXP(-LN(2)/25))/(LN(2)/25)*Calculateur!V147*Calculateur!X147*VLOOKUP('Données projet'!$B$9,Paramètres!$A$1:$I$88,3,0)*0.475*44/12</f>
        <v>3.6720843998413617</v>
      </c>
      <c r="AB147" s="23">
        <f>EXP(-LN(2)/2)*AB146+(1-EXP(-LN(2)/2))/(LN(2)/2)*V147*Y147*VLOOKUP('Données projet'!$B$9,Paramètres!$A$1:$I$88,3,0)*0.475*44/12</f>
        <v>2.0927471585816035E-13</v>
      </c>
      <c r="AC147" s="24">
        <f t="shared" si="111"/>
        <v>27.110547237081835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projet'!$B$10,Paramètres!$A$1:$I$88,3,0)*VLOOKUP('Données projet'!$B$10,Paramètres!$A$1:$I$88,5,0)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170.08673939431091</v>
      </c>
      <c r="AO147" s="62">
        <f t="shared" si="144"/>
        <v>252.97355497077106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projet'!$B$10,Paramètres!$A$1:$I$88,3,0)*0.475*44/12</f>
        <v>9.7862023704039043</v>
      </c>
      <c r="AV147" s="23">
        <f>EXP(-LN(2)/25)*AV146+(1-EXP(-LN(2)/25))/(LN(2)/25)*Calculateur!AQ147*Calculateur!AS147*VLOOKUP('Données projet'!$B$10,Paramètres!$A$1:$I$88,3,0)*0.475*44/12</f>
        <v>3.7218537060283059</v>
      </c>
      <c r="AW147" s="23">
        <f>EXP(-LN(2)/2)*AW146+(1-EXP(-LN(2)/2))/(LN(2)/2)*AQ147*AT147*VLOOKUP('Données projet'!$B$10,Paramètres!$A$1:$I$88,3,0)*0.475*44/12</f>
        <v>2.680640863964609E-13</v>
      </c>
      <c r="AX147" s="23">
        <f t="shared" si="114"/>
        <v>13.508056076432478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-1.1368683772161603E-13</v>
      </c>
      <c r="BE147" s="14">
        <f>BD147*VLOOKUP('Données projet'!$B$11,Paramètres!$A$1:$I$88,3,0)*VLOOKUP('Données projet'!$B$11,Paramètres!$A$1:$I$88,5,0)</f>
        <v>-1.0286385077051818E-13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362.63718589694594</v>
      </c>
      <c r="BJ147" s="62">
        <f t="shared" si="146"/>
        <v>250.47702091764884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projet'!$B$11,Paramètres!$A$1:$I$88,3,0)*0.475*44/12</f>
        <v>53.376296302204246</v>
      </c>
      <c r="BQ147" s="23">
        <f>EXP(-LN(2)/25)*BQ146+(1-EXP(-LN(2)/25))/(LN(2)/25)*Calculateur!BL147*Calculateur!BN147*VLOOKUP('Données projet'!$B$11,Paramètres!$A$1:$I$88,3,0)*0.475*44/12</f>
        <v>0</v>
      </c>
      <c r="BR147" s="23">
        <f>EXP(-LN(2)/2)*BR146+(1-EXP(-LN(2)/2))/(LN(2)/2)*BL147*BO147*VLOOKUP('Données projet'!$B$11,Paramètres!$A$1:$I$88,3,0)*0.475*44/12</f>
        <v>0</v>
      </c>
      <c r="BS147" s="24">
        <f t="shared" si="117"/>
        <v>53.376296302204246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-1.1368683772161603E-13</v>
      </c>
      <c r="BZ147" s="14">
        <f>BY147*VLOOKUP('Données projet'!$B$12,Paramètres!$A$1:$I$88,3,0)*VLOOKUP('Données projet'!$B$12,Paramètres!$A$1:$I$88,5,0)</f>
        <v>-1.1527845344971866E-13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398.14524781940196</v>
      </c>
      <c r="CE147" s="62">
        <f t="shared" si="148"/>
        <v>273.35778700650792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projet'!$B$12,Paramètres!$A$1:$I$88,3,0)*0.475*44/12</f>
        <v>59.818263097297887</v>
      </c>
      <c r="CL147" s="23">
        <f>EXP(-LN(2)/25)*CL146+(1-EXP(-LN(2)/25))/(LN(2)/25)*Calculateur!CG147*Calculateur!CI147*VLOOKUP('Données projet'!$B$12,Paramètres!$A$1:$I$88,3,0)*0.475*44/12</f>
        <v>0</v>
      </c>
      <c r="CM147" s="23">
        <f>EXP(-LN(2)/2)*CM146+(1-EXP(-LN(2)/2))/(LN(2)/2)*CG147*CJ147*VLOOKUP('Données projet'!$B$12,Paramètres!$A$1:$I$88,3,0)*0.475*44/12</f>
        <v>0</v>
      </c>
      <c r="CN147" s="24">
        <f t="shared" si="120"/>
        <v>59.818263097297887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118</v>
      </c>
      <c r="CU147" s="18">
        <f>CT147*VLOOKUP('Données projet'!$B$13,Paramètres!$A$1:$I$88,3,0)*VLOOKUP('Données projet'!$B$13,Paramètres!$A$1:$I$88,5,0)</f>
        <v>112.28880000000001</v>
      </c>
      <c r="CV147" s="14">
        <f t="shared" si="149"/>
        <v>29.869595672288149</v>
      </c>
      <c r="CW147" s="22">
        <f t="shared" si="121"/>
        <v>247.59253912923518</v>
      </c>
      <c r="CX147" s="62">
        <f t="shared" si="122"/>
        <v>533.55040851052809</v>
      </c>
      <c r="CY147" s="62">
        <f ca="1">AVERAGE(OFFSET($CX$3,0,0,'Données projet'!$E$13+1,1))-AVERAGE(OFFSET($H$3,0,0,'Données projet'!$E$13+1,1))</f>
        <v>470.0521927195926</v>
      </c>
      <c r="CZ147" s="62">
        <f t="shared" si="150"/>
        <v>299.27200854723435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projet'!$B$13,Paramètres!$A$1:$I$88,3,0)*0.475*44/12</f>
        <v>56.137139214387254</v>
      </c>
      <c r="DG147" s="23">
        <f>EXP(-LN(2)/25)*DG146+(1-EXP(-LN(2)/25))/(LN(2)/25)*Calculateur!DB147*Calculateur!DD147*VLOOKUP('Données projet'!$B$13,Paramètres!$A$1:$I$88,3,0)*0.475*44/12</f>
        <v>0</v>
      </c>
      <c r="DH147" s="23">
        <f>EXP(-LN(2)/2)*DH146+(1-EXP(-LN(2)/2))/(LN(2)/2)*DB147*DE147*VLOOKUP('Données projet'!$B$13,Paramètres!$A$1:$I$88,3,0)*0.475*44/12</f>
        <v>0</v>
      </c>
      <c r="DI147" s="24">
        <f t="shared" si="123"/>
        <v>56.137139214387254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-1.4210854715202004E-13</v>
      </c>
      <c r="DP147" s="18">
        <f>DO147*VLOOKUP('Données projet'!$B$14,Paramètres!$A$1:$I$88,3,0)*VLOOKUP('Données projet'!$B$14,Paramètres!$A$1:$I$88,5,0)</f>
        <v>-1.3744738680543379E-13</v>
      </c>
      <c r="DQ147" s="14" t="e">
        <f t="shared" si="151"/>
        <v>#NUM!</v>
      </c>
      <c r="DR147" s="22" t="e">
        <f t="shared" si="124"/>
        <v>#NUM!</v>
      </c>
      <c r="DS147" s="62" t="e">
        <f t="shared" si="125"/>
        <v>#NUM!</v>
      </c>
      <c r="DT147" s="62">
        <f ca="1">AVERAGE(OFFSET($DS$3,0,0,'Données projet'!$E$14+1,1))-AVERAGE(OFFSET($H$3,0,0,'Données projet'!$E$14+1,1))</f>
        <v>290.89727102147953</v>
      </c>
      <c r="DU147" s="62">
        <f t="shared" si="152"/>
        <v>173.19148969173838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projet'!$B$14,Paramètres!$A$1:$I$88,3,0)*0.475*44/12</f>
        <v>42.65470089746826</v>
      </c>
      <c r="EB147" s="23">
        <f>EXP(-LN(2)/25)*EB146+(1-EXP(-LN(2)/25))/(LN(2)/25)*Calculateur!DW147*Calculateur!DY147*VLOOKUP('Données projet'!$B$14,Paramètres!$A$1:$I$88,3,0)*0.475*44/12</f>
        <v>0</v>
      </c>
      <c r="EC147" s="23">
        <f>EXP(-LN(2)/2)*EC146+(1-EXP(-LN(2)/2))/(LN(2)/2)*DW147*DZ147*VLOOKUP('Données projet'!$B$14,Paramètres!$A$1:$I$88,3,0)*0.475*44/12</f>
        <v>0</v>
      </c>
      <c r="ED147" s="24">
        <f t="shared" si="126"/>
        <v>42.65470089746826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projet'!$B$15,Paramètres!$A$1:$I$88,3,0)*VLOOKUP('Données projet'!$B$15,Paramètres!$A$1:$I$88,5,0)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projet'!$B$15,Paramètres!$A$1:$I$88,3,0)*0.475*44/12</f>
        <v>#N/A</v>
      </c>
      <c r="EW147" s="23" t="e">
        <f>EXP(-LN(2)/25)*EW146+(1-EXP(-LN(2)/25))/(LN(2)/25)*Calculateur!ER147*Calculateur!ET147*VLOOKUP('Données projet'!$B$15,Paramètres!$A$1:$I$88,3,0)*0.475*44/12</f>
        <v>#N/A</v>
      </c>
      <c r="EX147" s="23" t="e">
        <f>EXP(-LN(2)/2)*EX146+(1-EXP(-LN(2)/2))/(LN(2)/2)*ER147*EU147*VLOOKUP('Données projet'!$B$15,Paramètres!$A$1:$I$88,3,0)*0.475*44/12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projet'!$B$16,Paramètres!$A$1:$I$88,3,0)*VLOOKUP('Données projet'!$B$16,Paramètres!$A$1:$I$88,5,0)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projet'!$B$16,Paramètres!$A$1:$I$88,3,0)*0.475*44/12</f>
        <v>#N/A</v>
      </c>
      <c r="FR147" s="23" t="e">
        <f>EXP(-LN(2)/25)*FR146+(1-EXP(-LN(2)/25))/(LN(2)/25)*Calculateur!FM147*Calculateur!FO147*VLOOKUP('Données projet'!$B$16,Paramètres!$A$1:$I$88,3,0)*0.475*44/12</f>
        <v>#N/A</v>
      </c>
      <c r="FS147" s="23" t="e">
        <f>EXP(-LN(2)/2)*FS146+(1-EXP(-LN(2)/2))/(LN(2)/2)*FM147*FP147*VLOOKUP('Données projet'!$B$16,Paramètres!$A$1:$I$88,3,0)*0.475*44/12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projet'!$B$17,Paramètres!$A$1:$I$88,3,0)*VLOOKUP('Données projet'!$B$17,Paramètres!$A$1:$I$88,5,0)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projet'!$B$17,Paramètres!$A$1:$I$88,3,0)*0.475*44/12</f>
        <v>#N/A</v>
      </c>
      <c r="GM147" s="23" t="e">
        <f>EXP(-LN(2)/25)*GM146+(1-EXP(-LN(2)/25))/(LN(2)/25)*Calculateur!GH147*Calculateur!GJ147*VLOOKUP('Données projet'!$B$17,Paramètres!$A$1:$I$88,3,0)*0.475*44/12</f>
        <v>#N/A</v>
      </c>
      <c r="GN147" s="23" t="e">
        <f>EXP(-LN(2)/2)*GN146+(1-EXP(-LN(2)/2))/(LN(2)/2)*GH147*GK147*VLOOKUP('Données projet'!$B$17,Paramètres!$A$1:$I$88,3,0)*0.475*44/12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projet'!$B$18,Paramètres!$A$1:$I$88,3,0)*VLOOKUP('Données projet'!$B$18,Paramètres!$A$1:$I$88,5,0)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projet'!$B$18,Paramètres!$A$1:$I$88,3,0)*0.475*44/12</f>
        <v>#N/A</v>
      </c>
      <c r="HH147" s="23" t="e">
        <f>EXP(-LN(2)/25)*HH146+(1-EXP(-LN(2)/25))/(LN(2)/25)*Calculateur!HC147*Calculateur!HE147*VLOOKUP('Données projet'!$B$18,Paramètres!$A$1:$I$88,3,0)*0.475*44/12</f>
        <v>#N/A</v>
      </c>
      <c r="HI147" s="23" t="e">
        <f>EXP(-LN(2)/2)*HI146+(1-EXP(-LN(2)/2))/(LN(2)/2)*HC147*HF147*VLOOKUP('Données projet'!$B$18,Paramètres!$A$1:$I$88,3,0)*0.475*44/12</f>
        <v>#N/A</v>
      </c>
      <c r="HJ147" s="24" t="e">
        <f t="shared" si="138"/>
        <v>#N/A</v>
      </c>
    </row>
    <row r="148" spans="1:218" s="5" customFormat="1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projet'!$B$9,Paramètres!$A$1:$I$88,3,0)*VLOOKUP('Données projet'!$B$9,Paramètres!$A$1:$I$88,5,0)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286.08581719179466</v>
      </c>
      <c r="S148" s="62">
        <f ca="1">AVERAGE(OFFSET($R$3,0,0,'Données projet'!$E$9+1,1))-AVERAGE(OFFSET($H$3,0,0,'Données projet'!$E$9+1,1))</f>
        <v>301.2688576786212</v>
      </c>
      <c r="T148" s="62">
        <f t="shared" si="142"/>
        <v>417.62172165132927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22.978848877052698</v>
      </c>
      <c r="AA148" s="23">
        <f>EXP(-LN(2)/25)*AA147+(1-EXP(-LN(2)/25))/(LN(2)/25)*Calculateur!V148*Calculateur!X148*VLOOKUP('Données projet'!$B$9,Paramètres!$A$1:$I$88,3,0)*0.475*44/12</f>
        <v>3.5716710588211735</v>
      </c>
      <c r="AB148" s="23">
        <f>EXP(-LN(2)/2)*AB147+(1-EXP(-LN(2)/2))/(LN(2)/2)*V148*Y148*VLOOKUP('Données projet'!$B$9,Paramètres!$A$1:$I$88,3,0)*0.475*44/12</f>
        <v>1.4797957071419309E-13</v>
      </c>
      <c r="AC148" s="24">
        <f t="shared" si="111"/>
        <v>26.550519935874021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projet'!$B$10,Paramètres!$A$1:$I$88,3,0)*VLOOKUP('Données projet'!$B$10,Paramètres!$A$1:$I$88,5,0)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170.08673939431091</v>
      </c>
      <c r="AO148" s="62">
        <f t="shared" si="144"/>
        <v>252.97355497077106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projet'!$B$10,Paramètres!$A$1:$I$88,3,0)*0.475*44/12</f>
        <v>9.59430091091434</v>
      </c>
      <c r="AV148" s="23">
        <f>EXP(-LN(2)/25)*AV147+(1-EXP(-LN(2)/25))/(LN(2)/25)*Calculateur!AQ148*Calculateur!AS148*VLOOKUP('Données projet'!$B$10,Paramètres!$A$1:$I$88,3,0)*0.475*44/12</f>
        <v>3.6200794207131817</v>
      </c>
      <c r="AW148" s="23">
        <f>EXP(-LN(2)/2)*AW147+(1-EXP(-LN(2)/2))/(LN(2)/2)*AQ148*AT148*VLOOKUP('Données projet'!$B$10,Paramètres!$A$1:$I$88,3,0)*0.475*44/12</f>
        <v>1.8954993328351405E-13</v>
      </c>
      <c r="AX148" s="23">
        <f t="shared" si="114"/>
        <v>13.214380331627712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-1.1368683772161603E-13</v>
      </c>
      <c r="BE148" s="14">
        <f>BD148*VLOOKUP('Données projet'!$B$11,Paramètres!$A$1:$I$88,3,0)*VLOOKUP('Données projet'!$B$11,Paramètres!$A$1:$I$88,5,0)</f>
        <v>-1.0286385077051818E-13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362.63718589694594</v>
      </c>
      <c r="BJ148" s="62">
        <f t="shared" si="146"/>
        <v>250.47702091764884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projet'!$B$11,Paramètres!$A$1:$I$88,3,0)*0.475*44/12</f>
        <v>52.329619688044097</v>
      </c>
      <c r="BQ148" s="23">
        <f>EXP(-LN(2)/25)*BQ147+(1-EXP(-LN(2)/25))/(LN(2)/25)*Calculateur!BL148*Calculateur!BN148*VLOOKUP('Données projet'!$B$11,Paramètres!$A$1:$I$88,3,0)*0.475*44/12</f>
        <v>0</v>
      </c>
      <c r="BR148" s="23">
        <f>EXP(-LN(2)/2)*BR147+(1-EXP(-LN(2)/2))/(LN(2)/2)*BL148*BO148*VLOOKUP('Données projet'!$B$11,Paramètres!$A$1:$I$88,3,0)*0.475*44/12</f>
        <v>0</v>
      </c>
      <c r="BS148" s="24">
        <f t="shared" si="117"/>
        <v>52.329619688044097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-1.1368683772161603E-13</v>
      </c>
      <c r="BZ148" s="14">
        <f>BY148*VLOOKUP('Données projet'!$B$12,Paramètres!$A$1:$I$88,3,0)*VLOOKUP('Données projet'!$B$12,Paramètres!$A$1:$I$88,5,0)</f>
        <v>-1.1527845344971866E-13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398.14524781940196</v>
      </c>
      <c r="CE148" s="62">
        <f t="shared" si="148"/>
        <v>273.35778700650792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projet'!$B$12,Paramètres!$A$1:$I$88,3,0)*0.475*44/12</f>
        <v>58.645263443497718</v>
      </c>
      <c r="CL148" s="23">
        <f>EXP(-LN(2)/25)*CL147+(1-EXP(-LN(2)/25))/(LN(2)/25)*Calculateur!CG148*Calculateur!CI148*VLOOKUP('Données projet'!$B$12,Paramètres!$A$1:$I$88,3,0)*0.475*44/12</f>
        <v>0</v>
      </c>
      <c r="CM148" s="23">
        <f>EXP(-LN(2)/2)*CM147+(1-EXP(-LN(2)/2))/(LN(2)/2)*CG148*CJ148*VLOOKUP('Données projet'!$B$12,Paramètres!$A$1:$I$88,3,0)*0.475*44/12</f>
        <v>0</v>
      </c>
      <c r="CN148" s="24">
        <f t="shared" si="120"/>
        <v>58.645263443497718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118</v>
      </c>
      <c r="CU148" s="18">
        <f>CT148*VLOOKUP('Données projet'!$B$13,Paramètres!$A$1:$I$88,3,0)*VLOOKUP('Données projet'!$B$13,Paramètres!$A$1:$I$88,5,0)</f>
        <v>112.28880000000001</v>
      </c>
      <c r="CV148" s="14">
        <f t="shared" si="149"/>
        <v>29.869595672288149</v>
      </c>
      <c r="CW148" s="22">
        <f t="shared" si="121"/>
        <v>247.59253912923518</v>
      </c>
      <c r="CX148" s="62">
        <f t="shared" si="122"/>
        <v>533.67835632102879</v>
      </c>
      <c r="CY148" s="62">
        <f ca="1">AVERAGE(OFFSET($CX$3,0,0,'Données projet'!$E$13+1,1))-AVERAGE(OFFSET($H$3,0,0,'Données projet'!$E$13+1,1))</f>
        <v>470.0521927195926</v>
      </c>
      <c r="CZ148" s="62">
        <f t="shared" si="150"/>
        <v>299.27200854723435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projet'!$B$13,Paramètres!$A$1:$I$88,3,0)*0.475*44/12</f>
        <v>55.036324154667092</v>
      </c>
      <c r="DG148" s="23">
        <f>EXP(-LN(2)/25)*DG147+(1-EXP(-LN(2)/25))/(LN(2)/25)*Calculateur!DB148*Calculateur!DD148*VLOOKUP('Données projet'!$B$13,Paramètres!$A$1:$I$88,3,0)*0.475*44/12</f>
        <v>0</v>
      </c>
      <c r="DH148" s="23">
        <f>EXP(-LN(2)/2)*DH147+(1-EXP(-LN(2)/2))/(LN(2)/2)*DB148*DE148*VLOOKUP('Données projet'!$B$13,Paramètres!$A$1:$I$88,3,0)*0.475*44/12</f>
        <v>0</v>
      </c>
      <c r="DI148" s="24">
        <f t="shared" si="123"/>
        <v>55.036324154667092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-1.4210854715202004E-13</v>
      </c>
      <c r="DP148" s="18">
        <f>DO148*VLOOKUP('Données projet'!$B$14,Paramètres!$A$1:$I$88,3,0)*VLOOKUP('Données projet'!$B$14,Paramètres!$A$1:$I$88,5,0)</f>
        <v>-1.3744738680543379E-13</v>
      </c>
      <c r="DQ148" s="14" t="e">
        <f t="shared" si="151"/>
        <v>#NUM!</v>
      </c>
      <c r="DR148" s="22" t="e">
        <f t="shared" si="124"/>
        <v>#NUM!</v>
      </c>
      <c r="DS148" s="62" t="e">
        <f t="shared" si="125"/>
        <v>#NUM!</v>
      </c>
      <c r="DT148" s="62">
        <f ca="1">AVERAGE(OFFSET($DS$3,0,0,'Données projet'!$E$14+1,1))-AVERAGE(OFFSET($H$3,0,0,'Données projet'!$E$14+1,1))</f>
        <v>290.89727102147953</v>
      </c>
      <c r="DU148" s="62">
        <f t="shared" si="152"/>
        <v>173.19148969173838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projet'!$B$14,Paramètres!$A$1:$I$88,3,0)*0.475*44/12</f>
        <v>41.81826822966751</v>
      </c>
      <c r="EB148" s="23">
        <f>EXP(-LN(2)/25)*EB147+(1-EXP(-LN(2)/25))/(LN(2)/25)*Calculateur!DW148*Calculateur!DY148*VLOOKUP('Données projet'!$B$14,Paramètres!$A$1:$I$88,3,0)*0.475*44/12</f>
        <v>0</v>
      </c>
      <c r="EC148" s="23">
        <f>EXP(-LN(2)/2)*EC147+(1-EXP(-LN(2)/2))/(LN(2)/2)*DW148*DZ148*VLOOKUP('Données projet'!$B$14,Paramètres!$A$1:$I$88,3,0)*0.475*44/12</f>
        <v>0</v>
      </c>
      <c r="ED148" s="24">
        <f t="shared" si="126"/>
        <v>41.81826822966751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projet'!$B$15,Paramètres!$A$1:$I$88,3,0)*VLOOKUP('Données projet'!$B$15,Paramètres!$A$1:$I$88,5,0)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projet'!$B$15,Paramètres!$A$1:$I$88,3,0)*0.475*44/12</f>
        <v>#N/A</v>
      </c>
      <c r="EW148" s="23" t="e">
        <f>EXP(-LN(2)/25)*EW147+(1-EXP(-LN(2)/25))/(LN(2)/25)*Calculateur!ER148*Calculateur!ET148*VLOOKUP('Données projet'!$B$15,Paramètres!$A$1:$I$88,3,0)*0.475*44/12</f>
        <v>#N/A</v>
      </c>
      <c r="EX148" s="23" t="e">
        <f>EXP(-LN(2)/2)*EX147+(1-EXP(-LN(2)/2))/(LN(2)/2)*ER148*EU148*VLOOKUP('Données projet'!$B$15,Paramètres!$A$1:$I$88,3,0)*0.475*44/12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projet'!$B$16,Paramètres!$A$1:$I$88,3,0)*VLOOKUP('Données projet'!$B$16,Paramètres!$A$1:$I$88,5,0)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projet'!$B$16,Paramètres!$A$1:$I$88,3,0)*0.475*44/12</f>
        <v>#N/A</v>
      </c>
      <c r="FR148" s="23" t="e">
        <f>EXP(-LN(2)/25)*FR147+(1-EXP(-LN(2)/25))/(LN(2)/25)*Calculateur!FM148*Calculateur!FO148*VLOOKUP('Données projet'!$B$16,Paramètres!$A$1:$I$88,3,0)*0.475*44/12</f>
        <v>#N/A</v>
      </c>
      <c r="FS148" s="23" t="e">
        <f>EXP(-LN(2)/2)*FS147+(1-EXP(-LN(2)/2))/(LN(2)/2)*FM148*FP148*VLOOKUP('Données projet'!$B$16,Paramètres!$A$1:$I$88,3,0)*0.475*44/12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projet'!$B$17,Paramètres!$A$1:$I$88,3,0)*VLOOKUP('Données projet'!$B$17,Paramètres!$A$1:$I$88,5,0)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projet'!$B$17,Paramètres!$A$1:$I$88,3,0)*0.475*44/12</f>
        <v>#N/A</v>
      </c>
      <c r="GM148" s="23" t="e">
        <f>EXP(-LN(2)/25)*GM147+(1-EXP(-LN(2)/25))/(LN(2)/25)*Calculateur!GH148*Calculateur!GJ148*VLOOKUP('Données projet'!$B$17,Paramètres!$A$1:$I$88,3,0)*0.475*44/12</f>
        <v>#N/A</v>
      </c>
      <c r="GN148" s="23" t="e">
        <f>EXP(-LN(2)/2)*GN147+(1-EXP(-LN(2)/2))/(LN(2)/2)*GH148*GK148*VLOOKUP('Données projet'!$B$17,Paramètres!$A$1:$I$88,3,0)*0.475*44/12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projet'!$B$18,Paramètres!$A$1:$I$88,3,0)*VLOOKUP('Données projet'!$B$18,Paramètres!$A$1:$I$88,5,0)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projet'!$B$18,Paramètres!$A$1:$I$88,3,0)*0.475*44/12</f>
        <v>#N/A</v>
      </c>
      <c r="HH148" s="23" t="e">
        <f>EXP(-LN(2)/25)*HH147+(1-EXP(-LN(2)/25))/(LN(2)/25)*Calculateur!HC148*Calculateur!HE148*VLOOKUP('Données projet'!$B$18,Paramètres!$A$1:$I$88,3,0)*0.475*44/12</f>
        <v>#N/A</v>
      </c>
      <c r="HI148" s="23" t="e">
        <f>EXP(-LN(2)/2)*HI147+(1-EXP(-LN(2)/2))/(LN(2)/2)*HC148*HF148*VLOOKUP('Données projet'!$B$18,Paramètres!$A$1:$I$88,3,0)*0.475*44/12</f>
        <v>#N/A</v>
      </c>
      <c r="HJ148" s="24" t="e">
        <f t="shared" si="138"/>
        <v>#N/A</v>
      </c>
    </row>
    <row r="149" spans="1:218" s="5" customFormat="1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projet'!$B$9,Paramètres!$A$1:$I$88,3,0)*VLOOKUP('Données projet'!$B$9,Paramètres!$A$1:$I$88,5,0)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286.21154539383173</v>
      </c>
      <c r="S149" s="62">
        <f ca="1">AVERAGE(OFFSET($R$3,0,0,'Données projet'!$E$9+1,1))-AVERAGE(OFFSET($H$3,0,0,'Données projet'!$E$9+1,1))</f>
        <v>301.2688576786212</v>
      </c>
      <c r="T149" s="62">
        <f t="shared" si="142"/>
        <v>417.62172165132927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22.528247666287573</v>
      </c>
      <c r="AA149" s="23">
        <f>EXP(-LN(2)/25)*AA148+(1-EXP(-LN(2)/25))/(LN(2)/25)*Calculateur!V149*Calculateur!X149*VLOOKUP('Données projet'!$B$9,Paramètres!$A$1:$I$88,3,0)*0.475*44/12</f>
        <v>3.4740035258916908</v>
      </c>
      <c r="AB149" s="23">
        <f>EXP(-LN(2)/2)*AB148+(1-EXP(-LN(2)/2))/(LN(2)/2)*V149*Y149*VLOOKUP('Données projet'!$B$9,Paramètres!$A$1:$I$88,3,0)*0.475*44/12</f>
        <v>1.0463735792908017E-13</v>
      </c>
      <c r="AC149" s="24">
        <f t="shared" si="111"/>
        <v>26.002251192179369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projet'!$B$10,Paramètres!$A$1:$I$88,3,0)*VLOOKUP('Données projet'!$B$10,Paramètres!$A$1:$I$88,5,0)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170.08673939431091</v>
      </c>
      <c r="AO149" s="62">
        <f t="shared" si="144"/>
        <v>252.97355497077106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projet'!$B$10,Paramètres!$A$1:$I$88,3,0)*0.475*44/12</f>
        <v>9.4061625219970342</v>
      </c>
      <c r="AV149" s="23">
        <f>EXP(-LN(2)/25)*AV148+(1-EXP(-LN(2)/25))/(LN(2)/25)*Calculateur!AQ149*Calculateur!AS149*VLOOKUP('Données projet'!$B$10,Paramètres!$A$1:$I$88,3,0)*0.475*44/12</f>
        <v>3.5210881585820766</v>
      </c>
      <c r="AW149" s="23">
        <f>EXP(-LN(2)/2)*AW148+(1-EXP(-LN(2)/2))/(LN(2)/2)*AQ149*AT149*VLOOKUP('Données projet'!$B$10,Paramètres!$A$1:$I$88,3,0)*0.475*44/12</f>
        <v>1.3403204319823045E-13</v>
      </c>
      <c r="AX149" s="23">
        <f t="shared" si="114"/>
        <v>12.927250680579244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-1.1368683772161603E-13</v>
      </c>
      <c r="BE149" s="14">
        <f>BD149*VLOOKUP('Données projet'!$B$11,Paramètres!$A$1:$I$88,3,0)*VLOOKUP('Données projet'!$B$11,Paramètres!$A$1:$I$88,5,0)</f>
        <v>-1.0286385077051818E-13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362.63718589694594</v>
      </c>
      <c r="BJ149" s="62">
        <f t="shared" si="146"/>
        <v>250.47702091764884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projet'!$B$11,Paramètres!$A$1:$I$88,3,0)*0.475*44/12</f>
        <v>51.303467763877933</v>
      </c>
      <c r="BQ149" s="23">
        <f>EXP(-LN(2)/25)*BQ148+(1-EXP(-LN(2)/25))/(LN(2)/25)*Calculateur!BL149*Calculateur!BN149*VLOOKUP('Données projet'!$B$11,Paramètres!$A$1:$I$88,3,0)*0.475*44/12</f>
        <v>0</v>
      </c>
      <c r="BR149" s="23">
        <f>EXP(-LN(2)/2)*BR148+(1-EXP(-LN(2)/2))/(LN(2)/2)*BL149*BO149*VLOOKUP('Données projet'!$B$11,Paramètres!$A$1:$I$88,3,0)*0.475*44/12</f>
        <v>0</v>
      </c>
      <c r="BS149" s="24">
        <f t="shared" si="117"/>
        <v>51.303467763877933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-1.1368683772161603E-13</v>
      </c>
      <c r="BZ149" s="14">
        <f>BY149*VLOOKUP('Données projet'!$B$12,Paramètres!$A$1:$I$88,3,0)*VLOOKUP('Données projet'!$B$12,Paramètres!$A$1:$I$88,5,0)</f>
        <v>-1.1527845344971866E-13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398.14524781940196</v>
      </c>
      <c r="CE149" s="62">
        <f t="shared" si="148"/>
        <v>273.35778700650792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projet'!$B$12,Paramètres!$A$1:$I$88,3,0)*0.475*44/12</f>
        <v>57.495265597449425</v>
      </c>
      <c r="CL149" s="23">
        <f>EXP(-LN(2)/25)*CL148+(1-EXP(-LN(2)/25))/(LN(2)/25)*Calculateur!CG149*Calculateur!CI149*VLOOKUP('Données projet'!$B$12,Paramètres!$A$1:$I$88,3,0)*0.475*44/12</f>
        <v>0</v>
      </c>
      <c r="CM149" s="23">
        <f>EXP(-LN(2)/2)*CM148+(1-EXP(-LN(2)/2))/(LN(2)/2)*CG149*CJ149*VLOOKUP('Données projet'!$B$12,Paramètres!$A$1:$I$88,3,0)*0.475*44/12</f>
        <v>0</v>
      </c>
      <c r="CN149" s="24">
        <f t="shared" si="120"/>
        <v>57.495265597449425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118</v>
      </c>
      <c r="CU149" s="18">
        <f>CT149*VLOOKUP('Données projet'!$B$13,Paramètres!$A$1:$I$88,3,0)*VLOOKUP('Données projet'!$B$13,Paramètres!$A$1:$I$88,5,0)</f>
        <v>112.28880000000001</v>
      </c>
      <c r="CV149" s="14">
        <f t="shared" si="149"/>
        <v>29.869595672288149</v>
      </c>
      <c r="CW149" s="22">
        <f t="shared" si="121"/>
        <v>247.59253912923518</v>
      </c>
      <c r="CX149" s="62">
        <f t="shared" si="122"/>
        <v>533.80408452306585</v>
      </c>
      <c r="CY149" s="62">
        <f ca="1">AVERAGE(OFFSET($CX$3,0,0,'Données projet'!$E$13+1,1))-AVERAGE(OFFSET($H$3,0,0,'Données projet'!$E$13+1,1))</f>
        <v>470.0521927195926</v>
      </c>
      <c r="CZ149" s="62">
        <f t="shared" si="150"/>
        <v>299.27200854723435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projet'!$B$13,Paramètres!$A$1:$I$88,3,0)*0.475*44/12</f>
        <v>53.957095406837155</v>
      </c>
      <c r="DG149" s="23">
        <f>EXP(-LN(2)/25)*DG148+(1-EXP(-LN(2)/25))/(LN(2)/25)*Calculateur!DB149*Calculateur!DD149*VLOOKUP('Données projet'!$B$13,Paramètres!$A$1:$I$88,3,0)*0.475*44/12</f>
        <v>0</v>
      </c>
      <c r="DH149" s="23">
        <f>EXP(-LN(2)/2)*DH148+(1-EXP(-LN(2)/2))/(LN(2)/2)*DB149*DE149*VLOOKUP('Données projet'!$B$13,Paramètres!$A$1:$I$88,3,0)*0.475*44/12</f>
        <v>0</v>
      </c>
      <c r="DI149" s="24">
        <f t="shared" si="123"/>
        <v>53.957095406837155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-1.4210854715202004E-13</v>
      </c>
      <c r="DP149" s="18">
        <f>DO149*VLOOKUP('Données projet'!$B$14,Paramètres!$A$1:$I$88,3,0)*VLOOKUP('Données projet'!$B$14,Paramètres!$A$1:$I$88,5,0)</f>
        <v>-1.3744738680543379E-13</v>
      </c>
      <c r="DQ149" s="14" t="e">
        <f t="shared" si="151"/>
        <v>#NUM!</v>
      </c>
      <c r="DR149" s="22" t="e">
        <f t="shared" si="124"/>
        <v>#NUM!</v>
      </c>
      <c r="DS149" s="62" t="e">
        <f t="shared" si="125"/>
        <v>#NUM!</v>
      </c>
      <c r="DT149" s="62">
        <f ca="1">AVERAGE(OFFSET($DS$3,0,0,'Données projet'!$E$14+1,1))-AVERAGE(OFFSET($H$3,0,0,'Données projet'!$E$14+1,1))</f>
        <v>290.89727102147953</v>
      </c>
      <c r="DU149" s="62">
        <f t="shared" si="152"/>
        <v>173.19148969173838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projet'!$B$14,Paramètres!$A$1:$I$88,3,0)*0.475*44/12</f>
        <v>40.998237496308782</v>
      </c>
      <c r="EB149" s="23">
        <f>EXP(-LN(2)/25)*EB148+(1-EXP(-LN(2)/25))/(LN(2)/25)*Calculateur!DW149*Calculateur!DY149*VLOOKUP('Données projet'!$B$14,Paramètres!$A$1:$I$88,3,0)*0.475*44/12</f>
        <v>0</v>
      </c>
      <c r="EC149" s="23">
        <f>EXP(-LN(2)/2)*EC148+(1-EXP(-LN(2)/2))/(LN(2)/2)*DW149*DZ149*VLOOKUP('Données projet'!$B$14,Paramètres!$A$1:$I$88,3,0)*0.475*44/12</f>
        <v>0</v>
      </c>
      <c r="ED149" s="24">
        <f t="shared" si="126"/>
        <v>40.998237496308782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projet'!$B$15,Paramètres!$A$1:$I$88,3,0)*VLOOKUP('Données projet'!$B$15,Paramètres!$A$1:$I$88,5,0)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projet'!$B$15,Paramètres!$A$1:$I$88,3,0)*0.475*44/12</f>
        <v>#N/A</v>
      </c>
      <c r="EW149" s="23" t="e">
        <f>EXP(-LN(2)/25)*EW148+(1-EXP(-LN(2)/25))/(LN(2)/25)*Calculateur!ER149*Calculateur!ET149*VLOOKUP('Données projet'!$B$15,Paramètres!$A$1:$I$88,3,0)*0.475*44/12</f>
        <v>#N/A</v>
      </c>
      <c r="EX149" s="23" t="e">
        <f>EXP(-LN(2)/2)*EX148+(1-EXP(-LN(2)/2))/(LN(2)/2)*ER149*EU149*VLOOKUP('Données projet'!$B$15,Paramètres!$A$1:$I$88,3,0)*0.475*44/12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projet'!$B$16,Paramètres!$A$1:$I$88,3,0)*VLOOKUP('Données projet'!$B$16,Paramètres!$A$1:$I$88,5,0)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projet'!$B$16,Paramètres!$A$1:$I$88,3,0)*0.475*44/12</f>
        <v>#N/A</v>
      </c>
      <c r="FR149" s="23" t="e">
        <f>EXP(-LN(2)/25)*FR148+(1-EXP(-LN(2)/25))/(LN(2)/25)*Calculateur!FM149*Calculateur!FO149*VLOOKUP('Données projet'!$B$16,Paramètres!$A$1:$I$88,3,0)*0.475*44/12</f>
        <v>#N/A</v>
      </c>
      <c r="FS149" s="23" t="e">
        <f>EXP(-LN(2)/2)*FS148+(1-EXP(-LN(2)/2))/(LN(2)/2)*FM149*FP149*VLOOKUP('Données projet'!$B$16,Paramètres!$A$1:$I$88,3,0)*0.475*44/12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projet'!$B$17,Paramètres!$A$1:$I$88,3,0)*VLOOKUP('Données projet'!$B$17,Paramètres!$A$1:$I$88,5,0)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projet'!$B$17,Paramètres!$A$1:$I$88,3,0)*0.475*44/12</f>
        <v>#N/A</v>
      </c>
      <c r="GM149" s="23" t="e">
        <f>EXP(-LN(2)/25)*GM148+(1-EXP(-LN(2)/25))/(LN(2)/25)*Calculateur!GH149*Calculateur!GJ149*VLOOKUP('Données projet'!$B$17,Paramètres!$A$1:$I$88,3,0)*0.475*44/12</f>
        <v>#N/A</v>
      </c>
      <c r="GN149" s="23" t="e">
        <f>EXP(-LN(2)/2)*GN148+(1-EXP(-LN(2)/2))/(LN(2)/2)*GH149*GK149*VLOOKUP('Données projet'!$B$17,Paramètres!$A$1:$I$88,3,0)*0.475*44/12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projet'!$B$18,Paramètres!$A$1:$I$88,3,0)*VLOOKUP('Données projet'!$B$18,Paramètres!$A$1:$I$88,5,0)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projet'!$B$18,Paramètres!$A$1:$I$88,3,0)*0.475*44/12</f>
        <v>#N/A</v>
      </c>
      <c r="HH149" s="23" t="e">
        <f>EXP(-LN(2)/25)*HH148+(1-EXP(-LN(2)/25))/(LN(2)/25)*Calculateur!HC149*Calculateur!HE149*VLOOKUP('Données projet'!$B$18,Paramètres!$A$1:$I$88,3,0)*0.475*44/12</f>
        <v>#N/A</v>
      </c>
      <c r="HI149" s="23" t="e">
        <f>EXP(-LN(2)/2)*HI148+(1-EXP(-LN(2)/2))/(LN(2)/2)*HC149*HF149*VLOOKUP('Données projet'!$B$18,Paramètres!$A$1:$I$88,3,0)*0.475*44/12</f>
        <v>#N/A</v>
      </c>
      <c r="HJ149" s="24" t="e">
        <f t="shared" si="138"/>
        <v>#N/A</v>
      </c>
    </row>
    <row r="150" spans="1:218" s="5" customFormat="1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projet'!$B$9,Paramètres!$A$1:$I$88,3,0)*VLOOKUP('Données projet'!$B$9,Paramètres!$A$1:$I$88,5,0)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286.33509249264949</v>
      </c>
      <c r="S150" s="62">
        <f ca="1">AVERAGE(OFFSET($R$3,0,0,'Données projet'!$E$9+1,1))-AVERAGE(OFFSET($H$3,0,0,'Données projet'!$E$9+1,1))</f>
        <v>301.2688576786212</v>
      </c>
      <c r="T150" s="62">
        <f t="shared" si="142"/>
        <v>417.62172165132927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22.086482470425953</v>
      </c>
      <c r="AA150" s="23">
        <f>EXP(-LN(2)/25)*AA149+(1-EXP(-LN(2)/25))/(LN(2)/25)*Calculateur!V150*Calculateur!X150*VLOOKUP('Données projet'!$B$9,Paramètres!$A$1:$I$88,3,0)*0.475*44/12</f>
        <v>3.379006716786277</v>
      </c>
      <c r="AB150" s="23">
        <f>EXP(-LN(2)/2)*AB149+(1-EXP(-LN(2)/2))/(LN(2)/2)*V150*Y150*VLOOKUP('Données projet'!$B$9,Paramètres!$A$1:$I$88,3,0)*0.475*44/12</f>
        <v>7.3989785357096547E-14</v>
      </c>
      <c r="AC150" s="24">
        <f t="shared" si="111"/>
        <v>25.465489187212302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projet'!$B$10,Paramètres!$A$1:$I$88,3,0)*VLOOKUP('Données projet'!$B$10,Paramètres!$A$1:$I$88,5,0)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170.08673939431091</v>
      </c>
      <c r="AO150" s="62">
        <f t="shared" si="144"/>
        <v>252.97355497077106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projet'!$B$10,Paramètres!$A$1:$I$88,3,0)*0.475*44/12</f>
        <v>9.22171341213331</v>
      </c>
      <c r="AV150" s="23">
        <f>EXP(-LN(2)/25)*AV149+(1-EXP(-LN(2)/25))/(LN(2)/25)*Calculateur!AQ150*Calculateur!AS150*VLOOKUP('Données projet'!$B$10,Paramètres!$A$1:$I$88,3,0)*0.475*44/12</f>
        <v>3.4248038177196709</v>
      </c>
      <c r="AW150" s="23">
        <f>EXP(-LN(2)/2)*AW149+(1-EXP(-LN(2)/2))/(LN(2)/2)*AQ150*AT150*VLOOKUP('Données projet'!$B$10,Paramètres!$A$1:$I$88,3,0)*0.475*44/12</f>
        <v>9.4774966641757025E-14</v>
      </c>
      <c r="AX150" s="23">
        <f t="shared" si="114"/>
        <v>12.646517229853075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-1.1368683772161603E-13</v>
      </c>
      <c r="BE150" s="14">
        <f>BD150*VLOOKUP('Données projet'!$B$11,Paramètres!$A$1:$I$88,3,0)*VLOOKUP('Données projet'!$B$11,Paramètres!$A$1:$I$88,5,0)</f>
        <v>-1.0286385077051818E-13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362.63718589694594</v>
      </c>
      <c r="BJ150" s="62">
        <f t="shared" si="146"/>
        <v>250.47702091764884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projet'!$B$11,Paramètres!$A$1:$I$88,3,0)*0.475*44/12</f>
        <v>50.297438053053789</v>
      </c>
      <c r="BQ150" s="23">
        <f>EXP(-LN(2)/25)*BQ149+(1-EXP(-LN(2)/25))/(LN(2)/25)*Calculateur!BL150*Calculateur!BN150*VLOOKUP('Données projet'!$B$11,Paramètres!$A$1:$I$88,3,0)*0.475*44/12</f>
        <v>0</v>
      </c>
      <c r="BR150" s="23">
        <f>EXP(-LN(2)/2)*BR149+(1-EXP(-LN(2)/2))/(LN(2)/2)*BL150*BO150*VLOOKUP('Données projet'!$B$11,Paramètres!$A$1:$I$88,3,0)*0.475*44/12</f>
        <v>0</v>
      </c>
      <c r="BS150" s="24">
        <f t="shared" si="117"/>
        <v>50.297438053053789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-1.1368683772161603E-13</v>
      </c>
      <c r="BZ150" s="14">
        <f>BY150*VLOOKUP('Données projet'!$B$12,Paramètres!$A$1:$I$88,3,0)*VLOOKUP('Données projet'!$B$12,Paramètres!$A$1:$I$88,5,0)</f>
        <v>-1.1527845344971866E-13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398.14524781940196</v>
      </c>
      <c r="CE150" s="62">
        <f t="shared" si="148"/>
        <v>273.35778700650792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projet'!$B$12,Paramètres!$A$1:$I$88,3,0)*0.475*44/12</f>
        <v>56.367818507732714</v>
      </c>
      <c r="CL150" s="23">
        <f>EXP(-LN(2)/25)*CL149+(1-EXP(-LN(2)/25))/(LN(2)/25)*Calculateur!CG150*Calculateur!CI150*VLOOKUP('Données projet'!$B$12,Paramètres!$A$1:$I$88,3,0)*0.475*44/12</f>
        <v>0</v>
      </c>
      <c r="CM150" s="23">
        <f>EXP(-LN(2)/2)*CM149+(1-EXP(-LN(2)/2))/(LN(2)/2)*CG150*CJ150*VLOOKUP('Données projet'!$B$12,Paramètres!$A$1:$I$88,3,0)*0.475*44/12</f>
        <v>0</v>
      </c>
      <c r="CN150" s="24">
        <f t="shared" si="120"/>
        <v>56.367818507732714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118</v>
      </c>
      <c r="CU150" s="18">
        <f>CT150*VLOOKUP('Données projet'!$B$13,Paramètres!$A$1:$I$88,3,0)*VLOOKUP('Données projet'!$B$13,Paramètres!$A$1:$I$88,5,0)</f>
        <v>112.28880000000001</v>
      </c>
      <c r="CV150" s="14">
        <f t="shared" si="149"/>
        <v>29.869595672288149</v>
      </c>
      <c r="CW150" s="22">
        <f t="shared" si="121"/>
        <v>247.59253912923518</v>
      </c>
      <c r="CX150" s="62">
        <f t="shared" si="122"/>
        <v>533.92763162188362</v>
      </c>
      <c r="CY150" s="62">
        <f ca="1">AVERAGE(OFFSET($CX$3,0,0,'Données projet'!$E$13+1,1))-AVERAGE(OFFSET($H$3,0,0,'Données projet'!$E$13+1,1))</f>
        <v>470.0521927195926</v>
      </c>
      <c r="CZ150" s="62">
        <f t="shared" si="150"/>
        <v>299.27200854723435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projet'!$B$13,Paramètres!$A$1:$I$88,7,0))</f>
        <v>0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projet'!$B$13,Paramètres!$A$1:$I$88,3,0)*0.475*44/12</f>
        <v>52.899029676487629</v>
      </c>
      <c r="DG150" s="23">
        <f>EXP(-LN(2)/25)*DG149+(1-EXP(-LN(2)/25))/(LN(2)/25)*Calculateur!DB150*Calculateur!DD150*VLOOKUP('Données projet'!$B$13,Paramètres!$A$1:$I$88,3,0)*0.475*44/12</f>
        <v>0</v>
      </c>
      <c r="DH150" s="23">
        <f>EXP(-LN(2)/2)*DH149+(1-EXP(-LN(2)/2))/(LN(2)/2)*DB150*DE150*VLOOKUP('Données projet'!$B$13,Paramètres!$A$1:$I$88,3,0)*0.475*44/12</f>
        <v>0</v>
      </c>
      <c r="DI150" s="24">
        <f t="shared" si="123"/>
        <v>52.899029676487629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-1.4210854715202004E-13</v>
      </c>
      <c r="DP150" s="18">
        <f>DO150*VLOOKUP('Données projet'!$B$14,Paramètres!$A$1:$I$88,3,0)*VLOOKUP('Données projet'!$B$14,Paramètres!$A$1:$I$88,5,0)</f>
        <v>-1.3744738680543379E-13</v>
      </c>
      <c r="DQ150" s="14" t="e">
        <f t="shared" si="151"/>
        <v>#NUM!</v>
      </c>
      <c r="DR150" s="22" t="e">
        <f t="shared" si="124"/>
        <v>#NUM!</v>
      </c>
      <c r="DS150" s="62" t="e">
        <f t="shared" si="125"/>
        <v>#NUM!</v>
      </c>
      <c r="DT150" s="62">
        <f ca="1">AVERAGE(OFFSET($DS$3,0,0,'Données projet'!$E$14+1,1))-AVERAGE(OFFSET($H$3,0,0,'Données projet'!$E$14+1,1))</f>
        <v>290.89727102147953</v>
      </c>
      <c r="DU150" s="62">
        <f t="shared" si="152"/>
        <v>173.19148969173838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projet'!$B$14,Paramètres!$A$1:$I$88,3,0)*0.475*44/12</f>
        <v>40.194287065461857</v>
      </c>
      <c r="EB150" s="23">
        <f>EXP(-LN(2)/25)*EB149+(1-EXP(-LN(2)/25))/(LN(2)/25)*Calculateur!DW150*Calculateur!DY150*VLOOKUP('Données projet'!$B$14,Paramètres!$A$1:$I$88,3,0)*0.475*44/12</f>
        <v>0</v>
      </c>
      <c r="EC150" s="23">
        <f>EXP(-LN(2)/2)*EC149+(1-EXP(-LN(2)/2))/(LN(2)/2)*DW150*DZ150*VLOOKUP('Données projet'!$B$14,Paramètres!$A$1:$I$88,3,0)*0.475*44/12</f>
        <v>0</v>
      </c>
      <c r="ED150" s="24">
        <f t="shared" si="126"/>
        <v>40.194287065461857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projet'!$B$15,Paramètres!$A$1:$I$88,3,0)*VLOOKUP('Données projet'!$B$15,Paramètres!$A$1:$I$88,5,0)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projet'!$B$15,Paramètres!$A$1:$I$88,3,0)*0.475*44/12</f>
        <v>#N/A</v>
      </c>
      <c r="EW150" s="23" t="e">
        <f>EXP(-LN(2)/25)*EW149+(1-EXP(-LN(2)/25))/(LN(2)/25)*Calculateur!ER150*Calculateur!ET150*VLOOKUP('Données projet'!$B$15,Paramètres!$A$1:$I$88,3,0)*0.475*44/12</f>
        <v>#N/A</v>
      </c>
      <c r="EX150" s="23" t="e">
        <f>EXP(-LN(2)/2)*EX149+(1-EXP(-LN(2)/2))/(LN(2)/2)*ER150*EU150*VLOOKUP('Données projet'!$B$15,Paramètres!$A$1:$I$88,3,0)*0.475*44/12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projet'!$B$16,Paramètres!$A$1:$I$88,3,0)*VLOOKUP('Données projet'!$B$16,Paramètres!$A$1:$I$88,5,0)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projet'!$B$16,Paramètres!$A$1:$I$88,3,0)*0.475*44/12</f>
        <v>#N/A</v>
      </c>
      <c r="FR150" s="23" t="e">
        <f>EXP(-LN(2)/25)*FR149+(1-EXP(-LN(2)/25))/(LN(2)/25)*Calculateur!FM150*Calculateur!FO150*VLOOKUP('Données projet'!$B$16,Paramètres!$A$1:$I$88,3,0)*0.475*44/12</f>
        <v>#N/A</v>
      </c>
      <c r="FS150" s="23" t="e">
        <f>EXP(-LN(2)/2)*FS149+(1-EXP(-LN(2)/2))/(LN(2)/2)*FM150*FP150*VLOOKUP('Données projet'!$B$16,Paramètres!$A$1:$I$88,3,0)*0.475*44/12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projet'!$B$17,Paramètres!$A$1:$I$88,3,0)*VLOOKUP('Données projet'!$B$17,Paramètres!$A$1:$I$88,5,0)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projet'!$B$17,Paramètres!$A$1:$I$88,3,0)*0.475*44/12</f>
        <v>#N/A</v>
      </c>
      <c r="GM150" s="23" t="e">
        <f>EXP(-LN(2)/25)*GM149+(1-EXP(-LN(2)/25))/(LN(2)/25)*Calculateur!GH150*Calculateur!GJ150*VLOOKUP('Données projet'!$B$17,Paramètres!$A$1:$I$88,3,0)*0.475*44/12</f>
        <v>#N/A</v>
      </c>
      <c r="GN150" s="23" t="e">
        <f>EXP(-LN(2)/2)*GN149+(1-EXP(-LN(2)/2))/(LN(2)/2)*GH150*GK150*VLOOKUP('Données projet'!$B$17,Paramètres!$A$1:$I$88,3,0)*0.475*44/12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projet'!$B$18,Paramètres!$A$1:$I$88,3,0)*VLOOKUP('Données projet'!$B$18,Paramètres!$A$1:$I$88,5,0)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projet'!$B$18,Paramètres!$A$1:$I$88,3,0)*0.475*44/12</f>
        <v>#N/A</v>
      </c>
      <c r="HH150" s="23" t="e">
        <f>EXP(-LN(2)/25)*HH149+(1-EXP(-LN(2)/25))/(LN(2)/25)*Calculateur!HC150*Calculateur!HE150*VLOOKUP('Données projet'!$B$18,Paramètres!$A$1:$I$88,3,0)*0.475*44/12</f>
        <v>#N/A</v>
      </c>
      <c r="HI150" s="23" t="e">
        <f>EXP(-LN(2)/2)*HI149+(1-EXP(-LN(2)/2))/(LN(2)/2)*HC150*HF150*VLOOKUP('Données projet'!$B$18,Paramètres!$A$1:$I$88,3,0)*0.475*44/12</f>
        <v>#N/A</v>
      </c>
      <c r="HJ150" s="24" t="e">
        <f t="shared" si="138"/>
        <v>#N/A</v>
      </c>
    </row>
    <row r="151" spans="1:218" s="5" customFormat="1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projet'!$B$9,Paramètres!$A$1:$I$88,3,0)*VLOOKUP('Données projet'!$B$9,Paramètres!$A$1:$I$88,5,0)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286.45649632551277</v>
      </c>
      <c r="S151" s="62">
        <f ca="1">AVERAGE(OFFSET($R$3,0,0,'Données projet'!$E$9+1,1))-AVERAGE(OFFSET($H$3,0,0,'Données projet'!$E$9+1,1))</f>
        <v>301.2688576786212</v>
      </c>
      <c r="T151" s="62">
        <f t="shared" si="142"/>
        <v>417.62172165132927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21.653380020605013</v>
      </c>
      <c r="AA151" s="23">
        <f>EXP(-LN(2)/25)*AA150+(1-EXP(-LN(2)/25))/(LN(2)/25)*Calculateur!V151*Calculateur!X151*VLOOKUP('Données projet'!$B$9,Paramètres!$A$1:$I$88,3,0)*0.475*44/12</f>
        <v>3.2866076004215157</v>
      </c>
      <c r="AB151" s="23">
        <f>EXP(-LN(2)/2)*AB150+(1-EXP(-LN(2)/2))/(LN(2)/2)*V151*Y151*VLOOKUP('Données projet'!$B$9,Paramètres!$A$1:$I$88,3,0)*0.475*44/12</f>
        <v>5.2318678964540086E-14</v>
      </c>
      <c r="AC151" s="24">
        <f t="shared" si="111"/>
        <v>24.939987621026582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projet'!$B$10,Paramètres!$A$1:$I$88,3,0)*VLOOKUP('Données projet'!$B$10,Paramètres!$A$1:$I$88,5,0)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170.08673939431091</v>
      </c>
      <c r="AO151" s="62">
        <f t="shared" si="144"/>
        <v>252.97355497077106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projet'!$B$10,Paramètres!$A$1:$I$88,3,0)*0.475*44/12</f>
        <v>9.0408812368111651</v>
      </c>
      <c r="AV151" s="23">
        <f>EXP(-LN(2)/25)*AV150+(1-EXP(-LN(2)/25))/(LN(2)/25)*Calculateur!AQ151*Calculateur!AS151*VLOOKUP('Données projet'!$B$10,Paramètres!$A$1:$I$88,3,0)*0.475*44/12</f>
        <v>3.331152377221521</v>
      </c>
      <c r="AW151" s="23">
        <f>EXP(-LN(2)/2)*AW150+(1-EXP(-LN(2)/2))/(LN(2)/2)*AQ151*AT151*VLOOKUP('Données projet'!$B$10,Paramètres!$A$1:$I$88,3,0)*0.475*44/12</f>
        <v>6.7016021599115224E-14</v>
      </c>
      <c r="AX151" s="23">
        <f t="shared" si="114"/>
        <v>12.372033614032754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-1.1368683772161603E-13</v>
      </c>
      <c r="BE151" s="14">
        <f>BD151*VLOOKUP('Données projet'!$B$11,Paramètres!$A$1:$I$88,3,0)*VLOOKUP('Données projet'!$B$11,Paramètres!$A$1:$I$88,5,0)</f>
        <v>-1.0286385077051818E-13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362.63718589694594</v>
      </c>
      <c r="BJ151" s="62">
        <f t="shared" si="146"/>
        <v>250.47702091764884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projet'!$B$11,Paramètres!$A$1:$I$88,3,0)*0.475*44/12</f>
        <v>49.311135971241377</v>
      </c>
      <c r="BQ151" s="23">
        <f>EXP(-LN(2)/25)*BQ150+(1-EXP(-LN(2)/25))/(LN(2)/25)*Calculateur!BL151*Calculateur!BN151*VLOOKUP('Données projet'!$B$11,Paramètres!$A$1:$I$88,3,0)*0.475*44/12</f>
        <v>0</v>
      </c>
      <c r="BR151" s="23">
        <f>EXP(-LN(2)/2)*BR150+(1-EXP(-LN(2)/2))/(LN(2)/2)*BL151*BO151*VLOOKUP('Données projet'!$B$11,Paramètres!$A$1:$I$88,3,0)*0.475*44/12</f>
        <v>0</v>
      </c>
      <c r="BS151" s="24">
        <f t="shared" si="117"/>
        <v>49.311135971241377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-1.1368683772161603E-13</v>
      </c>
      <c r="BZ151" s="14">
        <f>BY151*VLOOKUP('Données projet'!$B$12,Paramètres!$A$1:$I$88,3,0)*VLOOKUP('Données projet'!$B$12,Paramètres!$A$1:$I$88,5,0)</f>
        <v>-1.1527845344971866E-13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398.14524781940196</v>
      </c>
      <c r="CE151" s="62">
        <f t="shared" si="148"/>
        <v>273.35778700650792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projet'!$B$12,Paramètres!$A$1:$I$88,3,0)*0.475*44/12</f>
        <v>55.262479967770524</v>
      </c>
      <c r="CL151" s="23">
        <f>EXP(-LN(2)/25)*CL150+(1-EXP(-LN(2)/25))/(LN(2)/25)*Calculateur!CG151*Calculateur!CI151*VLOOKUP('Données projet'!$B$12,Paramètres!$A$1:$I$88,3,0)*0.475*44/12</f>
        <v>0</v>
      </c>
      <c r="CM151" s="23">
        <f>EXP(-LN(2)/2)*CM150+(1-EXP(-LN(2)/2))/(LN(2)/2)*CG151*CJ151*VLOOKUP('Données projet'!$B$12,Paramètres!$A$1:$I$88,3,0)*0.475*44/12</f>
        <v>0</v>
      </c>
      <c r="CN151" s="24">
        <f t="shared" si="120"/>
        <v>55.262479967770524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118</v>
      </c>
      <c r="CU151" s="18">
        <f>CT151*VLOOKUP('Données projet'!$B$13,Paramètres!$A$1:$I$88,3,0)*VLOOKUP('Données projet'!$B$13,Paramètres!$A$1:$I$88,5,0)</f>
        <v>112.28880000000001</v>
      </c>
      <c r="CV151" s="14">
        <f t="shared" si="149"/>
        <v>29.869595672288149</v>
      </c>
      <c r="CW151" s="22">
        <f t="shared" si="121"/>
        <v>247.59253912923518</v>
      </c>
      <c r="CX151" s="62">
        <f t="shared" si="122"/>
        <v>534.0490354547469</v>
      </c>
      <c r="CY151" s="62">
        <f ca="1">AVERAGE(OFFSET($CX$3,0,0,'Données projet'!$E$13+1,1))-AVERAGE(OFFSET($H$3,0,0,'Données projet'!$E$13+1,1))</f>
        <v>470.0521927195926</v>
      </c>
      <c r="CZ151" s="62">
        <f t="shared" si="150"/>
        <v>299.27200854723435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projet'!$B$13,Paramètres!$A$1:$I$88,3,0)*0.475*44/12</f>
        <v>51.861711969753884</v>
      </c>
      <c r="DG151" s="23">
        <f>EXP(-LN(2)/25)*DG150+(1-EXP(-LN(2)/25))/(LN(2)/25)*Calculateur!DB151*Calculateur!DD151*VLOOKUP('Données projet'!$B$13,Paramètres!$A$1:$I$88,3,0)*0.475*44/12</f>
        <v>0</v>
      </c>
      <c r="DH151" s="23">
        <f>EXP(-LN(2)/2)*DH150+(1-EXP(-LN(2)/2))/(LN(2)/2)*DB151*DE151*VLOOKUP('Données projet'!$B$13,Paramètres!$A$1:$I$88,3,0)*0.475*44/12</f>
        <v>0</v>
      </c>
      <c r="DI151" s="24">
        <f t="shared" si="123"/>
        <v>51.861711969753884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-1.4210854715202004E-13</v>
      </c>
      <c r="DP151" s="18">
        <f>DO151*VLOOKUP('Données projet'!$B$14,Paramètres!$A$1:$I$88,3,0)*VLOOKUP('Données projet'!$B$14,Paramètres!$A$1:$I$88,5,0)</f>
        <v>-1.3744738680543379E-13</v>
      </c>
      <c r="DQ151" s="14" t="e">
        <f t="shared" si="151"/>
        <v>#NUM!</v>
      </c>
      <c r="DR151" s="22" t="e">
        <f t="shared" si="124"/>
        <v>#NUM!</v>
      </c>
      <c r="DS151" s="62" t="e">
        <f t="shared" si="125"/>
        <v>#NUM!</v>
      </c>
      <c r="DT151" s="62">
        <f ca="1">AVERAGE(OFFSET($DS$3,0,0,'Données projet'!$E$14+1,1))-AVERAGE(OFFSET($H$3,0,0,'Données projet'!$E$14+1,1))</f>
        <v>290.89727102147953</v>
      </c>
      <c r="DU151" s="62">
        <f t="shared" si="152"/>
        <v>173.19148969173838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projet'!$B$14,Paramètres!$A$1:$I$88,3,0)*0.475*44/12</f>
        <v>39.406101612202498</v>
      </c>
      <c r="EB151" s="23">
        <f>EXP(-LN(2)/25)*EB150+(1-EXP(-LN(2)/25))/(LN(2)/25)*Calculateur!DW151*Calculateur!DY151*VLOOKUP('Données projet'!$B$14,Paramètres!$A$1:$I$88,3,0)*0.475*44/12</f>
        <v>0</v>
      </c>
      <c r="EC151" s="23">
        <f>EXP(-LN(2)/2)*EC150+(1-EXP(-LN(2)/2))/(LN(2)/2)*DW151*DZ151*VLOOKUP('Données projet'!$B$14,Paramètres!$A$1:$I$88,3,0)*0.475*44/12</f>
        <v>0</v>
      </c>
      <c r="ED151" s="24">
        <f t="shared" si="126"/>
        <v>39.406101612202498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projet'!$B$15,Paramètres!$A$1:$I$88,3,0)*VLOOKUP('Données projet'!$B$15,Paramètres!$A$1:$I$88,5,0)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projet'!$B$15,Paramètres!$A$1:$I$88,3,0)*0.475*44/12</f>
        <v>#N/A</v>
      </c>
      <c r="EW151" s="23" t="e">
        <f>EXP(-LN(2)/25)*EW150+(1-EXP(-LN(2)/25))/(LN(2)/25)*Calculateur!ER151*Calculateur!ET151*VLOOKUP('Données projet'!$B$15,Paramètres!$A$1:$I$88,3,0)*0.475*44/12</f>
        <v>#N/A</v>
      </c>
      <c r="EX151" s="23" t="e">
        <f>EXP(-LN(2)/2)*EX150+(1-EXP(-LN(2)/2))/(LN(2)/2)*ER151*EU151*VLOOKUP('Données projet'!$B$15,Paramètres!$A$1:$I$88,3,0)*0.475*44/12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projet'!$B$16,Paramètres!$A$1:$I$88,3,0)*VLOOKUP('Données projet'!$B$16,Paramètres!$A$1:$I$88,5,0)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projet'!$B$16,Paramètres!$A$1:$I$88,3,0)*0.475*44/12</f>
        <v>#N/A</v>
      </c>
      <c r="FR151" s="23" t="e">
        <f>EXP(-LN(2)/25)*FR150+(1-EXP(-LN(2)/25))/(LN(2)/25)*Calculateur!FM151*Calculateur!FO151*VLOOKUP('Données projet'!$B$16,Paramètres!$A$1:$I$88,3,0)*0.475*44/12</f>
        <v>#N/A</v>
      </c>
      <c r="FS151" s="23" t="e">
        <f>EXP(-LN(2)/2)*FS150+(1-EXP(-LN(2)/2))/(LN(2)/2)*FM151*FP151*VLOOKUP('Données projet'!$B$16,Paramètres!$A$1:$I$88,3,0)*0.475*44/12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projet'!$B$17,Paramètres!$A$1:$I$88,3,0)*VLOOKUP('Données projet'!$B$17,Paramètres!$A$1:$I$88,5,0)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projet'!$B$17,Paramètres!$A$1:$I$88,3,0)*0.475*44/12</f>
        <v>#N/A</v>
      </c>
      <c r="GM151" s="23" t="e">
        <f>EXP(-LN(2)/25)*GM150+(1-EXP(-LN(2)/25))/(LN(2)/25)*Calculateur!GH151*Calculateur!GJ151*VLOOKUP('Données projet'!$B$17,Paramètres!$A$1:$I$88,3,0)*0.475*44/12</f>
        <v>#N/A</v>
      </c>
      <c r="GN151" s="23" t="e">
        <f>EXP(-LN(2)/2)*GN150+(1-EXP(-LN(2)/2))/(LN(2)/2)*GH151*GK151*VLOOKUP('Données projet'!$B$17,Paramètres!$A$1:$I$88,3,0)*0.475*44/12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projet'!$B$18,Paramètres!$A$1:$I$88,3,0)*VLOOKUP('Données projet'!$B$18,Paramètres!$A$1:$I$88,5,0)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projet'!$B$18,Paramètres!$A$1:$I$88,3,0)*0.475*44/12</f>
        <v>#N/A</v>
      </c>
      <c r="HH151" s="23" t="e">
        <f>EXP(-LN(2)/25)*HH150+(1-EXP(-LN(2)/25))/(LN(2)/25)*Calculateur!HC151*Calculateur!HE151*VLOOKUP('Données projet'!$B$18,Paramètres!$A$1:$I$88,3,0)*0.475*44/12</f>
        <v>#N/A</v>
      </c>
      <c r="HI151" s="23" t="e">
        <f>EXP(-LN(2)/2)*HI150+(1-EXP(-LN(2)/2))/(LN(2)/2)*HC151*HF151*VLOOKUP('Données projet'!$B$18,Paramètres!$A$1:$I$88,3,0)*0.475*44/12</f>
        <v>#N/A</v>
      </c>
      <c r="HJ151" s="24" t="e">
        <f t="shared" si="138"/>
        <v>#N/A</v>
      </c>
    </row>
    <row r="152" spans="1:218" s="5" customFormat="1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projet'!$B$9,Paramètres!$A$1:$I$88,3,0)*VLOOKUP('Données projet'!$B$9,Paramètres!$A$1:$I$88,5,0)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286.57579407329416</v>
      </c>
      <c r="S152" s="62">
        <f ca="1">AVERAGE(OFFSET($R$3,0,0,'Données projet'!$E$9+1,1))-AVERAGE(OFFSET($H$3,0,0,'Données projet'!$E$9+1,1))</f>
        <v>301.2688576786212</v>
      </c>
      <c r="T152" s="62">
        <f t="shared" si="142"/>
        <v>417.62172165132927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21.228770445658654</v>
      </c>
      <c r="AA152" s="23">
        <f>EXP(-LN(2)/25)*AA151+(1-EXP(-LN(2)/25))/(LN(2)/25)*Calculateur!V152*Calculateur!X152*VLOOKUP('Données projet'!$B$9,Paramètres!$A$1:$I$88,3,0)*0.475*44/12</f>
        <v>3.1967351427528072</v>
      </c>
      <c r="AB152" s="23">
        <f>EXP(-LN(2)/2)*AB151+(1-EXP(-LN(2)/2))/(LN(2)/2)*V152*Y152*VLOOKUP('Données projet'!$B$9,Paramètres!$A$1:$I$88,3,0)*0.475*44/12</f>
        <v>3.6994892678548273E-14</v>
      </c>
      <c r="AC152" s="24">
        <f t="shared" si="111"/>
        <v>24.425505588411497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projet'!$B$10,Paramètres!$A$1:$I$88,3,0)*VLOOKUP('Données projet'!$B$10,Paramètres!$A$1:$I$88,5,0)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170.08673939431091</v>
      </c>
      <c r="AO152" s="62">
        <f t="shared" si="144"/>
        <v>252.97355497077106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projet'!$B$10,Paramètres!$A$1:$I$88,3,0)*0.475*44/12</f>
        <v>8.8635950701503514</v>
      </c>
      <c r="AV152" s="23">
        <f>EXP(-LN(2)/25)*AV151+(1-EXP(-LN(2)/25))/(LN(2)/25)*Calculateur!AQ152*Calculateur!AS152*VLOOKUP('Données projet'!$B$10,Paramètres!$A$1:$I$88,3,0)*0.475*44/12</f>
        <v>3.2400618402887083</v>
      </c>
      <c r="AW152" s="23">
        <f>EXP(-LN(2)/2)*AW151+(1-EXP(-LN(2)/2))/(LN(2)/2)*AQ152*AT152*VLOOKUP('Données projet'!$B$10,Paramètres!$A$1:$I$88,3,0)*0.475*44/12</f>
        <v>4.7387483320878513E-14</v>
      </c>
      <c r="AX152" s="23">
        <f t="shared" si="114"/>
        <v>12.103656910439108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-1.1368683772161603E-13</v>
      </c>
      <c r="BE152" s="14">
        <f>BD152*VLOOKUP('Données projet'!$B$11,Paramètres!$A$1:$I$88,3,0)*VLOOKUP('Données projet'!$B$11,Paramètres!$A$1:$I$88,5,0)</f>
        <v>-1.0286385077051818E-13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362.63718589694594</v>
      </c>
      <c r="BJ152" s="62">
        <f t="shared" si="146"/>
        <v>250.47702091764884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projet'!$B$11,Paramètres!$A$1:$I$88,7,0))</f>
        <v>0</v>
      </c>
      <c r="BN152" s="17">
        <f>IF(ISNA(VLOOKUP(A152,'Données projet'!$A$87:$I$107,6,0)),0%,VLOOKUP(A152,'Données projet'!$A$87:$I$107,6,0)*VLOOKUP('Données projet'!$B$11,Paramètres!$A$1:$I$88,7,0))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projet'!$B$11,Paramètres!$A$1:$I$88,3,0)*0.475*44/12</f>
        <v>48.344174671668434</v>
      </c>
      <c r="BQ152" s="23">
        <f>EXP(-LN(2)/25)*BQ151+(1-EXP(-LN(2)/25))/(LN(2)/25)*Calculateur!BL152*Calculateur!BN152*VLOOKUP('Données projet'!$B$11,Paramètres!$A$1:$I$88,3,0)*0.475*44/12</f>
        <v>0</v>
      </c>
      <c r="BR152" s="23">
        <f>EXP(-LN(2)/2)*BR151+(1-EXP(-LN(2)/2))/(LN(2)/2)*BL152*BO152*VLOOKUP('Données projet'!$B$11,Paramètres!$A$1:$I$88,3,0)*0.475*44/12</f>
        <v>0</v>
      </c>
      <c r="BS152" s="24">
        <f t="shared" si="117"/>
        <v>48.344174671668434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-1.1368683772161603E-13</v>
      </c>
      <c r="BZ152" s="14">
        <f>BY152*VLOOKUP('Données projet'!$B$12,Paramètres!$A$1:$I$88,3,0)*VLOOKUP('Données projet'!$B$12,Paramètres!$A$1:$I$88,5,0)</f>
        <v>-1.1527845344971866E-13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398.14524781940196</v>
      </c>
      <c r="CE152" s="62">
        <f t="shared" si="148"/>
        <v>273.35778700650792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projet'!$B$12,Paramètres!$A$1:$I$88,3,0)*0.475*44/12</f>
        <v>54.178816442387053</v>
      </c>
      <c r="CL152" s="23">
        <f>EXP(-LN(2)/25)*CL151+(1-EXP(-LN(2)/25))/(LN(2)/25)*Calculateur!CG152*Calculateur!CI152*VLOOKUP('Données projet'!$B$12,Paramètres!$A$1:$I$88,3,0)*0.475*44/12</f>
        <v>0</v>
      </c>
      <c r="CM152" s="23">
        <f>EXP(-LN(2)/2)*CM151+(1-EXP(-LN(2)/2))/(LN(2)/2)*CG152*CJ152*VLOOKUP('Données projet'!$B$12,Paramètres!$A$1:$I$88,3,0)*0.475*44/12</f>
        <v>0</v>
      </c>
      <c r="CN152" s="24">
        <f t="shared" si="120"/>
        <v>54.178816442387053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118</v>
      </c>
      <c r="CU152" s="18">
        <f>CT152*VLOOKUP('Données projet'!$B$13,Paramètres!$A$1:$I$88,3,0)*VLOOKUP('Données projet'!$B$13,Paramètres!$A$1:$I$88,5,0)</f>
        <v>112.28880000000001</v>
      </c>
      <c r="CV152" s="14">
        <f t="shared" si="149"/>
        <v>29.869595672288149</v>
      </c>
      <c r="CW152" s="22">
        <f t="shared" si="121"/>
        <v>247.59253912923518</v>
      </c>
      <c r="CX152" s="62">
        <f t="shared" si="122"/>
        <v>534.16833320252829</v>
      </c>
      <c r="CY152" s="62">
        <f ca="1">AVERAGE(OFFSET($CX$3,0,0,'Données projet'!$E$13+1,1))-AVERAGE(OFFSET($H$3,0,0,'Données projet'!$E$13+1,1))</f>
        <v>470.0521927195926</v>
      </c>
      <c r="CZ152" s="62">
        <f t="shared" si="150"/>
        <v>299.27200854723435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projet'!$B$13,Paramètres!$A$1:$I$88,3,0)*0.475*44/12</f>
        <v>50.844735430547857</v>
      </c>
      <c r="DG152" s="23">
        <f>EXP(-LN(2)/25)*DG151+(1-EXP(-LN(2)/25))/(LN(2)/25)*Calculateur!DB152*Calculateur!DD152*VLOOKUP('Données projet'!$B$13,Paramètres!$A$1:$I$88,3,0)*0.475*44/12</f>
        <v>0</v>
      </c>
      <c r="DH152" s="23">
        <f>EXP(-LN(2)/2)*DH151+(1-EXP(-LN(2)/2))/(LN(2)/2)*DB152*DE152*VLOOKUP('Données projet'!$B$13,Paramètres!$A$1:$I$88,3,0)*0.475*44/12</f>
        <v>0</v>
      </c>
      <c r="DI152" s="24">
        <f t="shared" si="123"/>
        <v>50.844735430547857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-1.4210854715202004E-13</v>
      </c>
      <c r="DP152" s="18">
        <f>DO152*VLOOKUP('Données projet'!$B$14,Paramètres!$A$1:$I$88,3,0)*VLOOKUP('Données projet'!$B$14,Paramètres!$A$1:$I$88,5,0)</f>
        <v>-1.3744738680543379E-13</v>
      </c>
      <c r="DQ152" s="14" t="e">
        <f t="shared" si="151"/>
        <v>#NUM!</v>
      </c>
      <c r="DR152" s="22" t="e">
        <f t="shared" si="124"/>
        <v>#NUM!</v>
      </c>
      <c r="DS152" s="62" t="e">
        <f t="shared" si="125"/>
        <v>#NUM!</v>
      </c>
      <c r="DT152" s="62">
        <f ca="1">AVERAGE(OFFSET($DS$3,0,0,'Données projet'!$E$14+1,1))-AVERAGE(OFFSET($H$3,0,0,'Données projet'!$E$14+1,1))</f>
        <v>290.89727102147953</v>
      </c>
      <c r="DU152" s="62">
        <f t="shared" si="152"/>
        <v>173.19148969173838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projet'!$B$14,Paramètres!$A$1:$I$88,3,0)*0.475*44/12</f>
        <v>38.633371994935899</v>
      </c>
      <c r="EB152" s="23">
        <f>EXP(-LN(2)/25)*EB151+(1-EXP(-LN(2)/25))/(LN(2)/25)*Calculateur!DW152*Calculateur!DY152*VLOOKUP('Données projet'!$B$14,Paramètres!$A$1:$I$88,3,0)*0.475*44/12</f>
        <v>0</v>
      </c>
      <c r="EC152" s="23">
        <f>EXP(-LN(2)/2)*EC151+(1-EXP(-LN(2)/2))/(LN(2)/2)*DW152*DZ152*VLOOKUP('Données projet'!$B$14,Paramètres!$A$1:$I$88,3,0)*0.475*44/12</f>
        <v>0</v>
      </c>
      <c r="ED152" s="24">
        <f t="shared" si="126"/>
        <v>38.633371994935899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projet'!$B$15,Paramètres!$A$1:$I$88,3,0)*VLOOKUP('Données projet'!$B$15,Paramètres!$A$1:$I$88,5,0)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projet'!$B$15,Paramètres!$A$1:$I$88,3,0)*0.475*44/12</f>
        <v>#N/A</v>
      </c>
      <c r="EW152" s="23" t="e">
        <f>EXP(-LN(2)/25)*EW151+(1-EXP(-LN(2)/25))/(LN(2)/25)*Calculateur!ER152*Calculateur!ET152*VLOOKUP('Données projet'!$B$15,Paramètres!$A$1:$I$88,3,0)*0.475*44/12</f>
        <v>#N/A</v>
      </c>
      <c r="EX152" s="23" t="e">
        <f>EXP(-LN(2)/2)*EX151+(1-EXP(-LN(2)/2))/(LN(2)/2)*ER152*EU152*VLOOKUP('Données projet'!$B$15,Paramètres!$A$1:$I$88,3,0)*0.475*44/12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projet'!$B$16,Paramètres!$A$1:$I$88,3,0)*VLOOKUP('Données projet'!$B$16,Paramètres!$A$1:$I$88,5,0)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projet'!$B$16,Paramètres!$A$1:$I$88,3,0)*0.475*44/12</f>
        <v>#N/A</v>
      </c>
      <c r="FR152" s="23" t="e">
        <f>EXP(-LN(2)/25)*FR151+(1-EXP(-LN(2)/25))/(LN(2)/25)*Calculateur!FM152*Calculateur!FO152*VLOOKUP('Données projet'!$B$16,Paramètres!$A$1:$I$88,3,0)*0.475*44/12</f>
        <v>#N/A</v>
      </c>
      <c r="FS152" s="23" t="e">
        <f>EXP(-LN(2)/2)*FS151+(1-EXP(-LN(2)/2))/(LN(2)/2)*FM152*FP152*VLOOKUP('Données projet'!$B$16,Paramètres!$A$1:$I$88,3,0)*0.475*44/12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projet'!$B$17,Paramètres!$A$1:$I$88,3,0)*VLOOKUP('Données projet'!$B$17,Paramètres!$A$1:$I$88,5,0)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projet'!$B$17,Paramètres!$A$1:$I$88,3,0)*0.475*44/12</f>
        <v>#N/A</v>
      </c>
      <c r="GM152" s="23" t="e">
        <f>EXP(-LN(2)/25)*GM151+(1-EXP(-LN(2)/25))/(LN(2)/25)*Calculateur!GH152*Calculateur!GJ152*VLOOKUP('Données projet'!$B$17,Paramètres!$A$1:$I$88,3,0)*0.475*44/12</f>
        <v>#N/A</v>
      </c>
      <c r="GN152" s="23" t="e">
        <f>EXP(-LN(2)/2)*GN151+(1-EXP(-LN(2)/2))/(LN(2)/2)*GH152*GK152*VLOOKUP('Données projet'!$B$17,Paramètres!$A$1:$I$88,3,0)*0.475*44/12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projet'!$B$18,Paramètres!$A$1:$I$88,3,0)*VLOOKUP('Données projet'!$B$18,Paramètres!$A$1:$I$88,5,0)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projet'!$B$18,Paramètres!$A$1:$I$88,3,0)*0.475*44/12</f>
        <v>#N/A</v>
      </c>
      <c r="HH152" s="23" t="e">
        <f>EXP(-LN(2)/25)*HH151+(1-EXP(-LN(2)/25))/(LN(2)/25)*Calculateur!HC152*Calculateur!HE152*VLOOKUP('Données projet'!$B$18,Paramètres!$A$1:$I$88,3,0)*0.475*44/12</f>
        <v>#N/A</v>
      </c>
      <c r="HI152" s="23" t="e">
        <f>EXP(-LN(2)/2)*HI151+(1-EXP(-LN(2)/2))/(LN(2)/2)*HC152*HF152*VLOOKUP('Données projet'!$B$18,Paramètres!$A$1:$I$88,3,0)*0.475*44/12</f>
        <v>#N/A</v>
      </c>
      <c r="HJ152" s="24" t="e">
        <f t="shared" si="138"/>
        <v>#N/A</v>
      </c>
    </row>
    <row r="153" spans="1:218" s="5" customFormat="1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projet'!$B$9,Paramètres!$A$1:$I$88,3,0)*VLOOKUP('Données projet'!$B$9,Paramètres!$A$1:$I$88,5,0)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286.69302227186142</v>
      </c>
      <c r="S153" s="62">
        <f ca="1">AVERAGE(OFFSET($R$3,0,0,'Données projet'!$E$9+1,1))-AVERAGE(OFFSET($H$3,0,0,'Données projet'!$E$9+1,1))</f>
        <v>301.2688576786212</v>
      </c>
      <c r="T153" s="62">
        <f t="shared" si="142"/>
        <v>417.62172165132927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projet'!$B$9,Paramètres!$A$1:$I$88,7,0))</f>
        <v>0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20.812487205490722</v>
      </c>
      <c r="AA153" s="23">
        <f>EXP(-LN(2)/25)*AA152+(1-EXP(-LN(2)/25))/(LN(2)/25)*Calculateur!V153*Calculateur!X153*VLOOKUP('Données projet'!$B$9,Paramètres!$A$1:$I$88,3,0)*0.475*44/12</f>
        <v>3.109320252165237</v>
      </c>
      <c r="AB153" s="23">
        <f>EXP(-LN(2)/2)*AB152+(1-EXP(-LN(2)/2))/(LN(2)/2)*V153*Y153*VLOOKUP('Données projet'!$B$9,Paramètres!$A$1:$I$88,3,0)*0.475*44/12</f>
        <v>2.6159339482270043E-14</v>
      </c>
      <c r="AC153" s="24">
        <f t="shared" si="111"/>
        <v>23.921807457655984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projet'!$B$10,Paramètres!$A$1:$I$88,3,0)*VLOOKUP('Données projet'!$B$10,Paramètres!$A$1:$I$88,5,0)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170.08673939431091</v>
      </c>
      <c r="AO153" s="62">
        <f t="shared" si="144"/>
        <v>252.97355497077106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projet'!$B$10,Paramètres!$A$1:$I$88,7,0))</f>
        <v>0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projet'!$B$10,Paramètres!$A$1:$I$88,3,0)*0.475*44/12</f>
        <v>8.6897853770838722</v>
      </c>
      <c r="AV153" s="23">
        <f>EXP(-LN(2)/25)*AV152+(1-EXP(-LN(2)/25))/(LN(2)/25)*Calculateur!AQ153*Calculateur!AS153*VLOOKUP('Données projet'!$B$10,Paramètres!$A$1:$I$88,3,0)*0.475*44/12</f>
        <v>3.1514621788785666</v>
      </c>
      <c r="AW153" s="23">
        <f>EXP(-LN(2)/2)*AW152+(1-EXP(-LN(2)/2))/(LN(2)/2)*AQ153*AT153*VLOOKUP('Données projet'!$B$10,Paramètres!$A$1:$I$88,3,0)*0.475*44/12</f>
        <v>3.3508010799557612E-14</v>
      </c>
      <c r="AX153" s="23">
        <f t="shared" si="114"/>
        <v>11.841247555962473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-1.1368683772161603E-13</v>
      </c>
      <c r="BE153" s="14">
        <f>BD153*VLOOKUP('Données projet'!$B$11,Paramètres!$A$1:$I$88,3,0)*VLOOKUP('Données projet'!$B$11,Paramètres!$A$1:$I$88,5,0)</f>
        <v>-1.0286385077051818E-13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362.63718589694594</v>
      </c>
      <c r="BJ153" s="62">
        <f t="shared" si="146"/>
        <v>250.47702091764884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projet'!$B$11,Paramètres!$A$1:$I$88,7,0))</f>
        <v>0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projet'!$B$11,Paramètres!$A$1:$I$88,3,0)*0.475*44/12</f>
        <v>47.396174893391965</v>
      </c>
      <c r="BQ153" s="23">
        <f>EXP(-LN(2)/25)*BQ152+(1-EXP(-LN(2)/25))/(LN(2)/25)*Calculateur!BL153*Calculateur!BN153*VLOOKUP('Données projet'!$B$11,Paramètres!$A$1:$I$88,3,0)*0.475*44/12</f>
        <v>0</v>
      </c>
      <c r="BR153" s="23">
        <f>EXP(-LN(2)/2)*BR152+(1-EXP(-LN(2)/2))/(LN(2)/2)*BL153*BO153*VLOOKUP('Données projet'!$B$11,Paramètres!$A$1:$I$88,3,0)*0.475*44/12</f>
        <v>0</v>
      </c>
      <c r="BS153" s="24">
        <f t="shared" si="117"/>
        <v>47.396174893391965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-1.1368683772161603E-13</v>
      </c>
      <c r="BZ153" s="14">
        <f>BY153*VLOOKUP('Données projet'!$B$12,Paramètres!$A$1:$I$88,3,0)*VLOOKUP('Données projet'!$B$12,Paramètres!$A$1:$I$88,5,0)</f>
        <v>-1.1527845344971866E-13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398.14524781940196</v>
      </c>
      <c r="CE153" s="62">
        <f t="shared" si="148"/>
        <v>273.35778700650792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projet'!$B$12,Paramètres!$A$1:$I$88,3,0)*0.475*44/12</f>
        <v>53.116402897766868</v>
      </c>
      <c r="CL153" s="23">
        <f>EXP(-LN(2)/25)*CL152+(1-EXP(-LN(2)/25))/(LN(2)/25)*Calculateur!CG153*Calculateur!CI153*VLOOKUP('Données projet'!$B$12,Paramètres!$A$1:$I$88,3,0)*0.475*44/12</f>
        <v>0</v>
      </c>
      <c r="CM153" s="23">
        <f>EXP(-LN(2)/2)*CM152+(1-EXP(-LN(2)/2))/(LN(2)/2)*CG153*CJ153*VLOOKUP('Données projet'!$B$12,Paramètres!$A$1:$I$88,3,0)*0.475*44/12</f>
        <v>0</v>
      </c>
      <c r="CN153" s="24">
        <f t="shared" si="120"/>
        <v>53.116402897766868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118</v>
      </c>
      <c r="CU153" s="18">
        <f>CT153*VLOOKUP('Données projet'!$B$13,Paramètres!$A$1:$I$88,3,0)*VLOOKUP('Données projet'!$B$13,Paramètres!$A$1:$I$88,5,0)</f>
        <v>112.28880000000001</v>
      </c>
      <c r="CV153" s="14">
        <f t="shared" si="149"/>
        <v>29.869595672288149</v>
      </c>
      <c r="CW153" s="22">
        <f t="shared" si="121"/>
        <v>247.59253912923518</v>
      </c>
      <c r="CX153" s="62">
        <f t="shared" si="122"/>
        <v>534.28556140109549</v>
      </c>
      <c r="CY153" s="62">
        <f ca="1">AVERAGE(OFFSET($CX$3,0,0,'Données projet'!$E$13+1,1))-AVERAGE(OFFSET($H$3,0,0,'Données projet'!$E$13+1,1))</f>
        <v>470.0521927195926</v>
      </c>
      <c r="CZ153" s="62">
        <f t="shared" si="150"/>
        <v>299.27200854723435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projet'!$B$13,Paramètres!$A$1:$I$88,3,0)*0.475*44/12</f>
        <v>49.847701180981225</v>
      </c>
      <c r="DG153" s="23">
        <f>EXP(-LN(2)/25)*DG152+(1-EXP(-LN(2)/25))/(LN(2)/25)*Calculateur!DB153*Calculateur!DD153*VLOOKUP('Données projet'!$B$13,Paramètres!$A$1:$I$88,3,0)*0.475*44/12</f>
        <v>0</v>
      </c>
      <c r="DH153" s="23">
        <f>EXP(-LN(2)/2)*DH152+(1-EXP(-LN(2)/2))/(LN(2)/2)*DB153*DE153*VLOOKUP('Données projet'!$B$13,Paramètres!$A$1:$I$88,3,0)*0.475*44/12</f>
        <v>0</v>
      </c>
      <c r="DI153" s="24">
        <f t="shared" si="123"/>
        <v>49.847701180981225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-1.4210854715202004E-13</v>
      </c>
      <c r="DP153" s="18">
        <f>DO153*VLOOKUP('Données projet'!$B$14,Paramètres!$A$1:$I$88,3,0)*VLOOKUP('Données projet'!$B$14,Paramètres!$A$1:$I$88,5,0)</f>
        <v>-1.3744738680543379E-13</v>
      </c>
      <c r="DQ153" s="14" t="e">
        <f t="shared" si="151"/>
        <v>#NUM!</v>
      </c>
      <c r="DR153" s="22" t="e">
        <f t="shared" si="124"/>
        <v>#NUM!</v>
      </c>
      <c r="DS153" s="62" t="e">
        <f t="shared" si="125"/>
        <v>#NUM!</v>
      </c>
      <c r="DT153" s="62">
        <f ca="1">AVERAGE(OFFSET($DS$3,0,0,'Données projet'!$E$14+1,1))-AVERAGE(OFFSET($H$3,0,0,'Données projet'!$E$14+1,1))</f>
        <v>290.89727102147953</v>
      </c>
      <c r="DU153" s="62">
        <f t="shared" si="152"/>
        <v>173.19148969173838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projet'!$B$14,Paramètres!$A$1:$I$88,3,0)*0.475*44/12</f>
        <v>37.87579513414537</v>
      </c>
      <c r="EB153" s="23">
        <f>EXP(-LN(2)/25)*EB152+(1-EXP(-LN(2)/25))/(LN(2)/25)*Calculateur!DW153*Calculateur!DY153*VLOOKUP('Données projet'!$B$14,Paramètres!$A$1:$I$88,3,0)*0.475*44/12</f>
        <v>0</v>
      </c>
      <c r="EC153" s="23">
        <f>EXP(-LN(2)/2)*EC152+(1-EXP(-LN(2)/2))/(LN(2)/2)*DW153*DZ153*VLOOKUP('Données projet'!$B$14,Paramètres!$A$1:$I$88,3,0)*0.475*44/12</f>
        <v>0</v>
      </c>
      <c r="ED153" s="24">
        <f t="shared" si="126"/>
        <v>37.87579513414537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projet'!$B$15,Paramètres!$A$1:$I$88,3,0)*VLOOKUP('Données projet'!$B$15,Paramètres!$A$1:$I$88,5,0)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projet'!$B$15,Paramètres!$A$1:$I$88,3,0)*0.475*44/12</f>
        <v>#N/A</v>
      </c>
      <c r="EW153" s="23" t="e">
        <f>EXP(-LN(2)/25)*EW152+(1-EXP(-LN(2)/25))/(LN(2)/25)*Calculateur!ER153*Calculateur!ET153*VLOOKUP('Données projet'!$B$15,Paramètres!$A$1:$I$88,3,0)*0.475*44/12</f>
        <v>#N/A</v>
      </c>
      <c r="EX153" s="23" t="e">
        <f>EXP(-LN(2)/2)*EX152+(1-EXP(-LN(2)/2))/(LN(2)/2)*ER153*EU153*VLOOKUP('Données projet'!$B$15,Paramètres!$A$1:$I$88,3,0)*0.475*44/12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projet'!$B$16,Paramètres!$A$1:$I$88,3,0)*VLOOKUP('Données projet'!$B$16,Paramètres!$A$1:$I$88,5,0)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projet'!$B$16,Paramètres!$A$1:$I$88,3,0)*0.475*44/12</f>
        <v>#N/A</v>
      </c>
      <c r="FR153" s="23" t="e">
        <f>EXP(-LN(2)/25)*FR152+(1-EXP(-LN(2)/25))/(LN(2)/25)*Calculateur!FM153*Calculateur!FO153*VLOOKUP('Données projet'!$B$16,Paramètres!$A$1:$I$88,3,0)*0.475*44/12</f>
        <v>#N/A</v>
      </c>
      <c r="FS153" s="23" t="e">
        <f>EXP(-LN(2)/2)*FS152+(1-EXP(-LN(2)/2))/(LN(2)/2)*FM153*FP153*VLOOKUP('Données projet'!$B$16,Paramètres!$A$1:$I$88,3,0)*0.475*44/12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projet'!$B$17,Paramètres!$A$1:$I$88,3,0)*VLOOKUP('Données projet'!$B$17,Paramètres!$A$1:$I$88,5,0)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projet'!$B$17,Paramètres!$A$1:$I$88,3,0)*0.475*44/12</f>
        <v>#N/A</v>
      </c>
      <c r="GM153" s="23" t="e">
        <f>EXP(-LN(2)/25)*GM152+(1-EXP(-LN(2)/25))/(LN(2)/25)*Calculateur!GH153*Calculateur!GJ153*VLOOKUP('Données projet'!$B$17,Paramètres!$A$1:$I$88,3,0)*0.475*44/12</f>
        <v>#N/A</v>
      </c>
      <c r="GN153" s="23" t="e">
        <f>EXP(-LN(2)/2)*GN152+(1-EXP(-LN(2)/2))/(LN(2)/2)*GH153*GK153*VLOOKUP('Données projet'!$B$17,Paramètres!$A$1:$I$88,3,0)*0.475*44/12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projet'!$B$18,Paramètres!$A$1:$I$88,3,0)*VLOOKUP('Données projet'!$B$18,Paramètres!$A$1:$I$88,5,0)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projet'!$B$18,Paramètres!$A$1:$I$88,3,0)*0.475*44/12</f>
        <v>#N/A</v>
      </c>
      <c r="HH153" s="23" t="e">
        <f>EXP(-LN(2)/25)*HH152+(1-EXP(-LN(2)/25))/(LN(2)/25)*Calculateur!HC153*Calculateur!HE153*VLOOKUP('Données projet'!$B$18,Paramètres!$A$1:$I$88,3,0)*0.475*44/12</f>
        <v>#N/A</v>
      </c>
      <c r="HI153" s="23" t="e">
        <f>EXP(-LN(2)/2)*HI152+(1-EXP(-LN(2)/2))/(LN(2)/2)*HC153*HF153*VLOOKUP('Données projet'!$B$18,Paramètres!$A$1:$I$88,3,0)*0.475*44/12</f>
        <v>#N/A</v>
      </c>
      <c r="HJ153" s="24" t="e">
        <f t="shared" si="138"/>
        <v>#N/A</v>
      </c>
    </row>
    <row r="154" spans="1:218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projet'!$B$9,Paramètres!$A$1:$I$88,3,0)*VLOOKUP('Données projet'!$B$9,Paramètres!$A$1:$I$88,5,0)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286.80821682326643</v>
      </c>
      <c r="S154" s="62">
        <f ca="1">AVERAGE(OFFSET($R$3,0,0,'Données projet'!$E$9+1,1))-AVERAGE(OFFSET($H$3,0,0,'Données projet'!$E$9+1,1))</f>
        <v>301.2688576786212</v>
      </c>
      <c r="T154" s="62">
        <f t="shared" si="142"/>
        <v>417.62172165132927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20.40436702575478</v>
      </c>
      <c r="AA154" s="23">
        <f>EXP(-LN(2)/25)*AA153+(1-EXP(-LN(2)/25))/(LN(2)/25)*Calculateur!V154*Calculateur!X154*VLOOKUP('Données projet'!$B$9,Paramètres!$A$1:$I$88,3,0)*0.475*44/12</f>
        <v>3.024295726357733</v>
      </c>
      <c r="AB154" s="23">
        <f>EXP(-LN(2)/2)*AB153+(1-EXP(-LN(2)/2))/(LN(2)/2)*V154*Y154*VLOOKUP('Données projet'!$B$9,Paramètres!$A$1:$I$88,3,0)*0.475*44/12</f>
        <v>1.8497446339274137E-14</v>
      </c>
      <c r="AC154" s="24">
        <f t="shared" ref="AC154:AC203" si="163">SUM(Z154:AB154)</f>
        <v>23.42866275211253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projet'!$B$10,Paramètres!$A$1:$I$88,3,0)*VLOOKUP('Données projet'!$B$10,Paramètres!$A$1:$I$88,5,0)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170.08673939431091</v>
      </c>
      <c r="AO154" s="62">
        <f t="shared" si="144"/>
        <v>252.97355497077106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projet'!$B$10,Paramètres!$A$1:$I$88,3,0)*0.475*44/12</f>
        <v>8.519383986084982</v>
      </c>
      <c r="AV154" s="23">
        <f>EXP(-LN(2)/25)*AV153+(1-EXP(-LN(2)/25))/(LN(2)/25)*Calculateur!AQ154*Calculateur!AS154*VLOOKUP('Données projet'!$B$10,Paramètres!$A$1:$I$88,3,0)*0.475*44/12</f>
        <v>3.065285279868939</v>
      </c>
      <c r="AW154" s="23">
        <f>EXP(-LN(2)/2)*AW153+(1-EXP(-LN(2)/2))/(LN(2)/2)*AQ154*AT154*VLOOKUP('Données projet'!$B$10,Paramètres!$A$1:$I$88,3,0)*0.475*44/12</f>
        <v>2.3693741660439256E-14</v>
      </c>
      <c r="AX154" s="23">
        <f t="shared" ref="AX154:AX203" si="166">SUM(AU154:AW154)</f>
        <v>11.584669265953943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-1.1368683772161603E-13</v>
      </c>
      <c r="BE154" s="14">
        <f>BD154*VLOOKUP('Données projet'!$B$11,Paramètres!$A$1:$I$88,3,0)*VLOOKUP('Données projet'!$B$11,Paramètres!$A$1:$I$88,5,0)</f>
        <v>-1.0286385077051818E-13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362.63718589694594</v>
      </c>
      <c r="BJ154" s="62">
        <f t="shared" si="146"/>
        <v>250.47702091764884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projet'!$B$11,Paramètres!$A$1:$I$88,3,0)*0.475*44/12</f>
        <v>46.466764812544724</v>
      </c>
      <c r="BQ154" s="23">
        <f>EXP(-LN(2)/25)*BQ153+(1-EXP(-LN(2)/25))/(LN(2)/25)*Calculateur!BL154*Calculateur!BN154*VLOOKUP('Données projet'!$B$11,Paramètres!$A$1:$I$88,3,0)*0.475*44/12</f>
        <v>0</v>
      </c>
      <c r="BR154" s="23">
        <f>EXP(-LN(2)/2)*BR153+(1-EXP(-LN(2)/2))/(LN(2)/2)*BL154*BO154*VLOOKUP('Données projet'!$B$11,Paramètres!$A$1:$I$88,3,0)*0.475*44/12</f>
        <v>0</v>
      </c>
      <c r="BS154" s="24">
        <f t="shared" ref="BS154:BS203" si="169">SUM(BP154:BR154)</f>
        <v>46.466764812544724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-1.1368683772161603E-13</v>
      </c>
      <c r="BZ154" s="14">
        <f>BY154*VLOOKUP('Données projet'!$B$12,Paramètres!$A$1:$I$88,3,0)*VLOOKUP('Données projet'!$B$12,Paramètres!$A$1:$I$88,5,0)</f>
        <v>-1.1527845344971866E-13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398.14524781940196</v>
      </c>
      <c r="CE154" s="62">
        <f t="shared" si="148"/>
        <v>273.35778700650792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projet'!$B$12,Paramètres!$A$1:$I$88,3,0)*0.475*44/12</f>
        <v>52.074822634748408</v>
      </c>
      <c r="CL154" s="23">
        <f>EXP(-LN(2)/25)*CL153+(1-EXP(-LN(2)/25))/(LN(2)/25)*Calculateur!CG154*Calculateur!CI154*VLOOKUP('Données projet'!$B$12,Paramètres!$A$1:$I$88,3,0)*0.475*44/12</f>
        <v>0</v>
      </c>
      <c r="CM154" s="23">
        <f>EXP(-LN(2)/2)*CM153+(1-EXP(-LN(2)/2))/(LN(2)/2)*CG154*CJ154*VLOOKUP('Données projet'!$B$12,Paramètres!$A$1:$I$88,3,0)*0.475*44/12</f>
        <v>0</v>
      </c>
      <c r="CN154" s="24">
        <f t="shared" ref="CN154:CN203" si="172">SUM(CK154:CM154)</f>
        <v>52.074822634748408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118</v>
      </c>
      <c r="CU154" s="18">
        <f>CT154*VLOOKUP('Données projet'!$B$13,Paramètres!$A$1:$I$88,3,0)*VLOOKUP('Données projet'!$B$13,Paramètres!$A$1:$I$88,5,0)</f>
        <v>112.28880000000001</v>
      </c>
      <c r="CV154" s="14">
        <f t="shared" ref="CV154:CV203" si="173">EXP(-1.0587+0.8836*LN(CU154)+0.284)</f>
        <v>29.869595672288149</v>
      </c>
      <c r="CW154" s="22">
        <f t="shared" ref="CW154:CW203" si="174">(CU154+CV154)*0.475*44/12</f>
        <v>247.59253912923518</v>
      </c>
      <c r="CX154" s="62">
        <f t="shared" si="122"/>
        <v>534.4007559525005</v>
      </c>
      <c r="CY154" s="62">
        <f ca="1">AVERAGE(OFFSET($CX$3,0,0,'Données projet'!$E$13+1,1))-AVERAGE(OFFSET($H$3,0,0,'Données projet'!$E$13+1,1))</f>
        <v>470.0521927195926</v>
      </c>
      <c r="CZ154" s="62">
        <f t="shared" si="150"/>
        <v>299.27200854723435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projet'!$B$13,Paramètres!$A$1:$I$88,3,0)*0.475*44/12</f>
        <v>48.870218164917752</v>
      </c>
      <c r="DG154" s="23">
        <f>EXP(-LN(2)/25)*DG153+(1-EXP(-LN(2)/25))/(LN(2)/25)*Calculateur!DB154*Calculateur!DD154*VLOOKUP('Données projet'!$B$13,Paramètres!$A$1:$I$88,3,0)*0.475*44/12</f>
        <v>0</v>
      </c>
      <c r="DH154" s="23">
        <f>EXP(-LN(2)/2)*DH153+(1-EXP(-LN(2)/2))/(LN(2)/2)*DB154*DE154*VLOOKUP('Données projet'!$B$13,Paramètres!$A$1:$I$88,3,0)*0.475*44/12</f>
        <v>0</v>
      </c>
      <c r="DI154" s="24">
        <f t="shared" ref="DI154:DI203" si="175">SUM(DF154:DH154)</f>
        <v>48.870218164917752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-1.4210854715202004E-13</v>
      </c>
      <c r="DP154" s="18">
        <f>DO154*VLOOKUP('Données projet'!$B$14,Paramètres!$A$1:$I$88,3,0)*VLOOKUP('Données projet'!$B$14,Paramètres!$A$1:$I$88,5,0)</f>
        <v>-1.3744738680543379E-13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25"/>
        <v>#NUM!</v>
      </c>
      <c r="DT154" s="62">
        <f ca="1">AVERAGE(OFFSET($DS$3,0,0,'Données projet'!$E$14+1,1))-AVERAGE(OFFSET($H$3,0,0,'Données projet'!$E$14+1,1))</f>
        <v>290.89727102147953</v>
      </c>
      <c r="DU154" s="62">
        <f t="shared" si="152"/>
        <v>173.19148969173838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projet'!$B$14,Paramètres!$A$1:$I$88,3,0)*0.475*44/12</f>
        <v>37.133073893518684</v>
      </c>
      <c r="EB154" s="23">
        <f>EXP(-LN(2)/25)*EB153+(1-EXP(-LN(2)/25))/(LN(2)/25)*Calculateur!DW154*Calculateur!DY154*VLOOKUP('Données projet'!$B$14,Paramètres!$A$1:$I$88,3,0)*0.475*44/12</f>
        <v>0</v>
      </c>
      <c r="EC154" s="23">
        <f>EXP(-LN(2)/2)*EC153+(1-EXP(-LN(2)/2))/(LN(2)/2)*DW154*DZ154*VLOOKUP('Données projet'!$B$14,Paramètres!$A$1:$I$88,3,0)*0.475*44/12</f>
        <v>0</v>
      </c>
      <c r="ED154" s="24">
        <f t="shared" ref="ED154:ED203" si="178">SUM(EA154:EC154)</f>
        <v>37.133073893518684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projet'!$B$15,Paramètres!$A$1:$I$88,3,0)*VLOOKUP('Données projet'!$B$15,Paramètres!$A$1:$I$88,5,0)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projet'!$B$15,Paramètres!$A$1:$I$88,3,0)*0.475*44/12</f>
        <v>#N/A</v>
      </c>
      <c r="EW154" s="23" t="e">
        <f>EXP(-LN(2)/25)*EW153+(1-EXP(-LN(2)/25))/(LN(2)/25)*Calculateur!ER154*Calculateur!ET154*VLOOKUP('Données projet'!$B$15,Paramètres!$A$1:$I$88,3,0)*0.475*44/12</f>
        <v>#N/A</v>
      </c>
      <c r="EX154" s="23" t="e">
        <f>EXP(-LN(2)/2)*EX153+(1-EXP(-LN(2)/2))/(LN(2)/2)*ER154*EU154*VLOOKUP('Données projet'!$B$15,Paramètres!$A$1:$I$88,3,0)*0.475*44/12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projet'!$B$16,Paramètres!$A$1:$I$88,3,0)*VLOOKUP('Données projet'!$B$16,Paramètres!$A$1:$I$88,5,0)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projet'!$B$16,Paramètres!$A$1:$I$88,3,0)*0.475*44/12</f>
        <v>#N/A</v>
      </c>
      <c r="FR154" s="23" t="e">
        <f>EXP(-LN(2)/25)*FR153+(1-EXP(-LN(2)/25))/(LN(2)/25)*Calculateur!FM154*Calculateur!FO154*VLOOKUP('Données projet'!$B$16,Paramètres!$A$1:$I$88,3,0)*0.475*44/12</f>
        <v>#N/A</v>
      </c>
      <c r="FS154" s="23" t="e">
        <f>EXP(-LN(2)/2)*FS153+(1-EXP(-LN(2)/2))/(LN(2)/2)*FM154*FP154*VLOOKUP('Données projet'!$B$16,Paramètres!$A$1:$I$88,3,0)*0.475*44/12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projet'!$B$17,Paramètres!$A$1:$I$88,3,0)*VLOOKUP('Données projet'!$B$17,Paramètres!$A$1:$I$88,5,0)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projet'!$B$17,Paramètres!$A$1:$I$88,3,0)*0.475*44/12</f>
        <v>#N/A</v>
      </c>
      <c r="GM154" s="23" t="e">
        <f>EXP(-LN(2)/25)*GM153+(1-EXP(-LN(2)/25))/(LN(2)/25)*Calculateur!GH154*Calculateur!GJ154*VLOOKUP('Données projet'!$B$17,Paramètres!$A$1:$I$88,3,0)*0.475*44/12</f>
        <v>#N/A</v>
      </c>
      <c r="GN154" s="23" t="e">
        <f>EXP(-LN(2)/2)*GN153+(1-EXP(-LN(2)/2))/(LN(2)/2)*GH154*GK154*VLOOKUP('Données projet'!$B$17,Paramètres!$A$1:$I$88,3,0)*0.475*44/12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projet'!$B$18,Paramètres!$A$1:$I$88,3,0)*VLOOKUP('Données projet'!$B$18,Paramètres!$A$1:$I$88,5,0)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projet'!$B$18,Paramètres!$A$1:$I$88,3,0)*0.475*44/12</f>
        <v>#N/A</v>
      </c>
      <c r="HH154" s="23" t="e">
        <f>EXP(-LN(2)/25)*HH153+(1-EXP(-LN(2)/25))/(LN(2)/25)*Calculateur!HC154*Calculateur!HE154*VLOOKUP('Données projet'!$B$18,Paramètres!$A$1:$I$88,3,0)*0.475*44/12</f>
        <v>#N/A</v>
      </c>
      <c r="HI154" s="23" t="e">
        <f>EXP(-LN(2)/2)*HI153+(1-EXP(-LN(2)/2))/(LN(2)/2)*HC154*HF154*VLOOKUP('Données projet'!$B$18,Paramètres!$A$1:$I$88,3,0)*0.475*44/12</f>
        <v>#N/A</v>
      </c>
      <c r="HJ154" s="24" t="e">
        <f t="shared" ref="HJ154:HJ203" si="190">SUM(HG154:HI154)</f>
        <v>#N/A</v>
      </c>
    </row>
    <row r="155" spans="1:218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projet'!$B$9,Paramètres!$A$1:$I$88,3,0)*VLOOKUP('Données projet'!$B$9,Paramètres!$A$1:$I$88,5,0)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286.92141300674098</v>
      </c>
      <c r="S155" s="62">
        <f ca="1">AVERAGE(OFFSET($R$3,0,0,'Données projet'!$E$9+1,1))-AVERAGE(OFFSET($H$3,0,0,'Données projet'!$E$9+1,1))</f>
        <v>301.2688576786212</v>
      </c>
      <c r="T155" s="62">
        <f t="shared" si="142"/>
        <v>417.62172165132927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20.004249833814729</v>
      </c>
      <c r="AA155" s="23">
        <f>EXP(-LN(2)/25)*AA154+(1-EXP(-LN(2)/25))/(LN(2)/25)*Calculateur!V155*Calculateur!X155*VLOOKUP('Données projet'!$B$9,Paramètres!$A$1:$I$88,3,0)*0.475*44/12</f>
        <v>2.9415962006796805</v>
      </c>
      <c r="AB155" s="23">
        <f>EXP(-LN(2)/2)*AB154+(1-EXP(-LN(2)/2))/(LN(2)/2)*V155*Y155*VLOOKUP('Données projet'!$B$9,Paramètres!$A$1:$I$88,3,0)*0.475*44/12</f>
        <v>1.3079669741135022E-14</v>
      </c>
      <c r="AC155" s="24">
        <f t="shared" si="163"/>
        <v>22.945846034494423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projet'!$B$10,Paramètres!$A$1:$I$88,3,0)*VLOOKUP('Données projet'!$B$10,Paramètres!$A$1:$I$88,5,0)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170.08673939431091</v>
      </c>
      <c r="AO155" s="62">
        <f t="shared" si="144"/>
        <v>252.97355497077106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projet'!$B$10,Paramètres!$A$1:$I$88,3,0)*0.475*44/12</f>
        <v>8.3523240624289947</v>
      </c>
      <c r="AV155" s="23">
        <f>EXP(-LN(2)/25)*AV154+(1-EXP(-LN(2)/25))/(LN(2)/25)*Calculateur!AQ155*Calculateur!AS155*VLOOKUP('Données projet'!$B$10,Paramètres!$A$1:$I$88,3,0)*0.475*44/12</f>
        <v>2.9814648926945759</v>
      </c>
      <c r="AW155" s="23">
        <f>EXP(-LN(2)/2)*AW154+(1-EXP(-LN(2)/2))/(LN(2)/2)*AQ155*AT155*VLOOKUP('Données projet'!$B$10,Paramètres!$A$1:$I$88,3,0)*0.475*44/12</f>
        <v>1.6754005399778806E-14</v>
      </c>
      <c r="AX155" s="23">
        <f t="shared" si="166"/>
        <v>11.333788955123586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-1.1368683772161603E-13</v>
      </c>
      <c r="BE155" s="14">
        <f>BD155*VLOOKUP('Données projet'!$B$11,Paramètres!$A$1:$I$88,3,0)*VLOOKUP('Données projet'!$B$11,Paramètres!$A$1:$I$88,5,0)</f>
        <v>-1.0286385077051818E-13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362.63718589694594</v>
      </c>
      <c r="BJ155" s="62">
        <f t="shared" si="146"/>
        <v>250.47702091764884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projet'!$B$11,Paramètres!$A$1:$I$88,3,0)*0.475*44/12</f>
        <v>45.555579896498728</v>
      </c>
      <c r="BQ155" s="23">
        <f>EXP(-LN(2)/25)*BQ154+(1-EXP(-LN(2)/25))/(LN(2)/25)*Calculateur!BL155*Calculateur!BN155*VLOOKUP('Données projet'!$B$11,Paramètres!$A$1:$I$88,3,0)*0.475*44/12</f>
        <v>0</v>
      </c>
      <c r="BR155" s="23">
        <f>EXP(-LN(2)/2)*BR154+(1-EXP(-LN(2)/2))/(LN(2)/2)*BL155*BO155*VLOOKUP('Données projet'!$B$11,Paramètres!$A$1:$I$88,3,0)*0.475*44/12</f>
        <v>0</v>
      </c>
      <c r="BS155" s="24">
        <f t="shared" si="169"/>
        <v>45.555579896498728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-1.1368683772161603E-13</v>
      </c>
      <c r="BZ155" s="14">
        <f>BY155*VLOOKUP('Données projet'!$B$12,Paramètres!$A$1:$I$88,3,0)*VLOOKUP('Données projet'!$B$12,Paramètres!$A$1:$I$88,5,0)</f>
        <v>-1.1527845344971866E-13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398.14524781940196</v>
      </c>
      <c r="CE155" s="62">
        <f t="shared" si="148"/>
        <v>273.35778700650792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projet'!$B$12,Paramètres!$A$1:$I$88,3,0)*0.475*44/12</f>
        <v>51.053667125386511</v>
      </c>
      <c r="CL155" s="23">
        <f>EXP(-LN(2)/25)*CL154+(1-EXP(-LN(2)/25))/(LN(2)/25)*Calculateur!CG155*Calculateur!CI155*VLOOKUP('Données projet'!$B$12,Paramètres!$A$1:$I$88,3,0)*0.475*44/12</f>
        <v>0</v>
      </c>
      <c r="CM155" s="23">
        <f>EXP(-LN(2)/2)*CM154+(1-EXP(-LN(2)/2))/(LN(2)/2)*CG155*CJ155*VLOOKUP('Données projet'!$B$12,Paramètres!$A$1:$I$88,3,0)*0.475*44/12</f>
        <v>0</v>
      </c>
      <c r="CN155" s="24">
        <f t="shared" si="172"/>
        <v>51.053667125386511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118</v>
      </c>
      <c r="CU155" s="18">
        <f>CT155*VLOOKUP('Données projet'!$B$13,Paramètres!$A$1:$I$88,3,0)*VLOOKUP('Données projet'!$B$13,Paramètres!$A$1:$I$88,5,0)</f>
        <v>112.28880000000001</v>
      </c>
      <c r="CV155" s="14">
        <f t="shared" si="173"/>
        <v>29.869595672288149</v>
      </c>
      <c r="CW155" s="22">
        <f t="shared" si="174"/>
        <v>247.59253912923518</v>
      </c>
      <c r="CX155" s="62">
        <f t="shared" si="122"/>
        <v>534.51395213597505</v>
      </c>
      <c r="CY155" s="62">
        <f ca="1">AVERAGE(OFFSET($CX$3,0,0,'Données projet'!$E$13+1,1))-AVERAGE(OFFSET($H$3,0,0,'Données projet'!$E$13+1,1))</f>
        <v>470.0521927195926</v>
      </c>
      <c r="CZ155" s="62">
        <f t="shared" si="150"/>
        <v>299.27200854723435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projet'!$B$13,Paramètres!$A$1:$I$88,3,0)*0.475*44/12</f>
        <v>47.911902994593511</v>
      </c>
      <c r="DG155" s="23">
        <f>EXP(-LN(2)/25)*DG154+(1-EXP(-LN(2)/25))/(LN(2)/25)*Calculateur!DB155*Calculateur!DD155*VLOOKUP('Données projet'!$B$13,Paramètres!$A$1:$I$88,3,0)*0.475*44/12</f>
        <v>0</v>
      </c>
      <c r="DH155" s="23">
        <f>EXP(-LN(2)/2)*DH154+(1-EXP(-LN(2)/2))/(LN(2)/2)*DB155*DE155*VLOOKUP('Données projet'!$B$13,Paramètres!$A$1:$I$88,3,0)*0.475*44/12</f>
        <v>0</v>
      </c>
      <c r="DI155" s="24">
        <f t="shared" si="175"/>
        <v>47.911902994593511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-1.4210854715202004E-13</v>
      </c>
      <c r="DP155" s="18">
        <f>DO155*VLOOKUP('Données projet'!$B$14,Paramètres!$A$1:$I$88,3,0)*VLOOKUP('Données projet'!$B$14,Paramètres!$A$1:$I$88,5,0)</f>
        <v>-1.3744738680543379E-13</v>
      </c>
      <c r="DQ155" s="14" t="e">
        <f t="shared" si="176"/>
        <v>#NUM!</v>
      </c>
      <c r="DR155" s="22" t="e">
        <f t="shared" si="177"/>
        <v>#NUM!</v>
      </c>
      <c r="DS155" s="62" t="e">
        <f t="shared" si="125"/>
        <v>#NUM!</v>
      </c>
      <c r="DT155" s="62">
        <f ca="1">AVERAGE(OFFSET($DS$3,0,0,'Données projet'!$E$14+1,1))-AVERAGE(OFFSET($H$3,0,0,'Données projet'!$E$14+1,1))</f>
        <v>290.89727102147953</v>
      </c>
      <c r="DU155" s="62">
        <f t="shared" si="152"/>
        <v>173.19148969173838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projet'!$B$14,Paramètres!$A$1:$I$88,3,0)*0.475*44/12</f>
        <v>36.404916963405462</v>
      </c>
      <c r="EB155" s="23">
        <f>EXP(-LN(2)/25)*EB154+(1-EXP(-LN(2)/25))/(LN(2)/25)*Calculateur!DW155*Calculateur!DY155*VLOOKUP('Données projet'!$B$14,Paramètres!$A$1:$I$88,3,0)*0.475*44/12</f>
        <v>0</v>
      </c>
      <c r="EC155" s="23">
        <f>EXP(-LN(2)/2)*EC154+(1-EXP(-LN(2)/2))/(LN(2)/2)*DW155*DZ155*VLOOKUP('Données projet'!$B$14,Paramètres!$A$1:$I$88,3,0)*0.475*44/12</f>
        <v>0</v>
      </c>
      <c r="ED155" s="24">
        <f t="shared" si="178"/>
        <v>36.404916963405462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projet'!$B$15,Paramètres!$A$1:$I$88,3,0)*VLOOKUP('Données projet'!$B$15,Paramètres!$A$1:$I$88,5,0)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projet'!$B$15,Paramètres!$A$1:$I$88,3,0)*0.475*44/12</f>
        <v>#N/A</v>
      </c>
      <c r="EW155" s="23" t="e">
        <f>EXP(-LN(2)/25)*EW154+(1-EXP(-LN(2)/25))/(LN(2)/25)*Calculateur!ER155*Calculateur!ET155*VLOOKUP('Données projet'!$B$15,Paramètres!$A$1:$I$88,3,0)*0.475*44/12</f>
        <v>#N/A</v>
      </c>
      <c r="EX155" s="23" t="e">
        <f>EXP(-LN(2)/2)*EX154+(1-EXP(-LN(2)/2))/(LN(2)/2)*ER155*EU155*VLOOKUP('Données projet'!$B$15,Paramètres!$A$1:$I$88,3,0)*0.475*44/12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projet'!$B$16,Paramètres!$A$1:$I$88,3,0)*VLOOKUP('Données projet'!$B$16,Paramètres!$A$1:$I$88,5,0)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projet'!$B$16,Paramètres!$A$1:$I$88,3,0)*0.475*44/12</f>
        <v>#N/A</v>
      </c>
      <c r="FR155" s="23" t="e">
        <f>EXP(-LN(2)/25)*FR154+(1-EXP(-LN(2)/25))/(LN(2)/25)*Calculateur!FM155*Calculateur!FO155*VLOOKUP('Données projet'!$B$16,Paramètres!$A$1:$I$88,3,0)*0.475*44/12</f>
        <v>#N/A</v>
      </c>
      <c r="FS155" s="23" t="e">
        <f>EXP(-LN(2)/2)*FS154+(1-EXP(-LN(2)/2))/(LN(2)/2)*FM155*FP155*VLOOKUP('Données projet'!$B$16,Paramètres!$A$1:$I$88,3,0)*0.475*44/12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projet'!$B$17,Paramètres!$A$1:$I$88,3,0)*VLOOKUP('Données projet'!$B$17,Paramètres!$A$1:$I$88,5,0)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projet'!$B$17,Paramètres!$A$1:$I$88,3,0)*0.475*44/12</f>
        <v>#N/A</v>
      </c>
      <c r="GM155" s="23" t="e">
        <f>EXP(-LN(2)/25)*GM154+(1-EXP(-LN(2)/25))/(LN(2)/25)*Calculateur!GH155*Calculateur!GJ155*VLOOKUP('Données projet'!$B$17,Paramètres!$A$1:$I$88,3,0)*0.475*44/12</f>
        <v>#N/A</v>
      </c>
      <c r="GN155" s="23" t="e">
        <f>EXP(-LN(2)/2)*GN154+(1-EXP(-LN(2)/2))/(LN(2)/2)*GH155*GK155*VLOOKUP('Données projet'!$B$17,Paramètres!$A$1:$I$88,3,0)*0.475*44/12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projet'!$B$18,Paramètres!$A$1:$I$88,3,0)*VLOOKUP('Données projet'!$B$18,Paramètres!$A$1:$I$88,5,0)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projet'!$B$18,Paramètres!$A$1:$I$88,3,0)*0.475*44/12</f>
        <v>#N/A</v>
      </c>
      <c r="HH155" s="23" t="e">
        <f>EXP(-LN(2)/25)*HH154+(1-EXP(-LN(2)/25))/(LN(2)/25)*Calculateur!HC155*Calculateur!HE155*VLOOKUP('Données projet'!$B$18,Paramètres!$A$1:$I$88,3,0)*0.475*44/12</f>
        <v>#N/A</v>
      </c>
      <c r="HI155" s="23" t="e">
        <f>EXP(-LN(2)/2)*HI154+(1-EXP(-LN(2)/2))/(LN(2)/2)*HC155*HF155*VLOOKUP('Données projet'!$B$18,Paramètres!$A$1:$I$88,3,0)*0.475*44/12</f>
        <v>#N/A</v>
      </c>
      <c r="HJ155" s="24" t="e">
        <f t="shared" si="190"/>
        <v>#N/A</v>
      </c>
    </row>
    <row r="156" spans="1:218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projet'!$B$9,Paramètres!$A$1:$I$88,3,0)*VLOOKUP('Données projet'!$B$9,Paramètres!$A$1:$I$88,5,0)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287.03264548950108</v>
      </c>
      <c r="S156" s="62">
        <f ca="1">AVERAGE(OFFSET($R$3,0,0,'Données projet'!$E$9+1,1))-AVERAGE(OFFSET($H$3,0,0,'Données projet'!$E$9+1,1))</f>
        <v>301.2688576786212</v>
      </c>
      <c r="T156" s="62">
        <f t="shared" si="142"/>
        <v>417.62172165132927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projet'!$B$9,Paramètres!$A$1:$I$88,7,0))</f>
        <v>0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19.611978695961234</v>
      </c>
      <c r="AA156" s="23">
        <f>EXP(-LN(2)/25)*AA155+(1-EXP(-LN(2)/25))/(LN(2)/25)*Calculateur!V156*Calculateur!X156*VLOOKUP('Données projet'!$B$9,Paramètres!$A$1:$I$88,3,0)*0.475*44/12</f>
        <v>2.8611580978802738</v>
      </c>
      <c r="AB156" s="23">
        <f>EXP(-LN(2)/2)*AB155+(1-EXP(-LN(2)/2))/(LN(2)/2)*V156*Y156*VLOOKUP('Données projet'!$B$9,Paramètres!$A$1:$I$88,3,0)*0.475*44/12</f>
        <v>9.2487231696370683E-15</v>
      </c>
      <c r="AC156" s="24">
        <f t="shared" si="163"/>
        <v>22.473136793841519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projet'!$B$10,Paramètres!$A$1:$I$88,3,0)*VLOOKUP('Données projet'!$B$10,Paramètres!$A$1:$I$88,5,0)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170.08673939431091</v>
      </c>
      <c r="AO156" s="62">
        <f t="shared" si="144"/>
        <v>252.97355497077106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projet'!$B$10,Paramètres!$A$1:$I$88,3,0)*0.475*44/12</f>
        <v>8.1885400819794079</v>
      </c>
      <c r="AV156" s="23">
        <f>EXP(-LN(2)/25)*AV155+(1-EXP(-LN(2)/25))/(LN(2)/25)*Calculateur!AQ156*Calculateur!AS156*VLOOKUP('Données projet'!$B$10,Paramètres!$A$1:$I$88,3,0)*0.475*44/12</f>
        <v>2.8999365784154181</v>
      </c>
      <c r="AW156" s="23">
        <f>EXP(-LN(2)/2)*AW155+(1-EXP(-LN(2)/2))/(LN(2)/2)*AQ156*AT156*VLOOKUP('Données projet'!$B$10,Paramètres!$A$1:$I$88,3,0)*0.475*44/12</f>
        <v>1.1846870830219628E-14</v>
      </c>
      <c r="AX156" s="23">
        <f t="shared" si="166"/>
        <v>11.088476660394837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-1.1368683772161603E-13</v>
      </c>
      <c r="BE156" s="14">
        <f>BD156*VLOOKUP('Données projet'!$B$11,Paramètres!$A$1:$I$88,3,0)*VLOOKUP('Données projet'!$B$11,Paramètres!$A$1:$I$88,5,0)</f>
        <v>-1.0286385077051818E-13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362.63718589694594</v>
      </c>
      <c r="BJ156" s="62">
        <f t="shared" si="146"/>
        <v>250.47702091764884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projet'!$B$11,Paramètres!$A$1:$I$88,7,0))</f>
        <v>0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projet'!$B$11,Paramètres!$A$1:$I$88,3,0)*0.475*44/12</f>
        <v>44.662262760888467</v>
      </c>
      <c r="BQ156" s="23">
        <f>EXP(-LN(2)/25)*BQ155+(1-EXP(-LN(2)/25))/(LN(2)/25)*Calculateur!BL156*Calculateur!BN156*VLOOKUP('Données projet'!$B$11,Paramètres!$A$1:$I$88,3,0)*0.475*44/12</f>
        <v>0</v>
      </c>
      <c r="BR156" s="23">
        <f>EXP(-LN(2)/2)*BR155+(1-EXP(-LN(2)/2))/(LN(2)/2)*BL156*BO156*VLOOKUP('Données projet'!$B$11,Paramètres!$A$1:$I$88,3,0)*0.475*44/12</f>
        <v>0</v>
      </c>
      <c r="BS156" s="24">
        <f t="shared" si="169"/>
        <v>44.662262760888467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-1.1368683772161603E-13</v>
      </c>
      <c r="BZ156" s="14">
        <f>BY156*VLOOKUP('Données projet'!$B$12,Paramètres!$A$1:$I$88,3,0)*VLOOKUP('Données projet'!$B$12,Paramètres!$A$1:$I$88,5,0)</f>
        <v>-1.1527845344971866E-13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398.14524781940196</v>
      </c>
      <c r="CE156" s="62">
        <f t="shared" si="148"/>
        <v>273.35778700650792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projet'!$B$12,Paramètres!$A$1:$I$88,3,0)*0.475*44/12</f>
        <v>50.052535852719842</v>
      </c>
      <c r="CL156" s="23">
        <f>EXP(-LN(2)/25)*CL155+(1-EXP(-LN(2)/25))/(LN(2)/25)*Calculateur!CG156*Calculateur!CI156*VLOOKUP('Données projet'!$B$12,Paramètres!$A$1:$I$88,3,0)*0.475*44/12</f>
        <v>0</v>
      </c>
      <c r="CM156" s="23">
        <f>EXP(-LN(2)/2)*CM155+(1-EXP(-LN(2)/2))/(LN(2)/2)*CG156*CJ156*VLOOKUP('Données projet'!$B$12,Paramètres!$A$1:$I$88,3,0)*0.475*44/12</f>
        <v>0</v>
      </c>
      <c r="CN156" s="24">
        <f t="shared" si="172"/>
        <v>50.052535852719842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118</v>
      </c>
      <c r="CU156" s="18">
        <f>CT156*VLOOKUP('Données projet'!$B$13,Paramètres!$A$1:$I$88,3,0)*VLOOKUP('Données projet'!$B$13,Paramètres!$A$1:$I$88,5,0)</f>
        <v>112.28880000000001</v>
      </c>
      <c r="CV156" s="14">
        <f t="shared" si="173"/>
        <v>29.869595672288149</v>
      </c>
      <c r="CW156" s="22">
        <f t="shared" si="174"/>
        <v>247.59253912923518</v>
      </c>
      <c r="CX156" s="62">
        <f t="shared" si="122"/>
        <v>534.62518461873515</v>
      </c>
      <c r="CY156" s="62">
        <f ca="1">AVERAGE(OFFSET($CX$3,0,0,'Données projet'!$E$13+1,1))-AVERAGE(OFFSET($H$3,0,0,'Données projet'!$E$13+1,1))</f>
        <v>470.0521927195926</v>
      </c>
      <c r="CZ156" s="62">
        <f t="shared" si="150"/>
        <v>299.27200854723435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projet'!$B$13,Paramètres!$A$1:$I$88,3,0)*0.475*44/12</f>
        <v>46.972379800244788</v>
      </c>
      <c r="DG156" s="23">
        <f>EXP(-LN(2)/25)*DG155+(1-EXP(-LN(2)/25))/(LN(2)/25)*Calculateur!DB156*Calculateur!DD156*VLOOKUP('Données projet'!$B$13,Paramètres!$A$1:$I$88,3,0)*0.475*44/12</f>
        <v>0</v>
      </c>
      <c r="DH156" s="23">
        <f>EXP(-LN(2)/2)*DH155+(1-EXP(-LN(2)/2))/(LN(2)/2)*DB156*DE156*VLOOKUP('Données projet'!$B$13,Paramètres!$A$1:$I$88,3,0)*0.475*44/12</f>
        <v>0</v>
      </c>
      <c r="DI156" s="24">
        <f t="shared" si="175"/>
        <v>46.972379800244788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-1.4210854715202004E-13</v>
      </c>
      <c r="DP156" s="18">
        <f>DO156*VLOOKUP('Données projet'!$B$14,Paramètres!$A$1:$I$88,3,0)*VLOOKUP('Données projet'!$B$14,Paramètres!$A$1:$I$88,5,0)</f>
        <v>-1.3744738680543379E-13</v>
      </c>
      <c r="DQ156" s="14" t="e">
        <f t="shared" si="176"/>
        <v>#NUM!</v>
      </c>
      <c r="DR156" s="22" t="e">
        <f t="shared" si="177"/>
        <v>#NUM!</v>
      </c>
      <c r="DS156" s="62" t="e">
        <f t="shared" si="125"/>
        <v>#NUM!</v>
      </c>
      <c r="DT156" s="62">
        <f ca="1">AVERAGE(OFFSET($DS$3,0,0,'Données projet'!$E$14+1,1))-AVERAGE(OFFSET($H$3,0,0,'Données projet'!$E$14+1,1))</f>
        <v>290.89727102147953</v>
      </c>
      <c r="DU156" s="62">
        <f t="shared" si="152"/>
        <v>173.19148969173838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projet'!$B$14,Paramètres!$A$1:$I$88,3,0)*0.475*44/12</f>
        <v>35.691038746559883</v>
      </c>
      <c r="EB156" s="23">
        <f>EXP(-LN(2)/25)*EB155+(1-EXP(-LN(2)/25))/(LN(2)/25)*Calculateur!DW156*Calculateur!DY156*VLOOKUP('Données projet'!$B$14,Paramètres!$A$1:$I$88,3,0)*0.475*44/12</f>
        <v>0</v>
      </c>
      <c r="EC156" s="23">
        <f>EXP(-LN(2)/2)*EC155+(1-EXP(-LN(2)/2))/(LN(2)/2)*DW156*DZ156*VLOOKUP('Données projet'!$B$14,Paramètres!$A$1:$I$88,3,0)*0.475*44/12</f>
        <v>0</v>
      </c>
      <c r="ED156" s="24">
        <f t="shared" si="178"/>
        <v>35.691038746559883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projet'!$B$15,Paramètres!$A$1:$I$88,3,0)*VLOOKUP('Données projet'!$B$15,Paramètres!$A$1:$I$88,5,0)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projet'!$B$15,Paramètres!$A$1:$I$88,3,0)*0.475*44/12</f>
        <v>#N/A</v>
      </c>
      <c r="EW156" s="23" t="e">
        <f>EXP(-LN(2)/25)*EW155+(1-EXP(-LN(2)/25))/(LN(2)/25)*Calculateur!ER156*Calculateur!ET156*VLOOKUP('Données projet'!$B$15,Paramètres!$A$1:$I$88,3,0)*0.475*44/12</f>
        <v>#N/A</v>
      </c>
      <c r="EX156" s="23" t="e">
        <f>EXP(-LN(2)/2)*EX155+(1-EXP(-LN(2)/2))/(LN(2)/2)*ER156*EU156*VLOOKUP('Données projet'!$B$15,Paramètres!$A$1:$I$88,3,0)*0.475*44/12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projet'!$B$16,Paramètres!$A$1:$I$88,3,0)*VLOOKUP('Données projet'!$B$16,Paramètres!$A$1:$I$88,5,0)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projet'!$B$16,Paramètres!$A$1:$I$88,3,0)*0.475*44/12</f>
        <v>#N/A</v>
      </c>
      <c r="FR156" s="23" t="e">
        <f>EXP(-LN(2)/25)*FR155+(1-EXP(-LN(2)/25))/(LN(2)/25)*Calculateur!FM156*Calculateur!FO156*VLOOKUP('Données projet'!$B$16,Paramètres!$A$1:$I$88,3,0)*0.475*44/12</f>
        <v>#N/A</v>
      </c>
      <c r="FS156" s="23" t="e">
        <f>EXP(-LN(2)/2)*FS155+(1-EXP(-LN(2)/2))/(LN(2)/2)*FM156*FP156*VLOOKUP('Données projet'!$B$16,Paramètres!$A$1:$I$88,3,0)*0.475*44/12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projet'!$B$17,Paramètres!$A$1:$I$88,3,0)*VLOOKUP('Données projet'!$B$17,Paramètres!$A$1:$I$88,5,0)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projet'!$B$17,Paramètres!$A$1:$I$88,3,0)*0.475*44/12</f>
        <v>#N/A</v>
      </c>
      <c r="GM156" s="23" t="e">
        <f>EXP(-LN(2)/25)*GM155+(1-EXP(-LN(2)/25))/(LN(2)/25)*Calculateur!GH156*Calculateur!GJ156*VLOOKUP('Données projet'!$B$17,Paramètres!$A$1:$I$88,3,0)*0.475*44/12</f>
        <v>#N/A</v>
      </c>
      <c r="GN156" s="23" t="e">
        <f>EXP(-LN(2)/2)*GN155+(1-EXP(-LN(2)/2))/(LN(2)/2)*GH156*GK156*VLOOKUP('Données projet'!$B$17,Paramètres!$A$1:$I$88,3,0)*0.475*44/12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projet'!$B$18,Paramètres!$A$1:$I$88,3,0)*VLOOKUP('Données projet'!$B$18,Paramètres!$A$1:$I$88,5,0)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projet'!$B$18,Paramètres!$A$1:$I$88,3,0)*0.475*44/12</f>
        <v>#N/A</v>
      </c>
      <c r="HH156" s="23" t="e">
        <f>EXP(-LN(2)/25)*HH155+(1-EXP(-LN(2)/25))/(LN(2)/25)*Calculateur!HC156*Calculateur!HE156*VLOOKUP('Données projet'!$B$18,Paramètres!$A$1:$I$88,3,0)*0.475*44/12</f>
        <v>#N/A</v>
      </c>
      <c r="HI156" s="23" t="e">
        <f>EXP(-LN(2)/2)*HI155+(1-EXP(-LN(2)/2))/(LN(2)/2)*HC156*HF156*VLOOKUP('Données projet'!$B$18,Paramètres!$A$1:$I$88,3,0)*0.475*44/12</f>
        <v>#N/A</v>
      </c>
      <c r="HJ156" s="24" t="e">
        <f t="shared" si="190"/>
        <v>#N/A</v>
      </c>
    </row>
    <row r="157" spans="1:218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projet'!$B$9,Paramètres!$A$1:$I$88,3,0)*VLOOKUP('Données projet'!$B$9,Paramètres!$A$1:$I$88,5,0)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287.14194833736383</v>
      </c>
      <c r="S157" s="62">
        <f ca="1">AVERAGE(OFFSET($R$3,0,0,'Données projet'!$E$9+1,1))-AVERAGE(OFFSET($H$3,0,0,'Données projet'!$E$9+1,1))</f>
        <v>301.2688576786212</v>
      </c>
      <c r="T157" s="62">
        <f t="shared" si="142"/>
        <v>417.62172165132927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19.227399755859278</v>
      </c>
      <c r="AA157" s="23">
        <f>EXP(-LN(2)/25)*AA156+(1-EXP(-LN(2)/25))/(LN(2)/25)*Calculateur!V157*Calculateur!X157*VLOOKUP('Données projet'!$B$9,Paramètres!$A$1:$I$88,3,0)*0.475*44/12</f>
        <v>2.7829195792319728</v>
      </c>
      <c r="AB157" s="23">
        <f>EXP(-LN(2)/2)*AB156+(1-EXP(-LN(2)/2))/(LN(2)/2)*V157*Y157*VLOOKUP('Données projet'!$B$9,Paramètres!$A$1:$I$88,3,0)*0.475*44/12</f>
        <v>6.5398348705675108E-15</v>
      </c>
      <c r="AC157" s="24">
        <f t="shared" si="163"/>
        <v>22.010319335091257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projet'!$B$10,Paramètres!$A$1:$I$88,3,0)*VLOOKUP('Données projet'!$B$10,Paramètres!$A$1:$I$88,5,0)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170.08673939431091</v>
      </c>
      <c r="AO157" s="62">
        <f t="shared" si="144"/>
        <v>252.97355497077106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projet'!$B$10,Paramètres!$A$1:$I$88,3,0)*0.475*44/12</f>
        <v>8.0279678054880748</v>
      </c>
      <c r="AV157" s="23">
        <f>EXP(-LN(2)/25)*AV156+(1-EXP(-LN(2)/25))/(LN(2)/25)*Calculateur!AQ157*Calculateur!AS157*VLOOKUP('Données projet'!$B$10,Paramètres!$A$1:$I$88,3,0)*0.475*44/12</f>
        <v>2.8206376601776117</v>
      </c>
      <c r="AW157" s="23">
        <f>EXP(-LN(2)/2)*AW156+(1-EXP(-LN(2)/2))/(LN(2)/2)*AQ157*AT157*VLOOKUP('Données projet'!$B$10,Paramètres!$A$1:$I$88,3,0)*0.475*44/12</f>
        <v>8.377002699889403E-15</v>
      </c>
      <c r="AX157" s="23">
        <f t="shared" si="166"/>
        <v>10.848605465665695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-1.1368683772161603E-13</v>
      </c>
      <c r="BE157" s="14">
        <f>BD157*VLOOKUP('Données projet'!$B$11,Paramètres!$A$1:$I$88,3,0)*VLOOKUP('Données projet'!$B$11,Paramètres!$A$1:$I$88,5,0)</f>
        <v>-1.0286385077051818E-13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362.63718589694594</v>
      </c>
      <c r="BJ157" s="62">
        <f t="shared" si="146"/>
        <v>250.47702091764884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projet'!$B$11,Paramètres!$A$1:$I$88,3,0)*0.475*44/12</f>
        <v>43.786463029437876</v>
      </c>
      <c r="BQ157" s="23">
        <f>EXP(-LN(2)/25)*BQ156+(1-EXP(-LN(2)/25))/(LN(2)/25)*Calculateur!BL157*Calculateur!BN157*VLOOKUP('Données projet'!$B$11,Paramètres!$A$1:$I$88,3,0)*0.475*44/12</f>
        <v>0</v>
      </c>
      <c r="BR157" s="23">
        <f>EXP(-LN(2)/2)*BR156+(1-EXP(-LN(2)/2))/(LN(2)/2)*BL157*BO157*VLOOKUP('Données projet'!$B$11,Paramètres!$A$1:$I$88,3,0)*0.475*44/12</f>
        <v>0</v>
      </c>
      <c r="BS157" s="24">
        <f t="shared" si="169"/>
        <v>43.786463029437876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-1.1368683772161603E-13</v>
      </c>
      <c r="BZ157" s="14">
        <f>BY157*VLOOKUP('Données projet'!$B$12,Paramètres!$A$1:$I$88,3,0)*VLOOKUP('Données projet'!$B$12,Paramètres!$A$1:$I$88,5,0)</f>
        <v>-1.1527845344971866E-13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398.14524781940196</v>
      </c>
      <c r="CE157" s="62">
        <f t="shared" si="148"/>
        <v>273.35778700650792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projet'!$B$12,Paramètres!$A$1:$I$88,3,0)*0.475*44/12</f>
        <v>49.071036153680382</v>
      </c>
      <c r="CL157" s="23">
        <f>EXP(-LN(2)/25)*CL156+(1-EXP(-LN(2)/25))/(LN(2)/25)*Calculateur!CG157*Calculateur!CI157*VLOOKUP('Données projet'!$B$12,Paramètres!$A$1:$I$88,3,0)*0.475*44/12</f>
        <v>0</v>
      </c>
      <c r="CM157" s="23">
        <f>EXP(-LN(2)/2)*CM156+(1-EXP(-LN(2)/2))/(LN(2)/2)*CG157*CJ157*VLOOKUP('Données projet'!$B$12,Paramètres!$A$1:$I$88,3,0)*0.475*44/12</f>
        <v>0</v>
      </c>
      <c r="CN157" s="24">
        <f t="shared" si="172"/>
        <v>49.071036153680382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118</v>
      </c>
      <c r="CU157" s="18">
        <f>CT157*VLOOKUP('Données projet'!$B$13,Paramètres!$A$1:$I$88,3,0)*VLOOKUP('Données projet'!$B$13,Paramètres!$A$1:$I$88,5,0)</f>
        <v>112.28880000000001</v>
      </c>
      <c r="CV157" s="14">
        <f t="shared" si="173"/>
        <v>29.869595672288149</v>
      </c>
      <c r="CW157" s="22">
        <f t="shared" si="174"/>
        <v>247.59253912923518</v>
      </c>
      <c r="CX157" s="62">
        <f t="shared" si="122"/>
        <v>534.7344874665979</v>
      </c>
      <c r="CY157" s="62">
        <f ca="1">AVERAGE(OFFSET($CX$3,0,0,'Données projet'!$E$13+1,1))-AVERAGE(OFFSET($H$3,0,0,'Données projet'!$E$13+1,1))</f>
        <v>470.0521927195926</v>
      </c>
      <c r="CZ157" s="62">
        <f t="shared" si="150"/>
        <v>299.27200854723435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projet'!$B$13,Paramètres!$A$1:$I$88,3,0)*0.475*44/12</f>
        <v>46.051280082684684</v>
      </c>
      <c r="DG157" s="23">
        <f>EXP(-LN(2)/25)*DG156+(1-EXP(-LN(2)/25))/(LN(2)/25)*Calculateur!DB157*Calculateur!DD157*VLOOKUP('Données projet'!$B$13,Paramètres!$A$1:$I$88,3,0)*0.475*44/12</f>
        <v>0</v>
      </c>
      <c r="DH157" s="23">
        <f>EXP(-LN(2)/2)*DH156+(1-EXP(-LN(2)/2))/(LN(2)/2)*DB157*DE157*VLOOKUP('Données projet'!$B$13,Paramètres!$A$1:$I$88,3,0)*0.475*44/12</f>
        <v>0</v>
      </c>
      <c r="DI157" s="24">
        <f t="shared" si="175"/>
        <v>46.051280082684684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-1.4210854715202004E-13</v>
      </c>
      <c r="DP157" s="18">
        <f>DO157*VLOOKUP('Données projet'!$B$14,Paramètres!$A$1:$I$88,3,0)*VLOOKUP('Données projet'!$B$14,Paramètres!$A$1:$I$88,5,0)</f>
        <v>-1.3744738680543379E-13</v>
      </c>
      <c r="DQ157" s="14" t="e">
        <f t="shared" si="176"/>
        <v>#NUM!</v>
      </c>
      <c r="DR157" s="22" t="e">
        <f t="shared" si="177"/>
        <v>#NUM!</v>
      </c>
      <c r="DS157" s="62" t="e">
        <f t="shared" si="125"/>
        <v>#NUM!</v>
      </c>
      <c r="DT157" s="62">
        <f ca="1">AVERAGE(OFFSET($DS$3,0,0,'Données projet'!$E$14+1,1))-AVERAGE(OFFSET($H$3,0,0,'Données projet'!$E$14+1,1))</f>
        <v>290.89727102147953</v>
      </c>
      <c r="DU157" s="62">
        <f t="shared" si="152"/>
        <v>173.19148969173838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projet'!$B$14,Paramètres!$A$1:$I$88,3,0)*0.475*44/12</f>
        <v>34.991159246123928</v>
      </c>
      <c r="EB157" s="23">
        <f>EXP(-LN(2)/25)*EB156+(1-EXP(-LN(2)/25))/(LN(2)/25)*Calculateur!DW157*Calculateur!DY157*VLOOKUP('Données projet'!$B$14,Paramètres!$A$1:$I$88,3,0)*0.475*44/12</f>
        <v>0</v>
      </c>
      <c r="EC157" s="23">
        <f>EXP(-LN(2)/2)*EC156+(1-EXP(-LN(2)/2))/(LN(2)/2)*DW157*DZ157*VLOOKUP('Données projet'!$B$14,Paramètres!$A$1:$I$88,3,0)*0.475*44/12</f>
        <v>0</v>
      </c>
      <c r="ED157" s="24">
        <f t="shared" si="178"/>
        <v>34.991159246123928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projet'!$B$15,Paramètres!$A$1:$I$88,3,0)*VLOOKUP('Données projet'!$B$15,Paramètres!$A$1:$I$88,5,0)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projet'!$B$15,Paramètres!$A$1:$I$88,3,0)*0.475*44/12</f>
        <v>#N/A</v>
      </c>
      <c r="EW157" s="23" t="e">
        <f>EXP(-LN(2)/25)*EW156+(1-EXP(-LN(2)/25))/(LN(2)/25)*Calculateur!ER157*Calculateur!ET157*VLOOKUP('Données projet'!$B$15,Paramètres!$A$1:$I$88,3,0)*0.475*44/12</f>
        <v>#N/A</v>
      </c>
      <c r="EX157" s="23" t="e">
        <f>EXP(-LN(2)/2)*EX156+(1-EXP(-LN(2)/2))/(LN(2)/2)*ER157*EU157*VLOOKUP('Données projet'!$B$15,Paramètres!$A$1:$I$88,3,0)*0.475*44/12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projet'!$B$16,Paramètres!$A$1:$I$88,3,0)*VLOOKUP('Données projet'!$B$16,Paramètres!$A$1:$I$88,5,0)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projet'!$B$16,Paramètres!$A$1:$I$88,3,0)*0.475*44/12</f>
        <v>#N/A</v>
      </c>
      <c r="FR157" s="23" t="e">
        <f>EXP(-LN(2)/25)*FR156+(1-EXP(-LN(2)/25))/(LN(2)/25)*Calculateur!FM157*Calculateur!FO157*VLOOKUP('Données projet'!$B$16,Paramètres!$A$1:$I$88,3,0)*0.475*44/12</f>
        <v>#N/A</v>
      </c>
      <c r="FS157" s="23" t="e">
        <f>EXP(-LN(2)/2)*FS156+(1-EXP(-LN(2)/2))/(LN(2)/2)*FM157*FP157*VLOOKUP('Données projet'!$B$16,Paramètres!$A$1:$I$88,3,0)*0.475*44/12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projet'!$B$17,Paramètres!$A$1:$I$88,3,0)*VLOOKUP('Données projet'!$B$17,Paramètres!$A$1:$I$88,5,0)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projet'!$B$17,Paramètres!$A$1:$I$88,3,0)*0.475*44/12</f>
        <v>#N/A</v>
      </c>
      <c r="GM157" s="23" t="e">
        <f>EXP(-LN(2)/25)*GM156+(1-EXP(-LN(2)/25))/(LN(2)/25)*Calculateur!GH157*Calculateur!GJ157*VLOOKUP('Données projet'!$B$17,Paramètres!$A$1:$I$88,3,0)*0.475*44/12</f>
        <v>#N/A</v>
      </c>
      <c r="GN157" s="23" t="e">
        <f>EXP(-LN(2)/2)*GN156+(1-EXP(-LN(2)/2))/(LN(2)/2)*GH157*GK157*VLOOKUP('Données projet'!$B$17,Paramètres!$A$1:$I$88,3,0)*0.475*44/12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projet'!$B$18,Paramètres!$A$1:$I$88,3,0)*VLOOKUP('Données projet'!$B$18,Paramètres!$A$1:$I$88,5,0)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projet'!$B$18,Paramètres!$A$1:$I$88,3,0)*0.475*44/12</f>
        <v>#N/A</v>
      </c>
      <c r="HH157" s="23" t="e">
        <f>EXP(-LN(2)/25)*HH156+(1-EXP(-LN(2)/25))/(LN(2)/25)*Calculateur!HC157*Calculateur!HE157*VLOOKUP('Données projet'!$B$18,Paramètres!$A$1:$I$88,3,0)*0.475*44/12</f>
        <v>#N/A</v>
      </c>
      <c r="HI157" s="23" t="e">
        <f>EXP(-LN(2)/2)*HI156+(1-EXP(-LN(2)/2))/(LN(2)/2)*HC157*HF157*VLOOKUP('Données projet'!$B$18,Paramètres!$A$1:$I$88,3,0)*0.475*44/12</f>
        <v>#N/A</v>
      </c>
      <c r="HJ157" s="24" t="e">
        <f t="shared" si="190"/>
        <v>#N/A</v>
      </c>
    </row>
    <row r="158" spans="1:218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projet'!$B$9,Paramètres!$A$1:$I$88,3,0)*VLOOKUP('Données projet'!$B$9,Paramètres!$A$1:$I$88,5,0)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287.24935502518076</v>
      </c>
      <c r="S158" s="62">
        <f ca="1">AVERAGE(OFFSET($R$3,0,0,'Données projet'!$E$9+1,1))-AVERAGE(OFFSET($H$3,0,0,'Données projet'!$E$9+1,1))</f>
        <v>301.2688576786212</v>
      </c>
      <c r="T158" s="62">
        <f t="shared" si="142"/>
        <v>417.62172165132927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18.850362174202729</v>
      </c>
      <c r="AA158" s="23">
        <f>EXP(-LN(2)/25)*AA157+(1-EXP(-LN(2)/25))/(LN(2)/25)*Calculateur!V158*Calculateur!X158*VLOOKUP('Données projet'!$B$9,Paramètres!$A$1:$I$88,3,0)*0.475*44/12</f>
        <v>2.7068204969904941</v>
      </c>
      <c r="AB158" s="23">
        <f>EXP(-LN(2)/2)*AB157+(1-EXP(-LN(2)/2))/(LN(2)/2)*V158*Y158*VLOOKUP('Données projet'!$B$9,Paramètres!$A$1:$I$88,3,0)*0.475*44/12</f>
        <v>4.6243615848185342E-15</v>
      </c>
      <c r="AC158" s="24">
        <f t="shared" si="163"/>
        <v>21.557182671193228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projet'!$B$10,Paramètres!$A$1:$I$88,3,0)*VLOOKUP('Données projet'!$B$10,Paramètres!$A$1:$I$88,5,0)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170.08673939431091</v>
      </c>
      <c r="AO158" s="62">
        <f t="shared" si="144"/>
        <v>252.97355497077106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projet'!$B$10,Paramètres!$A$1:$I$88,3,0)*0.475*44/12</f>
        <v>7.8705442533993182</v>
      </c>
      <c r="AV158" s="23">
        <f>EXP(-LN(2)/25)*AV157+(1-EXP(-LN(2)/25))/(LN(2)/25)*Calculateur!AQ158*Calculateur!AS158*VLOOKUP('Données projet'!$B$10,Paramètres!$A$1:$I$88,3,0)*0.475*44/12</f>
        <v>2.7435071750291669</v>
      </c>
      <c r="AW158" s="23">
        <f>EXP(-LN(2)/2)*AW157+(1-EXP(-LN(2)/2))/(LN(2)/2)*AQ158*AT158*VLOOKUP('Données projet'!$B$10,Paramètres!$A$1:$I$88,3,0)*0.475*44/12</f>
        <v>5.9234354151098141E-15</v>
      </c>
      <c r="AX158" s="23">
        <f t="shared" si="166"/>
        <v>10.614051428428491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-1.1368683772161603E-13</v>
      </c>
      <c r="BE158" s="14">
        <f>BD158*VLOOKUP('Données projet'!$B$11,Paramètres!$A$1:$I$88,3,0)*VLOOKUP('Données projet'!$B$11,Paramètres!$A$1:$I$88,5,0)</f>
        <v>-1.0286385077051818E-13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362.63718589694594</v>
      </c>
      <c r="BJ158" s="62">
        <f t="shared" si="146"/>
        <v>250.47702091764884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projet'!$B$11,Paramètres!$A$1:$I$88,3,0)*0.475*44/12</f>
        <v>42.92783719653594</v>
      </c>
      <c r="BQ158" s="23">
        <f>EXP(-LN(2)/25)*BQ157+(1-EXP(-LN(2)/25))/(LN(2)/25)*Calculateur!BL158*Calculateur!BN158*VLOOKUP('Données projet'!$B$11,Paramètres!$A$1:$I$88,3,0)*0.475*44/12</f>
        <v>0</v>
      </c>
      <c r="BR158" s="23">
        <f>EXP(-LN(2)/2)*BR157+(1-EXP(-LN(2)/2))/(LN(2)/2)*BL158*BO158*VLOOKUP('Données projet'!$B$11,Paramètres!$A$1:$I$88,3,0)*0.475*44/12</f>
        <v>0</v>
      </c>
      <c r="BS158" s="24">
        <f t="shared" si="169"/>
        <v>42.92783719653594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-1.1368683772161603E-13</v>
      </c>
      <c r="BZ158" s="14">
        <f>BY158*VLOOKUP('Données projet'!$B$12,Paramètres!$A$1:$I$88,3,0)*VLOOKUP('Données projet'!$B$12,Paramètres!$A$1:$I$88,5,0)</f>
        <v>-1.1527845344971866E-13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398.14524781940196</v>
      </c>
      <c r="CE158" s="62">
        <f t="shared" si="148"/>
        <v>273.35778700650792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projet'!$B$12,Paramètres!$A$1:$I$88,3,0)*0.475*44/12</f>
        <v>48.108783065083387</v>
      </c>
      <c r="CL158" s="23">
        <f>EXP(-LN(2)/25)*CL157+(1-EXP(-LN(2)/25))/(LN(2)/25)*Calculateur!CG158*Calculateur!CI158*VLOOKUP('Données projet'!$B$12,Paramètres!$A$1:$I$88,3,0)*0.475*44/12</f>
        <v>0</v>
      </c>
      <c r="CM158" s="23">
        <f>EXP(-LN(2)/2)*CM157+(1-EXP(-LN(2)/2))/(LN(2)/2)*CG158*CJ158*VLOOKUP('Données projet'!$B$12,Paramètres!$A$1:$I$88,3,0)*0.475*44/12</f>
        <v>0</v>
      </c>
      <c r="CN158" s="24">
        <f t="shared" si="172"/>
        <v>48.108783065083387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118</v>
      </c>
      <c r="CU158" s="18">
        <f>CT158*VLOOKUP('Données projet'!$B$13,Paramètres!$A$1:$I$88,3,0)*VLOOKUP('Données projet'!$B$13,Paramètres!$A$1:$I$88,5,0)</f>
        <v>112.28880000000001</v>
      </c>
      <c r="CV158" s="14">
        <f t="shared" si="173"/>
        <v>29.869595672288149</v>
      </c>
      <c r="CW158" s="22">
        <f t="shared" si="174"/>
        <v>247.59253912923518</v>
      </c>
      <c r="CX158" s="62">
        <f t="shared" si="122"/>
        <v>534.84189415441483</v>
      </c>
      <c r="CY158" s="62">
        <f ca="1">AVERAGE(OFFSET($CX$3,0,0,'Données projet'!$E$13+1,1))-AVERAGE(OFFSET($H$3,0,0,'Données projet'!$E$13+1,1))</f>
        <v>470.0521927195926</v>
      </c>
      <c r="CZ158" s="62">
        <f t="shared" si="150"/>
        <v>299.27200854723435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projet'!$B$13,Paramètres!$A$1:$I$88,3,0)*0.475*44/12</f>
        <v>45.148242568770577</v>
      </c>
      <c r="DG158" s="23">
        <f>EXP(-LN(2)/25)*DG157+(1-EXP(-LN(2)/25))/(LN(2)/25)*Calculateur!DB158*Calculateur!DD158*VLOOKUP('Données projet'!$B$13,Paramètres!$A$1:$I$88,3,0)*0.475*44/12</f>
        <v>0</v>
      </c>
      <c r="DH158" s="23">
        <f>EXP(-LN(2)/2)*DH157+(1-EXP(-LN(2)/2))/(LN(2)/2)*DB158*DE158*VLOOKUP('Données projet'!$B$13,Paramètres!$A$1:$I$88,3,0)*0.475*44/12</f>
        <v>0</v>
      </c>
      <c r="DI158" s="24">
        <f t="shared" si="175"/>
        <v>45.148242568770577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-1.4210854715202004E-13</v>
      </c>
      <c r="DP158" s="18">
        <f>DO158*VLOOKUP('Données projet'!$B$14,Paramètres!$A$1:$I$88,3,0)*VLOOKUP('Données projet'!$B$14,Paramètres!$A$1:$I$88,5,0)</f>
        <v>-1.3744738680543379E-13</v>
      </c>
      <c r="DQ158" s="14" t="e">
        <f t="shared" si="176"/>
        <v>#NUM!</v>
      </c>
      <c r="DR158" s="22" t="e">
        <f t="shared" si="177"/>
        <v>#NUM!</v>
      </c>
      <c r="DS158" s="62" t="e">
        <f t="shared" si="125"/>
        <v>#NUM!</v>
      </c>
      <c r="DT158" s="62">
        <f ca="1">AVERAGE(OFFSET($DS$3,0,0,'Données projet'!$E$14+1,1))-AVERAGE(OFFSET($H$3,0,0,'Données projet'!$E$14+1,1))</f>
        <v>290.89727102147953</v>
      </c>
      <c r="DU158" s="62">
        <f t="shared" si="152"/>
        <v>173.19148969173838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projet'!$B$14,Paramètres!$A$1:$I$88,3,0)*0.475*44/12</f>
        <v>34.30500395580718</v>
      </c>
      <c r="EB158" s="23">
        <f>EXP(-LN(2)/25)*EB157+(1-EXP(-LN(2)/25))/(LN(2)/25)*Calculateur!DW158*Calculateur!DY158*VLOOKUP('Données projet'!$B$14,Paramètres!$A$1:$I$88,3,0)*0.475*44/12</f>
        <v>0</v>
      </c>
      <c r="EC158" s="23">
        <f>EXP(-LN(2)/2)*EC157+(1-EXP(-LN(2)/2))/(LN(2)/2)*DW158*DZ158*VLOOKUP('Données projet'!$B$14,Paramètres!$A$1:$I$88,3,0)*0.475*44/12</f>
        <v>0</v>
      </c>
      <c r="ED158" s="24">
        <f t="shared" si="178"/>
        <v>34.30500395580718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projet'!$B$15,Paramètres!$A$1:$I$88,3,0)*VLOOKUP('Données projet'!$B$15,Paramètres!$A$1:$I$88,5,0)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projet'!$B$15,Paramètres!$A$1:$I$88,3,0)*0.475*44/12</f>
        <v>#N/A</v>
      </c>
      <c r="EW158" s="23" t="e">
        <f>EXP(-LN(2)/25)*EW157+(1-EXP(-LN(2)/25))/(LN(2)/25)*Calculateur!ER158*Calculateur!ET158*VLOOKUP('Données projet'!$B$15,Paramètres!$A$1:$I$88,3,0)*0.475*44/12</f>
        <v>#N/A</v>
      </c>
      <c r="EX158" s="23" t="e">
        <f>EXP(-LN(2)/2)*EX157+(1-EXP(-LN(2)/2))/(LN(2)/2)*ER158*EU158*VLOOKUP('Données projet'!$B$15,Paramètres!$A$1:$I$88,3,0)*0.475*44/12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projet'!$B$16,Paramètres!$A$1:$I$88,3,0)*VLOOKUP('Données projet'!$B$16,Paramètres!$A$1:$I$88,5,0)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projet'!$B$16,Paramètres!$A$1:$I$88,3,0)*0.475*44/12</f>
        <v>#N/A</v>
      </c>
      <c r="FR158" s="23" t="e">
        <f>EXP(-LN(2)/25)*FR157+(1-EXP(-LN(2)/25))/(LN(2)/25)*Calculateur!FM158*Calculateur!FO158*VLOOKUP('Données projet'!$B$16,Paramètres!$A$1:$I$88,3,0)*0.475*44/12</f>
        <v>#N/A</v>
      </c>
      <c r="FS158" s="23" t="e">
        <f>EXP(-LN(2)/2)*FS157+(1-EXP(-LN(2)/2))/(LN(2)/2)*FM158*FP158*VLOOKUP('Données projet'!$B$16,Paramètres!$A$1:$I$88,3,0)*0.475*44/12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projet'!$B$17,Paramètres!$A$1:$I$88,3,0)*VLOOKUP('Données projet'!$B$17,Paramètres!$A$1:$I$88,5,0)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projet'!$B$17,Paramètres!$A$1:$I$88,3,0)*0.475*44/12</f>
        <v>#N/A</v>
      </c>
      <c r="GM158" s="23" t="e">
        <f>EXP(-LN(2)/25)*GM157+(1-EXP(-LN(2)/25))/(LN(2)/25)*Calculateur!GH158*Calculateur!GJ158*VLOOKUP('Données projet'!$B$17,Paramètres!$A$1:$I$88,3,0)*0.475*44/12</f>
        <v>#N/A</v>
      </c>
      <c r="GN158" s="23" t="e">
        <f>EXP(-LN(2)/2)*GN157+(1-EXP(-LN(2)/2))/(LN(2)/2)*GH158*GK158*VLOOKUP('Données projet'!$B$17,Paramètres!$A$1:$I$88,3,0)*0.475*44/12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projet'!$B$18,Paramètres!$A$1:$I$88,3,0)*VLOOKUP('Données projet'!$B$18,Paramètres!$A$1:$I$88,5,0)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projet'!$B$18,Paramètres!$A$1:$I$88,3,0)*0.475*44/12</f>
        <v>#N/A</v>
      </c>
      <c r="HH158" s="23" t="e">
        <f>EXP(-LN(2)/25)*HH157+(1-EXP(-LN(2)/25))/(LN(2)/25)*Calculateur!HC158*Calculateur!HE158*VLOOKUP('Données projet'!$B$18,Paramètres!$A$1:$I$88,3,0)*0.475*44/12</f>
        <v>#N/A</v>
      </c>
      <c r="HI158" s="23" t="e">
        <f>EXP(-LN(2)/2)*HI157+(1-EXP(-LN(2)/2))/(LN(2)/2)*HC158*HF158*VLOOKUP('Données projet'!$B$18,Paramètres!$A$1:$I$88,3,0)*0.475*44/12</f>
        <v>#N/A</v>
      </c>
      <c r="HJ158" s="24" t="e">
        <f t="shared" si="190"/>
        <v>#N/A</v>
      </c>
    </row>
    <row r="159" spans="1:218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projet'!$B$9,Paramètres!$A$1:$I$88,3,0)*VLOOKUP('Données projet'!$B$9,Paramètres!$A$1:$I$88,5,0)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287.3548984470894</v>
      </c>
      <c r="S159" s="62">
        <f ca="1">AVERAGE(OFFSET($R$3,0,0,'Données projet'!$E$9+1,1))-AVERAGE(OFFSET($H$3,0,0,'Données projet'!$E$9+1,1))</f>
        <v>301.2688576786212</v>
      </c>
      <c r="T159" s="62">
        <f t="shared" si="142"/>
        <v>417.62172165132927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18.480718069552246</v>
      </c>
      <c r="AA159" s="23">
        <f>EXP(-LN(2)/25)*AA158+(1-EXP(-LN(2)/25))/(LN(2)/25)*Calculateur!V159*Calculateur!X159*VLOOKUP('Données projet'!$B$9,Paramètres!$A$1:$I$88,3,0)*0.475*44/12</f>
        <v>2.6328023481547858</v>
      </c>
      <c r="AB159" s="23">
        <f>EXP(-LN(2)/2)*AB158+(1-EXP(-LN(2)/2))/(LN(2)/2)*V159*Y159*VLOOKUP('Données projet'!$B$9,Paramètres!$A$1:$I$88,3,0)*0.475*44/12</f>
        <v>3.2699174352837554E-15</v>
      </c>
      <c r="AC159" s="24">
        <f t="shared" si="163"/>
        <v>21.113520417707036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projet'!$B$10,Paramètres!$A$1:$I$88,3,0)*VLOOKUP('Données projet'!$B$10,Paramètres!$A$1:$I$88,5,0)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170.08673939431091</v>
      </c>
      <c r="AO159" s="62">
        <f t="shared" si="144"/>
        <v>252.97355497077106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projet'!$B$10,Paramètres!$A$1:$I$88,3,0)*0.475*44/12</f>
        <v>7.7162076811481368</v>
      </c>
      <c r="AV159" s="23">
        <f>EXP(-LN(2)/25)*AV158+(1-EXP(-LN(2)/25))/(LN(2)/25)*Calculateur!AQ159*Calculateur!AS159*VLOOKUP('Données projet'!$B$10,Paramètres!$A$1:$I$88,3,0)*0.475*44/12</f>
        <v>2.6684858270532223</v>
      </c>
      <c r="AW159" s="23">
        <f>EXP(-LN(2)/2)*AW158+(1-EXP(-LN(2)/2))/(LN(2)/2)*AQ159*AT159*VLOOKUP('Données projet'!$B$10,Paramètres!$A$1:$I$88,3,0)*0.475*44/12</f>
        <v>4.1885013499447015E-15</v>
      </c>
      <c r="AX159" s="23">
        <f t="shared" si="166"/>
        <v>10.384693508201362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-1.1368683772161603E-13</v>
      </c>
      <c r="BE159" s="14">
        <f>BD159*VLOOKUP('Données projet'!$B$11,Paramètres!$A$1:$I$88,3,0)*VLOOKUP('Données projet'!$B$11,Paramètres!$A$1:$I$88,5,0)</f>
        <v>-1.0286385077051818E-13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362.63718589694594</v>
      </c>
      <c r="BJ159" s="62">
        <f t="shared" si="146"/>
        <v>250.47702091764884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projet'!$B$11,Paramètres!$A$1:$I$88,3,0)*0.475*44/12</f>
        <v>42.086048492507167</v>
      </c>
      <c r="BQ159" s="23">
        <f>EXP(-LN(2)/25)*BQ158+(1-EXP(-LN(2)/25))/(LN(2)/25)*Calculateur!BL159*Calculateur!BN159*VLOOKUP('Données projet'!$B$11,Paramètres!$A$1:$I$88,3,0)*0.475*44/12</f>
        <v>0</v>
      </c>
      <c r="BR159" s="23">
        <f>EXP(-LN(2)/2)*BR158+(1-EXP(-LN(2)/2))/(LN(2)/2)*BL159*BO159*VLOOKUP('Données projet'!$B$11,Paramètres!$A$1:$I$88,3,0)*0.475*44/12</f>
        <v>0</v>
      </c>
      <c r="BS159" s="24">
        <f t="shared" si="169"/>
        <v>42.086048492507167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-1.1368683772161603E-13</v>
      </c>
      <c r="BZ159" s="14">
        <f>BY159*VLOOKUP('Données projet'!$B$12,Paramètres!$A$1:$I$88,3,0)*VLOOKUP('Données projet'!$B$12,Paramètres!$A$1:$I$88,5,0)</f>
        <v>-1.1527845344971866E-13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398.14524781940196</v>
      </c>
      <c r="CE159" s="62">
        <f t="shared" si="148"/>
        <v>273.35778700650792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projet'!$B$12,Paramètres!$A$1:$I$88,3,0)*0.475*44/12</f>
        <v>47.165399172637343</v>
      </c>
      <c r="CL159" s="23">
        <f>EXP(-LN(2)/25)*CL158+(1-EXP(-LN(2)/25))/(LN(2)/25)*Calculateur!CG159*Calculateur!CI159*VLOOKUP('Données projet'!$B$12,Paramètres!$A$1:$I$88,3,0)*0.475*44/12</f>
        <v>0</v>
      </c>
      <c r="CM159" s="23">
        <f>EXP(-LN(2)/2)*CM158+(1-EXP(-LN(2)/2))/(LN(2)/2)*CG159*CJ159*VLOOKUP('Données projet'!$B$12,Paramètres!$A$1:$I$88,3,0)*0.475*44/12</f>
        <v>0</v>
      </c>
      <c r="CN159" s="24">
        <f t="shared" si="172"/>
        <v>47.165399172637343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118</v>
      </c>
      <c r="CU159" s="18">
        <f>CT159*VLOOKUP('Données projet'!$B$13,Paramètres!$A$1:$I$88,3,0)*VLOOKUP('Données projet'!$B$13,Paramètres!$A$1:$I$88,5,0)</f>
        <v>112.28880000000001</v>
      </c>
      <c r="CV159" s="14">
        <f t="shared" si="173"/>
        <v>29.869595672288149</v>
      </c>
      <c r="CW159" s="22">
        <f t="shared" si="174"/>
        <v>247.59253912923518</v>
      </c>
      <c r="CX159" s="62">
        <f t="shared" si="122"/>
        <v>534.94743757632352</v>
      </c>
      <c r="CY159" s="62">
        <f ca="1">AVERAGE(OFFSET($CX$3,0,0,'Données projet'!$E$13+1,1))-AVERAGE(OFFSET($H$3,0,0,'Données projet'!$E$13+1,1))</f>
        <v>470.0521927195926</v>
      </c>
      <c r="CZ159" s="62">
        <f t="shared" si="150"/>
        <v>299.27200854723435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projet'!$B$13,Paramètres!$A$1:$I$88,3,0)*0.475*44/12</f>
        <v>44.262913069705832</v>
      </c>
      <c r="DG159" s="23">
        <f>EXP(-LN(2)/25)*DG158+(1-EXP(-LN(2)/25))/(LN(2)/25)*Calculateur!DB159*Calculateur!DD159*VLOOKUP('Données projet'!$B$13,Paramètres!$A$1:$I$88,3,0)*0.475*44/12</f>
        <v>0</v>
      </c>
      <c r="DH159" s="23">
        <f>EXP(-LN(2)/2)*DH158+(1-EXP(-LN(2)/2))/(LN(2)/2)*DB159*DE159*VLOOKUP('Données projet'!$B$13,Paramètres!$A$1:$I$88,3,0)*0.475*44/12</f>
        <v>0</v>
      </c>
      <c r="DI159" s="24">
        <f t="shared" si="175"/>
        <v>44.262913069705832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-1.4210854715202004E-13</v>
      </c>
      <c r="DP159" s="18">
        <f>DO159*VLOOKUP('Données projet'!$B$14,Paramètres!$A$1:$I$88,3,0)*VLOOKUP('Données projet'!$B$14,Paramètres!$A$1:$I$88,5,0)</f>
        <v>-1.3744738680543379E-13</v>
      </c>
      <c r="DQ159" s="14" t="e">
        <f t="shared" si="176"/>
        <v>#NUM!</v>
      </c>
      <c r="DR159" s="22" t="e">
        <f t="shared" si="177"/>
        <v>#NUM!</v>
      </c>
      <c r="DS159" s="62" t="e">
        <f t="shared" si="125"/>
        <v>#NUM!</v>
      </c>
      <c r="DT159" s="62">
        <f ca="1">AVERAGE(OFFSET($DS$3,0,0,'Données projet'!$E$14+1,1))-AVERAGE(OFFSET($H$3,0,0,'Données projet'!$E$14+1,1))</f>
        <v>290.89727102147953</v>
      </c>
      <c r="DU159" s="62">
        <f t="shared" si="152"/>
        <v>173.19148969173838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projet'!$B$14,Paramètres!$A$1:$I$88,3,0)*0.475*44/12</f>
        <v>33.632303752220139</v>
      </c>
      <c r="EB159" s="23">
        <f>EXP(-LN(2)/25)*EB158+(1-EXP(-LN(2)/25))/(LN(2)/25)*Calculateur!DW159*Calculateur!DY159*VLOOKUP('Données projet'!$B$14,Paramètres!$A$1:$I$88,3,0)*0.475*44/12</f>
        <v>0</v>
      </c>
      <c r="EC159" s="23">
        <f>EXP(-LN(2)/2)*EC158+(1-EXP(-LN(2)/2))/(LN(2)/2)*DW159*DZ159*VLOOKUP('Données projet'!$B$14,Paramètres!$A$1:$I$88,3,0)*0.475*44/12</f>
        <v>0</v>
      </c>
      <c r="ED159" s="24">
        <f t="shared" si="178"/>
        <v>33.632303752220139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projet'!$B$15,Paramètres!$A$1:$I$88,3,0)*VLOOKUP('Données projet'!$B$15,Paramètres!$A$1:$I$88,5,0)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projet'!$B$15,Paramètres!$A$1:$I$88,3,0)*0.475*44/12</f>
        <v>#N/A</v>
      </c>
      <c r="EW159" s="23" t="e">
        <f>EXP(-LN(2)/25)*EW158+(1-EXP(-LN(2)/25))/(LN(2)/25)*Calculateur!ER159*Calculateur!ET159*VLOOKUP('Données projet'!$B$15,Paramètres!$A$1:$I$88,3,0)*0.475*44/12</f>
        <v>#N/A</v>
      </c>
      <c r="EX159" s="23" t="e">
        <f>EXP(-LN(2)/2)*EX158+(1-EXP(-LN(2)/2))/(LN(2)/2)*ER159*EU159*VLOOKUP('Données projet'!$B$15,Paramètres!$A$1:$I$88,3,0)*0.475*44/12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projet'!$B$16,Paramètres!$A$1:$I$88,3,0)*VLOOKUP('Données projet'!$B$16,Paramètres!$A$1:$I$88,5,0)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projet'!$B$16,Paramètres!$A$1:$I$88,3,0)*0.475*44/12</f>
        <v>#N/A</v>
      </c>
      <c r="FR159" s="23" t="e">
        <f>EXP(-LN(2)/25)*FR158+(1-EXP(-LN(2)/25))/(LN(2)/25)*Calculateur!FM159*Calculateur!FO159*VLOOKUP('Données projet'!$B$16,Paramètres!$A$1:$I$88,3,0)*0.475*44/12</f>
        <v>#N/A</v>
      </c>
      <c r="FS159" s="23" t="e">
        <f>EXP(-LN(2)/2)*FS158+(1-EXP(-LN(2)/2))/(LN(2)/2)*FM159*FP159*VLOOKUP('Données projet'!$B$16,Paramètres!$A$1:$I$88,3,0)*0.475*44/12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projet'!$B$17,Paramètres!$A$1:$I$88,3,0)*VLOOKUP('Données projet'!$B$17,Paramètres!$A$1:$I$88,5,0)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projet'!$B$17,Paramètres!$A$1:$I$88,3,0)*0.475*44/12</f>
        <v>#N/A</v>
      </c>
      <c r="GM159" s="23" t="e">
        <f>EXP(-LN(2)/25)*GM158+(1-EXP(-LN(2)/25))/(LN(2)/25)*Calculateur!GH159*Calculateur!GJ159*VLOOKUP('Données projet'!$B$17,Paramètres!$A$1:$I$88,3,0)*0.475*44/12</f>
        <v>#N/A</v>
      </c>
      <c r="GN159" s="23" t="e">
        <f>EXP(-LN(2)/2)*GN158+(1-EXP(-LN(2)/2))/(LN(2)/2)*GH159*GK159*VLOOKUP('Données projet'!$B$17,Paramètres!$A$1:$I$88,3,0)*0.475*44/12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projet'!$B$18,Paramètres!$A$1:$I$88,3,0)*VLOOKUP('Données projet'!$B$18,Paramètres!$A$1:$I$88,5,0)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projet'!$B$18,Paramètres!$A$1:$I$88,3,0)*0.475*44/12</f>
        <v>#N/A</v>
      </c>
      <c r="HH159" s="23" t="e">
        <f>EXP(-LN(2)/25)*HH158+(1-EXP(-LN(2)/25))/(LN(2)/25)*Calculateur!HC159*Calculateur!HE159*VLOOKUP('Données projet'!$B$18,Paramètres!$A$1:$I$88,3,0)*0.475*44/12</f>
        <v>#N/A</v>
      </c>
      <c r="HI159" s="23" t="e">
        <f>EXP(-LN(2)/2)*HI158+(1-EXP(-LN(2)/2))/(LN(2)/2)*HC159*HF159*VLOOKUP('Données projet'!$B$18,Paramètres!$A$1:$I$88,3,0)*0.475*44/12</f>
        <v>#N/A</v>
      </c>
      <c r="HJ159" s="24" t="e">
        <f t="shared" si="190"/>
        <v>#N/A</v>
      </c>
    </row>
    <row r="160" spans="1:218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projet'!$B$9,Paramètres!$A$1:$I$88,3,0)*VLOOKUP('Données projet'!$B$9,Paramètres!$A$1:$I$88,5,0)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287.45861092658765</v>
      </c>
      <c r="S160" s="62">
        <f ca="1">AVERAGE(OFFSET($R$3,0,0,'Données projet'!$E$9+1,1))-AVERAGE(OFFSET($H$3,0,0,'Données projet'!$E$9+1,1))</f>
        <v>301.2688576786212</v>
      </c>
      <c r="T160" s="62">
        <f t="shared" si="142"/>
        <v>417.62172165132927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18.118322460333321</v>
      </c>
      <c r="AA160" s="23">
        <f>EXP(-LN(2)/25)*AA159+(1-EXP(-LN(2)/25))/(LN(2)/25)*Calculateur!V160*Calculateur!X160*VLOOKUP('Données projet'!$B$9,Paramètres!$A$1:$I$88,3,0)*0.475*44/12</f>
        <v>2.5608082294914349</v>
      </c>
      <c r="AB160" s="23">
        <f>EXP(-LN(2)/2)*AB159+(1-EXP(-LN(2)/2))/(LN(2)/2)*V160*Y160*VLOOKUP('Données projet'!$B$9,Paramètres!$A$1:$I$88,3,0)*0.475*44/12</f>
        <v>2.3121807924092671E-15</v>
      </c>
      <c r="AC160" s="24">
        <f t="shared" si="163"/>
        <v>20.67913068982476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projet'!$B$10,Paramètres!$A$1:$I$88,3,0)*VLOOKUP('Données projet'!$B$10,Paramètres!$A$1:$I$88,5,0)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170.08673939431091</v>
      </c>
      <c r="AO160" s="62">
        <f t="shared" si="144"/>
        <v>252.97355497077106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projet'!$B$10,Paramètres!$A$1:$I$88,3,0)*0.475*44/12</f>
        <v>7.564897554942787</v>
      </c>
      <c r="AV160" s="23">
        <f>EXP(-LN(2)/25)*AV159+(1-EXP(-LN(2)/25))/(LN(2)/25)*Calculateur!AQ160*Calculateur!AS160*VLOOKUP('Données projet'!$B$10,Paramètres!$A$1:$I$88,3,0)*0.475*44/12</f>
        <v>2.5955159417828813</v>
      </c>
      <c r="AW160" s="23">
        <f>EXP(-LN(2)/2)*AW159+(1-EXP(-LN(2)/2))/(LN(2)/2)*AQ160*AT160*VLOOKUP('Données projet'!$B$10,Paramètres!$A$1:$I$88,3,0)*0.475*44/12</f>
        <v>2.961717707554907E-15</v>
      </c>
      <c r="AX160" s="23">
        <f t="shared" si="166"/>
        <v>10.160413496725672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-1.1368683772161603E-13</v>
      </c>
      <c r="BE160" s="14">
        <f>BD160*VLOOKUP('Données projet'!$B$11,Paramètres!$A$1:$I$88,3,0)*VLOOKUP('Données projet'!$B$11,Paramètres!$A$1:$I$88,5,0)</f>
        <v>-1.0286385077051818E-13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362.63718589694594</v>
      </c>
      <c r="BJ160" s="62">
        <f t="shared" si="146"/>
        <v>250.47702091764884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projet'!$B$11,Paramètres!$A$1:$I$88,3,0)*0.475*44/12</f>
        <v>41.260766751523988</v>
      </c>
      <c r="BQ160" s="23">
        <f>EXP(-LN(2)/25)*BQ159+(1-EXP(-LN(2)/25))/(LN(2)/25)*Calculateur!BL160*Calculateur!BN160*VLOOKUP('Données projet'!$B$11,Paramètres!$A$1:$I$88,3,0)*0.475*44/12</f>
        <v>0</v>
      </c>
      <c r="BR160" s="23">
        <f>EXP(-LN(2)/2)*BR159+(1-EXP(-LN(2)/2))/(LN(2)/2)*BL160*BO160*VLOOKUP('Données projet'!$B$11,Paramètres!$A$1:$I$88,3,0)*0.475*44/12</f>
        <v>0</v>
      </c>
      <c r="BS160" s="24">
        <f t="shared" si="169"/>
        <v>41.260766751523988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-1.1368683772161603E-13</v>
      </c>
      <c r="BZ160" s="14">
        <f>BY160*VLOOKUP('Données projet'!$B$12,Paramètres!$A$1:$I$88,3,0)*VLOOKUP('Données projet'!$B$12,Paramètres!$A$1:$I$88,5,0)</f>
        <v>-1.1527845344971866E-13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398.14524781940196</v>
      </c>
      <c r="CE160" s="62">
        <f t="shared" si="148"/>
        <v>273.35778700650792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projet'!$B$12,Paramètres!$A$1:$I$88,3,0)*0.475*44/12</f>
        <v>46.24051446291481</v>
      </c>
      <c r="CL160" s="23">
        <f>EXP(-LN(2)/25)*CL159+(1-EXP(-LN(2)/25))/(LN(2)/25)*Calculateur!CG160*Calculateur!CI160*VLOOKUP('Données projet'!$B$12,Paramètres!$A$1:$I$88,3,0)*0.475*44/12</f>
        <v>0</v>
      </c>
      <c r="CM160" s="23">
        <f>EXP(-LN(2)/2)*CM159+(1-EXP(-LN(2)/2))/(LN(2)/2)*CG160*CJ160*VLOOKUP('Données projet'!$B$12,Paramètres!$A$1:$I$88,3,0)*0.475*44/12</f>
        <v>0</v>
      </c>
      <c r="CN160" s="24">
        <f t="shared" si="172"/>
        <v>46.24051446291481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118</v>
      </c>
      <c r="CU160" s="18">
        <f>CT160*VLOOKUP('Données projet'!$B$13,Paramètres!$A$1:$I$88,3,0)*VLOOKUP('Données projet'!$B$13,Paramètres!$A$1:$I$88,5,0)</f>
        <v>112.28880000000001</v>
      </c>
      <c r="CV160" s="14">
        <f t="shared" si="173"/>
        <v>29.869595672288149</v>
      </c>
      <c r="CW160" s="22">
        <f t="shared" si="174"/>
        <v>247.59253912923518</v>
      </c>
      <c r="CX160" s="62">
        <f t="shared" si="122"/>
        <v>535.05115005582172</v>
      </c>
      <c r="CY160" s="62">
        <f ca="1">AVERAGE(OFFSET($CX$3,0,0,'Données projet'!$E$13+1,1))-AVERAGE(OFFSET($H$3,0,0,'Données projet'!$E$13+1,1))</f>
        <v>470.0521927195926</v>
      </c>
      <c r="CZ160" s="62">
        <f t="shared" si="150"/>
        <v>299.27200854723435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projet'!$B$13,Paramètres!$A$1:$I$88,3,0)*0.475*44/12</f>
        <v>43.39494434212007</v>
      </c>
      <c r="DG160" s="23">
        <f>EXP(-LN(2)/25)*DG159+(1-EXP(-LN(2)/25))/(LN(2)/25)*Calculateur!DB160*Calculateur!DD160*VLOOKUP('Données projet'!$B$13,Paramètres!$A$1:$I$88,3,0)*0.475*44/12</f>
        <v>0</v>
      </c>
      <c r="DH160" s="23">
        <f>EXP(-LN(2)/2)*DH159+(1-EXP(-LN(2)/2))/(LN(2)/2)*DB160*DE160*VLOOKUP('Données projet'!$B$13,Paramètres!$A$1:$I$88,3,0)*0.475*44/12</f>
        <v>0</v>
      </c>
      <c r="DI160" s="24">
        <f t="shared" si="175"/>
        <v>43.39494434212007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-1.4210854715202004E-13</v>
      </c>
      <c r="DP160" s="18">
        <f>DO160*VLOOKUP('Données projet'!$B$14,Paramètres!$A$1:$I$88,3,0)*VLOOKUP('Données projet'!$B$14,Paramètres!$A$1:$I$88,5,0)</f>
        <v>-1.3744738680543379E-13</v>
      </c>
      <c r="DQ160" s="14" t="e">
        <f t="shared" si="176"/>
        <v>#NUM!</v>
      </c>
      <c r="DR160" s="22" t="e">
        <f t="shared" si="177"/>
        <v>#NUM!</v>
      </c>
      <c r="DS160" s="62" t="e">
        <f t="shared" si="125"/>
        <v>#NUM!</v>
      </c>
      <c r="DT160" s="62">
        <f ca="1">AVERAGE(OFFSET($DS$3,0,0,'Données projet'!$E$14+1,1))-AVERAGE(OFFSET($H$3,0,0,'Données projet'!$E$14+1,1))</f>
        <v>290.89727102147953</v>
      </c>
      <c r="DU160" s="62">
        <f t="shared" si="152"/>
        <v>173.19148969173838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projet'!$B$14,Paramètres!$A$1:$I$88,3,0)*0.475*44/12</f>
        <v>32.972794789318833</v>
      </c>
      <c r="EB160" s="23">
        <f>EXP(-LN(2)/25)*EB159+(1-EXP(-LN(2)/25))/(LN(2)/25)*Calculateur!DW160*Calculateur!DY160*VLOOKUP('Données projet'!$B$14,Paramètres!$A$1:$I$88,3,0)*0.475*44/12</f>
        <v>0</v>
      </c>
      <c r="EC160" s="23">
        <f>EXP(-LN(2)/2)*EC159+(1-EXP(-LN(2)/2))/(LN(2)/2)*DW160*DZ160*VLOOKUP('Données projet'!$B$14,Paramètres!$A$1:$I$88,3,0)*0.475*44/12</f>
        <v>0</v>
      </c>
      <c r="ED160" s="24">
        <f t="shared" si="178"/>
        <v>32.972794789318833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projet'!$B$15,Paramètres!$A$1:$I$88,3,0)*VLOOKUP('Données projet'!$B$15,Paramètres!$A$1:$I$88,5,0)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projet'!$B$15,Paramètres!$A$1:$I$88,3,0)*0.475*44/12</f>
        <v>#N/A</v>
      </c>
      <c r="EW160" s="23" t="e">
        <f>EXP(-LN(2)/25)*EW159+(1-EXP(-LN(2)/25))/(LN(2)/25)*Calculateur!ER160*Calculateur!ET160*VLOOKUP('Données projet'!$B$15,Paramètres!$A$1:$I$88,3,0)*0.475*44/12</f>
        <v>#N/A</v>
      </c>
      <c r="EX160" s="23" t="e">
        <f>EXP(-LN(2)/2)*EX159+(1-EXP(-LN(2)/2))/(LN(2)/2)*ER160*EU160*VLOOKUP('Données projet'!$B$15,Paramètres!$A$1:$I$88,3,0)*0.475*44/12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projet'!$B$16,Paramètres!$A$1:$I$88,3,0)*VLOOKUP('Données projet'!$B$16,Paramètres!$A$1:$I$88,5,0)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projet'!$B$16,Paramètres!$A$1:$I$88,3,0)*0.475*44/12</f>
        <v>#N/A</v>
      </c>
      <c r="FR160" s="23" t="e">
        <f>EXP(-LN(2)/25)*FR159+(1-EXP(-LN(2)/25))/(LN(2)/25)*Calculateur!FM160*Calculateur!FO160*VLOOKUP('Données projet'!$B$16,Paramètres!$A$1:$I$88,3,0)*0.475*44/12</f>
        <v>#N/A</v>
      </c>
      <c r="FS160" s="23" t="e">
        <f>EXP(-LN(2)/2)*FS159+(1-EXP(-LN(2)/2))/(LN(2)/2)*FM160*FP160*VLOOKUP('Données projet'!$B$16,Paramètres!$A$1:$I$88,3,0)*0.475*44/12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projet'!$B$17,Paramètres!$A$1:$I$88,3,0)*VLOOKUP('Données projet'!$B$17,Paramètres!$A$1:$I$88,5,0)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projet'!$B$17,Paramètres!$A$1:$I$88,3,0)*0.475*44/12</f>
        <v>#N/A</v>
      </c>
      <c r="GM160" s="23" t="e">
        <f>EXP(-LN(2)/25)*GM159+(1-EXP(-LN(2)/25))/(LN(2)/25)*Calculateur!GH160*Calculateur!GJ160*VLOOKUP('Données projet'!$B$17,Paramètres!$A$1:$I$88,3,0)*0.475*44/12</f>
        <v>#N/A</v>
      </c>
      <c r="GN160" s="23" t="e">
        <f>EXP(-LN(2)/2)*GN159+(1-EXP(-LN(2)/2))/(LN(2)/2)*GH160*GK160*VLOOKUP('Données projet'!$B$17,Paramètres!$A$1:$I$88,3,0)*0.475*44/12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projet'!$B$18,Paramètres!$A$1:$I$88,3,0)*VLOOKUP('Données projet'!$B$18,Paramètres!$A$1:$I$88,5,0)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projet'!$B$18,Paramètres!$A$1:$I$88,3,0)*0.475*44/12</f>
        <v>#N/A</v>
      </c>
      <c r="HH160" s="23" t="e">
        <f>EXP(-LN(2)/25)*HH159+(1-EXP(-LN(2)/25))/(LN(2)/25)*Calculateur!HC160*Calculateur!HE160*VLOOKUP('Données projet'!$B$18,Paramètres!$A$1:$I$88,3,0)*0.475*44/12</f>
        <v>#N/A</v>
      </c>
      <c r="HI160" s="23" t="e">
        <f>EXP(-LN(2)/2)*HI159+(1-EXP(-LN(2)/2))/(LN(2)/2)*HC160*HF160*VLOOKUP('Données projet'!$B$18,Paramètres!$A$1:$I$88,3,0)*0.475*44/12</f>
        <v>#N/A</v>
      </c>
      <c r="HJ160" s="24" t="e">
        <f t="shared" si="190"/>
        <v>#N/A</v>
      </c>
    </row>
    <row r="161" spans="1:218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projet'!$B$9,Paramètres!$A$1:$I$88,3,0)*VLOOKUP('Données projet'!$B$9,Paramètres!$A$1:$I$88,5,0)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287.56052422643307</v>
      </c>
      <c r="S161" s="62">
        <f ca="1">AVERAGE(OFFSET($R$3,0,0,'Données projet'!$E$9+1,1))-AVERAGE(OFFSET($H$3,0,0,'Données projet'!$E$9+1,1))</f>
        <v>301.2688576786212</v>
      </c>
      <c r="T161" s="62">
        <f t="shared" si="142"/>
        <v>417.62172165132927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17.763033207971681</v>
      </c>
      <c r="AA161" s="23">
        <f>EXP(-LN(2)/25)*AA160+(1-EXP(-LN(2)/25))/(LN(2)/25)*Calculateur!V161*Calculateur!X161*VLOOKUP('Données projet'!$B$9,Paramètres!$A$1:$I$88,3,0)*0.475*44/12</f>
        <v>2.4907827937889397</v>
      </c>
      <c r="AB161" s="23">
        <f>EXP(-LN(2)/2)*AB160+(1-EXP(-LN(2)/2))/(LN(2)/2)*V161*Y161*VLOOKUP('Données projet'!$B$9,Paramètres!$A$1:$I$88,3,0)*0.475*44/12</f>
        <v>1.6349587176418777E-15</v>
      </c>
      <c r="AC161" s="24">
        <f t="shared" si="163"/>
        <v>20.253816001760619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projet'!$B$10,Paramètres!$A$1:$I$88,3,0)*VLOOKUP('Données projet'!$B$10,Paramètres!$A$1:$I$88,5,0)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170.08673939431091</v>
      </c>
      <c r="AO161" s="62">
        <f t="shared" si="144"/>
        <v>252.97355497077106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projet'!$B$10,Paramètres!$A$1:$I$88,3,0)*0.475*44/12</f>
        <v>7.4165545280222602</v>
      </c>
      <c r="AV161" s="23">
        <f>EXP(-LN(2)/25)*AV160+(1-EXP(-LN(2)/25))/(LN(2)/25)*Calculateur!AQ161*Calculateur!AS161*VLOOKUP('Données projet'!$B$10,Paramètres!$A$1:$I$88,3,0)*0.475*44/12</f>
        <v>2.524541421862577</v>
      </c>
      <c r="AW161" s="23">
        <f>EXP(-LN(2)/2)*AW160+(1-EXP(-LN(2)/2))/(LN(2)/2)*AQ161*AT161*VLOOKUP('Données projet'!$B$10,Paramètres!$A$1:$I$88,3,0)*0.475*44/12</f>
        <v>2.0942506749723508E-15</v>
      </c>
      <c r="AX161" s="23">
        <f t="shared" si="166"/>
        <v>9.9410959498848381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-1.1368683772161603E-13</v>
      </c>
      <c r="BE161" s="14">
        <f>BD161*VLOOKUP('Données projet'!$B$11,Paramètres!$A$1:$I$88,3,0)*VLOOKUP('Données projet'!$B$11,Paramètres!$A$1:$I$88,5,0)</f>
        <v>-1.0286385077051818E-13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362.63718589694594</v>
      </c>
      <c r="BJ161" s="62">
        <f t="shared" si="146"/>
        <v>250.47702091764884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projet'!$B$11,Paramètres!$A$1:$I$88,3,0)*0.475*44/12</f>
        <v>40.451668282109324</v>
      </c>
      <c r="BQ161" s="23">
        <f>EXP(-LN(2)/25)*BQ160+(1-EXP(-LN(2)/25))/(LN(2)/25)*Calculateur!BL161*Calculateur!BN161*VLOOKUP('Données projet'!$B$11,Paramètres!$A$1:$I$88,3,0)*0.475*44/12</f>
        <v>0</v>
      </c>
      <c r="BR161" s="23">
        <f>EXP(-LN(2)/2)*BR160+(1-EXP(-LN(2)/2))/(LN(2)/2)*BL161*BO161*VLOOKUP('Données projet'!$B$11,Paramètres!$A$1:$I$88,3,0)*0.475*44/12</f>
        <v>0</v>
      </c>
      <c r="BS161" s="24">
        <f t="shared" si="169"/>
        <v>40.451668282109324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-1.1368683772161603E-13</v>
      </c>
      <c r="BZ161" s="14">
        <f>BY161*VLOOKUP('Données projet'!$B$12,Paramètres!$A$1:$I$88,3,0)*VLOOKUP('Données projet'!$B$12,Paramètres!$A$1:$I$88,5,0)</f>
        <v>-1.1527845344971866E-13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398.14524781940196</v>
      </c>
      <c r="CE161" s="62">
        <f t="shared" si="148"/>
        <v>273.35778700650792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projet'!$B$12,Paramètres!$A$1:$I$88,3,0)*0.475*44/12</f>
        <v>45.333766178225964</v>
      </c>
      <c r="CL161" s="23">
        <f>EXP(-LN(2)/25)*CL160+(1-EXP(-LN(2)/25))/(LN(2)/25)*Calculateur!CG161*Calculateur!CI161*VLOOKUP('Données projet'!$B$12,Paramètres!$A$1:$I$88,3,0)*0.475*44/12</f>
        <v>0</v>
      </c>
      <c r="CM161" s="23">
        <f>EXP(-LN(2)/2)*CM160+(1-EXP(-LN(2)/2))/(LN(2)/2)*CG161*CJ161*VLOOKUP('Données projet'!$B$12,Paramètres!$A$1:$I$88,3,0)*0.475*44/12</f>
        <v>0</v>
      </c>
      <c r="CN161" s="24">
        <f t="shared" si="172"/>
        <v>45.333766178225964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118</v>
      </c>
      <c r="CU161" s="18">
        <f>CT161*VLOOKUP('Données projet'!$B$13,Paramètres!$A$1:$I$88,3,0)*VLOOKUP('Données projet'!$B$13,Paramètres!$A$1:$I$88,5,0)</f>
        <v>112.28880000000001</v>
      </c>
      <c r="CV161" s="14">
        <f t="shared" si="173"/>
        <v>29.869595672288149</v>
      </c>
      <c r="CW161" s="22">
        <f t="shared" si="174"/>
        <v>247.59253912923518</v>
      </c>
      <c r="CX161" s="62">
        <f t="shared" si="122"/>
        <v>535.1530633556672</v>
      </c>
      <c r="CY161" s="62">
        <f ca="1">AVERAGE(OFFSET($CX$3,0,0,'Données projet'!$E$13+1,1))-AVERAGE(OFFSET($H$3,0,0,'Données projet'!$E$13+1,1))</f>
        <v>470.0521927195926</v>
      </c>
      <c r="CZ161" s="62">
        <f t="shared" si="150"/>
        <v>299.27200854723435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projet'!$B$13,Paramètres!$A$1:$I$88,3,0)*0.475*44/12</f>
        <v>42.543995951873619</v>
      </c>
      <c r="DG161" s="23">
        <f>EXP(-LN(2)/25)*DG160+(1-EXP(-LN(2)/25))/(LN(2)/25)*Calculateur!DB161*Calculateur!DD161*VLOOKUP('Données projet'!$B$13,Paramètres!$A$1:$I$88,3,0)*0.475*44/12</f>
        <v>0</v>
      </c>
      <c r="DH161" s="23">
        <f>EXP(-LN(2)/2)*DH160+(1-EXP(-LN(2)/2))/(LN(2)/2)*DB161*DE161*VLOOKUP('Données projet'!$B$13,Paramètres!$A$1:$I$88,3,0)*0.475*44/12</f>
        <v>0</v>
      </c>
      <c r="DI161" s="24">
        <f t="shared" si="175"/>
        <v>42.543995951873619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-1.4210854715202004E-13</v>
      </c>
      <c r="DP161" s="18">
        <f>DO161*VLOOKUP('Données projet'!$B$14,Paramètres!$A$1:$I$88,3,0)*VLOOKUP('Données projet'!$B$14,Paramètres!$A$1:$I$88,5,0)</f>
        <v>-1.3744738680543379E-13</v>
      </c>
      <c r="DQ161" s="14" t="e">
        <f t="shared" si="176"/>
        <v>#NUM!</v>
      </c>
      <c r="DR161" s="22" t="e">
        <f t="shared" si="177"/>
        <v>#NUM!</v>
      </c>
      <c r="DS161" s="62" t="e">
        <f t="shared" si="125"/>
        <v>#NUM!</v>
      </c>
      <c r="DT161" s="62">
        <f ca="1">AVERAGE(OFFSET($DS$3,0,0,'Données projet'!$E$14+1,1))-AVERAGE(OFFSET($H$3,0,0,'Données projet'!$E$14+1,1))</f>
        <v>290.89727102147953</v>
      </c>
      <c r="DU161" s="62">
        <f t="shared" si="152"/>
        <v>173.19148969173838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projet'!$B$14,Paramètres!$A$1:$I$88,3,0)*0.475*44/12</f>
        <v>32.326218394919273</v>
      </c>
      <c r="EB161" s="23">
        <f>EXP(-LN(2)/25)*EB160+(1-EXP(-LN(2)/25))/(LN(2)/25)*Calculateur!DW161*Calculateur!DY161*VLOOKUP('Données projet'!$B$14,Paramètres!$A$1:$I$88,3,0)*0.475*44/12</f>
        <v>0</v>
      </c>
      <c r="EC161" s="23">
        <f>EXP(-LN(2)/2)*EC160+(1-EXP(-LN(2)/2))/(LN(2)/2)*DW161*DZ161*VLOOKUP('Données projet'!$B$14,Paramètres!$A$1:$I$88,3,0)*0.475*44/12</f>
        <v>0</v>
      </c>
      <c r="ED161" s="24">
        <f t="shared" si="178"/>
        <v>32.326218394919273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projet'!$B$15,Paramètres!$A$1:$I$88,3,0)*VLOOKUP('Données projet'!$B$15,Paramètres!$A$1:$I$88,5,0)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projet'!$B$15,Paramètres!$A$1:$I$88,3,0)*0.475*44/12</f>
        <v>#N/A</v>
      </c>
      <c r="EW161" s="23" t="e">
        <f>EXP(-LN(2)/25)*EW160+(1-EXP(-LN(2)/25))/(LN(2)/25)*Calculateur!ER161*Calculateur!ET161*VLOOKUP('Données projet'!$B$15,Paramètres!$A$1:$I$88,3,0)*0.475*44/12</f>
        <v>#N/A</v>
      </c>
      <c r="EX161" s="23" t="e">
        <f>EXP(-LN(2)/2)*EX160+(1-EXP(-LN(2)/2))/(LN(2)/2)*ER161*EU161*VLOOKUP('Données projet'!$B$15,Paramètres!$A$1:$I$88,3,0)*0.475*44/12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projet'!$B$16,Paramètres!$A$1:$I$88,3,0)*VLOOKUP('Données projet'!$B$16,Paramètres!$A$1:$I$88,5,0)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projet'!$B$16,Paramètres!$A$1:$I$88,3,0)*0.475*44/12</f>
        <v>#N/A</v>
      </c>
      <c r="FR161" s="23" t="e">
        <f>EXP(-LN(2)/25)*FR160+(1-EXP(-LN(2)/25))/(LN(2)/25)*Calculateur!FM161*Calculateur!FO161*VLOOKUP('Données projet'!$B$16,Paramètres!$A$1:$I$88,3,0)*0.475*44/12</f>
        <v>#N/A</v>
      </c>
      <c r="FS161" s="23" t="e">
        <f>EXP(-LN(2)/2)*FS160+(1-EXP(-LN(2)/2))/(LN(2)/2)*FM161*FP161*VLOOKUP('Données projet'!$B$16,Paramètres!$A$1:$I$88,3,0)*0.475*44/12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projet'!$B$17,Paramètres!$A$1:$I$88,3,0)*VLOOKUP('Données projet'!$B$17,Paramètres!$A$1:$I$88,5,0)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projet'!$B$17,Paramètres!$A$1:$I$88,3,0)*0.475*44/12</f>
        <v>#N/A</v>
      </c>
      <c r="GM161" s="23" t="e">
        <f>EXP(-LN(2)/25)*GM160+(1-EXP(-LN(2)/25))/(LN(2)/25)*Calculateur!GH161*Calculateur!GJ161*VLOOKUP('Données projet'!$B$17,Paramètres!$A$1:$I$88,3,0)*0.475*44/12</f>
        <v>#N/A</v>
      </c>
      <c r="GN161" s="23" t="e">
        <f>EXP(-LN(2)/2)*GN160+(1-EXP(-LN(2)/2))/(LN(2)/2)*GH161*GK161*VLOOKUP('Données projet'!$B$17,Paramètres!$A$1:$I$88,3,0)*0.475*44/12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projet'!$B$18,Paramètres!$A$1:$I$88,3,0)*VLOOKUP('Données projet'!$B$18,Paramètres!$A$1:$I$88,5,0)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projet'!$B$18,Paramètres!$A$1:$I$88,3,0)*0.475*44/12</f>
        <v>#N/A</v>
      </c>
      <c r="HH161" s="23" t="e">
        <f>EXP(-LN(2)/25)*HH160+(1-EXP(-LN(2)/25))/(LN(2)/25)*Calculateur!HC161*Calculateur!HE161*VLOOKUP('Données projet'!$B$18,Paramètres!$A$1:$I$88,3,0)*0.475*44/12</f>
        <v>#N/A</v>
      </c>
      <c r="HI161" s="23" t="e">
        <f>EXP(-LN(2)/2)*HI160+(1-EXP(-LN(2)/2))/(LN(2)/2)*HC161*HF161*VLOOKUP('Données projet'!$B$18,Paramètres!$A$1:$I$88,3,0)*0.475*44/12</f>
        <v>#N/A</v>
      </c>
      <c r="HJ161" s="24" t="e">
        <f t="shared" si="190"/>
        <v>#N/A</v>
      </c>
    </row>
    <row r="162" spans="1:218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projet'!$B$9,Paramètres!$A$1:$I$88,3,0)*VLOOKUP('Données projet'!$B$9,Paramètres!$A$1:$I$88,5,0)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287.66066955837005</v>
      </c>
      <c r="S162" s="62">
        <f ca="1">AVERAGE(OFFSET($R$3,0,0,'Données projet'!$E$9+1,1))-AVERAGE(OFFSET($H$3,0,0,'Données projet'!$E$9+1,1))</f>
        <v>301.2688576786212</v>
      </c>
      <c r="T162" s="62">
        <f t="shared" si="142"/>
        <v>417.62172165132927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17.414710961143808</v>
      </c>
      <c r="AA162" s="23">
        <f>EXP(-LN(2)/25)*AA161+(1-EXP(-LN(2)/25))/(LN(2)/25)*Calculateur!V162*Calculateur!X162*VLOOKUP('Données projet'!$B$9,Paramètres!$A$1:$I$88,3,0)*0.475*44/12</f>
        <v>2.422672207308207</v>
      </c>
      <c r="AB162" s="23">
        <f>EXP(-LN(2)/2)*AB161+(1-EXP(-LN(2)/2))/(LN(2)/2)*V162*Y162*VLOOKUP('Données projet'!$B$9,Paramètres!$A$1:$I$88,3,0)*0.475*44/12</f>
        <v>1.1560903962046335E-15</v>
      </c>
      <c r="AC162" s="24">
        <f t="shared" si="163"/>
        <v>19.837383168452014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projet'!$B$10,Paramètres!$A$1:$I$88,3,0)*VLOOKUP('Données projet'!$B$10,Paramètres!$A$1:$I$88,5,0)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170.08673939431091</v>
      </c>
      <c r="AO162" s="62">
        <f t="shared" si="144"/>
        <v>252.97355497077106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projet'!$B$10,Paramètres!$A$1:$I$88,3,0)*0.475*44/12</f>
        <v>7.2711204173793327</v>
      </c>
      <c r="AV162" s="23">
        <f>EXP(-LN(2)/25)*AV161+(1-EXP(-LN(2)/25))/(LN(2)/25)*Calculateur!AQ162*Calculateur!AS162*VLOOKUP('Données projet'!$B$10,Paramètres!$A$1:$I$88,3,0)*0.475*44/12</f>
        <v>2.4555077039218816</v>
      </c>
      <c r="AW162" s="23">
        <f>EXP(-LN(2)/2)*AW161+(1-EXP(-LN(2)/2))/(LN(2)/2)*AQ162*AT162*VLOOKUP('Données projet'!$B$10,Paramètres!$A$1:$I$88,3,0)*0.475*44/12</f>
        <v>1.4808588537774535E-15</v>
      </c>
      <c r="AX162" s="23">
        <f t="shared" si="166"/>
        <v>9.726628121301216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-1.1368683772161603E-13</v>
      </c>
      <c r="BE162" s="14">
        <f>BD162*VLOOKUP('Données projet'!$B$11,Paramètres!$A$1:$I$88,3,0)*VLOOKUP('Données projet'!$B$11,Paramètres!$A$1:$I$88,5,0)</f>
        <v>-1.0286385077051818E-13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362.63718589694594</v>
      </c>
      <c r="BJ162" s="62">
        <f t="shared" si="146"/>
        <v>250.47702091764884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projet'!$B$11,Paramètres!$A$1:$I$88,3,0)*0.475*44/12</f>
        <v>39.658435740178547</v>
      </c>
      <c r="BQ162" s="23">
        <f>EXP(-LN(2)/25)*BQ161+(1-EXP(-LN(2)/25))/(LN(2)/25)*Calculateur!BL162*Calculateur!BN162*VLOOKUP('Données projet'!$B$11,Paramètres!$A$1:$I$88,3,0)*0.475*44/12</f>
        <v>0</v>
      </c>
      <c r="BR162" s="23">
        <f>EXP(-LN(2)/2)*BR161+(1-EXP(-LN(2)/2))/(LN(2)/2)*BL162*BO162*VLOOKUP('Données projet'!$B$11,Paramètres!$A$1:$I$88,3,0)*0.475*44/12</f>
        <v>0</v>
      </c>
      <c r="BS162" s="24">
        <f t="shared" si="169"/>
        <v>39.658435740178547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-1.1368683772161603E-13</v>
      </c>
      <c r="BZ162" s="14">
        <f>BY162*VLOOKUP('Données projet'!$B$12,Paramètres!$A$1:$I$88,3,0)*VLOOKUP('Données projet'!$B$12,Paramètres!$A$1:$I$88,5,0)</f>
        <v>-1.1527845344971866E-13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398.14524781940196</v>
      </c>
      <c r="CE162" s="62">
        <f t="shared" si="148"/>
        <v>273.35778700650792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projet'!$B$12,Paramètres!$A$1:$I$88,3,0)*0.475*44/12</f>
        <v>44.444798674338024</v>
      </c>
      <c r="CL162" s="23">
        <f>EXP(-LN(2)/25)*CL161+(1-EXP(-LN(2)/25))/(LN(2)/25)*Calculateur!CG162*Calculateur!CI162*VLOOKUP('Données projet'!$B$12,Paramètres!$A$1:$I$88,3,0)*0.475*44/12</f>
        <v>0</v>
      </c>
      <c r="CM162" s="23">
        <f>EXP(-LN(2)/2)*CM161+(1-EXP(-LN(2)/2))/(LN(2)/2)*CG162*CJ162*VLOOKUP('Données projet'!$B$12,Paramètres!$A$1:$I$88,3,0)*0.475*44/12</f>
        <v>0</v>
      </c>
      <c r="CN162" s="24">
        <f t="shared" si="172"/>
        <v>44.444798674338024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118</v>
      </c>
      <c r="CU162" s="18">
        <f>CT162*VLOOKUP('Données projet'!$B$13,Paramètres!$A$1:$I$88,3,0)*VLOOKUP('Données projet'!$B$13,Paramètres!$A$1:$I$88,5,0)</f>
        <v>112.28880000000001</v>
      </c>
      <c r="CV162" s="14">
        <f t="shared" si="173"/>
        <v>29.869595672288149</v>
      </c>
      <c r="CW162" s="22">
        <f t="shared" si="174"/>
        <v>247.59253912923518</v>
      </c>
      <c r="CX162" s="62">
        <f t="shared" si="122"/>
        <v>535.25320868760411</v>
      </c>
      <c r="CY162" s="62">
        <f ca="1">AVERAGE(OFFSET($CX$3,0,0,'Données projet'!$E$13+1,1))-AVERAGE(OFFSET($H$3,0,0,'Données projet'!$E$13+1,1))</f>
        <v>470.0521927195926</v>
      </c>
      <c r="CZ162" s="62">
        <f t="shared" si="150"/>
        <v>299.27200854723435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projet'!$B$13,Paramètres!$A$1:$I$88,7,0))</f>
        <v>0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projet'!$B$13,Paramètres!$A$1:$I$88,3,0)*0.475*44/12</f>
        <v>41.709734140532632</v>
      </c>
      <c r="DG162" s="23">
        <f>EXP(-LN(2)/25)*DG161+(1-EXP(-LN(2)/25))/(LN(2)/25)*Calculateur!DB162*Calculateur!DD162*VLOOKUP('Données projet'!$B$13,Paramètres!$A$1:$I$88,3,0)*0.475*44/12</f>
        <v>0</v>
      </c>
      <c r="DH162" s="23">
        <f>EXP(-LN(2)/2)*DH161+(1-EXP(-LN(2)/2))/(LN(2)/2)*DB162*DE162*VLOOKUP('Données projet'!$B$13,Paramètres!$A$1:$I$88,3,0)*0.475*44/12</f>
        <v>0</v>
      </c>
      <c r="DI162" s="24">
        <f t="shared" si="175"/>
        <v>41.709734140532632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-1.4210854715202004E-13</v>
      </c>
      <c r="DP162" s="18">
        <f>DO162*VLOOKUP('Données projet'!$B$14,Paramètres!$A$1:$I$88,3,0)*VLOOKUP('Données projet'!$B$14,Paramètres!$A$1:$I$88,5,0)</f>
        <v>-1.3744738680543379E-13</v>
      </c>
      <c r="DQ162" s="14" t="e">
        <f t="shared" si="176"/>
        <v>#NUM!</v>
      </c>
      <c r="DR162" s="22" t="e">
        <f t="shared" si="177"/>
        <v>#NUM!</v>
      </c>
      <c r="DS162" s="62" t="e">
        <f t="shared" si="125"/>
        <v>#NUM!</v>
      </c>
      <c r="DT162" s="62">
        <f ca="1">AVERAGE(OFFSET($DS$3,0,0,'Données projet'!$E$14+1,1))-AVERAGE(OFFSET($H$3,0,0,'Données projet'!$E$14+1,1))</f>
        <v>290.89727102147953</v>
      </c>
      <c r="DU162" s="62">
        <f t="shared" si="152"/>
        <v>173.19148969173838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projet'!$B$14,Paramètres!$A$1:$I$88,3,0)*0.475*44/12</f>
        <v>31.69232096924123</v>
      </c>
      <c r="EB162" s="23">
        <f>EXP(-LN(2)/25)*EB161+(1-EXP(-LN(2)/25))/(LN(2)/25)*Calculateur!DW162*Calculateur!DY162*VLOOKUP('Données projet'!$B$14,Paramètres!$A$1:$I$88,3,0)*0.475*44/12</f>
        <v>0</v>
      </c>
      <c r="EC162" s="23">
        <f>EXP(-LN(2)/2)*EC161+(1-EXP(-LN(2)/2))/(LN(2)/2)*DW162*DZ162*VLOOKUP('Données projet'!$B$14,Paramètres!$A$1:$I$88,3,0)*0.475*44/12</f>
        <v>0</v>
      </c>
      <c r="ED162" s="24">
        <f t="shared" si="178"/>
        <v>31.69232096924123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projet'!$B$15,Paramètres!$A$1:$I$88,3,0)*VLOOKUP('Données projet'!$B$15,Paramètres!$A$1:$I$88,5,0)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projet'!$B$15,Paramètres!$A$1:$I$88,3,0)*0.475*44/12</f>
        <v>#N/A</v>
      </c>
      <c r="EW162" s="23" t="e">
        <f>EXP(-LN(2)/25)*EW161+(1-EXP(-LN(2)/25))/(LN(2)/25)*Calculateur!ER162*Calculateur!ET162*VLOOKUP('Données projet'!$B$15,Paramètres!$A$1:$I$88,3,0)*0.475*44/12</f>
        <v>#N/A</v>
      </c>
      <c r="EX162" s="23" t="e">
        <f>EXP(-LN(2)/2)*EX161+(1-EXP(-LN(2)/2))/(LN(2)/2)*ER162*EU162*VLOOKUP('Données projet'!$B$15,Paramètres!$A$1:$I$88,3,0)*0.475*44/12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projet'!$B$16,Paramètres!$A$1:$I$88,3,0)*VLOOKUP('Données projet'!$B$16,Paramètres!$A$1:$I$88,5,0)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projet'!$B$16,Paramètres!$A$1:$I$88,3,0)*0.475*44/12</f>
        <v>#N/A</v>
      </c>
      <c r="FR162" s="23" t="e">
        <f>EXP(-LN(2)/25)*FR161+(1-EXP(-LN(2)/25))/(LN(2)/25)*Calculateur!FM162*Calculateur!FO162*VLOOKUP('Données projet'!$B$16,Paramètres!$A$1:$I$88,3,0)*0.475*44/12</f>
        <v>#N/A</v>
      </c>
      <c r="FS162" s="23" t="e">
        <f>EXP(-LN(2)/2)*FS161+(1-EXP(-LN(2)/2))/(LN(2)/2)*FM162*FP162*VLOOKUP('Données projet'!$B$16,Paramètres!$A$1:$I$88,3,0)*0.475*44/12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projet'!$B$17,Paramètres!$A$1:$I$88,3,0)*VLOOKUP('Données projet'!$B$17,Paramètres!$A$1:$I$88,5,0)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projet'!$B$17,Paramètres!$A$1:$I$88,3,0)*0.475*44/12</f>
        <v>#N/A</v>
      </c>
      <c r="GM162" s="23" t="e">
        <f>EXP(-LN(2)/25)*GM161+(1-EXP(-LN(2)/25))/(LN(2)/25)*Calculateur!GH162*Calculateur!GJ162*VLOOKUP('Données projet'!$B$17,Paramètres!$A$1:$I$88,3,0)*0.475*44/12</f>
        <v>#N/A</v>
      </c>
      <c r="GN162" s="23" t="e">
        <f>EXP(-LN(2)/2)*GN161+(1-EXP(-LN(2)/2))/(LN(2)/2)*GH162*GK162*VLOOKUP('Données projet'!$B$17,Paramètres!$A$1:$I$88,3,0)*0.475*44/12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projet'!$B$18,Paramètres!$A$1:$I$88,3,0)*VLOOKUP('Données projet'!$B$18,Paramètres!$A$1:$I$88,5,0)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projet'!$B$18,Paramètres!$A$1:$I$88,3,0)*0.475*44/12</f>
        <v>#N/A</v>
      </c>
      <c r="HH162" s="23" t="e">
        <f>EXP(-LN(2)/25)*HH161+(1-EXP(-LN(2)/25))/(LN(2)/25)*Calculateur!HC162*Calculateur!HE162*VLOOKUP('Données projet'!$B$18,Paramètres!$A$1:$I$88,3,0)*0.475*44/12</f>
        <v>#N/A</v>
      </c>
      <c r="HI162" s="23" t="e">
        <f>EXP(-LN(2)/2)*HI161+(1-EXP(-LN(2)/2))/(LN(2)/2)*HC162*HF162*VLOOKUP('Données projet'!$B$18,Paramètres!$A$1:$I$88,3,0)*0.475*44/12</f>
        <v>#N/A</v>
      </c>
      <c r="HJ162" s="24" t="e">
        <f t="shared" si="190"/>
        <v>#N/A</v>
      </c>
    </row>
    <row r="163" spans="1:218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projet'!$B$9,Paramètres!$A$1:$I$88,3,0)*VLOOKUP('Données projet'!$B$9,Paramètres!$A$1:$I$88,5,0)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287.75907759268944</v>
      </c>
      <c r="S163" s="62">
        <f ca="1">AVERAGE(OFFSET($R$3,0,0,'Données projet'!$E$9+1,1))-AVERAGE(OFFSET($H$3,0,0,'Données projet'!$E$9+1,1))</f>
        <v>301.2688576786212</v>
      </c>
      <c r="T163" s="62">
        <f t="shared" si="142"/>
        <v>417.62172165132927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17.073219101120635</v>
      </c>
      <c r="AA163" s="23">
        <f>EXP(-LN(2)/25)*AA162+(1-EXP(-LN(2)/25))/(LN(2)/25)*Calculateur!V163*Calculateur!X163*VLOOKUP('Données projet'!$B$9,Paramètres!$A$1:$I$88,3,0)*0.475*44/12</f>
        <v>2.3564241083965696</v>
      </c>
      <c r="AB163" s="23">
        <f>EXP(-LN(2)/2)*AB162+(1-EXP(-LN(2)/2))/(LN(2)/2)*V163*Y163*VLOOKUP('Données projet'!$B$9,Paramètres!$A$1:$I$88,3,0)*0.475*44/12</f>
        <v>8.1747935882093885E-16</v>
      </c>
      <c r="AC163" s="24">
        <f t="shared" si="163"/>
        <v>19.429643209517206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projet'!$B$10,Paramètres!$A$1:$I$88,3,0)*VLOOKUP('Données projet'!$B$10,Paramètres!$A$1:$I$88,5,0)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170.08673939431091</v>
      </c>
      <c r="AO163" s="62">
        <f t="shared" si="144"/>
        <v>252.97355497077106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projet'!$B$10,Paramètres!$A$1:$I$88,7,0))</f>
        <v>0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projet'!$B$10,Paramètres!$A$1:$I$88,3,0)*0.475*44/12</f>
        <v>7.1285381809400636</v>
      </c>
      <c r="AV163" s="23">
        <f>EXP(-LN(2)/25)*AV162+(1-EXP(-LN(2)/25))/(LN(2)/25)*Calculateur!AQ163*Calculateur!AS163*VLOOKUP('Données projet'!$B$10,Paramètres!$A$1:$I$88,3,0)*0.475*44/12</f>
        <v>2.3883617166285998</v>
      </c>
      <c r="AW163" s="23">
        <f>EXP(-LN(2)/2)*AW162+(1-EXP(-LN(2)/2))/(LN(2)/2)*AQ163*AT163*VLOOKUP('Données projet'!$B$10,Paramètres!$A$1:$I$88,3,0)*0.475*44/12</f>
        <v>1.0471253374861754E-15</v>
      </c>
      <c r="AX163" s="23">
        <f t="shared" si="166"/>
        <v>9.5168998975686652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-1.1368683772161603E-13</v>
      </c>
      <c r="BE163" s="14">
        <f>BD163*VLOOKUP('Données projet'!$B$11,Paramètres!$A$1:$I$88,3,0)*VLOOKUP('Données projet'!$B$11,Paramètres!$A$1:$I$88,5,0)</f>
        <v>-1.0286385077051818E-13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362.63718589694594</v>
      </c>
      <c r="BJ163" s="62">
        <f t="shared" si="146"/>
        <v>250.47702091764884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projet'!$B$11,Paramètres!$A$1:$I$88,7,0))</f>
        <v>0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projet'!$B$11,Paramètres!$A$1:$I$88,3,0)*0.475*44/12</f>
        <v>38.880758004570957</v>
      </c>
      <c r="BQ163" s="23">
        <f>EXP(-LN(2)/25)*BQ162+(1-EXP(-LN(2)/25))/(LN(2)/25)*Calculateur!BL163*Calculateur!BN163*VLOOKUP('Données projet'!$B$11,Paramètres!$A$1:$I$88,3,0)*0.475*44/12</f>
        <v>0</v>
      </c>
      <c r="BR163" s="23">
        <f>EXP(-LN(2)/2)*BR162+(1-EXP(-LN(2)/2))/(LN(2)/2)*BL163*BO163*VLOOKUP('Données projet'!$B$11,Paramètres!$A$1:$I$88,3,0)*0.475*44/12</f>
        <v>0</v>
      </c>
      <c r="BS163" s="24">
        <f t="shared" si="169"/>
        <v>38.880758004570957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-1.1368683772161603E-13</v>
      </c>
      <c r="BZ163" s="14">
        <f>BY163*VLOOKUP('Données projet'!$B$12,Paramètres!$A$1:$I$88,3,0)*VLOOKUP('Données projet'!$B$12,Paramètres!$A$1:$I$88,5,0)</f>
        <v>-1.1527845344971866E-13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398.14524781940196</v>
      </c>
      <c r="CE163" s="62">
        <f t="shared" si="148"/>
        <v>273.35778700650792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projet'!$B$12,Paramètres!$A$1:$I$88,3,0)*0.475*44/12</f>
        <v>43.57326328098469</v>
      </c>
      <c r="CL163" s="23">
        <f>EXP(-LN(2)/25)*CL162+(1-EXP(-LN(2)/25))/(LN(2)/25)*Calculateur!CG163*Calculateur!CI163*VLOOKUP('Données projet'!$B$12,Paramètres!$A$1:$I$88,3,0)*0.475*44/12</f>
        <v>0</v>
      </c>
      <c r="CM163" s="23">
        <f>EXP(-LN(2)/2)*CM162+(1-EXP(-LN(2)/2))/(LN(2)/2)*CG163*CJ163*VLOOKUP('Données projet'!$B$12,Paramètres!$A$1:$I$88,3,0)*0.475*44/12</f>
        <v>0</v>
      </c>
      <c r="CN163" s="24">
        <f t="shared" si="172"/>
        <v>43.57326328098469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118</v>
      </c>
      <c r="CU163" s="18">
        <f>CT163*VLOOKUP('Données projet'!$B$13,Paramètres!$A$1:$I$88,3,0)*VLOOKUP('Données projet'!$B$13,Paramètres!$A$1:$I$88,5,0)</f>
        <v>112.28880000000001</v>
      </c>
      <c r="CV163" s="14">
        <f t="shared" si="173"/>
        <v>29.869595672288149</v>
      </c>
      <c r="CW163" s="22">
        <f t="shared" si="174"/>
        <v>247.59253912923518</v>
      </c>
      <c r="CX163" s="62">
        <f t="shared" si="122"/>
        <v>535.35161672192351</v>
      </c>
      <c r="CY163" s="62">
        <f ca="1">AVERAGE(OFFSET($CX$3,0,0,'Données projet'!$E$13+1,1))-AVERAGE(OFFSET($H$3,0,0,'Données projet'!$E$13+1,1))</f>
        <v>470.0521927195926</v>
      </c>
      <c r="CZ163" s="62">
        <f t="shared" si="150"/>
        <v>299.27200854723435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projet'!$B$13,Paramètres!$A$1:$I$88,3,0)*0.475*44/12</f>
        <v>40.891831694462581</v>
      </c>
      <c r="DG163" s="23">
        <f>EXP(-LN(2)/25)*DG162+(1-EXP(-LN(2)/25))/(LN(2)/25)*Calculateur!DB163*Calculateur!DD163*VLOOKUP('Données projet'!$B$13,Paramètres!$A$1:$I$88,3,0)*0.475*44/12</f>
        <v>0</v>
      </c>
      <c r="DH163" s="23">
        <f>EXP(-LN(2)/2)*DH162+(1-EXP(-LN(2)/2))/(LN(2)/2)*DB163*DE163*VLOOKUP('Données projet'!$B$13,Paramètres!$A$1:$I$88,3,0)*0.475*44/12</f>
        <v>0</v>
      </c>
      <c r="DI163" s="24">
        <f t="shared" si="175"/>
        <v>40.891831694462581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-1.4210854715202004E-13</v>
      </c>
      <c r="DP163" s="18">
        <f>DO163*VLOOKUP('Données projet'!$B$14,Paramètres!$A$1:$I$88,3,0)*VLOOKUP('Données projet'!$B$14,Paramètres!$A$1:$I$88,5,0)</f>
        <v>-1.3744738680543379E-13</v>
      </c>
      <c r="DQ163" s="14" t="e">
        <f t="shared" si="176"/>
        <v>#NUM!</v>
      </c>
      <c r="DR163" s="22" t="e">
        <f t="shared" si="177"/>
        <v>#NUM!</v>
      </c>
      <c r="DS163" s="62" t="e">
        <f t="shared" si="125"/>
        <v>#NUM!</v>
      </c>
      <c r="DT163" s="62">
        <f ca="1">AVERAGE(OFFSET($DS$3,0,0,'Données projet'!$E$14+1,1))-AVERAGE(OFFSET($H$3,0,0,'Données projet'!$E$14+1,1))</f>
        <v>290.89727102147953</v>
      </c>
      <c r="DU163" s="62">
        <f t="shared" si="152"/>
        <v>173.19148969173838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projet'!$B$14,Paramètres!$A$1:$I$88,3,0)*0.475*44/12</f>
        <v>31.070853885441483</v>
      </c>
      <c r="EB163" s="23">
        <f>EXP(-LN(2)/25)*EB162+(1-EXP(-LN(2)/25))/(LN(2)/25)*Calculateur!DW163*Calculateur!DY163*VLOOKUP('Données projet'!$B$14,Paramètres!$A$1:$I$88,3,0)*0.475*44/12</f>
        <v>0</v>
      </c>
      <c r="EC163" s="23">
        <f>EXP(-LN(2)/2)*EC162+(1-EXP(-LN(2)/2))/(LN(2)/2)*DW163*DZ163*VLOOKUP('Données projet'!$B$14,Paramètres!$A$1:$I$88,3,0)*0.475*44/12</f>
        <v>0</v>
      </c>
      <c r="ED163" s="24">
        <f t="shared" si="178"/>
        <v>31.070853885441483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projet'!$B$15,Paramètres!$A$1:$I$88,3,0)*VLOOKUP('Données projet'!$B$15,Paramètres!$A$1:$I$88,5,0)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projet'!$B$15,Paramètres!$A$1:$I$88,3,0)*0.475*44/12</f>
        <v>#N/A</v>
      </c>
      <c r="EW163" s="23" t="e">
        <f>EXP(-LN(2)/25)*EW162+(1-EXP(-LN(2)/25))/(LN(2)/25)*Calculateur!ER163*Calculateur!ET163*VLOOKUP('Données projet'!$B$15,Paramètres!$A$1:$I$88,3,0)*0.475*44/12</f>
        <v>#N/A</v>
      </c>
      <c r="EX163" s="23" t="e">
        <f>EXP(-LN(2)/2)*EX162+(1-EXP(-LN(2)/2))/(LN(2)/2)*ER163*EU163*VLOOKUP('Données projet'!$B$15,Paramètres!$A$1:$I$88,3,0)*0.475*44/12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projet'!$B$16,Paramètres!$A$1:$I$88,3,0)*VLOOKUP('Données projet'!$B$16,Paramètres!$A$1:$I$88,5,0)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projet'!$B$16,Paramètres!$A$1:$I$88,3,0)*0.475*44/12</f>
        <v>#N/A</v>
      </c>
      <c r="FR163" s="23" t="e">
        <f>EXP(-LN(2)/25)*FR162+(1-EXP(-LN(2)/25))/(LN(2)/25)*Calculateur!FM163*Calculateur!FO163*VLOOKUP('Données projet'!$B$16,Paramètres!$A$1:$I$88,3,0)*0.475*44/12</f>
        <v>#N/A</v>
      </c>
      <c r="FS163" s="23" t="e">
        <f>EXP(-LN(2)/2)*FS162+(1-EXP(-LN(2)/2))/(LN(2)/2)*FM163*FP163*VLOOKUP('Données projet'!$B$16,Paramètres!$A$1:$I$88,3,0)*0.475*44/12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projet'!$B$17,Paramètres!$A$1:$I$88,3,0)*VLOOKUP('Données projet'!$B$17,Paramètres!$A$1:$I$88,5,0)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projet'!$B$17,Paramètres!$A$1:$I$88,3,0)*0.475*44/12</f>
        <v>#N/A</v>
      </c>
      <c r="GM163" s="23" t="e">
        <f>EXP(-LN(2)/25)*GM162+(1-EXP(-LN(2)/25))/(LN(2)/25)*Calculateur!GH163*Calculateur!GJ163*VLOOKUP('Données projet'!$B$17,Paramètres!$A$1:$I$88,3,0)*0.475*44/12</f>
        <v>#N/A</v>
      </c>
      <c r="GN163" s="23" t="e">
        <f>EXP(-LN(2)/2)*GN162+(1-EXP(-LN(2)/2))/(LN(2)/2)*GH163*GK163*VLOOKUP('Données projet'!$B$17,Paramètres!$A$1:$I$88,3,0)*0.475*44/12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projet'!$B$18,Paramètres!$A$1:$I$88,3,0)*VLOOKUP('Données projet'!$B$18,Paramètres!$A$1:$I$88,5,0)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projet'!$B$18,Paramètres!$A$1:$I$88,3,0)*0.475*44/12</f>
        <v>#N/A</v>
      </c>
      <c r="HH163" s="23" t="e">
        <f>EXP(-LN(2)/25)*HH162+(1-EXP(-LN(2)/25))/(LN(2)/25)*Calculateur!HC163*Calculateur!HE163*VLOOKUP('Données projet'!$B$18,Paramètres!$A$1:$I$88,3,0)*0.475*44/12</f>
        <v>#N/A</v>
      </c>
      <c r="HI163" s="23" t="e">
        <f>EXP(-LN(2)/2)*HI162+(1-EXP(-LN(2)/2))/(LN(2)/2)*HC163*HF163*VLOOKUP('Données projet'!$B$18,Paramètres!$A$1:$I$88,3,0)*0.475*44/12</f>
        <v>#N/A</v>
      </c>
      <c r="HJ163" s="24" t="e">
        <f t="shared" si="190"/>
        <v>#N/A</v>
      </c>
    </row>
    <row r="164" spans="1:218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projet'!$B$9,Paramètres!$A$1:$I$88,3,0)*VLOOKUP('Données projet'!$B$9,Paramètres!$A$1:$I$88,5,0)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287.85577846762078</v>
      </c>
      <c r="S164" s="62">
        <f ca="1">AVERAGE(OFFSET($R$3,0,0,'Données projet'!$E$9+1,1))-AVERAGE(OFFSET($H$3,0,0,'Données projet'!$E$9+1,1))</f>
        <v>301.2688576786212</v>
      </c>
      <c r="T164" s="62">
        <f t="shared" si="142"/>
        <v>417.62172165132927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16.738423688183051</v>
      </c>
      <c r="AA164" s="23">
        <f>EXP(-LN(2)/25)*AA163+(1-EXP(-LN(2)/25))/(LN(2)/25)*Calculateur!V164*Calculateur!X164*VLOOKUP('Données projet'!$B$9,Paramètres!$A$1:$I$88,3,0)*0.475*44/12</f>
        <v>2.2919875672335071</v>
      </c>
      <c r="AB164" s="23">
        <f>EXP(-LN(2)/2)*AB163+(1-EXP(-LN(2)/2))/(LN(2)/2)*V164*Y164*VLOOKUP('Données projet'!$B$9,Paramètres!$A$1:$I$88,3,0)*0.475*44/12</f>
        <v>5.7804519810231677E-16</v>
      </c>
      <c r="AC164" s="24">
        <f t="shared" si="163"/>
        <v>19.03041125541656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projet'!$B$10,Paramètres!$A$1:$I$88,3,0)*VLOOKUP('Données projet'!$B$10,Paramètres!$A$1:$I$88,5,0)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170.08673939431091</v>
      </c>
      <c r="AO164" s="62">
        <f t="shared" si="144"/>
        <v>252.97355497077106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projet'!$B$10,Paramètres!$A$1:$I$88,3,0)*0.475*44/12</f>
        <v>6.9887518951907923</v>
      </c>
      <c r="AV164" s="23">
        <f>EXP(-LN(2)/25)*AV163+(1-EXP(-LN(2)/25))/(LN(2)/25)*Calculateur!AQ164*Calculateur!AS164*VLOOKUP('Données projet'!$B$10,Paramètres!$A$1:$I$88,3,0)*0.475*44/12</f>
        <v>2.3230518398889068</v>
      </c>
      <c r="AW164" s="23">
        <f>EXP(-LN(2)/2)*AW163+(1-EXP(-LN(2)/2))/(LN(2)/2)*AQ164*AT164*VLOOKUP('Données projet'!$B$10,Paramètres!$A$1:$I$88,3,0)*0.475*44/12</f>
        <v>7.4042942688872676E-16</v>
      </c>
      <c r="AX164" s="23">
        <f t="shared" si="166"/>
        <v>9.3118037350796996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-1.1368683772161603E-13</v>
      </c>
      <c r="BE164" s="14">
        <f>BD164*VLOOKUP('Données projet'!$B$11,Paramètres!$A$1:$I$88,3,0)*VLOOKUP('Données projet'!$B$11,Paramètres!$A$1:$I$88,5,0)</f>
        <v>-1.0286385077051818E-13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362.63718589694594</v>
      </c>
      <c r="BJ164" s="62">
        <f t="shared" si="146"/>
        <v>250.47702091764884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projet'!$B$11,Paramètres!$A$1:$I$88,3,0)*0.475*44/12</f>
        <v>38.118330055022049</v>
      </c>
      <c r="BQ164" s="23">
        <f>EXP(-LN(2)/25)*BQ163+(1-EXP(-LN(2)/25))/(LN(2)/25)*Calculateur!BL164*Calculateur!BN164*VLOOKUP('Données projet'!$B$11,Paramètres!$A$1:$I$88,3,0)*0.475*44/12</f>
        <v>0</v>
      </c>
      <c r="BR164" s="23">
        <f>EXP(-LN(2)/2)*BR163+(1-EXP(-LN(2)/2))/(LN(2)/2)*BL164*BO164*VLOOKUP('Données projet'!$B$11,Paramètres!$A$1:$I$88,3,0)*0.475*44/12</f>
        <v>0</v>
      </c>
      <c r="BS164" s="24">
        <f t="shared" si="169"/>
        <v>38.118330055022049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-1.1368683772161603E-13</v>
      </c>
      <c r="BZ164" s="14">
        <f>BY164*VLOOKUP('Données projet'!$B$12,Paramètres!$A$1:$I$88,3,0)*VLOOKUP('Données projet'!$B$12,Paramètres!$A$1:$I$88,5,0)</f>
        <v>-1.1527845344971866E-13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398.14524781940196</v>
      </c>
      <c r="CE164" s="62">
        <f t="shared" si="148"/>
        <v>273.35778700650792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projet'!$B$12,Paramètres!$A$1:$I$88,3,0)*0.475*44/12</f>
        <v>42.718818165110918</v>
      </c>
      <c r="CL164" s="23">
        <f>EXP(-LN(2)/25)*CL163+(1-EXP(-LN(2)/25))/(LN(2)/25)*Calculateur!CG164*Calculateur!CI164*VLOOKUP('Données projet'!$B$12,Paramètres!$A$1:$I$88,3,0)*0.475*44/12</f>
        <v>0</v>
      </c>
      <c r="CM164" s="23">
        <f>EXP(-LN(2)/2)*CM163+(1-EXP(-LN(2)/2))/(LN(2)/2)*CG164*CJ164*VLOOKUP('Données projet'!$B$12,Paramètres!$A$1:$I$88,3,0)*0.475*44/12</f>
        <v>0</v>
      </c>
      <c r="CN164" s="24">
        <f t="shared" si="172"/>
        <v>42.718818165110918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118</v>
      </c>
      <c r="CU164" s="18">
        <f>CT164*VLOOKUP('Données projet'!$B$13,Paramètres!$A$1:$I$88,3,0)*VLOOKUP('Données projet'!$B$13,Paramètres!$A$1:$I$88,5,0)</f>
        <v>112.28880000000001</v>
      </c>
      <c r="CV164" s="14">
        <f t="shared" si="173"/>
        <v>29.869595672288149</v>
      </c>
      <c r="CW164" s="22">
        <f t="shared" si="174"/>
        <v>247.59253912923518</v>
      </c>
      <c r="CX164" s="62">
        <f t="shared" si="122"/>
        <v>535.44831759685485</v>
      </c>
      <c r="CY164" s="62">
        <f ca="1">AVERAGE(OFFSET($CX$3,0,0,'Données projet'!$E$13+1,1))-AVERAGE(OFFSET($H$3,0,0,'Données projet'!$E$13+1,1))</f>
        <v>470.0521927195926</v>
      </c>
      <c r="CZ164" s="62">
        <f t="shared" si="150"/>
        <v>299.27200854723435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projet'!$B$13,Paramètres!$A$1:$I$88,3,0)*0.475*44/12</f>
        <v>40.089967816488731</v>
      </c>
      <c r="DG164" s="23">
        <f>EXP(-LN(2)/25)*DG163+(1-EXP(-LN(2)/25))/(LN(2)/25)*Calculateur!DB164*Calculateur!DD164*VLOOKUP('Données projet'!$B$13,Paramètres!$A$1:$I$88,3,0)*0.475*44/12</f>
        <v>0</v>
      </c>
      <c r="DH164" s="23">
        <f>EXP(-LN(2)/2)*DH163+(1-EXP(-LN(2)/2))/(LN(2)/2)*DB164*DE164*VLOOKUP('Données projet'!$B$13,Paramètres!$A$1:$I$88,3,0)*0.475*44/12</f>
        <v>0</v>
      </c>
      <c r="DI164" s="24">
        <f t="shared" si="175"/>
        <v>40.089967816488731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-1.4210854715202004E-13</v>
      </c>
      <c r="DP164" s="18">
        <f>DO164*VLOOKUP('Données projet'!$B$14,Paramètres!$A$1:$I$88,3,0)*VLOOKUP('Données projet'!$B$14,Paramètres!$A$1:$I$88,5,0)</f>
        <v>-1.3744738680543379E-13</v>
      </c>
      <c r="DQ164" s="14" t="e">
        <f t="shared" si="176"/>
        <v>#NUM!</v>
      </c>
      <c r="DR164" s="22" t="e">
        <f t="shared" si="177"/>
        <v>#NUM!</v>
      </c>
      <c r="DS164" s="62" t="e">
        <f t="shared" si="125"/>
        <v>#NUM!</v>
      </c>
      <c r="DT164" s="62">
        <f ca="1">AVERAGE(OFFSET($DS$3,0,0,'Données projet'!$E$14+1,1))-AVERAGE(OFFSET($H$3,0,0,'Données projet'!$E$14+1,1))</f>
        <v>290.89727102147953</v>
      </c>
      <c r="DU164" s="62">
        <f t="shared" si="152"/>
        <v>173.19148969173838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projet'!$B$14,Paramètres!$A$1:$I$88,3,0)*0.475*44/12</f>
        <v>30.461573392097556</v>
      </c>
      <c r="EB164" s="23">
        <f>EXP(-LN(2)/25)*EB163+(1-EXP(-LN(2)/25))/(LN(2)/25)*Calculateur!DW164*Calculateur!DY164*VLOOKUP('Données projet'!$B$14,Paramètres!$A$1:$I$88,3,0)*0.475*44/12</f>
        <v>0</v>
      </c>
      <c r="EC164" s="23">
        <f>EXP(-LN(2)/2)*EC163+(1-EXP(-LN(2)/2))/(LN(2)/2)*DW164*DZ164*VLOOKUP('Données projet'!$B$14,Paramètres!$A$1:$I$88,3,0)*0.475*44/12</f>
        <v>0</v>
      </c>
      <c r="ED164" s="24">
        <f t="shared" si="178"/>
        <v>30.461573392097556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projet'!$B$15,Paramètres!$A$1:$I$88,3,0)*VLOOKUP('Données projet'!$B$15,Paramètres!$A$1:$I$88,5,0)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projet'!$B$15,Paramètres!$A$1:$I$88,3,0)*0.475*44/12</f>
        <v>#N/A</v>
      </c>
      <c r="EW164" s="23" t="e">
        <f>EXP(-LN(2)/25)*EW163+(1-EXP(-LN(2)/25))/(LN(2)/25)*Calculateur!ER164*Calculateur!ET164*VLOOKUP('Données projet'!$B$15,Paramètres!$A$1:$I$88,3,0)*0.475*44/12</f>
        <v>#N/A</v>
      </c>
      <c r="EX164" s="23" t="e">
        <f>EXP(-LN(2)/2)*EX163+(1-EXP(-LN(2)/2))/(LN(2)/2)*ER164*EU164*VLOOKUP('Données projet'!$B$15,Paramètres!$A$1:$I$88,3,0)*0.475*44/12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projet'!$B$16,Paramètres!$A$1:$I$88,3,0)*VLOOKUP('Données projet'!$B$16,Paramètres!$A$1:$I$88,5,0)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projet'!$B$16,Paramètres!$A$1:$I$88,3,0)*0.475*44/12</f>
        <v>#N/A</v>
      </c>
      <c r="FR164" s="23" t="e">
        <f>EXP(-LN(2)/25)*FR163+(1-EXP(-LN(2)/25))/(LN(2)/25)*Calculateur!FM164*Calculateur!FO164*VLOOKUP('Données projet'!$B$16,Paramètres!$A$1:$I$88,3,0)*0.475*44/12</f>
        <v>#N/A</v>
      </c>
      <c r="FS164" s="23" t="e">
        <f>EXP(-LN(2)/2)*FS163+(1-EXP(-LN(2)/2))/(LN(2)/2)*FM164*FP164*VLOOKUP('Données projet'!$B$16,Paramètres!$A$1:$I$88,3,0)*0.475*44/12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projet'!$B$17,Paramètres!$A$1:$I$88,3,0)*VLOOKUP('Données projet'!$B$17,Paramètres!$A$1:$I$88,5,0)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projet'!$B$17,Paramètres!$A$1:$I$88,3,0)*0.475*44/12</f>
        <v>#N/A</v>
      </c>
      <c r="GM164" s="23" t="e">
        <f>EXP(-LN(2)/25)*GM163+(1-EXP(-LN(2)/25))/(LN(2)/25)*Calculateur!GH164*Calculateur!GJ164*VLOOKUP('Données projet'!$B$17,Paramètres!$A$1:$I$88,3,0)*0.475*44/12</f>
        <v>#N/A</v>
      </c>
      <c r="GN164" s="23" t="e">
        <f>EXP(-LN(2)/2)*GN163+(1-EXP(-LN(2)/2))/(LN(2)/2)*GH164*GK164*VLOOKUP('Données projet'!$B$17,Paramètres!$A$1:$I$88,3,0)*0.475*44/12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projet'!$B$18,Paramètres!$A$1:$I$88,3,0)*VLOOKUP('Données projet'!$B$18,Paramètres!$A$1:$I$88,5,0)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projet'!$B$18,Paramètres!$A$1:$I$88,3,0)*0.475*44/12</f>
        <v>#N/A</v>
      </c>
      <c r="HH164" s="23" t="e">
        <f>EXP(-LN(2)/25)*HH163+(1-EXP(-LN(2)/25))/(LN(2)/25)*Calculateur!HC164*Calculateur!HE164*VLOOKUP('Données projet'!$B$18,Paramètres!$A$1:$I$88,3,0)*0.475*44/12</f>
        <v>#N/A</v>
      </c>
      <c r="HI164" s="23" t="e">
        <f>EXP(-LN(2)/2)*HI163+(1-EXP(-LN(2)/2))/(LN(2)/2)*HC164*HF164*VLOOKUP('Données projet'!$B$18,Paramètres!$A$1:$I$88,3,0)*0.475*44/12</f>
        <v>#N/A</v>
      </c>
      <c r="HJ164" s="24" t="e">
        <f t="shared" si="190"/>
        <v>#N/A</v>
      </c>
    </row>
    <row r="165" spans="1:218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projet'!$B$9,Paramètres!$A$1:$I$88,3,0)*VLOOKUP('Données projet'!$B$9,Paramètres!$A$1:$I$88,5,0)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287.95080179856279</v>
      </c>
      <c r="S165" s="62">
        <f ca="1">AVERAGE(OFFSET($R$3,0,0,'Données projet'!$E$9+1,1))-AVERAGE(OFFSET($H$3,0,0,'Données projet'!$E$9+1,1))</f>
        <v>301.2688576786212</v>
      </c>
      <c r="T165" s="62">
        <f t="shared" si="142"/>
        <v>417.62172165132927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16.410193409088134</v>
      </c>
      <c r="AA165" s="23">
        <f>EXP(-LN(2)/25)*AA164+(1-EXP(-LN(2)/25))/(LN(2)/25)*Calculateur!V165*Calculateur!X165*VLOOKUP('Données projet'!$B$9,Paramètres!$A$1:$I$88,3,0)*0.475*44/12</f>
        <v>2.2293130466771189</v>
      </c>
      <c r="AB165" s="23">
        <f>EXP(-LN(2)/2)*AB164+(1-EXP(-LN(2)/2))/(LN(2)/2)*V165*Y165*VLOOKUP('Données projet'!$B$9,Paramètres!$A$1:$I$88,3,0)*0.475*44/12</f>
        <v>4.0873967941046942E-16</v>
      </c>
      <c r="AC165" s="24">
        <f t="shared" si="163"/>
        <v>18.639506455765254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projet'!$B$10,Paramètres!$A$1:$I$88,3,0)*VLOOKUP('Données projet'!$B$10,Paramètres!$A$1:$I$88,5,0)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170.08673939431091</v>
      </c>
      <c r="AO165" s="62">
        <f t="shared" si="144"/>
        <v>252.97355497077106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projet'!$B$10,Paramètres!$A$1:$I$88,3,0)*0.475*44/12</f>
        <v>6.8517067332438488</v>
      </c>
      <c r="AV165" s="23">
        <f>EXP(-LN(2)/25)*AV164+(1-EXP(-LN(2)/25))/(LN(2)/25)*Calculateur!AQ165*Calculateur!AS165*VLOOKUP('Données projet'!$B$10,Paramètres!$A$1:$I$88,3,0)*0.475*44/12</f>
        <v>2.2595278651631578</v>
      </c>
      <c r="AW165" s="23">
        <f>EXP(-LN(2)/2)*AW164+(1-EXP(-LN(2)/2))/(LN(2)/2)*AQ165*AT165*VLOOKUP('Données projet'!$B$10,Paramètres!$A$1:$I$88,3,0)*0.475*44/12</f>
        <v>5.2356266874308769E-16</v>
      </c>
      <c r="AX165" s="23">
        <f t="shared" si="166"/>
        <v>9.1112345984070071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-1.1368683772161603E-13</v>
      </c>
      <c r="BE165" s="14">
        <f>BD165*VLOOKUP('Données projet'!$B$11,Paramètres!$A$1:$I$88,3,0)*VLOOKUP('Données projet'!$B$11,Paramètres!$A$1:$I$88,5,0)</f>
        <v>-1.0286385077051818E-13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362.63718589694594</v>
      </c>
      <c r="BJ165" s="62">
        <f t="shared" si="146"/>
        <v>250.47702091764884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projet'!$B$11,Paramètres!$A$1:$I$88,3,0)*0.475*44/12</f>
        <v>37.370852852528664</v>
      </c>
      <c r="BQ165" s="23">
        <f>EXP(-LN(2)/25)*BQ164+(1-EXP(-LN(2)/25))/(LN(2)/25)*Calculateur!BL165*Calculateur!BN165*VLOOKUP('Données projet'!$B$11,Paramètres!$A$1:$I$88,3,0)*0.475*44/12</f>
        <v>0</v>
      </c>
      <c r="BR165" s="23">
        <f>EXP(-LN(2)/2)*BR164+(1-EXP(-LN(2)/2))/(LN(2)/2)*BL165*BO165*VLOOKUP('Données projet'!$B$11,Paramètres!$A$1:$I$88,3,0)*0.475*44/12</f>
        <v>0</v>
      </c>
      <c r="BS165" s="24">
        <f t="shared" si="169"/>
        <v>37.370852852528664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-1.1368683772161603E-13</v>
      </c>
      <c r="BZ165" s="14">
        <f>BY165*VLOOKUP('Données projet'!$B$12,Paramètres!$A$1:$I$88,3,0)*VLOOKUP('Données projet'!$B$12,Paramètres!$A$1:$I$88,5,0)</f>
        <v>-1.1527845344971866E-13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398.14524781940196</v>
      </c>
      <c r="CE165" s="62">
        <f t="shared" si="148"/>
        <v>273.35778700650792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projet'!$B$12,Paramètres!$A$1:$I$88,3,0)*0.475*44/12</f>
        <v>41.881128196799366</v>
      </c>
      <c r="CL165" s="23">
        <f>EXP(-LN(2)/25)*CL164+(1-EXP(-LN(2)/25))/(LN(2)/25)*Calculateur!CG165*Calculateur!CI165*VLOOKUP('Données projet'!$B$12,Paramètres!$A$1:$I$88,3,0)*0.475*44/12</f>
        <v>0</v>
      </c>
      <c r="CM165" s="23">
        <f>EXP(-LN(2)/2)*CM164+(1-EXP(-LN(2)/2))/(LN(2)/2)*CG165*CJ165*VLOOKUP('Données projet'!$B$12,Paramètres!$A$1:$I$88,3,0)*0.475*44/12</f>
        <v>0</v>
      </c>
      <c r="CN165" s="24">
        <f t="shared" si="172"/>
        <v>41.881128196799366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118</v>
      </c>
      <c r="CU165" s="18">
        <f>CT165*VLOOKUP('Données projet'!$B$13,Paramètres!$A$1:$I$88,3,0)*VLOOKUP('Données projet'!$B$13,Paramètres!$A$1:$I$88,5,0)</f>
        <v>112.28880000000001</v>
      </c>
      <c r="CV165" s="14">
        <f t="shared" si="173"/>
        <v>29.869595672288149</v>
      </c>
      <c r="CW165" s="22">
        <f t="shared" si="174"/>
        <v>247.59253912923518</v>
      </c>
      <c r="CX165" s="62">
        <f t="shared" si="122"/>
        <v>535.54334092779686</v>
      </c>
      <c r="CY165" s="62">
        <f ca="1">AVERAGE(OFFSET($CX$3,0,0,'Données projet'!$E$13+1,1))-AVERAGE(OFFSET($H$3,0,0,'Données projet'!$E$13+1,1))</f>
        <v>470.0521927195926</v>
      </c>
      <c r="CZ165" s="62">
        <f t="shared" si="150"/>
        <v>299.27200854723435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projet'!$B$13,Paramètres!$A$1:$I$88,3,0)*0.475*44/12</f>
        <v>39.303828000073274</v>
      </c>
      <c r="DG165" s="23">
        <f>EXP(-LN(2)/25)*DG164+(1-EXP(-LN(2)/25))/(LN(2)/25)*Calculateur!DB165*Calculateur!DD165*VLOOKUP('Données projet'!$B$13,Paramètres!$A$1:$I$88,3,0)*0.475*44/12</f>
        <v>0</v>
      </c>
      <c r="DH165" s="23">
        <f>EXP(-LN(2)/2)*DH164+(1-EXP(-LN(2)/2))/(LN(2)/2)*DB165*DE165*VLOOKUP('Données projet'!$B$13,Paramètres!$A$1:$I$88,3,0)*0.475*44/12</f>
        <v>0</v>
      </c>
      <c r="DI165" s="24">
        <f t="shared" si="175"/>
        <v>39.303828000073274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-1.4210854715202004E-13</v>
      </c>
      <c r="DP165" s="18">
        <f>DO165*VLOOKUP('Données projet'!$B$14,Paramètres!$A$1:$I$88,3,0)*VLOOKUP('Données projet'!$B$14,Paramètres!$A$1:$I$88,5,0)</f>
        <v>-1.3744738680543379E-13</v>
      </c>
      <c r="DQ165" s="14" t="e">
        <f t="shared" si="176"/>
        <v>#NUM!</v>
      </c>
      <c r="DR165" s="22" t="e">
        <f t="shared" si="177"/>
        <v>#NUM!</v>
      </c>
      <c r="DS165" s="62" t="e">
        <f t="shared" si="125"/>
        <v>#NUM!</v>
      </c>
      <c r="DT165" s="62">
        <f ca="1">AVERAGE(OFFSET($DS$3,0,0,'Données projet'!$E$14+1,1))-AVERAGE(OFFSET($H$3,0,0,'Données projet'!$E$14+1,1))</f>
        <v>290.89727102147953</v>
      </c>
      <c r="DU165" s="62">
        <f t="shared" si="152"/>
        <v>173.19148969173838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projet'!$B$14,Paramètres!$A$1:$I$88,3,0)*0.475*44/12</f>
        <v>29.864240517603697</v>
      </c>
      <c r="EB165" s="23">
        <f>EXP(-LN(2)/25)*EB164+(1-EXP(-LN(2)/25))/(LN(2)/25)*Calculateur!DW165*Calculateur!DY165*VLOOKUP('Données projet'!$B$14,Paramètres!$A$1:$I$88,3,0)*0.475*44/12</f>
        <v>0</v>
      </c>
      <c r="EC165" s="23">
        <f>EXP(-LN(2)/2)*EC164+(1-EXP(-LN(2)/2))/(LN(2)/2)*DW165*DZ165*VLOOKUP('Données projet'!$B$14,Paramètres!$A$1:$I$88,3,0)*0.475*44/12</f>
        <v>0</v>
      </c>
      <c r="ED165" s="24">
        <f t="shared" si="178"/>
        <v>29.864240517603697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projet'!$B$15,Paramètres!$A$1:$I$88,3,0)*VLOOKUP('Données projet'!$B$15,Paramètres!$A$1:$I$88,5,0)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projet'!$B$15,Paramètres!$A$1:$I$88,3,0)*0.475*44/12</f>
        <v>#N/A</v>
      </c>
      <c r="EW165" s="23" t="e">
        <f>EXP(-LN(2)/25)*EW164+(1-EXP(-LN(2)/25))/(LN(2)/25)*Calculateur!ER165*Calculateur!ET165*VLOOKUP('Données projet'!$B$15,Paramètres!$A$1:$I$88,3,0)*0.475*44/12</f>
        <v>#N/A</v>
      </c>
      <c r="EX165" s="23" t="e">
        <f>EXP(-LN(2)/2)*EX164+(1-EXP(-LN(2)/2))/(LN(2)/2)*ER165*EU165*VLOOKUP('Données projet'!$B$15,Paramètres!$A$1:$I$88,3,0)*0.475*44/12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projet'!$B$16,Paramètres!$A$1:$I$88,3,0)*VLOOKUP('Données projet'!$B$16,Paramètres!$A$1:$I$88,5,0)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projet'!$B$16,Paramètres!$A$1:$I$88,3,0)*0.475*44/12</f>
        <v>#N/A</v>
      </c>
      <c r="FR165" s="23" t="e">
        <f>EXP(-LN(2)/25)*FR164+(1-EXP(-LN(2)/25))/(LN(2)/25)*Calculateur!FM165*Calculateur!FO165*VLOOKUP('Données projet'!$B$16,Paramètres!$A$1:$I$88,3,0)*0.475*44/12</f>
        <v>#N/A</v>
      </c>
      <c r="FS165" s="23" t="e">
        <f>EXP(-LN(2)/2)*FS164+(1-EXP(-LN(2)/2))/(LN(2)/2)*FM165*FP165*VLOOKUP('Données projet'!$B$16,Paramètres!$A$1:$I$88,3,0)*0.475*44/12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projet'!$B$17,Paramètres!$A$1:$I$88,3,0)*VLOOKUP('Données projet'!$B$17,Paramètres!$A$1:$I$88,5,0)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projet'!$B$17,Paramètres!$A$1:$I$88,3,0)*0.475*44/12</f>
        <v>#N/A</v>
      </c>
      <c r="GM165" s="23" t="e">
        <f>EXP(-LN(2)/25)*GM164+(1-EXP(-LN(2)/25))/(LN(2)/25)*Calculateur!GH165*Calculateur!GJ165*VLOOKUP('Données projet'!$B$17,Paramètres!$A$1:$I$88,3,0)*0.475*44/12</f>
        <v>#N/A</v>
      </c>
      <c r="GN165" s="23" t="e">
        <f>EXP(-LN(2)/2)*GN164+(1-EXP(-LN(2)/2))/(LN(2)/2)*GH165*GK165*VLOOKUP('Données projet'!$B$17,Paramètres!$A$1:$I$88,3,0)*0.475*44/12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projet'!$B$18,Paramètres!$A$1:$I$88,3,0)*VLOOKUP('Données projet'!$B$18,Paramètres!$A$1:$I$88,5,0)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projet'!$B$18,Paramètres!$A$1:$I$88,3,0)*0.475*44/12</f>
        <v>#N/A</v>
      </c>
      <c r="HH165" s="23" t="e">
        <f>EXP(-LN(2)/25)*HH164+(1-EXP(-LN(2)/25))/(LN(2)/25)*Calculateur!HC165*Calculateur!HE165*VLOOKUP('Données projet'!$B$18,Paramètres!$A$1:$I$88,3,0)*0.475*44/12</f>
        <v>#N/A</v>
      </c>
      <c r="HI165" s="23" t="e">
        <f>EXP(-LN(2)/2)*HI164+(1-EXP(-LN(2)/2))/(LN(2)/2)*HC165*HF165*VLOOKUP('Données projet'!$B$18,Paramètres!$A$1:$I$88,3,0)*0.475*44/12</f>
        <v>#N/A</v>
      </c>
      <c r="HJ165" s="24" t="e">
        <f t="shared" si="190"/>
        <v>#N/A</v>
      </c>
    </row>
    <row r="166" spans="1:218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projet'!$B$9,Paramètres!$A$1:$I$88,3,0)*VLOOKUP('Données projet'!$B$9,Paramètres!$A$1:$I$88,5,0)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288.04417668715331</v>
      </c>
      <c r="S166" s="62">
        <f ca="1">AVERAGE(OFFSET($R$3,0,0,'Données projet'!$E$9+1,1))-AVERAGE(OFFSET($H$3,0,0,'Données projet'!$E$9+1,1))</f>
        <v>301.2688576786212</v>
      </c>
      <c r="T166" s="62">
        <f t="shared" si="142"/>
        <v>417.62172165132927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16.088399525565567</v>
      </c>
      <c r="AA166" s="23">
        <f>EXP(-LN(2)/25)*AA165+(1-EXP(-LN(2)/25))/(LN(2)/25)*Calculateur!V166*Calculateur!X166*VLOOKUP('Données projet'!$B$9,Paramètres!$A$1:$I$88,3,0)*0.475*44/12</f>
        <v>2.168352364181255</v>
      </c>
      <c r="AB166" s="23">
        <f>EXP(-LN(2)/2)*AB165+(1-EXP(-LN(2)/2))/(LN(2)/2)*V166*Y166*VLOOKUP('Données projet'!$B$9,Paramètres!$A$1:$I$88,3,0)*0.475*44/12</f>
        <v>2.8902259905115839E-16</v>
      </c>
      <c r="AC166" s="24">
        <f t="shared" si="163"/>
        <v>18.256751889746823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projet'!$B$10,Paramètres!$A$1:$I$88,3,0)*VLOOKUP('Données projet'!$B$10,Paramètres!$A$1:$I$88,5,0)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170.08673939431091</v>
      </c>
      <c r="AO166" s="62">
        <f t="shared" si="144"/>
        <v>252.97355497077106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projet'!$B$10,Paramètres!$A$1:$I$88,3,0)*0.475*44/12</f>
        <v>6.7173489433333895</v>
      </c>
      <c r="AV166" s="23">
        <f>EXP(-LN(2)/25)*AV165+(1-EXP(-LN(2)/25))/(LN(2)/25)*Calculateur!AQ166*Calculateur!AS166*VLOOKUP('Données projet'!$B$10,Paramètres!$A$1:$I$88,3,0)*0.475*44/12</f>
        <v>2.1977409568668649</v>
      </c>
      <c r="AW166" s="23">
        <f>EXP(-LN(2)/2)*AW165+(1-EXP(-LN(2)/2))/(LN(2)/2)*AQ166*AT166*VLOOKUP('Données projet'!$B$10,Paramètres!$A$1:$I$88,3,0)*0.475*44/12</f>
        <v>3.7021471344436338E-16</v>
      </c>
      <c r="AX166" s="23">
        <f t="shared" si="166"/>
        <v>8.9150899002002539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-1.1368683772161603E-13</v>
      </c>
      <c r="BE166" s="14">
        <f>BD166*VLOOKUP('Données projet'!$B$11,Paramètres!$A$1:$I$88,3,0)*VLOOKUP('Données projet'!$B$11,Paramètres!$A$1:$I$88,5,0)</f>
        <v>-1.0286385077051818E-13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362.63718589694594</v>
      </c>
      <c r="BJ166" s="62">
        <f t="shared" si="146"/>
        <v>250.47702091764884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projet'!$B$11,Paramètres!$A$1:$I$88,3,0)*0.475*44/12</f>
        <v>36.638033222060102</v>
      </c>
      <c r="BQ166" s="23">
        <f>EXP(-LN(2)/25)*BQ165+(1-EXP(-LN(2)/25))/(LN(2)/25)*Calculateur!BL166*Calculateur!BN166*VLOOKUP('Données projet'!$B$11,Paramètres!$A$1:$I$88,3,0)*0.475*44/12</f>
        <v>0</v>
      </c>
      <c r="BR166" s="23">
        <f>EXP(-LN(2)/2)*BR165+(1-EXP(-LN(2)/2))/(LN(2)/2)*BL166*BO166*VLOOKUP('Données projet'!$B$11,Paramètres!$A$1:$I$88,3,0)*0.475*44/12</f>
        <v>0</v>
      </c>
      <c r="BS166" s="24">
        <f t="shared" si="169"/>
        <v>36.638033222060102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-1.1368683772161603E-13</v>
      </c>
      <c r="BZ166" s="14">
        <f>BY166*VLOOKUP('Données projet'!$B$12,Paramètres!$A$1:$I$88,3,0)*VLOOKUP('Données projet'!$B$12,Paramètres!$A$1:$I$88,5,0)</f>
        <v>-1.1527845344971866E-13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398.14524781940196</v>
      </c>
      <c r="CE166" s="62">
        <f t="shared" si="148"/>
        <v>273.35778700650792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projet'!$B$12,Paramètres!$A$1:$I$88,3,0)*0.475*44/12</f>
        <v>41.059864817825975</v>
      </c>
      <c r="CL166" s="23">
        <f>EXP(-LN(2)/25)*CL165+(1-EXP(-LN(2)/25))/(LN(2)/25)*Calculateur!CG166*Calculateur!CI166*VLOOKUP('Données projet'!$B$12,Paramètres!$A$1:$I$88,3,0)*0.475*44/12</f>
        <v>0</v>
      </c>
      <c r="CM166" s="23">
        <f>EXP(-LN(2)/2)*CM165+(1-EXP(-LN(2)/2))/(LN(2)/2)*CG166*CJ166*VLOOKUP('Données projet'!$B$12,Paramètres!$A$1:$I$88,3,0)*0.475*44/12</f>
        <v>0</v>
      </c>
      <c r="CN166" s="24">
        <f t="shared" si="172"/>
        <v>41.059864817825975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118</v>
      </c>
      <c r="CU166" s="18">
        <f>CT166*VLOOKUP('Données projet'!$B$13,Paramètres!$A$1:$I$88,3,0)*VLOOKUP('Données projet'!$B$13,Paramètres!$A$1:$I$88,5,0)</f>
        <v>112.28880000000001</v>
      </c>
      <c r="CV166" s="14">
        <f t="shared" si="173"/>
        <v>29.869595672288149</v>
      </c>
      <c r="CW166" s="22">
        <f t="shared" si="174"/>
        <v>247.59253912923518</v>
      </c>
      <c r="CX166" s="62">
        <f t="shared" si="122"/>
        <v>535.63671581638744</v>
      </c>
      <c r="CY166" s="62">
        <f ca="1">AVERAGE(OFFSET($CX$3,0,0,'Données projet'!$E$13+1,1))-AVERAGE(OFFSET($H$3,0,0,'Données projet'!$E$13+1,1))</f>
        <v>470.0521927195926</v>
      </c>
      <c r="CZ166" s="62">
        <f t="shared" si="150"/>
        <v>299.27200854723435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projet'!$B$13,Paramètres!$A$1:$I$88,3,0)*0.475*44/12</f>
        <v>38.533103905959784</v>
      </c>
      <c r="DG166" s="23">
        <f>EXP(-LN(2)/25)*DG165+(1-EXP(-LN(2)/25))/(LN(2)/25)*Calculateur!DB166*Calculateur!DD166*VLOOKUP('Données projet'!$B$13,Paramètres!$A$1:$I$88,3,0)*0.475*44/12</f>
        <v>0</v>
      </c>
      <c r="DH166" s="23">
        <f>EXP(-LN(2)/2)*DH165+(1-EXP(-LN(2)/2))/(LN(2)/2)*DB166*DE166*VLOOKUP('Données projet'!$B$13,Paramètres!$A$1:$I$88,3,0)*0.475*44/12</f>
        <v>0</v>
      </c>
      <c r="DI166" s="24">
        <f t="shared" si="175"/>
        <v>38.533103905959784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-1.4210854715202004E-13</v>
      </c>
      <c r="DP166" s="18">
        <f>DO166*VLOOKUP('Données projet'!$B$14,Paramètres!$A$1:$I$88,3,0)*VLOOKUP('Données projet'!$B$14,Paramètres!$A$1:$I$88,5,0)</f>
        <v>-1.3744738680543379E-13</v>
      </c>
      <c r="DQ166" s="14" t="e">
        <f t="shared" si="176"/>
        <v>#NUM!</v>
      </c>
      <c r="DR166" s="22" t="e">
        <f t="shared" si="177"/>
        <v>#NUM!</v>
      </c>
      <c r="DS166" s="62" t="e">
        <f t="shared" si="125"/>
        <v>#NUM!</v>
      </c>
      <c r="DT166" s="62">
        <f ca="1">AVERAGE(OFFSET($DS$3,0,0,'Données projet'!$E$14+1,1))-AVERAGE(OFFSET($H$3,0,0,'Données projet'!$E$14+1,1))</f>
        <v>290.89727102147953</v>
      </c>
      <c r="DU166" s="62">
        <f t="shared" si="152"/>
        <v>173.19148969173838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projet'!$B$14,Paramètres!$A$1:$I$88,3,0)*0.475*44/12</f>
        <v>29.278620976441584</v>
      </c>
      <c r="EB166" s="23">
        <f>EXP(-LN(2)/25)*EB165+(1-EXP(-LN(2)/25))/(LN(2)/25)*Calculateur!DW166*Calculateur!DY166*VLOOKUP('Données projet'!$B$14,Paramètres!$A$1:$I$88,3,0)*0.475*44/12</f>
        <v>0</v>
      </c>
      <c r="EC166" s="23">
        <f>EXP(-LN(2)/2)*EC165+(1-EXP(-LN(2)/2))/(LN(2)/2)*DW166*DZ166*VLOOKUP('Données projet'!$B$14,Paramètres!$A$1:$I$88,3,0)*0.475*44/12</f>
        <v>0</v>
      </c>
      <c r="ED166" s="24">
        <f t="shared" si="178"/>
        <v>29.278620976441584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projet'!$B$15,Paramètres!$A$1:$I$88,3,0)*VLOOKUP('Données projet'!$B$15,Paramètres!$A$1:$I$88,5,0)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projet'!$B$15,Paramètres!$A$1:$I$88,3,0)*0.475*44/12</f>
        <v>#N/A</v>
      </c>
      <c r="EW166" s="23" t="e">
        <f>EXP(-LN(2)/25)*EW165+(1-EXP(-LN(2)/25))/(LN(2)/25)*Calculateur!ER166*Calculateur!ET166*VLOOKUP('Données projet'!$B$15,Paramètres!$A$1:$I$88,3,0)*0.475*44/12</f>
        <v>#N/A</v>
      </c>
      <c r="EX166" s="23" t="e">
        <f>EXP(-LN(2)/2)*EX165+(1-EXP(-LN(2)/2))/(LN(2)/2)*ER166*EU166*VLOOKUP('Données projet'!$B$15,Paramètres!$A$1:$I$88,3,0)*0.475*44/12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projet'!$B$16,Paramètres!$A$1:$I$88,3,0)*VLOOKUP('Données projet'!$B$16,Paramètres!$A$1:$I$88,5,0)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projet'!$B$16,Paramètres!$A$1:$I$88,3,0)*0.475*44/12</f>
        <v>#N/A</v>
      </c>
      <c r="FR166" s="23" t="e">
        <f>EXP(-LN(2)/25)*FR165+(1-EXP(-LN(2)/25))/(LN(2)/25)*Calculateur!FM166*Calculateur!FO166*VLOOKUP('Données projet'!$B$16,Paramètres!$A$1:$I$88,3,0)*0.475*44/12</f>
        <v>#N/A</v>
      </c>
      <c r="FS166" s="23" t="e">
        <f>EXP(-LN(2)/2)*FS165+(1-EXP(-LN(2)/2))/(LN(2)/2)*FM166*FP166*VLOOKUP('Données projet'!$B$16,Paramètres!$A$1:$I$88,3,0)*0.475*44/12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projet'!$B$17,Paramètres!$A$1:$I$88,3,0)*VLOOKUP('Données projet'!$B$17,Paramètres!$A$1:$I$88,5,0)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projet'!$B$17,Paramètres!$A$1:$I$88,3,0)*0.475*44/12</f>
        <v>#N/A</v>
      </c>
      <c r="GM166" s="23" t="e">
        <f>EXP(-LN(2)/25)*GM165+(1-EXP(-LN(2)/25))/(LN(2)/25)*Calculateur!GH166*Calculateur!GJ166*VLOOKUP('Données projet'!$B$17,Paramètres!$A$1:$I$88,3,0)*0.475*44/12</f>
        <v>#N/A</v>
      </c>
      <c r="GN166" s="23" t="e">
        <f>EXP(-LN(2)/2)*GN165+(1-EXP(-LN(2)/2))/(LN(2)/2)*GH166*GK166*VLOOKUP('Données projet'!$B$17,Paramètres!$A$1:$I$88,3,0)*0.475*44/12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projet'!$B$18,Paramètres!$A$1:$I$88,3,0)*VLOOKUP('Données projet'!$B$18,Paramètres!$A$1:$I$88,5,0)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projet'!$B$18,Paramètres!$A$1:$I$88,3,0)*0.475*44/12</f>
        <v>#N/A</v>
      </c>
      <c r="HH166" s="23" t="e">
        <f>EXP(-LN(2)/25)*HH165+(1-EXP(-LN(2)/25))/(LN(2)/25)*Calculateur!HC166*Calculateur!HE166*VLOOKUP('Données projet'!$B$18,Paramètres!$A$1:$I$88,3,0)*0.475*44/12</f>
        <v>#N/A</v>
      </c>
      <c r="HI166" s="23" t="e">
        <f>EXP(-LN(2)/2)*HI165+(1-EXP(-LN(2)/2))/(LN(2)/2)*HC166*HF166*VLOOKUP('Données projet'!$B$18,Paramètres!$A$1:$I$88,3,0)*0.475*44/12</f>
        <v>#N/A</v>
      </c>
      <c r="HJ166" s="24" t="e">
        <f t="shared" si="190"/>
        <v>#N/A</v>
      </c>
    </row>
    <row r="167" spans="1:218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projet'!$B$9,Paramètres!$A$1:$I$88,3,0)*VLOOKUP('Données projet'!$B$9,Paramètres!$A$1:$I$88,5,0)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288.13593173018177</v>
      </c>
      <c r="S167" s="62">
        <f ca="1">AVERAGE(OFFSET($R$3,0,0,'Données projet'!$E$9+1,1))-AVERAGE(OFFSET($H$3,0,0,'Données projet'!$E$9+1,1))</f>
        <v>301.2688576786212</v>
      </c>
      <c r="T167" s="62">
        <f t="shared" si="142"/>
        <v>417.62172165132927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15.772915823823988</v>
      </c>
      <c r="AA167" s="23">
        <f>EXP(-LN(2)/25)*AA166+(1-EXP(-LN(2)/25))/(LN(2)/25)*Calculateur!V167*Calculateur!X167*VLOOKUP('Données projet'!$B$9,Paramètres!$A$1:$I$88,3,0)*0.475*44/12</f>
        <v>2.1090586547540235</v>
      </c>
      <c r="AB167" s="23">
        <f>EXP(-LN(2)/2)*AB166+(1-EXP(-LN(2)/2))/(LN(2)/2)*V167*Y167*VLOOKUP('Données projet'!$B$9,Paramètres!$A$1:$I$88,3,0)*0.475*44/12</f>
        <v>2.0436983970523471E-16</v>
      </c>
      <c r="AC167" s="24">
        <f t="shared" si="163"/>
        <v>17.881974478578012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projet'!$B$10,Paramètres!$A$1:$I$88,3,0)*VLOOKUP('Données projet'!$B$10,Paramètres!$A$1:$I$88,5,0)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170.08673939431091</v>
      </c>
      <c r="AO167" s="62">
        <f t="shared" si="144"/>
        <v>252.97355497077106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projet'!$B$10,Paramètres!$A$1:$I$88,3,0)*0.475*44/12</f>
        <v>6.5856258277329145</v>
      </c>
      <c r="AV167" s="23">
        <f>EXP(-LN(2)/25)*AV166+(1-EXP(-LN(2)/25))/(LN(2)/25)*Calculateur!AQ167*Calculateur!AS167*VLOOKUP('Données projet'!$B$10,Paramètres!$A$1:$I$88,3,0)*0.475*44/12</f>
        <v>2.1376436148271667</v>
      </c>
      <c r="AW167" s="23">
        <f>EXP(-LN(2)/2)*AW166+(1-EXP(-LN(2)/2))/(LN(2)/2)*AQ167*AT167*VLOOKUP('Données projet'!$B$10,Paramètres!$A$1:$I$88,3,0)*0.475*44/12</f>
        <v>2.6178133437154384E-16</v>
      </c>
      <c r="AX167" s="23">
        <f t="shared" si="166"/>
        <v>8.7232694425600812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-1.1368683772161603E-13</v>
      </c>
      <c r="BE167" s="14">
        <f>BD167*VLOOKUP('Données projet'!$B$11,Paramètres!$A$1:$I$88,3,0)*VLOOKUP('Données projet'!$B$11,Paramètres!$A$1:$I$88,5,0)</f>
        <v>-1.0286385077051818E-13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362.63718589694594</v>
      </c>
      <c r="BJ167" s="62">
        <f t="shared" si="146"/>
        <v>250.47702091764884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projet'!$B$11,Paramètres!$A$1:$I$88,7,0))</f>
        <v>0</v>
      </c>
      <c r="BN167" s="17">
        <f>IF(ISNA(VLOOKUP(A167,'Données projet'!$A$87:$I$107,6,0)),0%,VLOOKUP(A167,'Données projet'!$A$87:$I$107,6,0)*VLOOKUP('Données projet'!$B$11,Paramètres!$A$1:$I$88,7,0))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projet'!$B$11,Paramètres!$A$1:$I$88,3,0)*0.475*44/12</f>
        <v>35.919583737569184</v>
      </c>
      <c r="BQ167" s="23">
        <f>EXP(-LN(2)/25)*BQ166+(1-EXP(-LN(2)/25))/(LN(2)/25)*Calculateur!BL167*Calculateur!BN167*VLOOKUP('Données projet'!$B$11,Paramètres!$A$1:$I$88,3,0)*0.475*44/12</f>
        <v>0</v>
      </c>
      <c r="BR167" s="23">
        <f>EXP(-LN(2)/2)*BR166+(1-EXP(-LN(2)/2))/(LN(2)/2)*BL167*BO167*VLOOKUP('Données projet'!$B$11,Paramètres!$A$1:$I$88,3,0)*0.475*44/12</f>
        <v>0</v>
      </c>
      <c r="BS167" s="24">
        <f t="shared" si="169"/>
        <v>35.919583737569184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-1.1368683772161603E-13</v>
      </c>
      <c r="BZ167" s="14">
        <f>BY167*VLOOKUP('Données projet'!$B$12,Paramètres!$A$1:$I$88,3,0)*VLOOKUP('Données projet'!$B$12,Paramètres!$A$1:$I$88,5,0)</f>
        <v>-1.1527845344971866E-13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398.14524781940196</v>
      </c>
      <c r="CE167" s="62">
        <f t="shared" si="148"/>
        <v>273.35778700650792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projet'!$B$12,Paramètres!$A$1:$I$88,3,0)*0.475*44/12</f>
        <v>40.25470591279305</v>
      </c>
      <c r="CL167" s="23">
        <f>EXP(-LN(2)/25)*CL166+(1-EXP(-LN(2)/25))/(LN(2)/25)*Calculateur!CG167*Calculateur!CI167*VLOOKUP('Données projet'!$B$12,Paramètres!$A$1:$I$88,3,0)*0.475*44/12</f>
        <v>0</v>
      </c>
      <c r="CM167" s="23">
        <f>EXP(-LN(2)/2)*CM166+(1-EXP(-LN(2)/2))/(LN(2)/2)*CG167*CJ167*VLOOKUP('Données projet'!$B$12,Paramètres!$A$1:$I$88,3,0)*0.475*44/12</f>
        <v>0</v>
      </c>
      <c r="CN167" s="24">
        <f t="shared" si="172"/>
        <v>40.25470591279305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118</v>
      </c>
      <c r="CU167" s="18">
        <f>CT167*VLOOKUP('Données projet'!$B$13,Paramètres!$A$1:$I$88,3,0)*VLOOKUP('Données projet'!$B$13,Paramètres!$A$1:$I$88,5,0)</f>
        <v>112.28880000000001</v>
      </c>
      <c r="CV167" s="14">
        <f t="shared" si="173"/>
        <v>29.869595672288149</v>
      </c>
      <c r="CW167" s="22">
        <f t="shared" si="174"/>
        <v>247.59253912923518</v>
      </c>
      <c r="CX167" s="62">
        <f t="shared" si="122"/>
        <v>535.72847085941589</v>
      </c>
      <c r="CY167" s="62">
        <f ca="1">AVERAGE(OFFSET($CX$3,0,0,'Données projet'!$E$13+1,1))-AVERAGE(OFFSET($H$3,0,0,'Données projet'!$E$13+1,1))</f>
        <v>470.0521927195926</v>
      </c>
      <c r="CZ167" s="62">
        <f t="shared" si="150"/>
        <v>299.27200854723435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projet'!$B$13,Paramètres!$A$1:$I$88,3,0)*0.475*44/12</f>
        <v>37.777493241236577</v>
      </c>
      <c r="DG167" s="23">
        <f>EXP(-LN(2)/25)*DG166+(1-EXP(-LN(2)/25))/(LN(2)/25)*Calculateur!DB167*Calculateur!DD167*VLOOKUP('Données projet'!$B$13,Paramètres!$A$1:$I$88,3,0)*0.475*44/12</f>
        <v>0</v>
      </c>
      <c r="DH167" s="23">
        <f>EXP(-LN(2)/2)*DH166+(1-EXP(-LN(2)/2))/(LN(2)/2)*DB167*DE167*VLOOKUP('Données projet'!$B$13,Paramètres!$A$1:$I$88,3,0)*0.475*44/12</f>
        <v>0</v>
      </c>
      <c r="DI167" s="24">
        <f t="shared" si="175"/>
        <v>37.777493241236577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-1.4210854715202004E-13</v>
      </c>
      <c r="DP167" s="18">
        <f>DO167*VLOOKUP('Données projet'!$B$14,Paramètres!$A$1:$I$88,3,0)*VLOOKUP('Données projet'!$B$14,Paramètres!$A$1:$I$88,5,0)</f>
        <v>-1.3744738680543379E-13</v>
      </c>
      <c r="DQ167" s="14" t="e">
        <f t="shared" si="176"/>
        <v>#NUM!</v>
      </c>
      <c r="DR167" s="22" t="e">
        <f t="shared" si="177"/>
        <v>#NUM!</v>
      </c>
      <c r="DS167" s="62" t="e">
        <f t="shared" si="125"/>
        <v>#NUM!</v>
      </c>
      <c r="DT167" s="62">
        <f ca="1">AVERAGE(OFFSET($DS$3,0,0,'Données projet'!$E$14+1,1))-AVERAGE(OFFSET($H$3,0,0,'Données projet'!$E$14+1,1))</f>
        <v>290.89727102147953</v>
      </c>
      <c r="DU167" s="62">
        <f t="shared" si="152"/>
        <v>173.19148969173838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projet'!$B$14,Paramètres!$A$1:$I$88,3,0)*0.475*44/12</f>
        <v>28.704485077289011</v>
      </c>
      <c r="EB167" s="23">
        <f>EXP(-LN(2)/25)*EB166+(1-EXP(-LN(2)/25))/(LN(2)/25)*Calculateur!DW167*Calculateur!DY167*VLOOKUP('Données projet'!$B$14,Paramètres!$A$1:$I$88,3,0)*0.475*44/12</f>
        <v>0</v>
      </c>
      <c r="EC167" s="23">
        <f>EXP(-LN(2)/2)*EC166+(1-EXP(-LN(2)/2))/(LN(2)/2)*DW167*DZ167*VLOOKUP('Données projet'!$B$14,Paramètres!$A$1:$I$88,3,0)*0.475*44/12</f>
        <v>0</v>
      </c>
      <c r="ED167" s="24">
        <f t="shared" si="178"/>
        <v>28.704485077289011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projet'!$B$15,Paramètres!$A$1:$I$88,3,0)*VLOOKUP('Données projet'!$B$15,Paramètres!$A$1:$I$88,5,0)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projet'!$B$15,Paramètres!$A$1:$I$88,3,0)*0.475*44/12</f>
        <v>#N/A</v>
      </c>
      <c r="EW167" s="23" t="e">
        <f>EXP(-LN(2)/25)*EW166+(1-EXP(-LN(2)/25))/(LN(2)/25)*Calculateur!ER167*Calculateur!ET167*VLOOKUP('Données projet'!$B$15,Paramètres!$A$1:$I$88,3,0)*0.475*44/12</f>
        <v>#N/A</v>
      </c>
      <c r="EX167" s="23" t="e">
        <f>EXP(-LN(2)/2)*EX166+(1-EXP(-LN(2)/2))/(LN(2)/2)*ER167*EU167*VLOOKUP('Données projet'!$B$15,Paramètres!$A$1:$I$88,3,0)*0.475*44/12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projet'!$B$16,Paramètres!$A$1:$I$88,3,0)*VLOOKUP('Données projet'!$B$16,Paramètres!$A$1:$I$88,5,0)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projet'!$B$16,Paramètres!$A$1:$I$88,3,0)*0.475*44/12</f>
        <v>#N/A</v>
      </c>
      <c r="FR167" s="23" t="e">
        <f>EXP(-LN(2)/25)*FR166+(1-EXP(-LN(2)/25))/(LN(2)/25)*Calculateur!FM167*Calculateur!FO167*VLOOKUP('Données projet'!$B$16,Paramètres!$A$1:$I$88,3,0)*0.475*44/12</f>
        <v>#N/A</v>
      </c>
      <c r="FS167" s="23" t="e">
        <f>EXP(-LN(2)/2)*FS166+(1-EXP(-LN(2)/2))/(LN(2)/2)*FM167*FP167*VLOOKUP('Données projet'!$B$16,Paramètres!$A$1:$I$88,3,0)*0.475*44/12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projet'!$B$17,Paramètres!$A$1:$I$88,3,0)*VLOOKUP('Données projet'!$B$17,Paramètres!$A$1:$I$88,5,0)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projet'!$B$17,Paramètres!$A$1:$I$88,3,0)*0.475*44/12</f>
        <v>#N/A</v>
      </c>
      <c r="GM167" s="23" t="e">
        <f>EXP(-LN(2)/25)*GM166+(1-EXP(-LN(2)/25))/(LN(2)/25)*Calculateur!GH167*Calculateur!GJ167*VLOOKUP('Données projet'!$B$17,Paramètres!$A$1:$I$88,3,0)*0.475*44/12</f>
        <v>#N/A</v>
      </c>
      <c r="GN167" s="23" t="e">
        <f>EXP(-LN(2)/2)*GN166+(1-EXP(-LN(2)/2))/(LN(2)/2)*GH167*GK167*VLOOKUP('Données projet'!$B$17,Paramètres!$A$1:$I$88,3,0)*0.475*44/12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projet'!$B$18,Paramètres!$A$1:$I$88,3,0)*VLOOKUP('Données projet'!$B$18,Paramètres!$A$1:$I$88,5,0)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projet'!$B$18,Paramètres!$A$1:$I$88,3,0)*0.475*44/12</f>
        <v>#N/A</v>
      </c>
      <c r="HH167" s="23" t="e">
        <f>EXP(-LN(2)/25)*HH166+(1-EXP(-LN(2)/25))/(LN(2)/25)*Calculateur!HC167*Calculateur!HE167*VLOOKUP('Données projet'!$B$18,Paramètres!$A$1:$I$88,3,0)*0.475*44/12</f>
        <v>#N/A</v>
      </c>
      <c r="HI167" s="23" t="e">
        <f>EXP(-LN(2)/2)*HI166+(1-EXP(-LN(2)/2))/(LN(2)/2)*HC167*HF167*VLOOKUP('Données projet'!$B$18,Paramètres!$A$1:$I$88,3,0)*0.475*44/12</f>
        <v>#N/A</v>
      </c>
      <c r="HJ167" s="24" t="e">
        <f t="shared" si="190"/>
        <v>#N/A</v>
      </c>
    </row>
    <row r="168" spans="1:218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projet'!$B$9,Paramètres!$A$1:$I$88,3,0)*VLOOKUP('Données projet'!$B$9,Paramètres!$A$1:$I$88,5,0)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288.22609502834723</v>
      </c>
      <c r="S168" s="62">
        <f ca="1">AVERAGE(OFFSET($R$3,0,0,'Données projet'!$E$9+1,1))-AVERAGE(OFFSET($H$3,0,0,'Données projet'!$E$9+1,1))</f>
        <v>301.2688576786212</v>
      </c>
      <c r="T168" s="62">
        <f t="shared" si="142"/>
        <v>417.62172165132927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15.463618565047504</v>
      </c>
      <c r="AA168" s="23">
        <f>EXP(-LN(2)/25)*AA167+(1-EXP(-LN(2)/25))/(LN(2)/25)*Calculateur!V168*Calculateur!X168*VLOOKUP('Données projet'!$B$9,Paramètres!$A$1:$I$88,3,0)*0.475*44/12</f>
        <v>2.0513863349292003</v>
      </c>
      <c r="AB168" s="23">
        <f>EXP(-LN(2)/2)*AB167+(1-EXP(-LN(2)/2))/(LN(2)/2)*V168*Y168*VLOOKUP('Données projet'!$B$9,Paramètres!$A$1:$I$88,3,0)*0.475*44/12</f>
        <v>1.4451129952557919E-16</v>
      </c>
      <c r="AC168" s="24">
        <f t="shared" si="163"/>
        <v>17.515004899976706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projet'!$B$10,Paramètres!$A$1:$I$88,3,0)*VLOOKUP('Données projet'!$B$10,Paramètres!$A$1:$I$88,5,0)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170.08673939431091</v>
      </c>
      <c r="AO168" s="62">
        <f t="shared" si="144"/>
        <v>252.97355497077106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projet'!$B$10,Paramètres!$A$1:$I$88,3,0)*0.475*44/12</f>
        <v>6.4564857220861978</v>
      </c>
      <c r="AV168" s="23">
        <f>EXP(-LN(2)/25)*AV167+(1-EXP(-LN(2)/25))/(LN(2)/25)*Calculateur!AQ168*Calculateur!AS168*VLOOKUP('Données projet'!$B$10,Paramètres!$A$1:$I$88,3,0)*0.475*44/12</f>
        <v>2.0791896377659258</v>
      </c>
      <c r="AW168" s="23">
        <f>EXP(-LN(2)/2)*AW167+(1-EXP(-LN(2)/2))/(LN(2)/2)*AQ168*AT168*VLOOKUP('Données projet'!$B$10,Paramètres!$A$1:$I$88,3,0)*0.475*44/12</f>
        <v>1.8510735672218169E-16</v>
      </c>
      <c r="AX168" s="23">
        <f t="shared" si="166"/>
        <v>8.5356753598521244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-1.1368683772161603E-13</v>
      </c>
      <c r="BE168" s="14">
        <f>BD168*VLOOKUP('Données projet'!$B$11,Paramètres!$A$1:$I$88,3,0)*VLOOKUP('Données projet'!$B$11,Paramètres!$A$1:$I$88,5,0)</f>
        <v>-1.0286385077051818E-13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362.63718589694594</v>
      </c>
      <c r="BJ168" s="62">
        <f t="shared" si="146"/>
        <v>250.47702091764884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projet'!$B$11,Paramètres!$A$1:$I$88,7,0))</f>
        <v>0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projet'!$B$11,Paramètres!$A$1:$I$88,3,0)*0.475*44/12</f>
        <v>35.21522260925822</v>
      </c>
      <c r="BQ168" s="23">
        <f>EXP(-LN(2)/25)*BQ167+(1-EXP(-LN(2)/25))/(LN(2)/25)*Calculateur!BL168*Calculateur!BN168*VLOOKUP('Données projet'!$B$11,Paramètres!$A$1:$I$88,3,0)*0.475*44/12</f>
        <v>0</v>
      </c>
      <c r="BR168" s="23">
        <f>EXP(-LN(2)/2)*BR167+(1-EXP(-LN(2)/2))/(LN(2)/2)*BL168*BO168*VLOOKUP('Données projet'!$B$11,Paramètres!$A$1:$I$88,3,0)*0.475*44/12</f>
        <v>0</v>
      </c>
      <c r="BS168" s="24">
        <f t="shared" si="169"/>
        <v>35.21522260925822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-1.1368683772161603E-13</v>
      </c>
      <c r="BZ168" s="14">
        <f>BY168*VLOOKUP('Données projet'!$B$12,Paramètres!$A$1:$I$88,3,0)*VLOOKUP('Données projet'!$B$12,Paramètres!$A$1:$I$88,5,0)</f>
        <v>-1.1527845344971866E-13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398.14524781940196</v>
      </c>
      <c r="CE168" s="62">
        <f t="shared" si="148"/>
        <v>273.35778700650792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projet'!$B$12,Paramètres!$A$1:$I$88,3,0)*0.475*44/12</f>
        <v>39.46533568278938</v>
      </c>
      <c r="CL168" s="23">
        <f>EXP(-LN(2)/25)*CL167+(1-EXP(-LN(2)/25))/(LN(2)/25)*Calculateur!CG168*Calculateur!CI168*VLOOKUP('Données projet'!$B$12,Paramètres!$A$1:$I$88,3,0)*0.475*44/12</f>
        <v>0</v>
      </c>
      <c r="CM168" s="23">
        <f>EXP(-LN(2)/2)*CM167+(1-EXP(-LN(2)/2))/(LN(2)/2)*CG168*CJ168*VLOOKUP('Données projet'!$B$12,Paramètres!$A$1:$I$88,3,0)*0.475*44/12</f>
        <v>0</v>
      </c>
      <c r="CN168" s="24">
        <f t="shared" si="172"/>
        <v>39.46533568278938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118</v>
      </c>
      <c r="CU168" s="18">
        <f>CT168*VLOOKUP('Données projet'!$B$13,Paramètres!$A$1:$I$88,3,0)*VLOOKUP('Données projet'!$B$13,Paramètres!$A$1:$I$88,5,0)</f>
        <v>112.28880000000001</v>
      </c>
      <c r="CV168" s="14">
        <f t="shared" si="173"/>
        <v>29.869595672288149</v>
      </c>
      <c r="CW168" s="22">
        <f t="shared" si="174"/>
        <v>247.59253912923518</v>
      </c>
      <c r="CX168" s="62">
        <f t="shared" si="122"/>
        <v>535.8186341575813</v>
      </c>
      <c r="CY168" s="62">
        <f ca="1">AVERAGE(OFFSET($CX$3,0,0,'Données projet'!$E$13+1,1))-AVERAGE(OFFSET($H$3,0,0,'Données projet'!$E$13+1,1))</f>
        <v>470.0521927195926</v>
      </c>
      <c r="CZ168" s="62">
        <f t="shared" si="150"/>
        <v>299.27200854723435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projet'!$B$13,Paramètres!$A$1:$I$88,3,0)*0.475*44/12</f>
        <v>37.036699640771594</v>
      </c>
      <c r="DG168" s="23">
        <f>EXP(-LN(2)/25)*DG167+(1-EXP(-LN(2)/25))/(LN(2)/25)*Calculateur!DB168*Calculateur!DD168*VLOOKUP('Données projet'!$B$13,Paramètres!$A$1:$I$88,3,0)*0.475*44/12</f>
        <v>0</v>
      </c>
      <c r="DH168" s="23">
        <f>EXP(-LN(2)/2)*DH167+(1-EXP(-LN(2)/2))/(LN(2)/2)*DB168*DE168*VLOOKUP('Données projet'!$B$13,Paramètres!$A$1:$I$88,3,0)*0.475*44/12</f>
        <v>0</v>
      </c>
      <c r="DI168" s="24">
        <f t="shared" si="175"/>
        <v>37.036699640771594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-1.4210854715202004E-13</v>
      </c>
      <c r="DP168" s="18">
        <f>DO168*VLOOKUP('Données projet'!$B$14,Paramètres!$A$1:$I$88,3,0)*VLOOKUP('Données projet'!$B$14,Paramètres!$A$1:$I$88,5,0)</f>
        <v>-1.3744738680543379E-13</v>
      </c>
      <c r="DQ168" s="14" t="e">
        <f t="shared" si="176"/>
        <v>#NUM!</v>
      </c>
      <c r="DR168" s="22" t="e">
        <f t="shared" si="177"/>
        <v>#NUM!</v>
      </c>
      <c r="DS168" s="62" t="e">
        <f t="shared" si="125"/>
        <v>#NUM!</v>
      </c>
      <c r="DT168" s="62">
        <f ca="1">AVERAGE(OFFSET($DS$3,0,0,'Données projet'!$E$14+1,1))-AVERAGE(OFFSET($H$3,0,0,'Données projet'!$E$14+1,1))</f>
        <v>290.89727102147953</v>
      </c>
      <c r="DU168" s="62">
        <f t="shared" si="152"/>
        <v>173.19148969173838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projet'!$B$14,Paramètres!$A$1:$I$88,3,0)*0.475*44/12</f>
        <v>28.141607632930498</v>
      </c>
      <c r="EB168" s="23">
        <f>EXP(-LN(2)/25)*EB167+(1-EXP(-LN(2)/25))/(LN(2)/25)*Calculateur!DW168*Calculateur!DY168*VLOOKUP('Données projet'!$B$14,Paramètres!$A$1:$I$88,3,0)*0.475*44/12</f>
        <v>0</v>
      </c>
      <c r="EC168" s="23">
        <f>EXP(-LN(2)/2)*EC167+(1-EXP(-LN(2)/2))/(LN(2)/2)*DW168*DZ168*VLOOKUP('Données projet'!$B$14,Paramètres!$A$1:$I$88,3,0)*0.475*44/12</f>
        <v>0</v>
      </c>
      <c r="ED168" s="24">
        <f t="shared" si="178"/>
        <v>28.141607632930498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projet'!$B$15,Paramètres!$A$1:$I$88,3,0)*VLOOKUP('Données projet'!$B$15,Paramètres!$A$1:$I$88,5,0)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projet'!$B$15,Paramètres!$A$1:$I$88,3,0)*0.475*44/12</f>
        <v>#N/A</v>
      </c>
      <c r="EW168" s="23" t="e">
        <f>EXP(-LN(2)/25)*EW167+(1-EXP(-LN(2)/25))/(LN(2)/25)*Calculateur!ER168*Calculateur!ET168*VLOOKUP('Données projet'!$B$15,Paramètres!$A$1:$I$88,3,0)*0.475*44/12</f>
        <v>#N/A</v>
      </c>
      <c r="EX168" s="23" t="e">
        <f>EXP(-LN(2)/2)*EX167+(1-EXP(-LN(2)/2))/(LN(2)/2)*ER168*EU168*VLOOKUP('Données projet'!$B$15,Paramètres!$A$1:$I$88,3,0)*0.475*44/12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projet'!$B$16,Paramètres!$A$1:$I$88,3,0)*VLOOKUP('Données projet'!$B$16,Paramètres!$A$1:$I$88,5,0)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projet'!$B$16,Paramètres!$A$1:$I$88,3,0)*0.475*44/12</f>
        <v>#N/A</v>
      </c>
      <c r="FR168" s="23" t="e">
        <f>EXP(-LN(2)/25)*FR167+(1-EXP(-LN(2)/25))/(LN(2)/25)*Calculateur!FM168*Calculateur!FO168*VLOOKUP('Données projet'!$B$16,Paramètres!$A$1:$I$88,3,0)*0.475*44/12</f>
        <v>#N/A</v>
      </c>
      <c r="FS168" s="23" t="e">
        <f>EXP(-LN(2)/2)*FS167+(1-EXP(-LN(2)/2))/(LN(2)/2)*FM168*FP168*VLOOKUP('Données projet'!$B$16,Paramètres!$A$1:$I$88,3,0)*0.475*44/12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projet'!$B$17,Paramètres!$A$1:$I$88,3,0)*VLOOKUP('Données projet'!$B$17,Paramètres!$A$1:$I$88,5,0)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projet'!$B$17,Paramètres!$A$1:$I$88,3,0)*0.475*44/12</f>
        <v>#N/A</v>
      </c>
      <c r="GM168" s="23" t="e">
        <f>EXP(-LN(2)/25)*GM167+(1-EXP(-LN(2)/25))/(LN(2)/25)*Calculateur!GH168*Calculateur!GJ168*VLOOKUP('Données projet'!$B$17,Paramètres!$A$1:$I$88,3,0)*0.475*44/12</f>
        <v>#N/A</v>
      </c>
      <c r="GN168" s="23" t="e">
        <f>EXP(-LN(2)/2)*GN167+(1-EXP(-LN(2)/2))/(LN(2)/2)*GH168*GK168*VLOOKUP('Données projet'!$B$17,Paramètres!$A$1:$I$88,3,0)*0.475*44/12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projet'!$B$18,Paramètres!$A$1:$I$88,3,0)*VLOOKUP('Données projet'!$B$18,Paramètres!$A$1:$I$88,5,0)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projet'!$B$18,Paramètres!$A$1:$I$88,3,0)*0.475*44/12</f>
        <v>#N/A</v>
      </c>
      <c r="HH168" s="23" t="e">
        <f>EXP(-LN(2)/25)*HH167+(1-EXP(-LN(2)/25))/(LN(2)/25)*Calculateur!HC168*Calculateur!HE168*VLOOKUP('Données projet'!$B$18,Paramètres!$A$1:$I$88,3,0)*0.475*44/12</f>
        <v>#N/A</v>
      </c>
      <c r="HI168" s="23" t="e">
        <f>EXP(-LN(2)/2)*HI167+(1-EXP(-LN(2)/2))/(LN(2)/2)*HC168*HF168*VLOOKUP('Données projet'!$B$18,Paramètres!$A$1:$I$88,3,0)*0.475*44/12</f>
        <v>#N/A</v>
      </c>
      <c r="HJ168" s="24" t="e">
        <f t="shared" si="190"/>
        <v>#N/A</v>
      </c>
    </row>
    <row r="169" spans="1:218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projet'!$B$9,Paramètres!$A$1:$I$88,3,0)*VLOOKUP('Données projet'!$B$9,Paramètres!$A$1:$I$88,5,0)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288.3146941948645</v>
      </c>
      <c r="S169" s="62">
        <f ca="1">AVERAGE(OFFSET($R$3,0,0,'Données projet'!$E$9+1,1))-AVERAGE(OFFSET($H$3,0,0,'Données projet'!$E$9+1,1))</f>
        <v>301.2688576786212</v>
      </c>
      <c r="T169" s="62">
        <f t="shared" si="142"/>
        <v>417.62172165132927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15.160386436862927</v>
      </c>
      <c r="AA169" s="23">
        <f>EXP(-LN(2)/25)*AA168+(1-EXP(-LN(2)/25))/(LN(2)/25)*Calculateur!V169*Calculateur!X169*VLOOKUP('Données projet'!$B$9,Paramètres!$A$1:$I$88,3,0)*0.475*44/12</f>
        <v>1.9952910677228424</v>
      </c>
      <c r="AB169" s="23">
        <f>EXP(-LN(2)/2)*AB168+(1-EXP(-LN(2)/2))/(LN(2)/2)*V169*Y169*VLOOKUP('Données projet'!$B$9,Paramètres!$A$1:$I$88,3,0)*0.475*44/12</f>
        <v>1.0218491985261736E-16</v>
      </c>
      <c r="AC169" s="24">
        <f t="shared" si="163"/>
        <v>17.155677504585768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projet'!$B$10,Paramètres!$A$1:$I$88,3,0)*VLOOKUP('Données projet'!$B$10,Paramètres!$A$1:$I$88,5,0)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170.08673939431091</v>
      </c>
      <c r="AO169" s="62">
        <f t="shared" si="144"/>
        <v>252.97355497077106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projet'!$B$10,Paramètres!$A$1:$I$88,3,0)*0.475*44/12</f>
        <v>6.3298779751435257</v>
      </c>
      <c r="AV169" s="23">
        <f>EXP(-LN(2)/25)*AV168+(1-EXP(-LN(2)/25))/(LN(2)/25)*Calculateur!AQ169*Calculateur!AS169*VLOOKUP('Données projet'!$B$10,Paramètres!$A$1:$I$88,3,0)*0.475*44/12</f>
        <v>2.0223340877813856</v>
      </c>
      <c r="AW169" s="23">
        <f>EXP(-LN(2)/2)*AW168+(1-EXP(-LN(2)/2))/(LN(2)/2)*AQ169*AT169*VLOOKUP('Données projet'!$B$10,Paramètres!$A$1:$I$88,3,0)*0.475*44/12</f>
        <v>1.3089066718577192E-16</v>
      </c>
      <c r="AX169" s="23">
        <f t="shared" si="166"/>
        <v>8.3522120629249113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-1.1368683772161603E-13</v>
      </c>
      <c r="BE169" s="14">
        <f>BD169*VLOOKUP('Données projet'!$B$11,Paramètres!$A$1:$I$88,3,0)*VLOOKUP('Données projet'!$B$11,Paramètres!$A$1:$I$88,5,0)</f>
        <v>-1.0286385077051818E-13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362.63718589694594</v>
      </c>
      <c r="BJ169" s="62">
        <f t="shared" si="146"/>
        <v>250.47702091764884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projet'!$B$11,Paramètres!$A$1:$I$88,3,0)*0.475*44/12</f>
        <v>34.524673573055566</v>
      </c>
      <c r="BQ169" s="23">
        <f>EXP(-LN(2)/25)*BQ168+(1-EXP(-LN(2)/25))/(LN(2)/25)*Calculateur!BL169*Calculateur!BN169*VLOOKUP('Données projet'!$B$11,Paramètres!$A$1:$I$88,3,0)*0.475*44/12</f>
        <v>0</v>
      </c>
      <c r="BR169" s="23">
        <f>EXP(-LN(2)/2)*BR168+(1-EXP(-LN(2)/2))/(LN(2)/2)*BL169*BO169*VLOOKUP('Données projet'!$B$11,Paramètres!$A$1:$I$88,3,0)*0.475*44/12</f>
        <v>0</v>
      </c>
      <c r="BS169" s="24">
        <f t="shared" si="169"/>
        <v>34.524673573055566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-1.1368683772161603E-13</v>
      </c>
      <c r="BZ169" s="14">
        <f>BY169*VLOOKUP('Données projet'!$B$12,Paramètres!$A$1:$I$88,3,0)*VLOOKUP('Données projet'!$B$12,Paramètres!$A$1:$I$88,5,0)</f>
        <v>-1.1527845344971866E-13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398.14524781940196</v>
      </c>
      <c r="CE169" s="62">
        <f t="shared" si="148"/>
        <v>273.35778700650792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projet'!$B$12,Paramètres!$A$1:$I$88,3,0)*0.475*44/12</f>
        <v>38.691444521527785</v>
      </c>
      <c r="CL169" s="23">
        <f>EXP(-LN(2)/25)*CL168+(1-EXP(-LN(2)/25))/(LN(2)/25)*Calculateur!CG169*Calculateur!CI169*VLOOKUP('Données projet'!$B$12,Paramètres!$A$1:$I$88,3,0)*0.475*44/12</f>
        <v>0</v>
      </c>
      <c r="CM169" s="23">
        <f>EXP(-LN(2)/2)*CM168+(1-EXP(-LN(2)/2))/(LN(2)/2)*CG169*CJ169*VLOOKUP('Données projet'!$B$12,Paramètres!$A$1:$I$88,3,0)*0.475*44/12</f>
        <v>0</v>
      </c>
      <c r="CN169" s="24">
        <f t="shared" si="172"/>
        <v>38.691444521527785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118</v>
      </c>
      <c r="CU169" s="18">
        <f>CT169*VLOOKUP('Données projet'!$B$13,Paramètres!$A$1:$I$88,3,0)*VLOOKUP('Données projet'!$B$13,Paramètres!$A$1:$I$88,5,0)</f>
        <v>112.28880000000001</v>
      </c>
      <c r="CV169" s="14">
        <f t="shared" si="173"/>
        <v>29.869595672288149</v>
      </c>
      <c r="CW169" s="22">
        <f t="shared" si="174"/>
        <v>247.59253912923518</v>
      </c>
      <c r="CX169" s="62">
        <f t="shared" si="122"/>
        <v>535.90723332409857</v>
      </c>
      <c r="CY169" s="62">
        <f ca="1">AVERAGE(OFFSET($CX$3,0,0,'Données projet'!$E$13+1,1))-AVERAGE(OFFSET($H$3,0,0,'Données projet'!$E$13+1,1))</f>
        <v>470.0521927195926</v>
      </c>
      <c r="CZ169" s="62">
        <f t="shared" si="150"/>
        <v>299.27200854723435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projet'!$B$13,Paramètres!$A$1:$I$88,3,0)*0.475*44/12</f>
        <v>36.310432550972251</v>
      </c>
      <c r="DG169" s="23">
        <f>EXP(-LN(2)/25)*DG168+(1-EXP(-LN(2)/25))/(LN(2)/25)*Calculateur!DB169*Calculateur!DD169*VLOOKUP('Données projet'!$B$13,Paramètres!$A$1:$I$88,3,0)*0.475*44/12</f>
        <v>0</v>
      </c>
      <c r="DH169" s="23">
        <f>EXP(-LN(2)/2)*DH168+(1-EXP(-LN(2)/2))/(LN(2)/2)*DB169*DE169*VLOOKUP('Données projet'!$B$13,Paramètres!$A$1:$I$88,3,0)*0.475*44/12</f>
        <v>0</v>
      </c>
      <c r="DI169" s="24">
        <f t="shared" si="175"/>
        <v>36.310432550972251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-1.4210854715202004E-13</v>
      </c>
      <c r="DP169" s="18">
        <f>DO169*VLOOKUP('Données projet'!$B$14,Paramètres!$A$1:$I$88,3,0)*VLOOKUP('Données projet'!$B$14,Paramètres!$A$1:$I$88,5,0)</f>
        <v>-1.3744738680543379E-13</v>
      </c>
      <c r="DQ169" s="14" t="e">
        <f t="shared" si="176"/>
        <v>#NUM!</v>
      </c>
      <c r="DR169" s="22" t="e">
        <f t="shared" si="177"/>
        <v>#NUM!</v>
      </c>
      <c r="DS169" s="62" t="e">
        <f t="shared" si="125"/>
        <v>#NUM!</v>
      </c>
      <c r="DT169" s="62">
        <f ca="1">AVERAGE(OFFSET($DS$3,0,0,'Données projet'!$E$14+1,1))-AVERAGE(OFFSET($H$3,0,0,'Données projet'!$E$14+1,1))</f>
        <v>290.89727102147953</v>
      </c>
      <c r="DU169" s="62">
        <f t="shared" si="152"/>
        <v>173.19148969173838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projet'!$B$14,Paramètres!$A$1:$I$88,3,0)*0.475*44/12</f>
        <v>27.589767871934516</v>
      </c>
      <c r="EB169" s="23">
        <f>EXP(-LN(2)/25)*EB168+(1-EXP(-LN(2)/25))/(LN(2)/25)*Calculateur!DW169*Calculateur!DY169*VLOOKUP('Données projet'!$B$14,Paramètres!$A$1:$I$88,3,0)*0.475*44/12</f>
        <v>0</v>
      </c>
      <c r="EC169" s="23">
        <f>EXP(-LN(2)/2)*EC168+(1-EXP(-LN(2)/2))/(LN(2)/2)*DW169*DZ169*VLOOKUP('Données projet'!$B$14,Paramètres!$A$1:$I$88,3,0)*0.475*44/12</f>
        <v>0</v>
      </c>
      <c r="ED169" s="24">
        <f t="shared" si="178"/>
        <v>27.589767871934516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projet'!$B$15,Paramètres!$A$1:$I$88,3,0)*VLOOKUP('Données projet'!$B$15,Paramètres!$A$1:$I$88,5,0)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projet'!$B$15,Paramètres!$A$1:$I$88,3,0)*0.475*44/12</f>
        <v>#N/A</v>
      </c>
      <c r="EW169" s="23" t="e">
        <f>EXP(-LN(2)/25)*EW168+(1-EXP(-LN(2)/25))/(LN(2)/25)*Calculateur!ER169*Calculateur!ET169*VLOOKUP('Données projet'!$B$15,Paramètres!$A$1:$I$88,3,0)*0.475*44/12</f>
        <v>#N/A</v>
      </c>
      <c r="EX169" s="23" t="e">
        <f>EXP(-LN(2)/2)*EX168+(1-EXP(-LN(2)/2))/(LN(2)/2)*ER169*EU169*VLOOKUP('Données projet'!$B$15,Paramètres!$A$1:$I$88,3,0)*0.475*44/12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projet'!$B$16,Paramètres!$A$1:$I$88,3,0)*VLOOKUP('Données projet'!$B$16,Paramètres!$A$1:$I$88,5,0)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projet'!$B$16,Paramètres!$A$1:$I$88,3,0)*0.475*44/12</f>
        <v>#N/A</v>
      </c>
      <c r="FR169" s="23" t="e">
        <f>EXP(-LN(2)/25)*FR168+(1-EXP(-LN(2)/25))/(LN(2)/25)*Calculateur!FM169*Calculateur!FO169*VLOOKUP('Données projet'!$B$16,Paramètres!$A$1:$I$88,3,0)*0.475*44/12</f>
        <v>#N/A</v>
      </c>
      <c r="FS169" s="23" t="e">
        <f>EXP(-LN(2)/2)*FS168+(1-EXP(-LN(2)/2))/(LN(2)/2)*FM169*FP169*VLOOKUP('Données projet'!$B$16,Paramètres!$A$1:$I$88,3,0)*0.475*44/12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projet'!$B$17,Paramètres!$A$1:$I$88,3,0)*VLOOKUP('Données projet'!$B$17,Paramètres!$A$1:$I$88,5,0)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projet'!$B$17,Paramètres!$A$1:$I$88,3,0)*0.475*44/12</f>
        <v>#N/A</v>
      </c>
      <c r="GM169" s="23" t="e">
        <f>EXP(-LN(2)/25)*GM168+(1-EXP(-LN(2)/25))/(LN(2)/25)*Calculateur!GH169*Calculateur!GJ169*VLOOKUP('Données projet'!$B$17,Paramètres!$A$1:$I$88,3,0)*0.475*44/12</f>
        <v>#N/A</v>
      </c>
      <c r="GN169" s="23" t="e">
        <f>EXP(-LN(2)/2)*GN168+(1-EXP(-LN(2)/2))/(LN(2)/2)*GH169*GK169*VLOOKUP('Données projet'!$B$17,Paramètres!$A$1:$I$88,3,0)*0.475*44/12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projet'!$B$18,Paramètres!$A$1:$I$88,3,0)*VLOOKUP('Données projet'!$B$18,Paramètres!$A$1:$I$88,5,0)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projet'!$B$18,Paramètres!$A$1:$I$88,3,0)*0.475*44/12</f>
        <v>#N/A</v>
      </c>
      <c r="HH169" s="23" t="e">
        <f>EXP(-LN(2)/25)*HH168+(1-EXP(-LN(2)/25))/(LN(2)/25)*Calculateur!HC169*Calculateur!HE169*VLOOKUP('Données projet'!$B$18,Paramètres!$A$1:$I$88,3,0)*0.475*44/12</f>
        <v>#N/A</v>
      </c>
      <c r="HI169" s="23" t="e">
        <f>EXP(-LN(2)/2)*HI168+(1-EXP(-LN(2)/2))/(LN(2)/2)*HC169*HF169*VLOOKUP('Données projet'!$B$18,Paramètres!$A$1:$I$88,3,0)*0.475*44/12</f>
        <v>#N/A</v>
      </c>
      <c r="HJ169" s="24" t="e">
        <f t="shared" si="190"/>
        <v>#N/A</v>
      </c>
    </row>
    <row r="170" spans="1:218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projet'!$B$9,Paramètres!$A$1:$I$88,3,0)*VLOOKUP('Données projet'!$B$9,Paramètres!$A$1:$I$88,5,0)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288.4017563639207</v>
      </c>
      <c r="S170" s="62">
        <f ca="1">AVERAGE(OFFSET($R$3,0,0,'Données projet'!$E$9+1,1))-AVERAGE(OFFSET($H$3,0,0,'Données projet'!$E$9+1,1))</f>
        <v>301.2688576786212</v>
      </c>
      <c r="T170" s="62">
        <f t="shared" si="142"/>
        <v>417.62172165132927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14.863100505758714</v>
      </c>
      <c r="AA170" s="23">
        <f>EXP(-LN(2)/25)*AA169+(1-EXP(-LN(2)/25))/(LN(2)/25)*Calculateur!V170*Calculateur!X170*VLOOKUP('Données projet'!$B$9,Paramètres!$A$1:$I$88,3,0)*0.475*44/12</f>
        <v>1.9407297285481644</v>
      </c>
      <c r="AB170" s="23">
        <f>EXP(-LN(2)/2)*AB169+(1-EXP(-LN(2)/2))/(LN(2)/2)*V170*Y170*VLOOKUP('Données projet'!$B$9,Paramètres!$A$1:$I$88,3,0)*0.475*44/12</f>
        <v>7.2255649762789596E-17</v>
      </c>
      <c r="AC170" s="24">
        <f t="shared" si="163"/>
        <v>16.803830234306879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projet'!$B$10,Paramètres!$A$1:$I$88,3,0)*VLOOKUP('Données projet'!$B$10,Paramètres!$A$1:$I$88,5,0)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170.08673939431091</v>
      </c>
      <c r="AO170" s="62">
        <f t="shared" si="144"/>
        <v>252.97355497077106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projet'!$B$10,Paramètres!$A$1:$I$88,3,0)*0.475*44/12</f>
        <v>6.2057529288952988</v>
      </c>
      <c r="AV170" s="23">
        <f>EXP(-LN(2)/25)*AV169+(1-EXP(-LN(2)/25))/(LN(2)/25)*Calculateur!AQ170*Calculateur!AS170*VLOOKUP('Données projet'!$B$10,Paramètres!$A$1:$I$88,3,0)*0.475*44/12</f>
        <v>1.9670332558010759</v>
      </c>
      <c r="AW170" s="23">
        <f>EXP(-LN(2)/2)*AW169+(1-EXP(-LN(2)/2))/(LN(2)/2)*AQ170*AT170*VLOOKUP('Données projet'!$B$10,Paramètres!$A$1:$I$88,3,0)*0.475*44/12</f>
        <v>9.2553678361090845E-17</v>
      </c>
      <c r="AX170" s="23">
        <f t="shared" si="166"/>
        <v>8.1727861846963741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-1.1368683772161603E-13</v>
      </c>
      <c r="BE170" s="14">
        <f>BD170*VLOOKUP('Données projet'!$B$11,Paramètres!$A$1:$I$88,3,0)*VLOOKUP('Données projet'!$B$11,Paramètres!$A$1:$I$88,5,0)</f>
        <v>-1.0286385077051818E-13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362.63718589694594</v>
      </c>
      <c r="BJ170" s="62">
        <f t="shared" si="146"/>
        <v>250.47702091764884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projet'!$B$11,Paramètres!$A$1:$I$88,3,0)*0.475*44/12</f>
        <v>33.847665782259526</v>
      </c>
      <c r="BQ170" s="23">
        <f>EXP(-LN(2)/25)*BQ169+(1-EXP(-LN(2)/25))/(LN(2)/25)*Calculateur!BL170*Calculateur!BN170*VLOOKUP('Données projet'!$B$11,Paramètres!$A$1:$I$88,3,0)*0.475*44/12</f>
        <v>0</v>
      </c>
      <c r="BR170" s="23">
        <f>EXP(-LN(2)/2)*BR169+(1-EXP(-LN(2)/2))/(LN(2)/2)*BL170*BO170*VLOOKUP('Données projet'!$B$11,Paramètres!$A$1:$I$88,3,0)*0.475*44/12</f>
        <v>0</v>
      </c>
      <c r="BS170" s="24">
        <f t="shared" si="169"/>
        <v>33.847665782259526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-1.1368683772161603E-13</v>
      </c>
      <c r="BZ170" s="14">
        <f>BY170*VLOOKUP('Données projet'!$B$12,Paramètres!$A$1:$I$88,3,0)*VLOOKUP('Données projet'!$B$12,Paramètres!$A$1:$I$88,5,0)</f>
        <v>-1.1527845344971866E-13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398.14524781940196</v>
      </c>
      <c r="CE170" s="62">
        <f t="shared" si="148"/>
        <v>273.35778700650792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projet'!$B$12,Paramètres!$A$1:$I$88,3,0)*0.475*44/12</f>
        <v>37.932728893911531</v>
      </c>
      <c r="CL170" s="23">
        <f>EXP(-LN(2)/25)*CL169+(1-EXP(-LN(2)/25))/(LN(2)/25)*Calculateur!CG170*Calculateur!CI170*VLOOKUP('Données projet'!$B$12,Paramètres!$A$1:$I$88,3,0)*0.475*44/12</f>
        <v>0</v>
      </c>
      <c r="CM170" s="23">
        <f>EXP(-LN(2)/2)*CM169+(1-EXP(-LN(2)/2))/(LN(2)/2)*CG170*CJ170*VLOOKUP('Données projet'!$B$12,Paramètres!$A$1:$I$88,3,0)*0.475*44/12</f>
        <v>0</v>
      </c>
      <c r="CN170" s="24">
        <f t="shared" si="172"/>
        <v>37.932728893911531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118</v>
      </c>
      <c r="CU170" s="18">
        <f>CT170*VLOOKUP('Données projet'!$B$13,Paramètres!$A$1:$I$88,3,0)*VLOOKUP('Données projet'!$B$13,Paramètres!$A$1:$I$88,5,0)</f>
        <v>112.28880000000001</v>
      </c>
      <c r="CV170" s="14">
        <f t="shared" si="173"/>
        <v>29.869595672288149</v>
      </c>
      <c r="CW170" s="22">
        <f t="shared" si="174"/>
        <v>247.59253912923518</v>
      </c>
      <c r="CX170" s="62">
        <f t="shared" si="122"/>
        <v>535.99429549315482</v>
      </c>
      <c r="CY170" s="62">
        <f ca="1">AVERAGE(OFFSET($CX$3,0,0,'Données projet'!$E$13+1,1))-AVERAGE(OFFSET($H$3,0,0,'Données projet'!$E$13+1,1))</f>
        <v>470.0521927195926</v>
      </c>
      <c r="CZ170" s="62">
        <f t="shared" si="150"/>
        <v>299.27200854723435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projet'!$B$13,Paramètres!$A$1:$I$88,3,0)*0.475*44/12</f>
        <v>35.598407115824692</v>
      </c>
      <c r="DG170" s="23">
        <f>EXP(-LN(2)/25)*DG169+(1-EXP(-LN(2)/25))/(LN(2)/25)*Calculateur!DB170*Calculateur!DD170*VLOOKUP('Données projet'!$B$13,Paramètres!$A$1:$I$88,3,0)*0.475*44/12</f>
        <v>0</v>
      </c>
      <c r="DH170" s="23">
        <f>EXP(-LN(2)/2)*DH169+(1-EXP(-LN(2)/2))/(LN(2)/2)*DB170*DE170*VLOOKUP('Données projet'!$B$13,Paramètres!$A$1:$I$88,3,0)*0.475*44/12</f>
        <v>0</v>
      </c>
      <c r="DI170" s="24">
        <f t="shared" si="175"/>
        <v>35.598407115824692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-1.4210854715202004E-13</v>
      </c>
      <c r="DP170" s="18">
        <f>DO170*VLOOKUP('Données projet'!$B$14,Paramètres!$A$1:$I$88,3,0)*VLOOKUP('Données projet'!$B$14,Paramètres!$A$1:$I$88,5,0)</f>
        <v>-1.3744738680543379E-13</v>
      </c>
      <c r="DQ170" s="14" t="e">
        <f t="shared" si="176"/>
        <v>#NUM!</v>
      </c>
      <c r="DR170" s="22" t="e">
        <f t="shared" si="177"/>
        <v>#NUM!</v>
      </c>
      <c r="DS170" s="62" t="e">
        <f t="shared" si="125"/>
        <v>#NUM!</v>
      </c>
      <c r="DT170" s="62">
        <f ca="1">AVERAGE(OFFSET($DS$3,0,0,'Données projet'!$E$14+1,1))-AVERAGE(OFFSET($H$3,0,0,'Données projet'!$E$14+1,1))</f>
        <v>290.89727102147953</v>
      </c>
      <c r="DU170" s="62">
        <f t="shared" si="152"/>
        <v>173.19148969173838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projet'!$B$14,Paramètres!$A$1:$I$88,3,0)*0.475*44/12</f>
        <v>27.048749352062647</v>
      </c>
      <c r="EB170" s="23">
        <f>EXP(-LN(2)/25)*EB169+(1-EXP(-LN(2)/25))/(LN(2)/25)*Calculateur!DW170*Calculateur!DY170*VLOOKUP('Données projet'!$B$14,Paramètres!$A$1:$I$88,3,0)*0.475*44/12</f>
        <v>0</v>
      </c>
      <c r="EC170" s="23">
        <f>EXP(-LN(2)/2)*EC169+(1-EXP(-LN(2)/2))/(LN(2)/2)*DW170*DZ170*VLOOKUP('Données projet'!$B$14,Paramètres!$A$1:$I$88,3,0)*0.475*44/12</f>
        <v>0</v>
      </c>
      <c r="ED170" s="24">
        <f t="shared" si="178"/>
        <v>27.048749352062647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projet'!$B$15,Paramètres!$A$1:$I$88,3,0)*VLOOKUP('Données projet'!$B$15,Paramètres!$A$1:$I$88,5,0)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projet'!$B$15,Paramètres!$A$1:$I$88,3,0)*0.475*44/12</f>
        <v>#N/A</v>
      </c>
      <c r="EW170" s="23" t="e">
        <f>EXP(-LN(2)/25)*EW169+(1-EXP(-LN(2)/25))/(LN(2)/25)*Calculateur!ER170*Calculateur!ET170*VLOOKUP('Données projet'!$B$15,Paramètres!$A$1:$I$88,3,0)*0.475*44/12</f>
        <v>#N/A</v>
      </c>
      <c r="EX170" s="23" t="e">
        <f>EXP(-LN(2)/2)*EX169+(1-EXP(-LN(2)/2))/(LN(2)/2)*ER170*EU170*VLOOKUP('Données projet'!$B$15,Paramètres!$A$1:$I$88,3,0)*0.475*44/12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projet'!$B$16,Paramètres!$A$1:$I$88,3,0)*VLOOKUP('Données projet'!$B$16,Paramètres!$A$1:$I$88,5,0)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projet'!$B$16,Paramètres!$A$1:$I$88,3,0)*0.475*44/12</f>
        <v>#N/A</v>
      </c>
      <c r="FR170" s="23" t="e">
        <f>EXP(-LN(2)/25)*FR169+(1-EXP(-LN(2)/25))/(LN(2)/25)*Calculateur!FM170*Calculateur!FO170*VLOOKUP('Données projet'!$B$16,Paramètres!$A$1:$I$88,3,0)*0.475*44/12</f>
        <v>#N/A</v>
      </c>
      <c r="FS170" s="23" t="e">
        <f>EXP(-LN(2)/2)*FS169+(1-EXP(-LN(2)/2))/(LN(2)/2)*FM170*FP170*VLOOKUP('Données projet'!$B$16,Paramètres!$A$1:$I$88,3,0)*0.475*44/12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projet'!$B$17,Paramètres!$A$1:$I$88,3,0)*VLOOKUP('Données projet'!$B$17,Paramètres!$A$1:$I$88,5,0)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projet'!$B$17,Paramètres!$A$1:$I$88,3,0)*0.475*44/12</f>
        <v>#N/A</v>
      </c>
      <c r="GM170" s="23" t="e">
        <f>EXP(-LN(2)/25)*GM169+(1-EXP(-LN(2)/25))/(LN(2)/25)*Calculateur!GH170*Calculateur!GJ170*VLOOKUP('Données projet'!$B$17,Paramètres!$A$1:$I$88,3,0)*0.475*44/12</f>
        <v>#N/A</v>
      </c>
      <c r="GN170" s="23" t="e">
        <f>EXP(-LN(2)/2)*GN169+(1-EXP(-LN(2)/2))/(LN(2)/2)*GH170*GK170*VLOOKUP('Données projet'!$B$17,Paramètres!$A$1:$I$88,3,0)*0.475*44/12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projet'!$B$18,Paramètres!$A$1:$I$88,3,0)*VLOOKUP('Données projet'!$B$18,Paramètres!$A$1:$I$88,5,0)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projet'!$B$18,Paramètres!$A$1:$I$88,3,0)*0.475*44/12</f>
        <v>#N/A</v>
      </c>
      <c r="HH170" s="23" t="e">
        <f>EXP(-LN(2)/25)*HH169+(1-EXP(-LN(2)/25))/(LN(2)/25)*Calculateur!HC170*Calculateur!HE170*VLOOKUP('Données projet'!$B$18,Paramètres!$A$1:$I$88,3,0)*0.475*44/12</f>
        <v>#N/A</v>
      </c>
      <c r="HI170" s="23" t="e">
        <f>EXP(-LN(2)/2)*HI169+(1-EXP(-LN(2)/2))/(LN(2)/2)*HC170*HF170*VLOOKUP('Données projet'!$B$18,Paramètres!$A$1:$I$88,3,0)*0.475*44/12</f>
        <v>#N/A</v>
      </c>
      <c r="HJ170" s="24" t="e">
        <f t="shared" si="190"/>
        <v>#N/A</v>
      </c>
    </row>
    <row r="171" spans="1:218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projet'!$B$9,Paramètres!$A$1:$I$88,3,0)*VLOOKUP('Données projet'!$B$9,Paramètres!$A$1:$I$88,5,0)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288.4873081989856</v>
      </c>
      <c r="S171" s="62">
        <f ca="1">AVERAGE(OFFSET($R$3,0,0,'Données projet'!$E$9+1,1))-AVERAGE(OFFSET($H$3,0,0,'Données projet'!$E$9+1,1))</f>
        <v>301.2688576786212</v>
      </c>
      <c r="T171" s="62">
        <f t="shared" si="142"/>
        <v>417.62172165132927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14.571644170436942</v>
      </c>
      <c r="AA171" s="23">
        <f>EXP(-LN(2)/25)*AA170+(1-EXP(-LN(2)/25))/(LN(2)/25)*Calculateur!V171*Calculateur!X171*VLOOKUP('Données projet'!$B$9,Paramètres!$A$1:$I$88,3,0)*0.475*44/12</f>
        <v>1.8876603720624741</v>
      </c>
      <c r="AB171" s="23">
        <f>EXP(-LN(2)/2)*AB170+(1-EXP(-LN(2)/2))/(LN(2)/2)*V171*Y171*VLOOKUP('Données projet'!$B$9,Paramètres!$A$1:$I$88,3,0)*0.475*44/12</f>
        <v>5.1092459926308678E-17</v>
      </c>
      <c r="AC171" s="24">
        <f t="shared" si="163"/>
        <v>16.459304542499417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projet'!$B$10,Paramètres!$A$1:$I$88,3,0)*VLOOKUP('Données projet'!$B$10,Paramètres!$A$1:$I$88,5,0)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170.08673939431091</v>
      </c>
      <c r="AO171" s="62">
        <f t="shared" si="144"/>
        <v>252.97355497077106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projet'!$B$10,Paramètres!$A$1:$I$88,3,0)*0.475*44/12</f>
        <v>6.0840618990951976</v>
      </c>
      <c r="AV171" s="23">
        <f>EXP(-LN(2)/25)*AV170+(1-EXP(-LN(2)/25))/(LN(2)/25)*Calculateur!AQ171*Calculateur!AS171*VLOOKUP('Données projet'!$B$10,Paramètres!$A$1:$I$88,3,0)*0.475*44/12</f>
        <v>1.9132446279794122</v>
      </c>
      <c r="AW171" s="23">
        <f>EXP(-LN(2)/2)*AW170+(1-EXP(-LN(2)/2))/(LN(2)/2)*AQ171*AT171*VLOOKUP('Données projet'!$B$10,Paramètres!$A$1:$I$88,3,0)*0.475*44/12</f>
        <v>6.5445333592885961E-17</v>
      </c>
      <c r="AX171" s="23">
        <f t="shared" si="166"/>
        <v>7.9973065270746098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-1.1368683772161603E-13</v>
      </c>
      <c r="BE171" s="14">
        <f>BD171*VLOOKUP('Données projet'!$B$11,Paramètres!$A$1:$I$88,3,0)*VLOOKUP('Données projet'!$B$11,Paramètres!$A$1:$I$88,5,0)</f>
        <v>-1.0286385077051818E-13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362.63718589694594</v>
      </c>
      <c r="BJ171" s="62">
        <f t="shared" si="146"/>
        <v>250.47702091764884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projet'!$B$11,Paramètres!$A$1:$I$88,3,0)*0.475*44/12</f>
        <v>33.183933701307012</v>
      </c>
      <c r="BQ171" s="23">
        <f>EXP(-LN(2)/25)*BQ170+(1-EXP(-LN(2)/25))/(LN(2)/25)*Calculateur!BL171*Calculateur!BN171*VLOOKUP('Données projet'!$B$11,Paramètres!$A$1:$I$88,3,0)*0.475*44/12</f>
        <v>0</v>
      </c>
      <c r="BR171" s="23">
        <f>EXP(-LN(2)/2)*BR170+(1-EXP(-LN(2)/2))/(LN(2)/2)*BL171*BO171*VLOOKUP('Données projet'!$B$11,Paramètres!$A$1:$I$88,3,0)*0.475*44/12</f>
        <v>0</v>
      </c>
      <c r="BS171" s="24">
        <f t="shared" si="169"/>
        <v>33.183933701307012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-1.1368683772161603E-13</v>
      </c>
      <c r="BZ171" s="14">
        <f>BY171*VLOOKUP('Données projet'!$B$12,Paramètres!$A$1:$I$88,3,0)*VLOOKUP('Données projet'!$B$12,Paramètres!$A$1:$I$88,5,0)</f>
        <v>-1.1527845344971866E-13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398.14524781940196</v>
      </c>
      <c r="CE171" s="62">
        <f t="shared" si="148"/>
        <v>273.35778700650792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projet'!$B$12,Paramètres!$A$1:$I$88,3,0)*0.475*44/12</f>
        <v>37.188891216981993</v>
      </c>
      <c r="CL171" s="23">
        <f>EXP(-LN(2)/25)*CL170+(1-EXP(-LN(2)/25))/(LN(2)/25)*Calculateur!CG171*Calculateur!CI171*VLOOKUP('Données projet'!$B$12,Paramètres!$A$1:$I$88,3,0)*0.475*44/12</f>
        <v>0</v>
      </c>
      <c r="CM171" s="23">
        <f>EXP(-LN(2)/2)*CM170+(1-EXP(-LN(2)/2))/(LN(2)/2)*CG171*CJ171*VLOOKUP('Données projet'!$B$12,Paramètres!$A$1:$I$88,3,0)*0.475*44/12</f>
        <v>0</v>
      </c>
      <c r="CN171" s="24">
        <f t="shared" si="172"/>
        <v>37.188891216981993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118</v>
      </c>
      <c r="CU171" s="18">
        <f>CT171*VLOOKUP('Données projet'!$B$13,Paramètres!$A$1:$I$88,3,0)*VLOOKUP('Données projet'!$B$13,Paramètres!$A$1:$I$88,5,0)</f>
        <v>112.28880000000001</v>
      </c>
      <c r="CV171" s="14">
        <f t="shared" si="173"/>
        <v>29.869595672288149</v>
      </c>
      <c r="CW171" s="22">
        <f t="shared" si="174"/>
        <v>247.59253912923518</v>
      </c>
      <c r="CX171" s="62">
        <f t="shared" si="122"/>
        <v>536.07984732821967</v>
      </c>
      <c r="CY171" s="62">
        <f ca="1">AVERAGE(OFFSET($CX$3,0,0,'Données projet'!$E$13+1,1))-AVERAGE(OFFSET($H$3,0,0,'Données projet'!$E$13+1,1))</f>
        <v>470.0521927195926</v>
      </c>
      <c r="CZ171" s="62">
        <f t="shared" si="150"/>
        <v>299.27200854723435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projet'!$B$13,Paramètres!$A$1:$I$88,3,0)*0.475*44/12</f>
        <v>34.900344065167744</v>
      </c>
      <c r="DG171" s="23">
        <f>EXP(-LN(2)/25)*DG170+(1-EXP(-LN(2)/25))/(LN(2)/25)*Calculateur!DB171*Calculateur!DD171*VLOOKUP('Données projet'!$B$13,Paramètres!$A$1:$I$88,3,0)*0.475*44/12</f>
        <v>0</v>
      </c>
      <c r="DH171" s="23">
        <f>EXP(-LN(2)/2)*DH170+(1-EXP(-LN(2)/2))/(LN(2)/2)*DB171*DE171*VLOOKUP('Données projet'!$B$13,Paramètres!$A$1:$I$88,3,0)*0.475*44/12</f>
        <v>0</v>
      </c>
      <c r="DI171" s="24">
        <f t="shared" si="175"/>
        <v>34.900344065167744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-1.4210854715202004E-13</v>
      </c>
      <c r="DP171" s="18">
        <f>DO171*VLOOKUP('Données projet'!$B$14,Paramètres!$A$1:$I$88,3,0)*VLOOKUP('Données projet'!$B$14,Paramètres!$A$1:$I$88,5,0)</f>
        <v>-1.3744738680543379E-13</v>
      </c>
      <c r="DQ171" s="14" t="e">
        <f t="shared" si="176"/>
        <v>#NUM!</v>
      </c>
      <c r="DR171" s="22" t="e">
        <f t="shared" si="177"/>
        <v>#NUM!</v>
      </c>
      <c r="DS171" s="62" t="e">
        <f t="shared" si="125"/>
        <v>#NUM!</v>
      </c>
      <c r="DT171" s="62">
        <f ca="1">AVERAGE(OFFSET($DS$3,0,0,'Données projet'!$E$14+1,1))-AVERAGE(OFFSET($H$3,0,0,'Données projet'!$E$14+1,1))</f>
        <v>290.89727102147953</v>
      </c>
      <c r="DU171" s="62">
        <f t="shared" si="152"/>
        <v>173.19148969173838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projet'!$B$14,Paramètres!$A$1:$I$88,3,0)*0.475*44/12</f>
        <v>26.51833987537675</v>
      </c>
      <c r="EB171" s="23">
        <f>EXP(-LN(2)/25)*EB170+(1-EXP(-LN(2)/25))/(LN(2)/25)*Calculateur!DW171*Calculateur!DY171*VLOOKUP('Données projet'!$B$14,Paramètres!$A$1:$I$88,3,0)*0.475*44/12</f>
        <v>0</v>
      </c>
      <c r="EC171" s="23">
        <f>EXP(-LN(2)/2)*EC170+(1-EXP(-LN(2)/2))/(LN(2)/2)*DW171*DZ171*VLOOKUP('Données projet'!$B$14,Paramètres!$A$1:$I$88,3,0)*0.475*44/12</f>
        <v>0</v>
      </c>
      <c r="ED171" s="24">
        <f t="shared" si="178"/>
        <v>26.51833987537675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projet'!$B$15,Paramètres!$A$1:$I$88,3,0)*VLOOKUP('Données projet'!$B$15,Paramètres!$A$1:$I$88,5,0)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projet'!$B$15,Paramètres!$A$1:$I$88,3,0)*0.475*44/12</f>
        <v>#N/A</v>
      </c>
      <c r="EW171" s="23" t="e">
        <f>EXP(-LN(2)/25)*EW170+(1-EXP(-LN(2)/25))/(LN(2)/25)*Calculateur!ER171*Calculateur!ET171*VLOOKUP('Données projet'!$B$15,Paramètres!$A$1:$I$88,3,0)*0.475*44/12</f>
        <v>#N/A</v>
      </c>
      <c r="EX171" s="23" t="e">
        <f>EXP(-LN(2)/2)*EX170+(1-EXP(-LN(2)/2))/(LN(2)/2)*ER171*EU171*VLOOKUP('Données projet'!$B$15,Paramètres!$A$1:$I$88,3,0)*0.475*44/12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projet'!$B$16,Paramètres!$A$1:$I$88,3,0)*VLOOKUP('Données projet'!$B$16,Paramètres!$A$1:$I$88,5,0)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projet'!$B$16,Paramètres!$A$1:$I$88,3,0)*0.475*44/12</f>
        <v>#N/A</v>
      </c>
      <c r="FR171" s="23" t="e">
        <f>EXP(-LN(2)/25)*FR170+(1-EXP(-LN(2)/25))/(LN(2)/25)*Calculateur!FM171*Calculateur!FO171*VLOOKUP('Données projet'!$B$16,Paramètres!$A$1:$I$88,3,0)*0.475*44/12</f>
        <v>#N/A</v>
      </c>
      <c r="FS171" s="23" t="e">
        <f>EXP(-LN(2)/2)*FS170+(1-EXP(-LN(2)/2))/(LN(2)/2)*FM171*FP171*VLOOKUP('Données projet'!$B$16,Paramètres!$A$1:$I$88,3,0)*0.475*44/12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projet'!$B$17,Paramètres!$A$1:$I$88,3,0)*VLOOKUP('Données projet'!$B$17,Paramètres!$A$1:$I$88,5,0)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projet'!$B$17,Paramètres!$A$1:$I$88,3,0)*0.475*44/12</f>
        <v>#N/A</v>
      </c>
      <c r="GM171" s="23" t="e">
        <f>EXP(-LN(2)/25)*GM170+(1-EXP(-LN(2)/25))/(LN(2)/25)*Calculateur!GH171*Calculateur!GJ171*VLOOKUP('Données projet'!$B$17,Paramètres!$A$1:$I$88,3,0)*0.475*44/12</f>
        <v>#N/A</v>
      </c>
      <c r="GN171" s="23" t="e">
        <f>EXP(-LN(2)/2)*GN170+(1-EXP(-LN(2)/2))/(LN(2)/2)*GH171*GK171*VLOOKUP('Données projet'!$B$17,Paramètres!$A$1:$I$88,3,0)*0.475*44/12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projet'!$B$18,Paramètres!$A$1:$I$88,3,0)*VLOOKUP('Données projet'!$B$18,Paramètres!$A$1:$I$88,5,0)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projet'!$B$18,Paramètres!$A$1:$I$88,3,0)*0.475*44/12</f>
        <v>#N/A</v>
      </c>
      <c r="HH171" s="23" t="e">
        <f>EXP(-LN(2)/25)*HH170+(1-EXP(-LN(2)/25))/(LN(2)/25)*Calculateur!HC171*Calculateur!HE171*VLOOKUP('Données projet'!$B$18,Paramètres!$A$1:$I$88,3,0)*0.475*44/12</f>
        <v>#N/A</v>
      </c>
      <c r="HI171" s="23" t="e">
        <f>EXP(-LN(2)/2)*HI170+(1-EXP(-LN(2)/2))/(LN(2)/2)*HC171*HF171*VLOOKUP('Données projet'!$B$18,Paramètres!$A$1:$I$88,3,0)*0.475*44/12</f>
        <v>#N/A</v>
      </c>
      <c r="HJ171" s="24" t="e">
        <f t="shared" si="190"/>
        <v>#N/A</v>
      </c>
    </row>
    <row r="172" spans="1:218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projet'!$B$9,Paramètres!$A$1:$I$88,3,0)*VLOOKUP('Données projet'!$B$9,Paramètres!$A$1:$I$88,5,0)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288.5713759009775</v>
      </c>
      <c r="S172" s="62">
        <f ca="1">AVERAGE(OFFSET($R$3,0,0,'Données projet'!$E$9+1,1))-AVERAGE(OFFSET($H$3,0,0,'Données projet'!$E$9+1,1))</f>
        <v>301.2688576786212</v>
      </c>
      <c r="T172" s="62">
        <f t="shared" si="142"/>
        <v>417.62172165132927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14.285903116080018</v>
      </c>
      <c r="AA172" s="23">
        <f>EXP(-LN(2)/25)*AA171+(1-EXP(-LN(2)/25))/(LN(2)/25)*Calculateur!V172*Calculateur!X172*VLOOKUP('Données projet'!$B$9,Paramètres!$A$1:$I$88,3,0)*0.475*44/12</f>
        <v>1.8360421999206811</v>
      </c>
      <c r="AB172" s="23">
        <f>EXP(-LN(2)/2)*AB171+(1-EXP(-LN(2)/2))/(LN(2)/2)*V172*Y172*VLOOKUP('Données projet'!$B$9,Paramètres!$A$1:$I$88,3,0)*0.475*44/12</f>
        <v>3.6127824881394798E-17</v>
      </c>
      <c r="AC172" s="24">
        <f t="shared" si="163"/>
        <v>16.121945316000698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projet'!$B$10,Paramètres!$A$1:$I$88,3,0)*VLOOKUP('Données projet'!$B$10,Paramètres!$A$1:$I$88,5,0)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170.08673939431091</v>
      </c>
      <c r="AO172" s="62">
        <f t="shared" si="144"/>
        <v>252.97355497077106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projet'!$B$10,Paramètres!$A$1:$I$88,3,0)*0.475*44/12</f>
        <v>5.9647571561652768</v>
      </c>
      <c r="AV172" s="23">
        <f>EXP(-LN(2)/25)*AV171+(1-EXP(-LN(2)/25))/(LN(2)/25)*Calculateur!AQ172*Calculateur!AS172*VLOOKUP('Données projet'!$B$10,Paramètres!$A$1:$I$88,3,0)*0.475*44/12</f>
        <v>1.8609268530141529</v>
      </c>
      <c r="AW172" s="23">
        <f>EXP(-LN(2)/2)*AW171+(1-EXP(-LN(2)/2))/(LN(2)/2)*AQ172*AT172*VLOOKUP('Données projet'!$B$10,Paramètres!$A$1:$I$88,3,0)*0.475*44/12</f>
        <v>4.6276839180545422E-17</v>
      </c>
      <c r="AX172" s="23">
        <f t="shared" si="166"/>
        <v>7.8256840091794295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-1.1368683772161603E-13</v>
      </c>
      <c r="BE172" s="14">
        <f>BD172*VLOOKUP('Données projet'!$B$11,Paramètres!$A$1:$I$88,3,0)*VLOOKUP('Données projet'!$B$11,Paramètres!$A$1:$I$88,5,0)</f>
        <v>-1.0286385077051818E-13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362.63718589694594</v>
      </c>
      <c r="BJ172" s="62">
        <f t="shared" si="146"/>
        <v>250.47702091764884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projet'!$B$11,Paramètres!$A$1:$I$88,3,0)*0.475*44/12</f>
        <v>32.533217001625388</v>
      </c>
      <c r="BQ172" s="23">
        <f>EXP(-LN(2)/25)*BQ171+(1-EXP(-LN(2)/25))/(LN(2)/25)*Calculateur!BL172*Calculateur!BN172*VLOOKUP('Données projet'!$B$11,Paramètres!$A$1:$I$88,3,0)*0.475*44/12</f>
        <v>0</v>
      </c>
      <c r="BR172" s="23">
        <f>EXP(-LN(2)/2)*BR171+(1-EXP(-LN(2)/2))/(LN(2)/2)*BL172*BO172*VLOOKUP('Données projet'!$B$11,Paramètres!$A$1:$I$88,3,0)*0.475*44/12</f>
        <v>0</v>
      </c>
      <c r="BS172" s="24">
        <f t="shared" si="169"/>
        <v>32.533217001625388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-1.1368683772161603E-13</v>
      </c>
      <c r="BZ172" s="14">
        <f>BY172*VLOOKUP('Données projet'!$B$12,Paramètres!$A$1:$I$88,3,0)*VLOOKUP('Données projet'!$B$12,Paramètres!$A$1:$I$88,5,0)</f>
        <v>-1.1527845344971866E-13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398.14524781940196</v>
      </c>
      <c r="CE172" s="62">
        <f t="shared" si="148"/>
        <v>273.35778700650792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projet'!$B$12,Paramètres!$A$1:$I$88,3,0)*0.475*44/12</f>
        <v>36.45963974320086</v>
      </c>
      <c r="CL172" s="23">
        <f>EXP(-LN(2)/25)*CL171+(1-EXP(-LN(2)/25))/(LN(2)/25)*Calculateur!CG172*Calculateur!CI172*VLOOKUP('Données projet'!$B$12,Paramètres!$A$1:$I$88,3,0)*0.475*44/12</f>
        <v>0</v>
      </c>
      <c r="CM172" s="23">
        <f>EXP(-LN(2)/2)*CM171+(1-EXP(-LN(2)/2))/(LN(2)/2)*CG172*CJ172*VLOOKUP('Données projet'!$B$12,Paramètres!$A$1:$I$88,3,0)*0.475*44/12</f>
        <v>0</v>
      </c>
      <c r="CN172" s="24">
        <f t="shared" si="172"/>
        <v>36.45963974320086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118</v>
      </c>
      <c r="CU172" s="18">
        <f>CT172*VLOOKUP('Données projet'!$B$13,Paramètres!$A$1:$I$88,3,0)*VLOOKUP('Données projet'!$B$13,Paramètres!$A$1:$I$88,5,0)</f>
        <v>112.28880000000001</v>
      </c>
      <c r="CV172" s="14">
        <f t="shared" si="173"/>
        <v>29.869595672288149</v>
      </c>
      <c r="CW172" s="22">
        <f t="shared" si="174"/>
        <v>247.59253912923518</v>
      </c>
      <c r="CX172" s="62">
        <f t="shared" si="122"/>
        <v>536.16391503021157</v>
      </c>
      <c r="CY172" s="62">
        <f ca="1">AVERAGE(OFFSET($CX$3,0,0,'Données projet'!$E$13+1,1))-AVERAGE(OFFSET($H$3,0,0,'Données projet'!$E$13+1,1))</f>
        <v>470.0521927195926</v>
      </c>
      <c r="CZ172" s="62">
        <f t="shared" si="150"/>
        <v>299.27200854723435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projet'!$B$13,Paramètres!$A$1:$I$88,3,0)*0.475*44/12</f>
        <v>34.21596960515776</v>
      </c>
      <c r="DG172" s="23">
        <f>EXP(-LN(2)/25)*DG171+(1-EXP(-LN(2)/25))/(LN(2)/25)*Calculateur!DB172*Calculateur!DD172*VLOOKUP('Données projet'!$B$13,Paramètres!$A$1:$I$88,3,0)*0.475*44/12</f>
        <v>0</v>
      </c>
      <c r="DH172" s="23">
        <f>EXP(-LN(2)/2)*DH171+(1-EXP(-LN(2)/2))/(LN(2)/2)*DB172*DE172*VLOOKUP('Données projet'!$B$13,Paramètres!$A$1:$I$88,3,0)*0.475*44/12</f>
        <v>0</v>
      </c>
      <c r="DI172" s="24">
        <f t="shared" si="175"/>
        <v>34.21596960515776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-1.4210854715202004E-13</v>
      </c>
      <c r="DP172" s="18">
        <f>DO172*VLOOKUP('Données projet'!$B$14,Paramètres!$A$1:$I$88,3,0)*VLOOKUP('Données projet'!$B$14,Paramètres!$A$1:$I$88,5,0)</f>
        <v>-1.3744738680543379E-13</v>
      </c>
      <c r="DQ172" s="14" t="e">
        <f t="shared" si="176"/>
        <v>#NUM!</v>
      </c>
      <c r="DR172" s="22" t="e">
        <f t="shared" si="177"/>
        <v>#NUM!</v>
      </c>
      <c r="DS172" s="62" t="e">
        <f t="shared" si="125"/>
        <v>#NUM!</v>
      </c>
      <c r="DT172" s="62">
        <f ca="1">AVERAGE(OFFSET($DS$3,0,0,'Données projet'!$E$14+1,1))-AVERAGE(OFFSET($H$3,0,0,'Données projet'!$E$14+1,1))</f>
        <v>290.89727102147953</v>
      </c>
      <c r="DU172" s="62">
        <f t="shared" si="152"/>
        <v>173.19148969173838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projet'!$B$14,Paramètres!$A$1:$I$88,3,0)*0.475*44/12</f>
        <v>25.998331405010827</v>
      </c>
      <c r="EB172" s="23">
        <f>EXP(-LN(2)/25)*EB171+(1-EXP(-LN(2)/25))/(LN(2)/25)*Calculateur!DW172*Calculateur!DY172*VLOOKUP('Données projet'!$B$14,Paramètres!$A$1:$I$88,3,0)*0.475*44/12</f>
        <v>0</v>
      </c>
      <c r="EC172" s="23">
        <f>EXP(-LN(2)/2)*EC171+(1-EXP(-LN(2)/2))/(LN(2)/2)*DW172*DZ172*VLOOKUP('Données projet'!$B$14,Paramètres!$A$1:$I$88,3,0)*0.475*44/12</f>
        <v>0</v>
      </c>
      <c r="ED172" s="24">
        <f t="shared" si="178"/>
        <v>25.998331405010827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projet'!$B$15,Paramètres!$A$1:$I$88,3,0)*VLOOKUP('Données projet'!$B$15,Paramètres!$A$1:$I$88,5,0)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projet'!$B$15,Paramètres!$A$1:$I$88,3,0)*0.475*44/12</f>
        <v>#N/A</v>
      </c>
      <c r="EW172" s="23" t="e">
        <f>EXP(-LN(2)/25)*EW171+(1-EXP(-LN(2)/25))/(LN(2)/25)*Calculateur!ER172*Calculateur!ET172*VLOOKUP('Données projet'!$B$15,Paramètres!$A$1:$I$88,3,0)*0.475*44/12</f>
        <v>#N/A</v>
      </c>
      <c r="EX172" s="23" t="e">
        <f>EXP(-LN(2)/2)*EX171+(1-EXP(-LN(2)/2))/(LN(2)/2)*ER172*EU172*VLOOKUP('Données projet'!$B$15,Paramètres!$A$1:$I$88,3,0)*0.475*44/12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projet'!$B$16,Paramètres!$A$1:$I$88,3,0)*VLOOKUP('Données projet'!$B$16,Paramètres!$A$1:$I$88,5,0)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projet'!$B$16,Paramètres!$A$1:$I$88,3,0)*0.475*44/12</f>
        <v>#N/A</v>
      </c>
      <c r="FR172" s="23" t="e">
        <f>EXP(-LN(2)/25)*FR171+(1-EXP(-LN(2)/25))/(LN(2)/25)*Calculateur!FM172*Calculateur!FO172*VLOOKUP('Données projet'!$B$16,Paramètres!$A$1:$I$88,3,0)*0.475*44/12</f>
        <v>#N/A</v>
      </c>
      <c r="FS172" s="23" t="e">
        <f>EXP(-LN(2)/2)*FS171+(1-EXP(-LN(2)/2))/(LN(2)/2)*FM172*FP172*VLOOKUP('Données projet'!$B$16,Paramètres!$A$1:$I$88,3,0)*0.475*44/12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projet'!$B$17,Paramètres!$A$1:$I$88,3,0)*VLOOKUP('Données projet'!$B$17,Paramètres!$A$1:$I$88,5,0)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projet'!$B$17,Paramètres!$A$1:$I$88,3,0)*0.475*44/12</f>
        <v>#N/A</v>
      </c>
      <c r="GM172" s="23" t="e">
        <f>EXP(-LN(2)/25)*GM171+(1-EXP(-LN(2)/25))/(LN(2)/25)*Calculateur!GH172*Calculateur!GJ172*VLOOKUP('Données projet'!$B$17,Paramètres!$A$1:$I$88,3,0)*0.475*44/12</f>
        <v>#N/A</v>
      </c>
      <c r="GN172" s="23" t="e">
        <f>EXP(-LN(2)/2)*GN171+(1-EXP(-LN(2)/2))/(LN(2)/2)*GH172*GK172*VLOOKUP('Données projet'!$B$17,Paramètres!$A$1:$I$88,3,0)*0.475*44/12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projet'!$B$18,Paramètres!$A$1:$I$88,3,0)*VLOOKUP('Données projet'!$B$18,Paramètres!$A$1:$I$88,5,0)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projet'!$B$18,Paramètres!$A$1:$I$88,3,0)*0.475*44/12</f>
        <v>#N/A</v>
      </c>
      <c r="HH172" s="23" t="e">
        <f>EXP(-LN(2)/25)*HH171+(1-EXP(-LN(2)/25))/(LN(2)/25)*Calculateur!HC172*Calculateur!HE172*VLOOKUP('Données projet'!$B$18,Paramètres!$A$1:$I$88,3,0)*0.475*44/12</f>
        <v>#N/A</v>
      </c>
      <c r="HI172" s="23" t="e">
        <f>EXP(-LN(2)/2)*HI171+(1-EXP(-LN(2)/2))/(LN(2)/2)*HC172*HF172*VLOOKUP('Données projet'!$B$18,Paramètres!$A$1:$I$88,3,0)*0.475*44/12</f>
        <v>#N/A</v>
      </c>
      <c r="HJ172" s="24" t="e">
        <f t="shared" si="190"/>
        <v>#N/A</v>
      </c>
    </row>
    <row r="173" spans="1:218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projet'!$B$9,Paramètres!$A$1:$I$88,3,0)*VLOOKUP('Données projet'!$B$9,Paramètres!$A$1:$I$88,5,0)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288.65398521628697</v>
      </c>
      <c r="S173" s="62">
        <f ca="1">AVERAGE(OFFSET($R$3,0,0,'Données projet'!$E$9+1,1))-AVERAGE(OFFSET($H$3,0,0,'Données projet'!$E$9+1,1))</f>
        <v>301.2688576786212</v>
      </c>
      <c r="T173" s="62">
        <f t="shared" si="142"/>
        <v>417.62172165132927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14.0057652695142</v>
      </c>
      <c r="AA173" s="23">
        <f>EXP(-LN(2)/25)*AA172+(1-EXP(-LN(2)/25))/(LN(2)/25)*Calculateur!V173*Calculateur!X173*VLOOKUP('Données projet'!$B$9,Paramètres!$A$1:$I$88,3,0)*0.475*44/12</f>
        <v>1.785835529410587</v>
      </c>
      <c r="AB173" s="23">
        <f>EXP(-LN(2)/2)*AB172+(1-EXP(-LN(2)/2))/(LN(2)/2)*V173*Y173*VLOOKUP('Données projet'!$B$9,Paramètres!$A$1:$I$88,3,0)*0.475*44/12</f>
        <v>2.5546229963154339E-17</v>
      </c>
      <c r="AC173" s="24">
        <f t="shared" si="163"/>
        <v>15.791600798924787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projet'!$B$10,Paramètres!$A$1:$I$88,3,0)*VLOOKUP('Données projet'!$B$10,Paramètres!$A$1:$I$88,5,0)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170.08673939431091</v>
      </c>
      <c r="AO173" s="62">
        <f t="shared" si="144"/>
        <v>252.97355497077106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projet'!$B$10,Paramètres!$A$1:$I$88,7,0))</f>
        <v>0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projet'!$B$10,Paramètres!$A$1:$I$88,3,0)*0.475*44/12</f>
        <v>5.8477919064755044</v>
      </c>
      <c r="AV173" s="23">
        <f>EXP(-LN(2)/25)*AV172+(1-EXP(-LN(2)/25))/(LN(2)/25)*Calculateur!AQ173*Calculateur!AS173*VLOOKUP('Données projet'!$B$10,Paramètres!$A$1:$I$88,3,0)*0.475*44/12</f>
        <v>1.8100397103565908</v>
      </c>
      <c r="AW173" s="23">
        <f>EXP(-LN(2)/2)*AW172+(1-EXP(-LN(2)/2))/(LN(2)/2)*AQ173*AT173*VLOOKUP('Données projet'!$B$10,Paramètres!$A$1:$I$88,3,0)*0.475*44/12</f>
        <v>3.2722666796442981E-17</v>
      </c>
      <c r="AX173" s="23">
        <f t="shared" si="166"/>
        <v>7.6578316168320955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-1.1368683772161603E-13</v>
      </c>
      <c r="BE173" s="14">
        <f>BD173*VLOOKUP('Données projet'!$B$11,Paramètres!$A$1:$I$88,3,0)*VLOOKUP('Données projet'!$B$11,Paramètres!$A$1:$I$88,5,0)</f>
        <v>-1.0286385077051818E-13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362.63718589694594</v>
      </c>
      <c r="BJ173" s="62">
        <f t="shared" si="146"/>
        <v>250.47702091764884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projet'!$B$11,Paramètres!$A$1:$I$88,7,0))</f>
        <v>0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projet'!$B$11,Paramètres!$A$1:$I$88,3,0)*0.475*44/12</f>
        <v>31.895260459526522</v>
      </c>
      <c r="BQ173" s="23">
        <f>EXP(-LN(2)/25)*BQ172+(1-EXP(-LN(2)/25))/(LN(2)/25)*Calculateur!BL173*Calculateur!BN173*VLOOKUP('Données projet'!$B$11,Paramètres!$A$1:$I$88,3,0)*0.475*44/12</f>
        <v>0</v>
      </c>
      <c r="BR173" s="23">
        <f>EXP(-LN(2)/2)*BR172+(1-EXP(-LN(2)/2))/(LN(2)/2)*BL173*BO173*VLOOKUP('Données projet'!$B$11,Paramètres!$A$1:$I$88,3,0)*0.475*44/12</f>
        <v>0</v>
      </c>
      <c r="BS173" s="24">
        <f t="shared" si="169"/>
        <v>31.895260459526522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-1.1368683772161603E-13</v>
      </c>
      <c r="BZ173" s="14">
        <f>BY173*VLOOKUP('Données projet'!$B$12,Paramètres!$A$1:$I$88,3,0)*VLOOKUP('Données projet'!$B$12,Paramètres!$A$1:$I$88,5,0)</f>
        <v>-1.1527845344971866E-13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398.14524781940196</v>
      </c>
      <c r="CE173" s="62">
        <f t="shared" si="148"/>
        <v>273.35778700650792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projet'!$B$12,Paramètres!$A$1:$I$88,3,0)*0.475*44/12</f>
        <v>35.744688446021094</v>
      </c>
      <c r="CL173" s="23">
        <f>EXP(-LN(2)/25)*CL172+(1-EXP(-LN(2)/25))/(LN(2)/25)*Calculateur!CG173*Calculateur!CI173*VLOOKUP('Données projet'!$B$12,Paramètres!$A$1:$I$88,3,0)*0.475*44/12</f>
        <v>0</v>
      </c>
      <c r="CM173" s="23">
        <f>EXP(-LN(2)/2)*CM172+(1-EXP(-LN(2)/2))/(LN(2)/2)*CG173*CJ173*VLOOKUP('Données projet'!$B$12,Paramètres!$A$1:$I$88,3,0)*0.475*44/12</f>
        <v>0</v>
      </c>
      <c r="CN173" s="24">
        <f t="shared" si="172"/>
        <v>35.744688446021094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118</v>
      </c>
      <c r="CU173" s="18">
        <f>CT173*VLOOKUP('Données projet'!$B$13,Paramètres!$A$1:$I$88,3,0)*VLOOKUP('Données projet'!$B$13,Paramètres!$A$1:$I$88,5,0)</f>
        <v>112.28880000000001</v>
      </c>
      <c r="CV173" s="14">
        <f t="shared" si="173"/>
        <v>29.869595672288149</v>
      </c>
      <c r="CW173" s="22">
        <f t="shared" si="174"/>
        <v>247.59253912923518</v>
      </c>
      <c r="CX173" s="62">
        <f t="shared" si="122"/>
        <v>536.24652434552104</v>
      </c>
      <c r="CY173" s="62">
        <f ca="1">AVERAGE(OFFSET($CX$3,0,0,'Données projet'!$E$13+1,1))-AVERAGE(OFFSET($H$3,0,0,'Données projet'!$E$13+1,1))</f>
        <v>470.0521927195926</v>
      </c>
      <c r="CZ173" s="62">
        <f t="shared" si="150"/>
        <v>299.27200854723435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projet'!$B$13,Paramètres!$A$1:$I$88,3,0)*0.475*44/12</f>
        <v>33.545015310881368</v>
      </c>
      <c r="DG173" s="23">
        <f>EXP(-LN(2)/25)*DG172+(1-EXP(-LN(2)/25))/(LN(2)/25)*Calculateur!DB173*Calculateur!DD173*VLOOKUP('Données projet'!$B$13,Paramètres!$A$1:$I$88,3,0)*0.475*44/12</f>
        <v>0</v>
      </c>
      <c r="DH173" s="23">
        <f>EXP(-LN(2)/2)*DH172+(1-EXP(-LN(2)/2))/(LN(2)/2)*DB173*DE173*VLOOKUP('Données projet'!$B$13,Paramètres!$A$1:$I$88,3,0)*0.475*44/12</f>
        <v>0</v>
      </c>
      <c r="DI173" s="24">
        <f t="shared" si="175"/>
        <v>33.545015310881368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-1.4210854715202004E-13</v>
      </c>
      <c r="DP173" s="18">
        <f>DO173*VLOOKUP('Données projet'!$B$14,Paramètres!$A$1:$I$88,3,0)*VLOOKUP('Données projet'!$B$14,Paramètres!$A$1:$I$88,5,0)</f>
        <v>-1.3744738680543379E-13</v>
      </c>
      <c r="DQ173" s="14" t="e">
        <f t="shared" si="176"/>
        <v>#NUM!</v>
      </c>
      <c r="DR173" s="22" t="e">
        <f t="shared" si="177"/>
        <v>#NUM!</v>
      </c>
      <c r="DS173" s="62" t="e">
        <f t="shared" si="125"/>
        <v>#NUM!</v>
      </c>
      <c r="DT173" s="62">
        <f ca="1">AVERAGE(OFFSET($DS$3,0,0,'Données projet'!$E$14+1,1))-AVERAGE(OFFSET($H$3,0,0,'Données projet'!$E$14+1,1))</f>
        <v>290.89727102147953</v>
      </c>
      <c r="DU173" s="62">
        <f t="shared" si="152"/>
        <v>173.19148969173838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projet'!$B$14,Paramètres!$A$1:$I$88,3,0)*0.475*44/12</f>
        <v>25.488519983574932</v>
      </c>
      <c r="EB173" s="23">
        <f>EXP(-LN(2)/25)*EB172+(1-EXP(-LN(2)/25))/(LN(2)/25)*Calculateur!DW173*Calculateur!DY173*VLOOKUP('Données projet'!$B$14,Paramètres!$A$1:$I$88,3,0)*0.475*44/12</f>
        <v>0</v>
      </c>
      <c r="EC173" s="23">
        <f>EXP(-LN(2)/2)*EC172+(1-EXP(-LN(2)/2))/(LN(2)/2)*DW173*DZ173*VLOOKUP('Données projet'!$B$14,Paramètres!$A$1:$I$88,3,0)*0.475*44/12</f>
        <v>0</v>
      </c>
      <c r="ED173" s="24">
        <f t="shared" si="178"/>
        <v>25.488519983574932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projet'!$B$15,Paramètres!$A$1:$I$88,3,0)*VLOOKUP('Données projet'!$B$15,Paramètres!$A$1:$I$88,5,0)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projet'!$B$15,Paramètres!$A$1:$I$88,3,0)*0.475*44/12</f>
        <v>#N/A</v>
      </c>
      <c r="EW173" s="23" t="e">
        <f>EXP(-LN(2)/25)*EW172+(1-EXP(-LN(2)/25))/(LN(2)/25)*Calculateur!ER173*Calculateur!ET173*VLOOKUP('Données projet'!$B$15,Paramètres!$A$1:$I$88,3,0)*0.475*44/12</f>
        <v>#N/A</v>
      </c>
      <c r="EX173" s="23" t="e">
        <f>EXP(-LN(2)/2)*EX172+(1-EXP(-LN(2)/2))/(LN(2)/2)*ER173*EU173*VLOOKUP('Données projet'!$B$15,Paramètres!$A$1:$I$88,3,0)*0.475*44/12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projet'!$B$16,Paramètres!$A$1:$I$88,3,0)*VLOOKUP('Données projet'!$B$16,Paramètres!$A$1:$I$88,5,0)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projet'!$B$16,Paramètres!$A$1:$I$88,3,0)*0.475*44/12</f>
        <v>#N/A</v>
      </c>
      <c r="FR173" s="23" t="e">
        <f>EXP(-LN(2)/25)*FR172+(1-EXP(-LN(2)/25))/(LN(2)/25)*Calculateur!FM173*Calculateur!FO173*VLOOKUP('Données projet'!$B$16,Paramètres!$A$1:$I$88,3,0)*0.475*44/12</f>
        <v>#N/A</v>
      </c>
      <c r="FS173" s="23" t="e">
        <f>EXP(-LN(2)/2)*FS172+(1-EXP(-LN(2)/2))/(LN(2)/2)*FM173*FP173*VLOOKUP('Données projet'!$B$16,Paramètres!$A$1:$I$88,3,0)*0.475*44/12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projet'!$B$17,Paramètres!$A$1:$I$88,3,0)*VLOOKUP('Données projet'!$B$17,Paramètres!$A$1:$I$88,5,0)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projet'!$B$17,Paramètres!$A$1:$I$88,3,0)*0.475*44/12</f>
        <v>#N/A</v>
      </c>
      <c r="GM173" s="23" t="e">
        <f>EXP(-LN(2)/25)*GM172+(1-EXP(-LN(2)/25))/(LN(2)/25)*Calculateur!GH173*Calculateur!GJ173*VLOOKUP('Données projet'!$B$17,Paramètres!$A$1:$I$88,3,0)*0.475*44/12</f>
        <v>#N/A</v>
      </c>
      <c r="GN173" s="23" t="e">
        <f>EXP(-LN(2)/2)*GN172+(1-EXP(-LN(2)/2))/(LN(2)/2)*GH173*GK173*VLOOKUP('Données projet'!$B$17,Paramètres!$A$1:$I$88,3,0)*0.475*44/12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projet'!$B$18,Paramètres!$A$1:$I$88,3,0)*VLOOKUP('Données projet'!$B$18,Paramètres!$A$1:$I$88,5,0)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projet'!$B$18,Paramètres!$A$1:$I$88,3,0)*0.475*44/12</f>
        <v>#N/A</v>
      </c>
      <c r="HH173" s="23" t="e">
        <f>EXP(-LN(2)/25)*HH172+(1-EXP(-LN(2)/25))/(LN(2)/25)*Calculateur!HC173*Calculateur!HE173*VLOOKUP('Données projet'!$B$18,Paramètres!$A$1:$I$88,3,0)*0.475*44/12</f>
        <v>#N/A</v>
      </c>
      <c r="HI173" s="23" t="e">
        <f>EXP(-LN(2)/2)*HI172+(1-EXP(-LN(2)/2))/(LN(2)/2)*HC173*HF173*VLOOKUP('Données projet'!$B$18,Paramètres!$A$1:$I$88,3,0)*0.475*44/12</f>
        <v>#N/A</v>
      </c>
      <c r="HJ173" s="24" t="e">
        <f t="shared" si="190"/>
        <v>#N/A</v>
      </c>
    </row>
    <row r="174" spans="1:218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projet'!$B$9,Paramètres!$A$1:$I$88,3,0)*VLOOKUP('Données projet'!$B$9,Paramètres!$A$1:$I$88,5,0)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288.73516144466259</v>
      </c>
      <c r="S174" s="62">
        <f ca="1">AVERAGE(OFFSET($R$3,0,0,'Données projet'!$E$9+1,1))-AVERAGE(OFFSET($H$3,0,0,'Données projet'!$E$9+1,1))</f>
        <v>301.2688576786212</v>
      </c>
      <c r="T174" s="62">
        <f t="shared" si="142"/>
        <v>417.62172165132927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13.731120755252322</v>
      </c>
      <c r="AA174" s="23">
        <f>EXP(-LN(2)/25)*AA173+(1-EXP(-LN(2)/25))/(LN(2)/25)*Calculateur!V174*Calculateur!X174*VLOOKUP('Données projet'!$B$9,Paramètres!$A$1:$I$88,3,0)*0.475*44/12</f>
        <v>1.7370017629458456</v>
      </c>
      <c r="AB174" s="23">
        <f>EXP(-LN(2)/2)*AB173+(1-EXP(-LN(2)/2))/(LN(2)/2)*V174*Y174*VLOOKUP('Données projet'!$B$9,Paramètres!$A$1:$I$88,3,0)*0.475*44/12</f>
        <v>1.8063912440697399E-17</v>
      </c>
      <c r="AC174" s="24">
        <f t="shared" si="163"/>
        <v>15.468122518198168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projet'!$B$10,Paramètres!$A$1:$I$88,3,0)*VLOOKUP('Données projet'!$B$10,Paramètres!$A$1:$I$88,5,0)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170.08673939431091</v>
      </c>
      <c r="AO174" s="62">
        <f t="shared" si="144"/>
        <v>252.97355497077106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projet'!$B$10,Paramètres!$A$1:$I$88,3,0)*0.475*44/12</f>
        <v>5.7331202739903908</v>
      </c>
      <c r="AV174" s="23">
        <f>EXP(-LN(2)/25)*AV173+(1-EXP(-LN(2)/25))/(LN(2)/25)*Calculateur!AQ174*Calculateur!AS174*VLOOKUP('Données projet'!$B$10,Paramètres!$A$1:$I$88,3,0)*0.475*44/12</f>
        <v>1.7605440792910383</v>
      </c>
      <c r="AW174" s="23">
        <f>EXP(-LN(2)/2)*AW173+(1-EXP(-LN(2)/2))/(LN(2)/2)*AQ174*AT174*VLOOKUP('Données projet'!$B$10,Paramètres!$A$1:$I$88,3,0)*0.475*44/12</f>
        <v>2.3138419590272711E-17</v>
      </c>
      <c r="AX174" s="23">
        <f t="shared" si="166"/>
        <v>7.4936643532814289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-1.1368683772161603E-13</v>
      </c>
      <c r="BE174" s="14">
        <f>BD174*VLOOKUP('Données projet'!$B$11,Paramètres!$A$1:$I$88,3,0)*VLOOKUP('Données projet'!$B$11,Paramètres!$A$1:$I$88,5,0)</f>
        <v>-1.0286385077051818E-13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362.63718589694594</v>
      </c>
      <c r="BJ174" s="62">
        <f t="shared" si="146"/>
        <v>250.47702091764884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projet'!$B$11,Paramètres!$A$1:$I$88,3,0)*0.475*44/12</f>
        <v>31.269813856103145</v>
      </c>
      <c r="BQ174" s="23">
        <f>EXP(-LN(2)/25)*BQ173+(1-EXP(-LN(2)/25))/(LN(2)/25)*Calculateur!BL174*Calculateur!BN174*VLOOKUP('Données projet'!$B$11,Paramètres!$A$1:$I$88,3,0)*0.475*44/12</f>
        <v>0</v>
      </c>
      <c r="BR174" s="23">
        <f>EXP(-LN(2)/2)*BR173+(1-EXP(-LN(2)/2))/(LN(2)/2)*BL174*BO174*VLOOKUP('Données projet'!$B$11,Paramètres!$A$1:$I$88,3,0)*0.475*44/12</f>
        <v>0</v>
      </c>
      <c r="BS174" s="24">
        <f t="shared" si="169"/>
        <v>31.269813856103145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-1.1368683772161603E-13</v>
      </c>
      <c r="BZ174" s="14">
        <f>BY174*VLOOKUP('Données projet'!$B$12,Paramètres!$A$1:$I$88,3,0)*VLOOKUP('Données projet'!$B$12,Paramètres!$A$1:$I$88,5,0)</f>
        <v>-1.1527845344971866E-13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398.14524781940196</v>
      </c>
      <c r="CE174" s="62">
        <f t="shared" si="148"/>
        <v>273.35778700650792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projet'!$B$12,Paramètres!$A$1:$I$88,3,0)*0.475*44/12</f>
        <v>35.043756907701791</v>
      </c>
      <c r="CL174" s="23">
        <f>EXP(-LN(2)/25)*CL173+(1-EXP(-LN(2)/25))/(LN(2)/25)*Calculateur!CG174*Calculateur!CI174*VLOOKUP('Données projet'!$B$12,Paramètres!$A$1:$I$88,3,0)*0.475*44/12</f>
        <v>0</v>
      </c>
      <c r="CM174" s="23">
        <f>EXP(-LN(2)/2)*CM173+(1-EXP(-LN(2)/2))/(LN(2)/2)*CG174*CJ174*VLOOKUP('Données projet'!$B$12,Paramètres!$A$1:$I$88,3,0)*0.475*44/12</f>
        <v>0</v>
      </c>
      <c r="CN174" s="24">
        <f t="shared" si="172"/>
        <v>35.043756907701791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118</v>
      </c>
      <c r="CU174" s="18">
        <f>CT174*VLOOKUP('Données projet'!$B$13,Paramètres!$A$1:$I$88,3,0)*VLOOKUP('Données projet'!$B$13,Paramètres!$A$1:$I$88,5,0)</f>
        <v>112.28880000000001</v>
      </c>
      <c r="CV174" s="14">
        <f t="shared" si="173"/>
        <v>29.869595672288149</v>
      </c>
      <c r="CW174" s="22">
        <f t="shared" si="174"/>
        <v>247.59253912923518</v>
      </c>
      <c r="CX174" s="62">
        <f t="shared" si="122"/>
        <v>536.32770057389666</v>
      </c>
      <c r="CY174" s="62">
        <f ca="1">AVERAGE(OFFSET($CX$3,0,0,'Données projet'!$E$13+1,1))-AVERAGE(OFFSET($H$3,0,0,'Données projet'!$E$13+1,1))</f>
        <v>470.0521927195926</v>
      </c>
      <c r="CZ174" s="62">
        <f t="shared" si="150"/>
        <v>299.27200854723435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projet'!$B$13,Paramètres!$A$1:$I$88,3,0)*0.475*44/12</f>
        <v>32.887218021074027</v>
      </c>
      <c r="DG174" s="23">
        <f>EXP(-LN(2)/25)*DG173+(1-EXP(-LN(2)/25))/(LN(2)/25)*Calculateur!DB174*Calculateur!DD174*VLOOKUP('Données projet'!$B$13,Paramètres!$A$1:$I$88,3,0)*0.475*44/12</f>
        <v>0</v>
      </c>
      <c r="DH174" s="23">
        <f>EXP(-LN(2)/2)*DH173+(1-EXP(-LN(2)/2))/(LN(2)/2)*DB174*DE174*VLOOKUP('Données projet'!$B$13,Paramètres!$A$1:$I$88,3,0)*0.475*44/12</f>
        <v>0</v>
      </c>
      <c r="DI174" s="24">
        <f t="shared" si="175"/>
        <v>32.887218021074027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-1.4210854715202004E-13</v>
      </c>
      <c r="DP174" s="18">
        <f>DO174*VLOOKUP('Données projet'!$B$14,Paramètres!$A$1:$I$88,3,0)*VLOOKUP('Données projet'!$B$14,Paramètres!$A$1:$I$88,5,0)</f>
        <v>-1.3744738680543379E-13</v>
      </c>
      <c r="DQ174" s="14" t="e">
        <f t="shared" si="176"/>
        <v>#NUM!</v>
      </c>
      <c r="DR174" s="22" t="e">
        <f t="shared" si="177"/>
        <v>#NUM!</v>
      </c>
      <c r="DS174" s="62" t="e">
        <f t="shared" si="125"/>
        <v>#NUM!</v>
      </c>
      <c r="DT174" s="62">
        <f ca="1">AVERAGE(OFFSET($DS$3,0,0,'Données projet'!$E$14+1,1))-AVERAGE(OFFSET($H$3,0,0,'Données projet'!$E$14+1,1))</f>
        <v>290.89727102147953</v>
      </c>
      <c r="DU174" s="62">
        <f t="shared" si="152"/>
        <v>173.19148969173838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projet'!$B$14,Paramètres!$A$1:$I$88,3,0)*0.475*44/12</f>
        <v>24.988705653159133</v>
      </c>
      <c r="EB174" s="23">
        <f>EXP(-LN(2)/25)*EB173+(1-EXP(-LN(2)/25))/(LN(2)/25)*Calculateur!DW174*Calculateur!DY174*VLOOKUP('Données projet'!$B$14,Paramètres!$A$1:$I$88,3,0)*0.475*44/12</f>
        <v>0</v>
      </c>
      <c r="EC174" s="23">
        <f>EXP(-LN(2)/2)*EC173+(1-EXP(-LN(2)/2))/(LN(2)/2)*DW174*DZ174*VLOOKUP('Données projet'!$B$14,Paramètres!$A$1:$I$88,3,0)*0.475*44/12</f>
        <v>0</v>
      </c>
      <c r="ED174" s="24">
        <f t="shared" si="178"/>
        <v>24.988705653159133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projet'!$B$15,Paramètres!$A$1:$I$88,3,0)*VLOOKUP('Données projet'!$B$15,Paramètres!$A$1:$I$88,5,0)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projet'!$B$15,Paramètres!$A$1:$I$88,3,0)*0.475*44/12</f>
        <v>#N/A</v>
      </c>
      <c r="EW174" s="23" t="e">
        <f>EXP(-LN(2)/25)*EW173+(1-EXP(-LN(2)/25))/(LN(2)/25)*Calculateur!ER174*Calculateur!ET174*VLOOKUP('Données projet'!$B$15,Paramètres!$A$1:$I$88,3,0)*0.475*44/12</f>
        <v>#N/A</v>
      </c>
      <c r="EX174" s="23" t="e">
        <f>EXP(-LN(2)/2)*EX173+(1-EXP(-LN(2)/2))/(LN(2)/2)*ER174*EU174*VLOOKUP('Données projet'!$B$15,Paramètres!$A$1:$I$88,3,0)*0.475*44/12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projet'!$B$16,Paramètres!$A$1:$I$88,3,0)*VLOOKUP('Données projet'!$B$16,Paramètres!$A$1:$I$88,5,0)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projet'!$B$16,Paramètres!$A$1:$I$88,3,0)*0.475*44/12</f>
        <v>#N/A</v>
      </c>
      <c r="FR174" s="23" t="e">
        <f>EXP(-LN(2)/25)*FR173+(1-EXP(-LN(2)/25))/(LN(2)/25)*Calculateur!FM174*Calculateur!FO174*VLOOKUP('Données projet'!$B$16,Paramètres!$A$1:$I$88,3,0)*0.475*44/12</f>
        <v>#N/A</v>
      </c>
      <c r="FS174" s="23" t="e">
        <f>EXP(-LN(2)/2)*FS173+(1-EXP(-LN(2)/2))/(LN(2)/2)*FM174*FP174*VLOOKUP('Données projet'!$B$16,Paramètres!$A$1:$I$88,3,0)*0.475*44/12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projet'!$B$17,Paramètres!$A$1:$I$88,3,0)*VLOOKUP('Données projet'!$B$17,Paramètres!$A$1:$I$88,5,0)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projet'!$B$17,Paramètres!$A$1:$I$88,3,0)*0.475*44/12</f>
        <v>#N/A</v>
      </c>
      <c r="GM174" s="23" t="e">
        <f>EXP(-LN(2)/25)*GM173+(1-EXP(-LN(2)/25))/(LN(2)/25)*Calculateur!GH174*Calculateur!GJ174*VLOOKUP('Données projet'!$B$17,Paramètres!$A$1:$I$88,3,0)*0.475*44/12</f>
        <v>#N/A</v>
      </c>
      <c r="GN174" s="23" t="e">
        <f>EXP(-LN(2)/2)*GN173+(1-EXP(-LN(2)/2))/(LN(2)/2)*GH174*GK174*VLOOKUP('Données projet'!$B$17,Paramètres!$A$1:$I$88,3,0)*0.475*44/12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projet'!$B$18,Paramètres!$A$1:$I$88,3,0)*VLOOKUP('Données projet'!$B$18,Paramètres!$A$1:$I$88,5,0)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projet'!$B$18,Paramètres!$A$1:$I$88,3,0)*0.475*44/12</f>
        <v>#N/A</v>
      </c>
      <c r="HH174" s="23" t="e">
        <f>EXP(-LN(2)/25)*HH173+(1-EXP(-LN(2)/25))/(LN(2)/25)*Calculateur!HC174*Calculateur!HE174*VLOOKUP('Données projet'!$B$18,Paramètres!$A$1:$I$88,3,0)*0.475*44/12</f>
        <v>#N/A</v>
      </c>
      <c r="HI174" s="23" t="e">
        <f>EXP(-LN(2)/2)*HI173+(1-EXP(-LN(2)/2))/(LN(2)/2)*HC174*HF174*VLOOKUP('Données projet'!$B$18,Paramètres!$A$1:$I$88,3,0)*0.475*44/12</f>
        <v>#N/A</v>
      </c>
      <c r="HJ174" s="24" t="e">
        <f t="shared" si="190"/>
        <v>#N/A</v>
      </c>
    </row>
    <row r="175" spans="1:218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projet'!$B$9,Paramètres!$A$1:$I$88,3,0)*VLOOKUP('Données projet'!$B$9,Paramètres!$A$1:$I$88,5,0)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288.81492944695873</v>
      </c>
      <c r="S175" s="62">
        <f ca="1">AVERAGE(OFFSET($R$3,0,0,'Données projet'!$E$9+1,1))-AVERAGE(OFFSET($H$3,0,0,'Données projet'!$E$9+1,1))</f>
        <v>301.2688576786212</v>
      </c>
      <c r="T175" s="62">
        <f t="shared" si="142"/>
        <v>417.62172165132927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13.461861852398506</v>
      </c>
      <c r="AA175" s="23">
        <f>EXP(-LN(2)/25)*AA174+(1-EXP(-LN(2)/25))/(LN(2)/25)*Calculateur!V175*Calculateur!X175*VLOOKUP('Données projet'!$B$9,Paramètres!$A$1:$I$88,3,0)*0.475*44/12</f>
        <v>1.6895033583931387</v>
      </c>
      <c r="AB175" s="23">
        <f>EXP(-LN(2)/2)*AB174+(1-EXP(-LN(2)/2))/(LN(2)/2)*V175*Y175*VLOOKUP('Données projet'!$B$9,Paramètres!$A$1:$I$88,3,0)*0.475*44/12</f>
        <v>1.277311498157717E-17</v>
      </c>
      <c r="AC175" s="24">
        <f t="shared" si="163"/>
        <v>15.151365210791646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projet'!$B$10,Paramètres!$A$1:$I$88,3,0)*VLOOKUP('Données projet'!$B$10,Paramètres!$A$1:$I$88,5,0)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170.08673939431091</v>
      </c>
      <c r="AO175" s="62">
        <f t="shared" si="144"/>
        <v>252.97355497077106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projet'!$B$10,Paramètres!$A$1:$I$88,3,0)*0.475*44/12</f>
        <v>5.6206972822755201</v>
      </c>
      <c r="AV175" s="23">
        <f>EXP(-LN(2)/25)*AV174+(1-EXP(-LN(2)/25))/(LN(2)/25)*Calculateur!AQ175*Calculateur!AS175*VLOOKUP('Données projet'!$B$10,Paramètres!$A$1:$I$88,3,0)*0.475*44/12</f>
        <v>1.7124019088598355</v>
      </c>
      <c r="AW175" s="23">
        <f>EXP(-LN(2)/2)*AW174+(1-EXP(-LN(2)/2))/(LN(2)/2)*AQ175*AT175*VLOOKUP('Données projet'!$B$10,Paramètres!$A$1:$I$88,3,0)*0.475*44/12</f>
        <v>1.636133339822149E-17</v>
      </c>
      <c r="AX175" s="23">
        <f t="shared" si="166"/>
        <v>7.3330991911353554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-1.1368683772161603E-13</v>
      </c>
      <c r="BE175" s="14">
        <f>BD175*VLOOKUP('Données projet'!$B$11,Paramètres!$A$1:$I$88,3,0)*VLOOKUP('Données projet'!$B$11,Paramètres!$A$1:$I$88,5,0)</f>
        <v>-1.0286385077051818E-13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362.63718589694594</v>
      </c>
      <c r="BJ175" s="62">
        <f t="shared" si="146"/>
        <v>250.47702091764884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projet'!$B$11,Paramètres!$A$1:$I$88,3,0)*0.475*44/12</f>
        <v>30.656631879088142</v>
      </c>
      <c r="BQ175" s="23">
        <f>EXP(-LN(2)/25)*BQ174+(1-EXP(-LN(2)/25))/(LN(2)/25)*Calculateur!BL175*Calculateur!BN175*VLOOKUP('Données projet'!$B$11,Paramètres!$A$1:$I$88,3,0)*0.475*44/12</f>
        <v>0</v>
      </c>
      <c r="BR175" s="23">
        <f>EXP(-LN(2)/2)*BR174+(1-EXP(-LN(2)/2))/(LN(2)/2)*BL175*BO175*VLOOKUP('Données projet'!$B$11,Paramètres!$A$1:$I$88,3,0)*0.475*44/12</f>
        <v>0</v>
      </c>
      <c r="BS175" s="24">
        <f t="shared" si="169"/>
        <v>30.656631879088142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-1.1368683772161603E-13</v>
      </c>
      <c r="BZ175" s="14">
        <f>BY175*VLOOKUP('Données projet'!$B$12,Paramètres!$A$1:$I$88,3,0)*VLOOKUP('Données projet'!$B$12,Paramètres!$A$1:$I$88,5,0)</f>
        <v>-1.1527845344971866E-13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398.14524781940196</v>
      </c>
      <c r="CE175" s="62">
        <f t="shared" si="148"/>
        <v>273.35778700650792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projet'!$B$12,Paramètres!$A$1:$I$88,3,0)*0.475*44/12</f>
        <v>34.356570209322911</v>
      </c>
      <c r="CL175" s="23">
        <f>EXP(-LN(2)/25)*CL174+(1-EXP(-LN(2)/25))/(LN(2)/25)*Calculateur!CG175*Calculateur!CI175*VLOOKUP('Données projet'!$B$12,Paramètres!$A$1:$I$88,3,0)*0.475*44/12</f>
        <v>0</v>
      </c>
      <c r="CM175" s="23">
        <f>EXP(-LN(2)/2)*CM174+(1-EXP(-LN(2)/2))/(LN(2)/2)*CG175*CJ175*VLOOKUP('Données projet'!$B$12,Paramètres!$A$1:$I$88,3,0)*0.475*44/12</f>
        <v>0</v>
      </c>
      <c r="CN175" s="24">
        <f t="shared" si="172"/>
        <v>34.356570209322911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118</v>
      </c>
      <c r="CU175" s="18">
        <f>CT175*VLOOKUP('Données projet'!$B$13,Paramètres!$A$1:$I$88,3,0)*VLOOKUP('Données projet'!$B$13,Paramètres!$A$1:$I$88,5,0)</f>
        <v>112.28880000000001</v>
      </c>
      <c r="CV175" s="14">
        <f t="shared" si="173"/>
        <v>29.869595672288149</v>
      </c>
      <c r="CW175" s="22">
        <f t="shared" si="174"/>
        <v>247.59253912923518</v>
      </c>
      <c r="CX175" s="62">
        <f t="shared" si="122"/>
        <v>536.40746857619285</v>
      </c>
      <c r="CY175" s="62">
        <f ca="1">AVERAGE(OFFSET($CX$3,0,0,'Données projet'!$E$13+1,1))-AVERAGE(OFFSET($H$3,0,0,'Données projet'!$E$13+1,1))</f>
        <v>470.0521927195926</v>
      </c>
      <c r="CZ175" s="62">
        <f t="shared" si="150"/>
        <v>299.27200854723435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projet'!$B$13,Paramètres!$A$1:$I$88,3,0)*0.475*44/12</f>
        <v>32.242319734903077</v>
      </c>
      <c r="DG175" s="23">
        <f>EXP(-LN(2)/25)*DG174+(1-EXP(-LN(2)/25))/(LN(2)/25)*Calculateur!DB175*Calculateur!DD175*VLOOKUP('Données projet'!$B$13,Paramètres!$A$1:$I$88,3,0)*0.475*44/12</f>
        <v>0</v>
      </c>
      <c r="DH175" s="23">
        <f>EXP(-LN(2)/2)*DH174+(1-EXP(-LN(2)/2))/(LN(2)/2)*DB175*DE175*VLOOKUP('Données projet'!$B$13,Paramètres!$A$1:$I$88,3,0)*0.475*44/12</f>
        <v>0</v>
      </c>
      <c r="DI175" s="24">
        <f t="shared" si="175"/>
        <v>32.242319734903077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-1.4210854715202004E-13</v>
      </c>
      <c r="DP175" s="18">
        <f>DO175*VLOOKUP('Données projet'!$B$14,Paramètres!$A$1:$I$88,3,0)*VLOOKUP('Données projet'!$B$14,Paramètres!$A$1:$I$88,5,0)</f>
        <v>-1.3744738680543379E-13</v>
      </c>
      <c r="DQ175" s="14" t="e">
        <f t="shared" si="176"/>
        <v>#NUM!</v>
      </c>
      <c r="DR175" s="22" t="e">
        <f t="shared" si="177"/>
        <v>#NUM!</v>
      </c>
      <c r="DS175" s="62" t="e">
        <f t="shared" si="125"/>
        <v>#NUM!</v>
      </c>
      <c r="DT175" s="62">
        <f ca="1">AVERAGE(OFFSET($DS$3,0,0,'Données projet'!$E$14+1,1))-AVERAGE(OFFSET($H$3,0,0,'Données projet'!$E$14+1,1))</f>
        <v>290.89727102147953</v>
      </c>
      <c r="DU175" s="62">
        <f t="shared" si="152"/>
        <v>173.19148969173838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projet'!$B$14,Paramètres!$A$1:$I$88,3,0)*0.475*44/12</f>
        <v>24.498692376906149</v>
      </c>
      <c r="EB175" s="23">
        <f>EXP(-LN(2)/25)*EB174+(1-EXP(-LN(2)/25))/(LN(2)/25)*Calculateur!DW175*Calculateur!DY175*VLOOKUP('Données projet'!$B$14,Paramètres!$A$1:$I$88,3,0)*0.475*44/12</f>
        <v>0</v>
      </c>
      <c r="EC175" s="23">
        <f>EXP(-LN(2)/2)*EC174+(1-EXP(-LN(2)/2))/(LN(2)/2)*DW175*DZ175*VLOOKUP('Données projet'!$B$14,Paramètres!$A$1:$I$88,3,0)*0.475*44/12</f>
        <v>0</v>
      </c>
      <c r="ED175" s="24">
        <f t="shared" si="178"/>
        <v>24.498692376906149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projet'!$B$15,Paramètres!$A$1:$I$88,3,0)*VLOOKUP('Données projet'!$B$15,Paramètres!$A$1:$I$88,5,0)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projet'!$B$15,Paramètres!$A$1:$I$88,3,0)*0.475*44/12</f>
        <v>#N/A</v>
      </c>
      <c r="EW175" s="23" t="e">
        <f>EXP(-LN(2)/25)*EW174+(1-EXP(-LN(2)/25))/(LN(2)/25)*Calculateur!ER175*Calculateur!ET175*VLOOKUP('Données projet'!$B$15,Paramètres!$A$1:$I$88,3,0)*0.475*44/12</f>
        <v>#N/A</v>
      </c>
      <c r="EX175" s="23" t="e">
        <f>EXP(-LN(2)/2)*EX174+(1-EXP(-LN(2)/2))/(LN(2)/2)*ER175*EU175*VLOOKUP('Données projet'!$B$15,Paramètres!$A$1:$I$88,3,0)*0.475*44/12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projet'!$B$16,Paramètres!$A$1:$I$88,3,0)*VLOOKUP('Données projet'!$B$16,Paramètres!$A$1:$I$88,5,0)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projet'!$B$16,Paramètres!$A$1:$I$88,3,0)*0.475*44/12</f>
        <v>#N/A</v>
      </c>
      <c r="FR175" s="23" t="e">
        <f>EXP(-LN(2)/25)*FR174+(1-EXP(-LN(2)/25))/(LN(2)/25)*Calculateur!FM175*Calculateur!FO175*VLOOKUP('Données projet'!$B$16,Paramètres!$A$1:$I$88,3,0)*0.475*44/12</f>
        <v>#N/A</v>
      </c>
      <c r="FS175" s="23" t="e">
        <f>EXP(-LN(2)/2)*FS174+(1-EXP(-LN(2)/2))/(LN(2)/2)*FM175*FP175*VLOOKUP('Données projet'!$B$16,Paramètres!$A$1:$I$88,3,0)*0.475*44/12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projet'!$B$17,Paramètres!$A$1:$I$88,3,0)*VLOOKUP('Données projet'!$B$17,Paramètres!$A$1:$I$88,5,0)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projet'!$B$17,Paramètres!$A$1:$I$88,3,0)*0.475*44/12</f>
        <v>#N/A</v>
      </c>
      <c r="GM175" s="23" t="e">
        <f>EXP(-LN(2)/25)*GM174+(1-EXP(-LN(2)/25))/(LN(2)/25)*Calculateur!GH175*Calculateur!GJ175*VLOOKUP('Données projet'!$B$17,Paramètres!$A$1:$I$88,3,0)*0.475*44/12</f>
        <v>#N/A</v>
      </c>
      <c r="GN175" s="23" t="e">
        <f>EXP(-LN(2)/2)*GN174+(1-EXP(-LN(2)/2))/(LN(2)/2)*GH175*GK175*VLOOKUP('Données projet'!$B$17,Paramètres!$A$1:$I$88,3,0)*0.475*44/12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projet'!$B$18,Paramètres!$A$1:$I$88,3,0)*VLOOKUP('Données projet'!$B$18,Paramètres!$A$1:$I$88,5,0)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projet'!$B$18,Paramètres!$A$1:$I$88,3,0)*0.475*44/12</f>
        <v>#N/A</v>
      </c>
      <c r="HH175" s="23" t="e">
        <f>EXP(-LN(2)/25)*HH174+(1-EXP(-LN(2)/25))/(LN(2)/25)*Calculateur!HC175*Calculateur!HE175*VLOOKUP('Données projet'!$B$18,Paramètres!$A$1:$I$88,3,0)*0.475*44/12</f>
        <v>#N/A</v>
      </c>
      <c r="HI175" s="23" t="e">
        <f>EXP(-LN(2)/2)*HI174+(1-EXP(-LN(2)/2))/(LN(2)/2)*HC175*HF175*VLOOKUP('Données projet'!$B$18,Paramètres!$A$1:$I$88,3,0)*0.475*44/12</f>
        <v>#N/A</v>
      </c>
      <c r="HJ175" s="24" t="e">
        <f t="shared" si="190"/>
        <v>#N/A</v>
      </c>
    </row>
    <row r="176" spans="1:218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projet'!$B$9,Paramètres!$A$1:$I$88,3,0)*VLOOKUP('Données projet'!$B$9,Paramètres!$A$1:$I$88,5,0)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288.89331365274955</v>
      </c>
      <c r="S176" s="62">
        <f ca="1">AVERAGE(OFFSET($R$3,0,0,'Données projet'!$E$9+1,1))-AVERAGE(OFFSET($H$3,0,0,'Données projet'!$E$9+1,1))</f>
        <v>301.2688576786212</v>
      </c>
      <c r="T176" s="62">
        <f t="shared" si="142"/>
        <v>417.62172165132927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13.19788295239794</v>
      </c>
      <c r="AA176" s="23">
        <f>EXP(-LN(2)/25)*AA175+(1-EXP(-LN(2)/25))/(LN(2)/25)*Calculateur!V176*Calculateur!X176*VLOOKUP('Données projet'!$B$9,Paramètres!$A$1:$I$88,3,0)*0.475*44/12</f>
        <v>1.6433038002107581</v>
      </c>
      <c r="AB176" s="23">
        <f>EXP(-LN(2)/2)*AB175+(1-EXP(-LN(2)/2))/(LN(2)/2)*V176*Y176*VLOOKUP('Données projet'!$B$9,Paramètres!$A$1:$I$88,3,0)*0.475*44/12</f>
        <v>9.0319562203486995E-18</v>
      </c>
      <c r="AC176" s="24">
        <f t="shared" si="163"/>
        <v>14.841186752608698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projet'!$B$10,Paramètres!$A$1:$I$88,3,0)*VLOOKUP('Données projet'!$B$10,Paramètres!$A$1:$I$88,5,0)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170.08673939431091</v>
      </c>
      <c r="AO176" s="62">
        <f t="shared" si="144"/>
        <v>252.97355497077106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projet'!$B$10,Paramètres!$A$1:$I$88,3,0)*0.475*44/12</f>
        <v>5.5104788368569242</v>
      </c>
      <c r="AV176" s="23">
        <f>EXP(-LN(2)/25)*AV175+(1-EXP(-LN(2)/25))/(LN(2)/25)*Calculateur!AQ176*Calculateur!AS176*VLOOKUP('Données projet'!$B$10,Paramètres!$A$1:$I$88,3,0)*0.475*44/12</f>
        <v>1.6655761886107605</v>
      </c>
      <c r="AW176" s="23">
        <f>EXP(-LN(2)/2)*AW175+(1-EXP(-LN(2)/2))/(LN(2)/2)*AQ176*AT176*VLOOKUP('Données projet'!$B$10,Paramètres!$A$1:$I$88,3,0)*0.475*44/12</f>
        <v>1.1569209795136356E-17</v>
      </c>
      <c r="AX176" s="23">
        <f t="shared" si="166"/>
        <v>7.1760550254676847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-1.1368683772161603E-13</v>
      </c>
      <c r="BE176" s="14">
        <f>BD176*VLOOKUP('Données projet'!$B$11,Paramètres!$A$1:$I$88,3,0)*VLOOKUP('Données projet'!$B$11,Paramètres!$A$1:$I$88,5,0)</f>
        <v>-1.0286385077051818E-13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362.63718589694594</v>
      </c>
      <c r="BJ176" s="62">
        <f t="shared" si="146"/>
        <v>250.47702091764884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projet'!$B$11,Paramètres!$A$1:$I$88,3,0)*0.475*44/12</f>
        <v>30.055474026638326</v>
      </c>
      <c r="BQ176" s="23">
        <f>EXP(-LN(2)/25)*BQ175+(1-EXP(-LN(2)/25))/(LN(2)/25)*Calculateur!BL176*Calculateur!BN176*VLOOKUP('Données projet'!$B$11,Paramètres!$A$1:$I$88,3,0)*0.475*44/12</f>
        <v>0</v>
      </c>
      <c r="BR176" s="23">
        <f>EXP(-LN(2)/2)*BR175+(1-EXP(-LN(2)/2))/(LN(2)/2)*BL176*BO176*VLOOKUP('Données projet'!$B$11,Paramètres!$A$1:$I$88,3,0)*0.475*44/12</f>
        <v>0</v>
      </c>
      <c r="BS176" s="24">
        <f t="shared" si="169"/>
        <v>30.055474026638326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-1.1368683772161603E-13</v>
      </c>
      <c r="BZ176" s="14">
        <f>BY176*VLOOKUP('Données projet'!$B$12,Paramètres!$A$1:$I$88,3,0)*VLOOKUP('Données projet'!$B$12,Paramètres!$A$1:$I$88,5,0)</f>
        <v>-1.1527845344971866E-13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398.14524781940196</v>
      </c>
      <c r="CE176" s="62">
        <f t="shared" si="148"/>
        <v>273.35778700650792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projet'!$B$12,Paramètres!$A$1:$I$88,3,0)*0.475*44/12</f>
        <v>33.682858822956739</v>
      </c>
      <c r="CL176" s="23">
        <f>EXP(-LN(2)/25)*CL175+(1-EXP(-LN(2)/25))/(LN(2)/25)*Calculateur!CG176*Calculateur!CI176*VLOOKUP('Données projet'!$B$12,Paramètres!$A$1:$I$88,3,0)*0.475*44/12</f>
        <v>0</v>
      </c>
      <c r="CM176" s="23">
        <f>EXP(-LN(2)/2)*CM175+(1-EXP(-LN(2)/2))/(LN(2)/2)*CG176*CJ176*VLOOKUP('Données projet'!$B$12,Paramètres!$A$1:$I$88,3,0)*0.475*44/12</f>
        <v>0</v>
      </c>
      <c r="CN176" s="24">
        <f t="shared" si="172"/>
        <v>33.682858822956739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118</v>
      </c>
      <c r="CU176" s="18">
        <f>CT176*VLOOKUP('Données projet'!$B$13,Paramètres!$A$1:$I$88,3,0)*VLOOKUP('Données projet'!$B$13,Paramètres!$A$1:$I$88,5,0)</f>
        <v>112.28880000000001</v>
      </c>
      <c r="CV176" s="14">
        <f t="shared" si="173"/>
        <v>29.869595672288149</v>
      </c>
      <c r="CW176" s="22">
        <f t="shared" si="174"/>
        <v>247.59253912923518</v>
      </c>
      <c r="CX176" s="62">
        <f t="shared" si="122"/>
        <v>536.48585278198368</v>
      </c>
      <c r="CY176" s="62">
        <f ca="1">AVERAGE(OFFSET($CX$3,0,0,'Données projet'!$E$13+1,1))-AVERAGE(OFFSET($H$3,0,0,'Données projet'!$E$13+1,1))</f>
        <v>470.0521927195926</v>
      </c>
      <c r="CZ176" s="62">
        <f t="shared" si="150"/>
        <v>299.27200854723435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projet'!$B$13,Paramètres!$A$1:$I$88,3,0)*0.475*44/12</f>
        <v>31.610067510774822</v>
      </c>
      <c r="DG176" s="23">
        <f>EXP(-LN(2)/25)*DG175+(1-EXP(-LN(2)/25))/(LN(2)/25)*Calculateur!DB176*Calculateur!DD176*VLOOKUP('Données projet'!$B$13,Paramètres!$A$1:$I$88,3,0)*0.475*44/12</f>
        <v>0</v>
      </c>
      <c r="DH176" s="23">
        <f>EXP(-LN(2)/2)*DH175+(1-EXP(-LN(2)/2))/(LN(2)/2)*DB176*DE176*VLOOKUP('Données projet'!$B$13,Paramètres!$A$1:$I$88,3,0)*0.475*44/12</f>
        <v>0</v>
      </c>
      <c r="DI176" s="24">
        <f t="shared" si="175"/>
        <v>31.610067510774822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-1.4210854715202004E-13</v>
      </c>
      <c r="DP176" s="18">
        <f>DO176*VLOOKUP('Données projet'!$B$14,Paramètres!$A$1:$I$88,3,0)*VLOOKUP('Données projet'!$B$14,Paramètres!$A$1:$I$88,5,0)</f>
        <v>-1.3744738680543379E-13</v>
      </c>
      <c r="DQ176" s="14" t="e">
        <f t="shared" si="176"/>
        <v>#NUM!</v>
      </c>
      <c r="DR176" s="22" t="e">
        <f t="shared" si="177"/>
        <v>#NUM!</v>
      </c>
      <c r="DS176" s="62" t="e">
        <f t="shared" si="125"/>
        <v>#NUM!</v>
      </c>
      <c r="DT176" s="62">
        <f ca="1">AVERAGE(OFFSET($DS$3,0,0,'Données projet'!$E$14+1,1))-AVERAGE(OFFSET($H$3,0,0,'Données projet'!$E$14+1,1))</f>
        <v>290.89727102147953</v>
      </c>
      <c r="DU176" s="62">
        <f t="shared" si="152"/>
        <v>173.19148969173838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projet'!$B$14,Paramètres!$A$1:$I$88,3,0)*0.475*44/12</f>
        <v>24.018287962121899</v>
      </c>
      <c r="EB176" s="23">
        <f>EXP(-LN(2)/25)*EB175+(1-EXP(-LN(2)/25))/(LN(2)/25)*Calculateur!DW176*Calculateur!DY176*VLOOKUP('Données projet'!$B$14,Paramètres!$A$1:$I$88,3,0)*0.475*44/12</f>
        <v>0</v>
      </c>
      <c r="EC176" s="23">
        <f>EXP(-LN(2)/2)*EC175+(1-EXP(-LN(2)/2))/(LN(2)/2)*DW176*DZ176*VLOOKUP('Données projet'!$B$14,Paramètres!$A$1:$I$88,3,0)*0.475*44/12</f>
        <v>0</v>
      </c>
      <c r="ED176" s="24">
        <f t="shared" si="178"/>
        <v>24.018287962121899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projet'!$B$15,Paramètres!$A$1:$I$88,3,0)*VLOOKUP('Données projet'!$B$15,Paramètres!$A$1:$I$88,5,0)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projet'!$B$15,Paramètres!$A$1:$I$88,3,0)*0.475*44/12</f>
        <v>#N/A</v>
      </c>
      <c r="EW176" s="23" t="e">
        <f>EXP(-LN(2)/25)*EW175+(1-EXP(-LN(2)/25))/(LN(2)/25)*Calculateur!ER176*Calculateur!ET176*VLOOKUP('Données projet'!$B$15,Paramètres!$A$1:$I$88,3,0)*0.475*44/12</f>
        <v>#N/A</v>
      </c>
      <c r="EX176" s="23" t="e">
        <f>EXP(-LN(2)/2)*EX175+(1-EXP(-LN(2)/2))/(LN(2)/2)*ER176*EU176*VLOOKUP('Données projet'!$B$15,Paramètres!$A$1:$I$88,3,0)*0.475*44/12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projet'!$B$16,Paramètres!$A$1:$I$88,3,0)*VLOOKUP('Données projet'!$B$16,Paramètres!$A$1:$I$88,5,0)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projet'!$B$16,Paramètres!$A$1:$I$88,3,0)*0.475*44/12</f>
        <v>#N/A</v>
      </c>
      <c r="FR176" s="23" t="e">
        <f>EXP(-LN(2)/25)*FR175+(1-EXP(-LN(2)/25))/(LN(2)/25)*Calculateur!FM176*Calculateur!FO176*VLOOKUP('Données projet'!$B$16,Paramètres!$A$1:$I$88,3,0)*0.475*44/12</f>
        <v>#N/A</v>
      </c>
      <c r="FS176" s="23" t="e">
        <f>EXP(-LN(2)/2)*FS175+(1-EXP(-LN(2)/2))/(LN(2)/2)*FM176*FP176*VLOOKUP('Données projet'!$B$16,Paramètres!$A$1:$I$88,3,0)*0.475*44/12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projet'!$B$17,Paramètres!$A$1:$I$88,3,0)*VLOOKUP('Données projet'!$B$17,Paramètres!$A$1:$I$88,5,0)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projet'!$B$17,Paramètres!$A$1:$I$88,3,0)*0.475*44/12</f>
        <v>#N/A</v>
      </c>
      <c r="GM176" s="23" t="e">
        <f>EXP(-LN(2)/25)*GM175+(1-EXP(-LN(2)/25))/(LN(2)/25)*Calculateur!GH176*Calculateur!GJ176*VLOOKUP('Données projet'!$B$17,Paramètres!$A$1:$I$88,3,0)*0.475*44/12</f>
        <v>#N/A</v>
      </c>
      <c r="GN176" s="23" t="e">
        <f>EXP(-LN(2)/2)*GN175+(1-EXP(-LN(2)/2))/(LN(2)/2)*GH176*GK176*VLOOKUP('Données projet'!$B$17,Paramètres!$A$1:$I$88,3,0)*0.475*44/12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projet'!$B$18,Paramètres!$A$1:$I$88,3,0)*VLOOKUP('Données projet'!$B$18,Paramètres!$A$1:$I$88,5,0)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projet'!$B$18,Paramètres!$A$1:$I$88,3,0)*0.475*44/12</f>
        <v>#N/A</v>
      </c>
      <c r="HH176" s="23" t="e">
        <f>EXP(-LN(2)/25)*HH175+(1-EXP(-LN(2)/25))/(LN(2)/25)*Calculateur!HC176*Calculateur!HE176*VLOOKUP('Données projet'!$B$18,Paramètres!$A$1:$I$88,3,0)*0.475*44/12</f>
        <v>#N/A</v>
      </c>
      <c r="HI176" s="23" t="e">
        <f>EXP(-LN(2)/2)*HI175+(1-EXP(-LN(2)/2))/(LN(2)/2)*HC176*HF176*VLOOKUP('Données projet'!$B$18,Paramètres!$A$1:$I$88,3,0)*0.475*44/12</f>
        <v>#N/A</v>
      </c>
      <c r="HJ176" s="24" t="e">
        <f t="shared" si="190"/>
        <v>#N/A</v>
      </c>
    </row>
    <row r="177" spans="1:218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projet'!$B$9,Paramètres!$A$1:$I$88,3,0)*VLOOKUP('Données projet'!$B$9,Paramètres!$A$1:$I$88,5,0)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288.97033806781081</v>
      </c>
      <c r="S177" s="62">
        <f ca="1">AVERAGE(OFFSET($R$3,0,0,'Données projet'!$E$9+1,1))-AVERAGE(OFFSET($H$3,0,0,'Données projet'!$E$9+1,1))</f>
        <v>301.2688576786212</v>
      </c>
      <c r="T177" s="62">
        <f t="shared" si="142"/>
        <v>417.62172165132927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12.939080517615155</v>
      </c>
      <c r="AA177" s="23">
        <f>EXP(-LN(2)/25)*AA176+(1-EXP(-LN(2)/25))/(LN(2)/25)*Calculateur!V177*Calculateur!X177*VLOOKUP('Données projet'!$B$9,Paramètres!$A$1:$I$88,3,0)*0.475*44/12</f>
        <v>1.5983675713764038</v>
      </c>
      <c r="AB177" s="23">
        <f>EXP(-LN(2)/2)*AB176+(1-EXP(-LN(2)/2))/(LN(2)/2)*V177*Y177*VLOOKUP('Données projet'!$B$9,Paramètres!$A$1:$I$88,3,0)*0.475*44/12</f>
        <v>6.3865574907885848E-18</v>
      </c>
      <c r="AC177" s="24">
        <f t="shared" si="163"/>
        <v>14.537448088991558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projet'!$B$10,Paramètres!$A$1:$I$88,3,0)*VLOOKUP('Données projet'!$B$10,Paramètres!$A$1:$I$88,5,0)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170.08673939431091</v>
      </c>
      <c r="AO177" s="62">
        <f t="shared" si="144"/>
        <v>252.97355497077106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projet'!$B$10,Paramètres!$A$1:$I$88,3,0)*0.475*44/12</f>
        <v>5.402421707926373</v>
      </c>
      <c r="AV177" s="23">
        <f>EXP(-LN(2)/25)*AV176+(1-EXP(-LN(2)/25))/(LN(2)/25)*Calculateur!AQ177*Calculateur!AS177*VLOOKUP('Données projet'!$B$10,Paramètres!$A$1:$I$88,3,0)*0.475*44/12</f>
        <v>1.6200309201443541</v>
      </c>
      <c r="AW177" s="23">
        <f>EXP(-LN(2)/2)*AW176+(1-EXP(-LN(2)/2))/(LN(2)/2)*AQ177*AT177*VLOOKUP('Données projet'!$B$10,Paramètres!$A$1:$I$88,3,0)*0.475*44/12</f>
        <v>8.1806666991107451E-18</v>
      </c>
      <c r="AX177" s="23">
        <f t="shared" si="166"/>
        <v>7.0224526280707273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-1.1368683772161603E-13</v>
      </c>
      <c r="BE177" s="14">
        <f>BD177*VLOOKUP('Données projet'!$B$11,Paramètres!$A$1:$I$88,3,0)*VLOOKUP('Données projet'!$B$11,Paramètres!$A$1:$I$88,5,0)</f>
        <v>-1.0286385077051818E-13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362.63718589694594</v>
      </c>
      <c r="BJ177" s="62">
        <f t="shared" si="146"/>
        <v>250.47702091764884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projet'!$B$11,Paramètres!$A$1:$I$88,3,0)*0.475*44/12</f>
        <v>29.466104513004968</v>
      </c>
      <c r="BQ177" s="23">
        <f>EXP(-LN(2)/25)*BQ176+(1-EXP(-LN(2)/25))/(LN(2)/25)*Calculateur!BL177*Calculateur!BN177*VLOOKUP('Données projet'!$B$11,Paramètres!$A$1:$I$88,3,0)*0.475*44/12</f>
        <v>0</v>
      </c>
      <c r="BR177" s="23">
        <f>EXP(-LN(2)/2)*BR176+(1-EXP(-LN(2)/2))/(LN(2)/2)*BL177*BO177*VLOOKUP('Données projet'!$B$11,Paramètres!$A$1:$I$88,3,0)*0.475*44/12</f>
        <v>0</v>
      </c>
      <c r="BS177" s="24">
        <f t="shared" si="169"/>
        <v>29.466104513004968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-1.1368683772161603E-13</v>
      </c>
      <c r="BZ177" s="14">
        <f>BY177*VLOOKUP('Données projet'!$B$12,Paramètres!$A$1:$I$88,3,0)*VLOOKUP('Données projet'!$B$12,Paramètres!$A$1:$I$88,5,0)</f>
        <v>-1.1527845344971866E-13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398.14524781940196</v>
      </c>
      <c r="CE177" s="62">
        <f t="shared" si="148"/>
        <v>273.35778700650792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projet'!$B$12,Paramètres!$A$1:$I$88,3,0)*0.475*44/12</f>
        <v>33.022358505953839</v>
      </c>
      <c r="CL177" s="23">
        <f>EXP(-LN(2)/25)*CL176+(1-EXP(-LN(2)/25))/(LN(2)/25)*Calculateur!CG177*Calculateur!CI177*VLOOKUP('Données projet'!$B$12,Paramètres!$A$1:$I$88,3,0)*0.475*44/12</f>
        <v>0</v>
      </c>
      <c r="CM177" s="23">
        <f>EXP(-LN(2)/2)*CM176+(1-EXP(-LN(2)/2))/(LN(2)/2)*CG177*CJ177*VLOOKUP('Données projet'!$B$12,Paramètres!$A$1:$I$88,3,0)*0.475*44/12</f>
        <v>0</v>
      </c>
      <c r="CN177" s="24">
        <f t="shared" si="172"/>
        <v>33.022358505953839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118</v>
      </c>
      <c r="CU177" s="18">
        <f>CT177*VLOOKUP('Données projet'!$B$13,Paramètres!$A$1:$I$88,3,0)*VLOOKUP('Données projet'!$B$13,Paramètres!$A$1:$I$88,5,0)</f>
        <v>112.28880000000001</v>
      </c>
      <c r="CV177" s="14">
        <f t="shared" si="173"/>
        <v>29.869595672288149</v>
      </c>
      <c r="CW177" s="22">
        <f t="shared" si="174"/>
        <v>247.59253912923518</v>
      </c>
      <c r="CX177" s="62">
        <f t="shared" si="122"/>
        <v>536.56287719704494</v>
      </c>
      <c r="CY177" s="62">
        <f ca="1">AVERAGE(OFFSET($CX$3,0,0,'Données projet'!$E$13+1,1))-AVERAGE(OFFSET($H$3,0,0,'Données projet'!$E$13+1,1))</f>
        <v>470.0521927195926</v>
      </c>
      <c r="CZ177" s="62">
        <f t="shared" si="150"/>
        <v>299.27200854723435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projet'!$B$13,Paramètres!$A$1:$I$88,3,0)*0.475*44/12</f>
        <v>30.990213367125943</v>
      </c>
      <c r="DG177" s="23">
        <f>EXP(-LN(2)/25)*DG176+(1-EXP(-LN(2)/25))/(LN(2)/25)*Calculateur!DB177*Calculateur!DD177*VLOOKUP('Données projet'!$B$13,Paramètres!$A$1:$I$88,3,0)*0.475*44/12</f>
        <v>0</v>
      </c>
      <c r="DH177" s="23">
        <f>EXP(-LN(2)/2)*DH176+(1-EXP(-LN(2)/2))/(LN(2)/2)*DB177*DE177*VLOOKUP('Données projet'!$B$13,Paramètres!$A$1:$I$88,3,0)*0.475*44/12</f>
        <v>0</v>
      </c>
      <c r="DI177" s="24">
        <f t="shared" si="175"/>
        <v>30.990213367125943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-1.4210854715202004E-13</v>
      </c>
      <c r="DP177" s="18">
        <f>DO177*VLOOKUP('Données projet'!$B$14,Paramètres!$A$1:$I$88,3,0)*VLOOKUP('Données projet'!$B$14,Paramètres!$A$1:$I$88,5,0)</f>
        <v>-1.3744738680543379E-13</v>
      </c>
      <c r="DQ177" s="14" t="e">
        <f t="shared" si="176"/>
        <v>#NUM!</v>
      </c>
      <c r="DR177" s="22" t="e">
        <f t="shared" si="177"/>
        <v>#NUM!</v>
      </c>
      <c r="DS177" s="62" t="e">
        <f t="shared" si="125"/>
        <v>#NUM!</v>
      </c>
      <c r="DT177" s="62">
        <f ca="1">AVERAGE(OFFSET($DS$3,0,0,'Données projet'!$E$14+1,1))-AVERAGE(OFFSET($H$3,0,0,'Données projet'!$E$14+1,1))</f>
        <v>290.89727102147953</v>
      </c>
      <c r="DU177" s="62">
        <f t="shared" si="152"/>
        <v>173.19148969173838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projet'!$B$14,Paramètres!$A$1:$I$88,3,0)*0.475*44/12</f>
        <v>23.547303984893809</v>
      </c>
      <c r="EB177" s="23">
        <f>EXP(-LN(2)/25)*EB176+(1-EXP(-LN(2)/25))/(LN(2)/25)*Calculateur!DW177*Calculateur!DY177*VLOOKUP('Données projet'!$B$14,Paramètres!$A$1:$I$88,3,0)*0.475*44/12</f>
        <v>0</v>
      </c>
      <c r="EC177" s="23">
        <f>EXP(-LN(2)/2)*EC176+(1-EXP(-LN(2)/2))/(LN(2)/2)*DW177*DZ177*VLOOKUP('Données projet'!$B$14,Paramètres!$A$1:$I$88,3,0)*0.475*44/12</f>
        <v>0</v>
      </c>
      <c r="ED177" s="24">
        <f t="shared" si="178"/>
        <v>23.547303984893809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projet'!$B$15,Paramètres!$A$1:$I$88,3,0)*VLOOKUP('Données projet'!$B$15,Paramètres!$A$1:$I$88,5,0)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projet'!$B$15,Paramètres!$A$1:$I$88,3,0)*0.475*44/12</f>
        <v>#N/A</v>
      </c>
      <c r="EW177" s="23" t="e">
        <f>EXP(-LN(2)/25)*EW176+(1-EXP(-LN(2)/25))/(LN(2)/25)*Calculateur!ER177*Calculateur!ET177*VLOOKUP('Données projet'!$B$15,Paramètres!$A$1:$I$88,3,0)*0.475*44/12</f>
        <v>#N/A</v>
      </c>
      <c r="EX177" s="23" t="e">
        <f>EXP(-LN(2)/2)*EX176+(1-EXP(-LN(2)/2))/(LN(2)/2)*ER177*EU177*VLOOKUP('Données projet'!$B$15,Paramètres!$A$1:$I$88,3,0)*0.475*44/12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projet'!$B$16,Paramètres!$A$1:$I$88,3,0)*VLOOKUP('Données projet'!$B$16,Paramètres!$A$1:$I$88,5,0)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projet'!$B$16,Paramètres!$A$1:$I$88,3,0)*0.475*44/12</f>
        <v>#N/A</v>
      </c>
      <c r="FR177" s="23" t="e">
        <f>EXP(-LN(2)/25)*FR176+(1-EXP(-LN(2)/25))/(LN(2)/25)*Calculateur!FM177*Calculateur!FO177*VLOOKUP('Données projet'!$B$16,Paramètres!$A$1:$I$88,3,0)*0.475*44/12</f>
        <v>#N/A</v>
      </c>
      <c r="FS177" s="23" t="e">
        <f>EXP(-LN(2)/2)*FS176+(1-EXP(-LN(2)/2))/(LN(2)/2)*FM177*FP177*VLOOKUP('Données projet'!$B$16,Paramètres!$A$1:$I$88,3,0)*0.475*44/12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projet'!$B$17,Paramètres!$A$1:$I$88,3,0)*VLOOKUP('Données projet'!$B$17,Paramètres!$A$1:$I$88,5,0)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projet'!$B$17,Paramètres!$A$1:$I$88,3,0)*0.475*44/12</f>
        <v>#N/A</v>
      </c>
      <c r="GM177" s="23" t="e">
        <f>EXP(-LN(2)/25)*GM176+(1-EXP(-LN(2)/25))/(LN(2)/25)*Calculateur!GH177*Calculateur!GJ177*VLOOKUP('Données projet'!$B$17,Paramètres!$A$1:$I$88,3,0)*0.475*44/12</f>
        <v>#N/A</v>
      </c>
      <c r="GN177" s="23" t="e">
        <f>EXP(-LN(2)/2)*GN176+(1-EXP(-LN(2)/2))/(LN(2)/2)*GH177*GK177*VLOOKUP('Données projet'!$B$17,Paramètres!$A$1:$I$88,3,0)*0.475*44/12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projet'!$B$18,Paramètres!$A$1:$I$88,3,0)*VLOOKUP('Données projet'!$B$18,Paramètres!$A$1:$I$88,5,0)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projet'!$B$18,Paramètres!$A$1:$I$88,3,0)*0.475*44/12</f>
        <v>#N/A</v>
      </c>
      <c r="HH177" s="23" t="e">
        <f>EXP(-LN(2)/25)*HH176+(1-EXP(-LN(2)/25))/(LN(2)/25)*Calculateur!HC177*Calculateur!HE177*VLOOKUP('Données projet'!$B$18,Paramètres!$A$1:$I$88,3,0)*0.475*44/12</f>
        <v>#N/A</v>
      </c>
      <c r="HI177" s="23" t="e">
        <f>EXP(-LN(2)/2)*HI176+(1-EXP(-LN(2)/2))/(LN(2)/2)*HC177*HF177*VLOOKUP('Données projet'!$B$18,Paramètres!$A$1:$I$88,3,0)*0.475*44/12</f>
        <v>#N/A</v>
      </c>
      <c r="HJ177" s="24" t="e">
        <f t="shared" si="190"/>
        <v>#N/A</v>
      </c>
    </row>
    <row r="178" spans="1:218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projet'!$B$9,Paramètres!$A$1:$I$88,3,0)*VLOOKUP('Données projet'!$B$9,Paramètres!$A$1:$I$88,5,0)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289.04602628147148</v>
      </c>
      <c r="S178" s="62">
        <f ca="1">AVERAGE(OFFSET($R$3,0,0,'Données projet'!$E$9+1,1))-AVERAGE(OFFSET($H$3,0,0,'Données projet'!$E$9+1,1))</f>
        <v>301.2688576786212</v>
      </c>
      <c r="T178" s="62">
        <f t="shared" si="142"/>
        <v>417.62172165132927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12.685353040724561</v>
      </c>
      <c r="AA178" s="23">
        <f>EXP(-LN(2)/25)*AA177+(1-EXP(-LN(2)/25))/(LN(2)/25)*Calculateur!V178*Calculateur!X178*VLOOKUP('Données projet'!$B$9,Paramètres!$A$1:$I$88,3,0)*0.475*44/12</f>
        <v>1.5546601260826187</v>
      </c>
      <c r="AB178" s="23">
        <f>EXP(-LN(2)/2)*AB177+(1-EXP(-LN(2)/2))/(LN(2)/2)*V178*Y178*VLOOKUP('Données projet'!$B$9,Paramètres!$A$1:$I$88,3,0)*0.475*44/12</f>
        <v>4.5159781101743498E-18</v>
      </c>
      <c r="AC178" s="24">
        <f t="shared" si="163"/>
        <v>14.240013166807179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projet'!$B$10,Paramètres!$A$1:$I$88,3,0)*VLOOKUP('Données projet'!$B$10,Paramètres!$A$1:$I$88,5,0)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170.08673939431091</v>
      </c>
      <c r="AO178" s="62">
        <f t="shared" si="144"/>
        <v>252.97355497077106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projet'!$B$10,Paramètres!$A$1:$I$88,3,0)*0.475*44/12</f>
        <v>5.2964835133858097</v>
      </c>
      <c r="AV178" s="23">
        <f>EXP(-LN(2)/25)*AV177+(1-EXP(-LN(2)/25))/(LN(2)/25)*Calculateur!AQ178*Calculateur!AS178*VLOOKUP('Données projet'!$B$10,Paramètres!$A$1:$I$88,3,0)*0.475*44/12</f>
        <v>1.5757310894392833</v>
      </c>
      <c r="AW178" s="23">
        <f>EXP(-LN(2)/2)*AW177+(1-EXP(-LN(2)/2))/(LN(2)/2)*AQ178*AT178*VLOOKUP('Données projet'!$B$10,Paramètres!$A$1:$I$88,3,0)*0.475*44/12</f>
        <v>5.7846048975681778E-18</v>
      </c>
      <c r="AX178" s="23">
        <f t="shared" si="166"/>
        <v>6.8722146028250926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-1.1368683772161603E-13</v>
      </c>
      <c r="BE178" s="14">
        <f>BD178*VLOOKUP('Données projet'!$B$11,Paramètres!$A$1:$I$88,3,0)*VLOOKUP('Données projet'!$B$11,Paramètres!$A$1:$I$88,5,0)</f>
        <v>-1.0286385077051818E-13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362.63718589694594</v>
      </c>
      <c r="BJ178" s="62">
        <f t="shared" si="146"/>
        <v>250.47702091764884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projet'!$B$11,Paramètres!$A$1:$I$88,3,0)*0.475*44/12</f>
        <v>28.888292176054051</v>
      </c>
      <c r="BQ178" s="23">
        <f>EXP(-LN(2)/25)*BQ177+(1-EXP(-LN(2)/25))/(LN(2)/25)*Calculateur!BL178*Calculateur!BN178*VLOOKUP('Données projet'!$B$11,Paramètres!$A$1:$I$88,3,0)*0.475*44/12</f>
        <v>0</v>
      </c>
      <c r="BR178" s="23">
        <f>EXP(-LN(2)/2)*BR177+(1-EXP(-LN(2)/2))/(LN(2)/2)*BL178*BO178*VLOOKUP('Données projet'!$B$11,Paramètres!$A$1:$I$88,3,0)*0.475*44/12</f>
        <v>0</v>
      </c>
      <c r="BS178" s="24">
        <f t="shared" si="169"/>
        <v>28.888292176054051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-1.1368683772161603E-13</v>
      </c>
      <c r="BZ178" s="14">
        <f>BY178*VLOOKUP('Données projet'!$B$12,Paramètres!$A$1:$I$88,3,0)*VLOOKUP('Données projet'!$B$12,Paramètres!$A$1:$I$88,5,0)</f>
        <v>-1.1527845344971866E-13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398.14524781940196</v>
      </c>
      <c r="CE178" s="62">
        <f t="shared" si="148"/>
        <v>273.35778700650792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projet'!$B$12,Paramètres!$A$1:$I$88,3,0)*0.475*44/12</f>
        <v>32.374810197301947</v>
      </c>
      <c r="CL178" s="23">
        <f>EXP(-LN(2)/25)*CL177+(1-EXP(-LN(2)/25))/(LN(2)/25)*Calculateur!CG178*Calculateur!CI178*VLOOKUP('Données projet'!$B$12,Paramètres!$A$1:$I$88,3,0)*0.475*44/12</f>
        <v>0</v>
      </c>
      <c r="CM178" s="23">
        <f>EXP(-LN(2)/2)*CM177+(1-EXP(-LN(2)/2))/(LN(2)/2)*CG178*CJ178*VLOOKUP('Données projet'!$B$12,Paramètres!$A$1:$I$88,3,0)*0.475*44/12</f>
        <v>0</v>
      </c>
      <c r="CN178" s="24">
        <f t="shared" si="172"/>
        <v>32.374810197301947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118</v>
      </c>
      <c r="CU178" s="18">
        <f>CT178*VLOOKUP('Données projet'!$B$13,Paramètres!$A$1:$I$88,3,0)*VLOOKUP('Données projet'!$B$13,Paramètres!$A$1:$I$88,5,0)</f>
        <v>112.28880000000001</v>
      </c>
      <c r="CV178" s="14">
        <f t="shared" si="173"/>
        <v>29.869595672288149</v>
      </c>
      <c r="CW178" s="22">
        <f t="shared" si="174"/>
        <v>247.59253912923518</v>
      </c>
      <c r="CX178" s="62">
        <f t="shared" si="122"/>
        <v>536.63856541070561</v>
      </c>
      <c r="CY178" s="62">
        <f ca="1">AVERAGE(OFFSET($CX$3,0,0,'Données projet'!$E$13+1,1))-AVERAGE(OFFSET($H$3,0,0,'Données projet'!$E$13+1,1))</f>
        <v>470.0521927195926</v>
      </c>
      <c r="CZ178" s="62">
        <f t="shared" si="150"/>
        <v>299.27200854723435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projet'!$B$13,Paramètres!$A$1:$I$88,3,0)*0.475*44/12</f>
        <v>30.382514185160325</v>
      </c>
      <c r="DG178" s="23">
        <f>EXP(-LN(2)/25)*DG177+(1-EXP(-LN(2)/25))/(LN(2)/25)*Calculateur!DB178*Calculateur!DD178*VLOOKUP('Données projet'!$B$13,Paramètres!$A$1:$I$88,3,0)*0.475*44/12</f>
        <v>0</v>
      </c>
      <c r="DH178" s="23">
        <f>EXP(-LN(2)/2)*DH177+(1-EXP(-LN(2)/2))/(LN(2)/2)*DB178*DE178*VLOOKUP('Données projet'!$B$13,Paramètres!$A$1:$I$88,3,0)*0.475*44/12</f>
        <v>0</v>
      </c>
      <c r="DI178" s="24">
        <f t="shared" si="175"/>
        <v>30.382514185160325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-1.4210854715202004E-13</v>
      </c>
      <c r="DP178" s="18">
        <f>DO178*VLOOKUP('Données projet'!$B$14,Paramètres!$A$1:$I$88,3,0)*VLOOKUP('Données projet'!$B$14,Paramètres!$A$1:$I$88,5,0)</f>
        <v>-1.3744738680543379E-13</v>
      </c>
      <c r="DQ178" s="14" t="e">
        <f t="shared" si="176"/>
        <v>#NUM!</v>
      </c>
      <c r="DR178" s="22" t="e">
        <f t="shared" si="177"/>
        <v>#NUM!</v>
      </c>
      <c r="DS178" s="62" t="e">
        <f t="shared" si="125"/>
        <v>#NUM!</v>
      </c>
      <c r="DT178" s="62">
        <f ca="1">AVERAGE(OFFSET($DS$3,0,0,'Données projet'!$E$14+1,1))-AVERAGE(OFFSET($H$3,0,0,'Données projet'!$E$14+1,1))</f>
        <v>290.89727102147953</v>
      </c>
      <c r="DU178" s="62">
        <f t="shared" si="152"/>
        <v>173.19148969173838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projet'!$B$14,Paramètres!$A$1:$I$88,3,0)*0.475*44/12</f>
        <v>23.085555716187297</v>
      </c>
      <c r="EB178" s="23">
        <f>EXP(-LN(2)/25)*EB177+(1-EXP(-LN(2)/25))/(LN(2)/25)*Calculateur!DW178*Calculateur!DY178*VLOOKUP('Données projet'!$B$14,Paramètres!$A$1:$I$88,3,0)*0.475*44/12</f>
        <v>0</v>
      </c>
      <c r="EC178" s="23">
        <f>EXP(-LN(2)/2)*EC177+(1-EXP(-LN(2)/2))/(LN(2)/2)*DW178*DZ178*VLOOKUP('Données projet'!$B$14,Paramètres!$A$1:$I$88,3,0)*0.475*44/12</f>
        <v>0</v>
      </c>
      <c r="ED178" s="24">
        <f t="shared" si="178"/>
        <v>23.085555716187297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projet'!$B$15,Paramètres!$A$1:$I$88,3,0)*VLOOKUP('Données projet'!$B$15,Paramètres!$A$1:$I$88,5,0)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projet'!$B$15,Paramètres!$A$1:$I$88,3,0)*0.475*44/12</f>
        <v>#N/A</v>
      </c>
      <c r="EW178" s="23" t="e">
        <f>EXP(-LN(2)/25)*EW177+(1-EXP(-LN(2)/25))/(LN(2)/25)*Calculateur!ER178*Calculateur!ET178*VLOOKUP('Données projet'!$B$15,Paramètres!$A$1:$I$88,3,0)*0.475*44/12</f>
        <v>#N/A</v>
      </c>
      <c r="EX178" s="23" t="e">
        <f>EXP(-LN(2)/2)*EX177+(1-EXP(-LN(2)/2))/(LN(2)/2)*ER178*EU178*VLOOKUP('Données projet'!$B$15,Paramètres!$A$1:$I$88,3,0)*0.475*44/12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projet'!$B$16,Paramètres!$A$1:$I$88,3,0)*VLOOKUP('Données projet'!$B$16,Paramètres!$A$1:$I$88,5,0)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projet'!$B$16,Paramètres!$A$1:$I$88,3,0)*0.475*44/12</f>
        <v>#N/A</v>
      </c>
      <c r="FR178" s="23" t="e">
        <f>EXP(-LN(2)/25)*FR177+(1-EXP(-LN(2)/25))/(LN(2)/25)*Calculateur!FM178*Calculateur!FO178*VLOOKUP('Données projet'!$B$16,Paramètres!$A$1:$I$88,3,0)*0.475*44/12</f>
        <v>#N/A</v>
      </c>
      <c r="FS178" s="23" t="e">
        <f>EXP(-LN(2)/2)*FS177+(1-EXP(-LN(2)/2))/(LN(2)/2)*FM178*FP178*VLOOKUP('Données projet'!$B$16,Paramètres!$A$1:$I$88,3,0)*0.475*44/12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projet'!$B$17,Paramètres!$A$1:$I$88,3,0)*VLOOKUP('Données projet'!$B$17,Paramètres!$A$1:$I$88,5,0)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projet'!$B$17,Paramètres!$A$1:$I$88,3,0)*0.475*44/12</f>
        <v>#N/A</v>
      </c>
      <c r="GM178" s="23" t="e">
        <f>EXP(-LN(2)/25)*GM177+(1-EXP(-LN(2)/25))/(LN(2)/25)*Calculateur!GH178*Calculateur!GJ178*VLOOKUP('Données projet'!$B$17,Paramètres!$A$1:$I$88,3,0)*0.475*44/12</f>
        <v>#N/A</v>
      </c>
      <c r="GN178" s="23" t="e">
        <f>EXP(-LN(2)/2)*GN177+(1-EXP(-LN(2)/2))/(LN(2)/2)*GH178*GK178*VLOOKUP('Données projet'!$B$17,Paramètres!$A$1:$I$88,3,0)*0.475*44/12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projet'!$B$18,Paramètres!$A$1:$I$88,3,0)*VLOOKUP('Données projet'!$B$18,Paramètres!$A$1:$I$88,5,0)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projet'!$B$18,Paramètres!$A$1:$I$88,3,0)*0.475*44/12</f>
        <v>#N/A</v>
      </c>
      <c r="HH178" s="23" t="e">
        <f>EXP(-LN(2)/25)*HH177+(1-EXP(-LN(2)/25))/(LN(2)/25)*Calculateur!HC178*Calculateur!HE178*VLOOKUP('Données projet'!$B$18,Paramètres!$A$1:$I$88,3,0)*0.475*44/12</f>
        <v>#N/A</v>
      </c>
      <c r="HI178" s="23" t="e">
        <f>EXP(-LN(2)/2)*HI177+(1-EXP(-LN(2)/2))/(LN(2)/2)*HC178*HF178*VLOOKUP('Données projet'!$B$18,Paramètres!$A$1:$I$88,3,0)*0.475*44/12</f>
        <v>#N/A</v>
      </c>
      <c r="HJ178" s="24" t="e">
        <f t="shared" si="190"/>
        <v>#N/A</v>
      </c>
    </row>
    <row r="179" spans="1:218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projet'!$B$9,Paramètres!$A$1:$I$88,3,0)*VLOOKUP('Données projet'!$B$9,Paramètres!$A$1:$I$88,5,0)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289.12040147383868</v>
      </c>
      <c r="S179" s="62">
        <f ca="1">AVERAGE(OFFSET($R$3,0,0,'Données projet'!$E$9+1,1))-AVERAGE(OFFSET($H$3,0,0,'Données projet'!$E$9+1,1))</f>
        <v>301.2688576786212</v>
      </c>
      <c r="T179" s="62">
        <f t="shared" si="142"/>
        <v>417.62172165132927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12.436601004897312</v>
      </c>
      <c r="AA179" s="23">
        <f>EXP(-LN(2)/25)*AA178+(1-EXP(-LN(2)/25))/(LN(2)/25)*Calculateur!V179*Calculateur!X179*VLOOKUP('Données projet'!$B$9,Paramètres!$A$1:$I$88,3,0)*0.475*44/12</f>
        <v>1.5121478631788667</v>
      </c>
      <c r="AB179" s="23">
        <f>EXP(-LN(2)/2)*AB178+(1-EXP(-LN(2)/2))/(LN(2)/2)*V179*Y179*VLOOKUP('Données projet'!$B$9,Paramètres!$A$1:$I$88,3,0)*0.475*44/12</f>
        <v>3.1932787453942924E-18</v>
      </c>
      <c r="AC179" s="24">
        <f t="shared" si="163"/>
        <v>13.94874886807618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projet'!$B$10,Paramètres!$A$1:$I$88,3,0)*VLOOKUP('Données projet'!$B$10,Paramètres!$A$1:$I$88,5,0)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170.08673939431091</v>
      </c>
      <c r="AO179" s="62">
        <f t="shared" si="144"/>
        <v>252.97355497077106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projet'!$B$10,Paramètres!$A$1:$I$88,3,0)*0.475*44/12</f>
        <v>5.1926227022242681</v>
      </c>
      <c r="AV179" s="23">
        <f>EXP(-LN(2)/25)*AV178+(1-EXP(-LN(2)/25))/(LN(2)/25)*Calculateur!AQ179*Calculateur!AS179*VLOOKUP('Données projet'!$B$10,Paramètres!$A$1:$I$88,3,0)*0.475*44/12</f>
        <v>1.5326426399344695</v>
      </c>
      <c r="AW179" s="23">
        <f>EXP(-LN(2)/2)*AW178+(1-EXP(-LN(2)/2))/(LN(2)/2)*AQ179*AT179*VLOOKUP('Données projet'!$B$10,Paramètres!$A$1:$I$88,3,0)*0.475*44/12</f>
        <v>4.0903333495553726E-18</v>
      </c>
      <c r="AX179" s="23">
        <f t="shared" si="166"/>
        <v>6.7252653421587372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-1.1368683772161603E-13</v>
      </c>
      <c r="BE179" s="14">
        <f>BD179*VLOOKUP('Données projet'!$B$11,Paramètres!$A$1:$I$88,3,0)*VLOOKUP('Données projet'!$B$11,Paramètres!$A$1:$I$88,5,0)</f>
        <v>-1.0286385077051818E-13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362.63718589694594</v>
      </c>
      <c r="BJ179" s="62">
        <f t="shared" si="146"/>
        <v>250.47702091764884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projet'!$B$11,Paramètres!$A$1:$I$88,3,0)*0.475*44/12</f>
        <v>28.321810386600017</v>
      </c>
      <c r="BQ179" s="23">
        <f>EXP(-LN(2)/25)*BQ178+(1-EXP(-LN(2)/25))/(LN(2)/25)*Calculateur!BL179*Calculateur!BN179*VLOOKUP('Données projet'!$B$11,Paramètres!$A$1:$I$88,3,0)*0.475*44/12</f>
        <v>0</v>
      </c>
      <c r="BR179" s="23">
        <f>EXP(-LN(2)/2)*BR178+(1-EXP(-LN(2)/2))/(LN(2)/2)*BL179*BO179*VLOOKUP('Données projet'!$B$11,Paramètres!$A$1:$I$88,3,0)*0.475*44/12</f>
        <v>0</v>
      </c>
      <c r="BS179" s="24">
        <f t="shared" si="169"/>
        <v>28.321810386600017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-1.1368683772161603E-13</v>
      </c>
      <c r="BZ179" s="14">
        <f>BY179*VLOOKUP('Données projet'!$B$12,Paramètres!$A$1:$I$88,3,0)*VLOOKUP('Données projet'!$B$12,Paramètres!$A$1:$I$88,5,0)</f>
        <v>-1.1527845344971866E-13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398.14524781940196</v>
      </c>
      <c r="CE179" s="62">
        <f t="shared" si="148"/>
        <v>273.35778700650792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projet'!$B$12,Paramètres!$A$1:$I$88,3,0)*0.475*44/12</f>
        <v>31.739959916017252</v>
      </c>
      <c r="CL179" s="23">
        <f>EXP(-LN(2)/25)*CL178+(1-EXP(-LN(2)/25))/(LN(2)/25)*Calculateur!CG179*Calculateur!CI179*VLOOKUP('Données projet'!$B$12,Paramètres!$A$1:$I$88,3,0)*0.475*44/12</f>
        <v>0</v>
      </c>
      <c r="CM179" s="23">
        <f>EXP(-LN(2)/2)*CM178+(1-EXP(-LN(2)/2))/(LN(2)/2)*CG179*CJ179*VLOOKUP('Données projet'!$B$12,Paramètres!$A$1:$I$88,3,0)*0.475*44/12</f>
        <v>0</v>
      </c>
      <c r="CN179" s="24">
        <f t="shared" si="172"/>
        <v>31.739959916017252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118</v>
      </c>
      <c r="CU179" s="18">
        <f>CT179*VLOOKUP('Données projet'!$B$13,Paramètres!$A$1:$I$88,3,0)*VLOOKUP('Données projet'!$B$13,Paramètres!$A$1:$I$88,5,0)</f>
        <v>112.28880000000001</v>
      </c>
      <c r="CV179" s="14">
        <f t="shared" si="173"/>
        <v>29.869595672288149</v>
      </c>
      <c r="CW179" s="22">
        <f t="shared" si="174"/>
        <v>247.59253912923518</v>
      </c>
      <c r="CX179" s="62">
        <f t="shared" si="122"/>
        <v>536.71294060307275</v>
      </c>
      <c r="CY179" s="62">
        <f ca="1">AVERAGE(OFFSET($CX$3,0,0,'Données projet'!$E$13+1,1))-AVERAGE(OFFSET($H$3,0,0,'Données projet'!$E$13+1,1))</f>
        <v>470.0521927195926</v>
      </c>
      <c r="CZ179" s="62">
        <f t="shared" si="150"/>
        <v>299.27200854723435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projet'!$B$13,Paramètres!$A$1:$I$88,3,0)*0.475*44/12</f>
        <v>29.786731613493149</v>
      </c>
      <c r="DG179" s="23">
        <f>EXP(-LN(2)/25)*DG178+(1-EXP(-LN(2)/25))/(LN(2)/25)*Calculateur!DB179*Calculateur!DD179*VLOOKUP('Données projet'!$B$13,Paramètres!$A$1:$I$88,3,0)*0.475*44/12</f>
        <v>0</v>
      </c>
      <c r="DH179" s="23">
        <f>EXP(-LN(2)/2)*DH178+(1-EXP(-LN(2)/2))/(LN(2)/2)*DB179*DE179*VLOOKUP('Données projet'!$B$13,Paramètres!$A$1:$I$88,3,0)*0.475*44/12</f>
        <v>0</v>
      </c>
      <c r="DI179" s="24">
        <f t="shared" si="175"/>
        <v>29.786731613493149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-1.4210854715202004E-13</v>
      </c>
      <c r="DP179" s="18">
        <f>DO179*VLOOKUP('Données projet'!$B$14,Paramètres!$A$1:$I$88,3,0)*VLOOKUP('Données projet'!$B$14,Paramètres!$A$1:$I$88,5,0)</f>
        <v>-1.3744738680543379E-13</v>
      </c>
      <c r="DQ179" s="14" t="e">
        <f t="shared" si="176"/>
        <v>#NUM!</v>
      </c>
      <c r="DR179" s="22" t="e">
        <f t="shared" si="177"/>
        <v>#NUM!</v>
      </c>
      <c r="DS179" s="62" t="e">
        <f t="shared" si="125"/>
        <v>#NUM!</v>
      </c>
      <c r="DT179" s="62">
        <f ca="1">AVERAGE(OFFSET($DS$3,0,0,'Données projet'!$E$14+1,1))-AVERAGE(OFFSET($H$3,0,0,'Données projet'!$E$14+1,1))</f>
        <v>290.89727102147953</v>
      </c>
      <c r="DU179" s="62">
        <f t="shared" si="152"/>
        <v>173.19148969173838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projet'!$B$14,Paramètres!$A$1:$I$88,3,0)*0.475*44/12</f>
        <v>22.632862049391488</v>
      </c>
      <c r="EB179" s="23">
        <f>EXP(-LN(2)/25)*EB178+(1-EXP(-LN(2)/25))/(LN(2)/25)*Calculateur!DW179*Calculateur!DY179*VLOOKUP('Données projet'!$B$14,Paramètres!$A$1:$I$88,3,0)*0.475*44/12</f>
        <v>0</v>
      </c>
      <c r="EC179" s="23">
        <f>EXP(-LN(2)/2)*EC178+(1-EXP(-LN(2)/2))/(LN(2)/2)*DW179*DZ179*VLOOKUP('Données projet'!$B$14,Paramètres!$A$1:$I$88,3,0)*0.475*44/12</f>
        <v>0</v>
      </c>
      <c r="ED179" s="24">
        <f t="shared" si="178"/>
        <v>22.632862049391488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projet'!$B$15,Paramètres!$A$1:$I$88,3,0)*VLOOKUP('Données projet'!$B$15,Paramètres!$A$1:$I$88,5,0)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projet'!$B$15,Paramètres!$A$1:$I$88,3,0)*0.475*44/12</f>
        <v>#N/A</v>
      </c>
      <c r="EW179" s="23" t="e">
        <f>EXP(-LN(2)/25)*EW178+(1-EXP(-LN(2)/25))/(LN(2)/25)*Calculateur!ER179*Calculateur!ET179*VLOOKUP('Données projet'!$B$15,Paramètres!$A$1:$I$88,3,0)*0.475*44/12</f>
        <v>#N/A</v>
      </c>
      <c r="EX179" s="23" t="e">
        <f>EXP(-LN(2)/2)*EX178+(1-EXP(-LN(2)/2))/(LN(2)/2)*ER179*EU179*VLOOKUP('Données projet'!$B$15,Paramètres!$A$1:$I$88,3,0)*0.475*44/12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projet'!$B$16,Paramètres!$A$1:$I$88,3,0)*VLOOKUP('Données projet'!$B$16,Paramètres!$A$1:$I$88,5,0)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projet'!$B$16,Paramètres!$A$1:$I$88,3,0)*0.475*44/12</f>
        <v>#N/A</v>
      </c>
      <c r="FR179" s="23" t="e">
        <f>EXP(-LN(2)/25)*FR178+(1-EXP(-LN(2)/25))/(LN(2)/25)*Calculateur!FM179*Calculateur!FO179*VLOOKUP('Données projet'!$B$16,Paramètres!$A$1:$I$88,3,0)*0.475*44/12</f>
        <v>#N/A</v>
      </c>
      <c r="FS179" s="23" t="e">
        <f>EXP(-LN(2)/2)*FS178+(1-EXP(-LN(2)/2))/(LN(2)/2)*FM179*FP179*VLOOKUP('Données projet'!$B$16,Paramètres!$A$1:$I$88,3,0)*0.475*44/12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projet'!$B$17,Paramètres!$A$1:$I$88,3,0)*VLOOKUP('Données projet'!$B$17,Paramètres!$A$1:$I$88,5,0)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projet'!$B$17,Paramètres!$A$1:$I$88,3,0)*0.475*44/12</f>
        <v>#N/A</v>
      </c>
      <c r="GM179" s="23" t="e">
        <f>EXP(-LN(2)/25)*GM178+(1-EXP(-LN(2)/25))/(LN(2)/25)*Calculateur!GH179*Calculateur!GJ179*VLOOKUP('Données projet'!$B$17,Paramètres!$A$1:$I$88,3,0)*0.475*44/12</f>
        <v>#N/A</v>
      </c>
      <c r="GN179" s="23" t="e">
        <f>EXP(-LN(2)/2)*GN178+(1-EXP(-LN(2)/2))/(LN(2)/2)*GH179*GK179*VLOOKUP('Données projet'!$B$17,Paramètres!$A$1:$I$88,3,0)*0.475*44/12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projet'!$B$18,Paramètres!$A$1:$I$88,3,0)*VLOOKUP('Données projet'!$B$18,Paramètres!$A$1:$I$88,5,0)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projet'!$B$18,Paramètres!$A$1:$I$88,3,0)*0.475*44/12</f>
        <v>#N/A</v>
      </c>
      <c r="HH179" s="23" t="e">
        <f>EXP(-LN(2)/25)*HH178+(1-EXP(-LN(2)/25))/(LN(2)/25)*Calculateur!HC179*Calculateur!HE179*VLOOKUP('Données projet'!$B$18,Paramètres!$A$1:$I$88,3,0)*0.475*44/12</f>
        <v>#N/A</v>
      </c>
      <c r="HI179" s="23" t="e">
        <f>EXP(-LN(2)/2)*HI178+(1-EXP(-LN(2)/2))/(LN(2)/2)*HC179*HF179*VLOOKUP('Données projet'!$B$18,Paramètres!$A$1:$I$88,3,0)*0.475*44/12</f>
        <v>#N/A</v>
      </c>
      <c r="HJ179" s="24" t="e">
        <f t="shared" si="190"/>
        <v>#N/A</v>
      </c>
    </row>
    <row r="180" spans="1:218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projet'!$B$9,Paramètres!$A$1:$I$88,3,0)*VLOOKUP('Données projet'!$B$9,Paramètres!$A$1:$I$88,5,0)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289.19348642289634</v>
      </c>
      <c r="S180" s="62">
        <f ca="1">AVERAGE(OFFSET($R$3,0,0,'Données projet'!$E$9+1,1))-AVERAGE(OFFSET($H$3,0,0,'Données projet'!$E$9+1,1))</f>
        <v>301.2688576786212</v>
      </c>
      <c r="T180" s="62">
        <f t="shared" si="142"/>
        <v>417.62172165132927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12.192726844768876</v>
      </c>
      <c r="AA180" s="23">
        <f>EXP(-LN(2)/25)*AA179+(1-EXP(-LN(2)/25))/(LN(2)/25)*Calculateur!V180*Calculateur!X180*VLOOKUP('Données projet'!$B$9,Paramètres!$A$1:$I$88,3,0)*0.475*44/12</f>
        <v>1.4707981003398405</v>
      </c>
      <c r="AB180" s="23">
        <f>EXP(-LN(2)/2)*AB179+(1-EXP(-LN(2)/2))/(LN(2)/2)*V180*Y180*VLOOKUP('Données projet'!$B$9,Paramètres!$A$1:$I$88,3,0)*0.475*44/12</f>
        <v>2.2579890550871749E-18</v>
      </c>
      <c r="AC180" s="24">
        <f t="shared" si="163"/>
        <v>13.663524945108716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projet'!$B$10,Paramètres!$A$1:$I$88,3,0)*VLOOKUP('Données projet'!$B$10,Paramètres!$A$1:$I$88,5,0)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170.08673939431091</v>
      </c>
      <c r="AO180" s="62">
        <f t="shared" si="144"/>
        <v>252.97355497077106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projet'!$B$10,Paramètres!$A$1:$I$88,3,0)*0.475*44/12</f>
        <v>5.0907985382207652</v>
      </c>
      <c r="AV180" s="23">
        <f>EXP(-LN(2)/25)*AV179+(1-EXP(-LN(2)/25))/(LN(2)/25)*Calculateur!AQ180*Calculateur!AS180*VLOOKUP('Données projet'!$B$10,Paramètres!$A$1:$I$88,3,0)*0.475*44/12</f>
        <v>1.490732446347288</v>
      </c>
      <c r="AW180" s="23">
        <f>EXP(-LN(2)/2)*AW179+(1-EXP(-LN(2)/2))/(LN(2)/2)*AQ180*AT180*VLOOKUP('Données projet'!$B$10,Paramètres!$A$1:$I$88,3,0)*0.475*44/12</f>
        <v>2.8923024487840889E-18</v>
      </c>
      <c r="AX180" s="23">
        <f t="shared" si="166"/>
        <v>6.5815309845680527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-1.1368683772161603E-13</v>
      </c>
      <c r="BE180" s="14">
        <f>BD180*VLOOKUP('Données projet'!$B$11,Paramètres!$A$1:$I$88,3,0)*VLOOKUP('Données projet'!$B$11,Paramètres!$A$1:$I$88,5,0)</f>
        <v>-1.0286385077051818E-13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362.63718589694594</v>
      </c>
      <c r="BJ180" s="62">
        <f t="shared" si="146"/>
        <v>250.47702091764884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projet'!$B$11,Paramètres!$A$1:$I$88,7,0))</f>
        <v>0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projet'!$B$11,Paramètres!$A$1:$I$88,3,0)*0.475*44/12</f>
        <v>27.766436959517403</v>
      </c>
      <c r="BQ180" s="23">
        <f>EXP(-LN(2)/25)*BQ179+(1-EXP(-LN(2)/25))/(LN(2)/25)*Calculateur!BL180*Calculateur!BN180*VLOOKUP('Données projet'!$B$11,Paramètres!$A$1:$I$88,3,0)*0.475*44/12</f>
        <v>0</v>
      </c>
      <c r="BR180" s="23">
        <f>EXP(-LN(2)/2)*BR179+(1-EXP(-LN(2)/2))/(LN(2)/2)*BL180*BO180*VLOOKUP('Données projet'!$B$11,Paramètres!$A$1:$I$88,3,0)*0.475*44/12</f>
        <v>0</v>
      </c>
      <c r="BS180" s="24">
        <f t="shared" si="169"/>
        <v>27.766436959517403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-1.1368683772161603E-13</v>
      </c>
      <c r="BZ180" s="14">
        <f>BY180*VLOOKUP('Données projet'!$B$12,Paramètres!$A$1:$I$88,3,0)*VLOOKUP('Données projet'!$B$12,Paramètres!$A$1:$I$88,5,0)</f>
        <v>-1.1527845344971866E-13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398.14524781940196</v>
      </c>
      <c r="CE180" s="62">
        <f t="shared" si="148"/>
        <v>273.35778700650792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projet'!$B$12,Paramètres!$A$1:$I$88,3,0)*0.475*44/12</f>
        <v>31.117558661528115</v>
      </c>
      <c r="CL180" s="23">
        <f>EXP(-LN(2)/25)*CL179+(1-EXP(-LN(2)/25))/(LN(2)/25)*Calculateur!CG180*Calculateur!CI180*VLOOKUP('Données projet'!$B$12,Paramètres!$A$1:$I$88,3,0)*0.475*44/12</f>
        <v>0</v>
      </c>
      <c r="CM180" s="23">
        <f>EXP(-LN(2)/2)*CM179+(1-EXP(-LN(2)/2))/(LN(2)/2)*CG180*CJ180*VLOOKUP('Données projet'!$B$12,Paramètres!$A$1:$I$88,3,0)*0.475*44/12</f>
        <v>0</v>
      </c>
      <c r="CN180" s="24">
        <f t="shared" si="172"/>
        <v>31.117558661528115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118</v>
      </c>
      <c r="CU180" s="18">
        <f>CT180*VLOOKUP('Données projet'!$B$13,Paramètres!$A$1:$I$88,3,0)*VLOOKUP('Données projet'!$B$13,Paramètres!$A$1:$I$88,5,0)</f>
        <v>112.28880000000001</v>
      </c>
      <c r="CV180" s="14">
        <f t="shared" si="173"/>
        <v>29.869595672288149</v>
      </c>
      <c r="CW180" s="22">
        <f t="shared" si="174"/>
        <v>247.59253912923518</v>
      </c>
      <c r="CX180" s="62">
        <f t="shared" si="122"/>
        <v>536.78602555213047</v>
      </c>
      <c r="CY180" s="62">
        <f ca="1">AVERAGE(OFFSET($CX$3,0,0,'Données projet'!$E$13+1,1))-AVERAGE(OFFSET($H$3,0,0,'Données projet'!$E$13+1,1))</f>
        <v>470.0521927195926</v>
      </c>
      <c r="CZ180" s="62">
        <f t="shared" si="150"/>
        <v>299.27200854723435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projet'!$B$13,Paramètres!$A$1:$I$88,3,0)*0.475*44/12</f>
        <v>29.202631974664882</v>
      </c>
      <c r="DG180" s="23">
        <f>EXP(-LN(2)/25)*DG179+(1-EXP(-LN(2)/25))/(LN(2)/25)*Calculateur!DB180*Calculateur!DD180*VLOOKUP('Données projet'!$B$13,Paramètres!$A$1:$I$88,3,0)*0.475*44/12</f>
        <v>0</v>
      </c>
      <c r="DH180" s="23">
        <f>EXP(-LN(2)/2)*DH179+(1-EXP(-LN(2)/2))/(LN(2)/2)*DB180*DE180*VLOOKUP('Données projet'!$B$13,Paramètres!$A$1:$I$88,3,0)*0.475*44/12</f>
        <v>0</v>
      </c>
      <c r="DI180" s="24">
        <f t="shared" si="175"/>
        <v>29.202631974664882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-1.4210854715202004E-13</v>
      </c>
      <c r="DP180" s="18">
        <f>DO180*VLOOKUP('Données projet'!$B$14,Paramètres!$A$1:$I$88,3,0)*VLOOKUP('Données projet'!$B$14,Paramètres!$A$1:$I$88,5,0)</f>
        <v>-1.3744738680543379E-13</v>
      </c>
      <c r="DQ180" s="14" t="e">
        <f t="shared" si="176"/>
        <v>#NUM!</v>
      </c>
      <c r="DR180" s="22" t="e">
        <f t="shared" si="177"/>
        <v>#NUM!</v>
      </c>
      <c r="DS180" s="62" t="e">
        <f t="shared" si="125"/>
        <v>#NUM!</v>
      </c>
      <c r="DT180" s="62">
        <f ca="1">AVERAGE(OFFSET($DS$3,0,0,'Données projet'!$E$14+1,1))-AVERAGE(OFFSET($H$3,0,0,'Données projet'!$E$14+1,1))</f>
        <v>290.89727102147953</v>
      </c>
      <c r="DU180" s="62">
        <f t="shared" si="152"/>
        <v>173.19148969173838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projet'!$B$14,Paramètres!$A$1:$I$88,3,0)*0.475*44/12</f>
        <v>22.18904542928567</v>
      </c>
      <c r="EB180" s="23">
        <f>EXP(-LN(2)/25)*EB179+(1-EXP(-LN(2)/25))/(LN(2)/25)*Calculateur!DW180*Calculateur!DY180*VLOOKUP('Données projet'!$B$14,Paramètres!$A$1:$I$88,3,0)*0.475*44/12</f>
        <v>0</v>
      </c>
      <c r="EC180" s="23">
        <f>EXP(-LN(2)/2)*EC179+(1-EXP(-LN(2)/2))/(LN(2)/2)*DW180*DZ180*VLOOKUP('Données projet'!$B$14,Paramètres!$A$1:$I$88,3,0)*0.475*44/12</f>
        <v>0</v>
      </c>
      <c r="ED180" s="24">
        <f t="shared" si="178"/>
        <v>22.18904542928567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projet'!$B$15,Paramètres!$A$1:$I$88,3,0)*VLOOKUP('Données projet'!$B$15,Paramètres!$A$1:$I$88,5,0)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projet'!$B$15,Paramètres!$A$1:$I$88,3,0)*0.475*44/12</f>
        <v>#N/A</v>
      </c>
      <c r="EW180" s="23" t="e">
        <f>EXP(-LN(2)/25)*EW179+(1-EXP(-LN(2)/25))/(LN(2)/25)*Calculateur!ER180*Calculateur!ET180*VLOOKUP('Données projet'!$B$15,Paramètres!$A$1:$I$88,3,0)*0.475*44/12</f>
        <v>#N/A</v>
      </c>
      <c r="EX180" s="23" t="e">
        <f>EXP(-LN(2)/2)*EX179+(1-EXP(-LN(2)/2))/(LN(2)/2)*ER180*EU180*VLOOKUP('Données projet'!$B$15,Paramètres!$A$1:$I$88,3,0)*0.475*44/12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projet'!$B$16,Paramètres!$A$1:$I$88,3,0)*VLOOKUP('Données projet'!$B$16,Paramètres!$A$1:$I$88,5,0)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projet'!$B$16,Paramètres!$A$1:$I$88,3,0)*0.475*44/12</f>
        <v>#N/A</v>
      </c>
      <c r="FR180" s="23" t="e">
        <f>EXP(-LN(2)/25)*FR179+(1-EXP(-LN(2)/25))/(LN(2)/25)*Calculateur!FM180*Calculateur!FO180*VLOOKUP('Données projet'!$B$16,Paramètres!$A$1:$I$88,3,0)*0.475*44/12</f>
        <v>#N/A</v>
      </c>
      <c r="FS180" s="23" t="e">
        <f>EXP(-LN(2)/2)*FS179+(1-EXP(-LN(2)/2))/(LN(2)/2)*FM180*FP180*VLOOKUP('Données projet'!$B$16,Paramètres!$A$1:$I$88,3,0)*0.475*44/12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projet'!$B$17,Paramètres!$A$1:$I$88,3,0)*VLOOKUP('Données projet'!$B$17,Paramètres!$A$1:$I$88,5,0)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projet'!$B$17,Paramètres!$A$1:$I$88,3,0)*0.475*44/12</f>
        <v>#N/A</v>
      </c>
      <c r="GM180" s="23" t="e">
        <f>EXP(-LN(2)/25)*GM179+(1-EXP(-LN(2)/25))/(LN(2)/25)*Calculateur!GH180*Calculateur!GJ180*VLOOKUP('Données projet'!$B$17,Paramètres!$A$1:$I$88,3,0)*0.475*44/12</f>
        <v>#N/A</v>
      </c>
      <c r="GN180" s="23" t="e">
        <f>EXP(-LN(2)/2)*GN179+(1-EXP(-LN(2)/2))/(LN(2)/2)*GH180*GK180*VLOOKUP('Données projet'!$B$17,Paramètres!$A$1:$I$88,3,0)*0.475*44/12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projet'!$B$18,Paramètres!$A$1:$I$88,3,0)*VLOOKUP('Données projet'!$B$18,Paramètres!$A$1:$I$88,5,0)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projet'!$B$18,Paramètres!$A$1:$I$88,3,0)*0.475*44/12</f>
        <v>#N/A</v>
      </c>
      <c r="HH180" s="23" t="e">
        <f>EXP(-LN(2)/25)*HH179+(1-EXP(-LN(2)/25))/(LN(2)/25)*Calculateur!HC180*Calculateur!HE180*VLOOKUP('Données projet'!$B$18,Paramètres!$A$1:$I$88,3,0)*0.475*44/12</f>
        <v>#N/A</v>
      </c>
      <c r="HI180" s="23" t="e">
        <f>EXP(-LN(2)/2)*HI179+(1-EXP(-LN(2)/2))/(LN(2)/2)*HC180*HF180*VLOOKUP('Données projet'!$B$18,Paramètres!$A$1:$I$88,3,0)*0.475*44/12</f>
        <v>#N/A</v>
      </c>
      <c r="HJ180" s="24" t="e">
        <f t="shared" si="190"/>
        <v>#N/A</v>
      </c>
    </row>
    <row r="181" spans="1:218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projet'!$B$9,Paramètres!$A$1:$I$88,3,0)*VLOOKUP('Données projet'!$B$9,Paramètres!$A$1:$I$88,5,0)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289.26530351148125</v>
      </c>
      <c r="S181" s="62">
        <f ca="1">AVERAGE(OFFSET($R$3,0,0,'Données projet'!$E$9+1,1))-AVERAGE(OFFSET($H$3,0,0,'Données projet'!$E$9+1,1))</f>
        <v>301.2688576786212</v>
      </c>
      <c r="T181" s="62">
        <f t="shared" si="142"/>
        <v>417.62172165132927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11.953634908172008</v>
      </c>
      <c r="AA181" s="23">
        <f>EXP(-LN(2)/25)*AA180+(1-EXP(-LN(2)/25))/(LN(2)/25)*Calculateur!V181*Calculateur!X181*VLOOKUP('Données projet'!$B$9,Paramètres!$A$1:$I$88,3,0)*0.475*44/12</f>
        <v>1.4305790489401371</v>
      </c>
      <c r="AB181" s="23">
        <f>EXP(-LN(2)/2)*AB180+(1-EXP(-LN(2)/2))/(LN(2)/2)*V181*Y181*VLOOKUP('Données projet'!$B$9,Paramètres!$A$1:$I$88,3,0)*0.475*44/12</f>
        <v>1.5966393726971462E-18</v>
      </c>
      <c r="AC181" s="24">
        <f t="shared" si="163"/>
        <v>13.384213957112145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projet'!$B$10,Paramètres!$A$1:$I$88,3,0)*VLOOKUP('Données projet'!$B$10,Paramètres!$A$1:$I$88,5,0)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170.08673939431091</v>
      </c>
      <c r="AO181" s="62">
        <f t="shared" si="144"/>
        <v>252.97355497077106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projet'!$B$10,Paramètres!$A$1:$I$88,3,0)*0.475*44/12</f>
        <v>4.9909710839667634</v>
      </c>
      <c r="AV181" s="23">
        <f>EXP(-LN(2)/25)*AV180+(1-EXP(-LN(2)/25))/(LN(2)/25)*Calculateur!AQ181*Calculateur!AS181*VLOOKUP('Données projet'!$B$10,Paramètres!$A$1:$I$88,3,0)*0.475*44/12</f>
        <v>1.449968289207709</v>
      </c>
      <c r="AW181" s="23">
        <f>EXP(-LN(2)/2)*AW180+(1-EXP(-LN(2)/2))/(LN(2)/2)*AQ181*AT181*VLOOKUP('Données projet'!$B$10,Paramètres!$A$1:$I$88,3,0)*0.475*44/12</f>
        <v>2.0451666747776863E-18</v>
      </c>
      <c r="AX181" s="23">
        <f t="shared" si="166"/>
        <v>6.4409393731744728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-1.1368683772161603E-13</v>
      </c>
      <c r="BE181" s="14">
        <f>BD181*VLOOKUP('Données projet'!$B$11,Paramètres!$A$1:$I$88,3,0)*VLOOKUP('Données projet'!$B$11,Paramètres!$A$1:$I$88,5,0)</f>
        <v>-1.0286385077051818E-13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362.63718589694594</v>
      </c>
      <c r="BJ181" s="62">
        <f t="shared" si="146"/>
        <v>250.47702091764884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projet'!$B$11,Paramètres!$A$1:$I$88,3,0)*0.475*44/12</f>
        <v>27.221954066595536</v>
      </c>
      <c r="BQ181" s="23">
        <f>EXP(-LN(2)/25)*BQ180+(1-EXP(-LN(2)/25))/(LN(2)/25)*Calculateur!BL181*Calculateur!BN181*VLOOKUP('Données projet'!$B$11,Paramètres!$A$1:$I$88,3,0)*0.475*44/12</f>
        <v>0</v>
      </c>
      <c r="BR181" s="23">
        <f>EXP(-LN(2)/2)*BR180+(1-EXP(-LN(2)/2))/(LN(2)/2)*BL181*BO181*VLOOKUP('Données projet'!$B$11,Paramètres!$A$1:$I$88,3,0)*0.475*44/12</f>
        <v>0</v>
      </c>
      <c r="BS181" s="24">
        <f t="shared" si="169"/>
        <v>27.221954066595536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-1.1368683772161603E-13</v>
      </c>
      <c r="BZ181" s="14">
        <f>BY181*VLOOKUP('Données projet'!$B$12,Paramètres!$A$1:$I$88,3,0)*VLOOKUP('Données projet'!$B$12,Paramètres!$A$1:$I$88,5,0)</f>
        <v>-1.1527845344971866E-13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398.14524781940196</v>
      </c>
      <c r="CE181" s="62">
        <f t="shared" si="148"/>
        <v>273.35778700650792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projet'!$B$12,Paramètres!$A$1:$I$88,3,0)*0.475*44/12</f>
        <v>30.50736231601223</v>
      </c>
      <c r="CL181" s="23">
        <f>EXP(-LN(2)/25)*CL180+(1-EXP(-LN(2)/25))/(LN(2)/25)*Calculateur!CG181*Calculateur!CI181*VLOOKUP('Données projet'!$B$12,Paramètres!$A$1:$I$88,3,0)*0.475*44/12</f>
        <v>0</v>
      </c>
      <c r="CM181" s="23">
        <f>EXP(-LN(2)/2)*CM180+(1-EXP(-LN(2)/2))/(LN(2)/2)*CG181*CJ181*VLOOKUP('Données projet'!$B$12,Paramètres!$A$1:$I$88,3,0)*0.475*44/12</f>
        <v>0</v>
      </c>
      <c r="CN181" s="24">
        <f t="shared" si="172"/>
        <v>30.50736231601223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118</v>
      </c>
      <c r="CU181" s="18">
        <f>CT181*VLOOKUP('Données projet'!$B$13,Paramètres!$A$1:$I$88,3,0)*VLOOKUP('Données projet'!$B$13,Paramètres!$A$1:$I$88,5,0)</f>
        <v>112.28880000000001</v>
      </c>
      <c r="CV181" s="14">
        <f t="shared" si="173"/>
        <v>29.869595672288149</v>
      </c>
      <c r="CW181" s="22">
        <f t="shared" si="174"/>
        <v>247.59253912923518</v>
      </c>
      <c r="CX181" s="62">
        <f t="shared" si="122"/>
        <v>536.85784264071538</v>
      </c>
      <c r="CY181" s="62">
        <f ca="1">AVERAGE(OFFSET($CX$3,0,0,'Données projet'!$E$13+1,1))-AVERAGE(OFFSET($H$3,0,0,'Données projet'!$E$13+1,1))</f>
        <v>470.0521927195926</v>
      </c>
      <c r="CZ181" s="62">
        <f t="shared" si="150"/>
        <v>299.27200854723435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projet'!$B$13,Paramètres!$A$1:$I$88,3,0)*0.475*44/12</f>
        <v>28.629986173488433</v>
      </c>
      <c r="DG181" s="23">
        <f>EXP(-LN(2)/25)*DG180+(1-EXP(-LN(2)/25))/(LN(2)/25)*Calculateur!DB181*Calculateur!DD181*VLOOKUP('Données projet'!$B$13,Paramètres!$A$1:$I$88,3,0)*0.475*44/12</f>
        <v>0</v>
      </c>
      <c r="DH181" s="23">
        <f>EXP(-LN(2)/2)*DH180+(1-EXP(-LN(2)/2))/(LN(2)/2)*DB181*DE181*VLOOKUP('Données projet'!$B$13,Paramètres!$A$1:$I$88,3,0)*0.475*44/12</f>
        <v>0</v>
      </c>
      <c r="DI181" s="24">
        <f t="shared" si="175"/>
        <v>28.629986173488433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-1.4210854715202004E-13</v>
      </c>
      <c r="DP181" s="18">
        <f>DO181*VLOOKUP('Données projet'!$B$14,Paramètres!$A$1:$I$88,3,0)*VLOOKUP('Données projet'!$B$14,Paramètres!$A$1:$I$88,5,0)</f>
        <v>-1.3744738680543379E-13</v>
      </c>
      <c r="DQ181" s="14" t="e">
        <f t="shared" si="176"/>
        <v>#NUM!</v>
      </c>
      <c r="DR181" s="22" t="e">
        <f t="shared" si="177"/>
        <v>#NUM!</v>
      </c>
      <c r="DS181" s="62" t="e">
        <f t="shared" si="125"/>
        <v>#NUM!</v>
      </c>
      <c r="DT181" s="62">
        <f ca="1">AVERAGE(OFFSET($DS$3,0,0,'Données projet'!$E$14+1,1))-AVERAGE(OFFSET($H$3,0,0,'Données projet'!$E$14+1,1))</f>
        <v>290.89727102147953</v>
      </c>
      <c r="DU181" s="62">
        <f t="shared" si="152"/>
        <v>173.19148969173838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projet'!$B$14,Paramètres!$A$1:$I$88,3,0)*0.475*44/12</f>
        <v>21.75393178239872</v>
      </c>
      <c r="EB181" s="23">
        <f>EXP(-LN(2)/25)*EB180+(1-EXP(-LN(2)/25))/(LN(2)/25)*Calculateur!DW181*Calculateur!DY181*VLOOKUP('Données projet'!$B$14,Paramètres!$A$1:$I$88,3,0)*0.475*44/12</f>
        <v>0</v>
      </c>
      <c r="EC181" s="23">
        <f>EXP(-LN(2)/2)*EC180+(1-EXP(-LN(2)/2))/(LN(2)/2)*DW181*DZ181*VLOOKUP('Données projet'!$B$14,Paramètres!$A$1:$I$88,3,0)*0.475*44/12</f>
        <v>0</v>
      </c>
      <c r="ED181" s="24">
        <f t="shared" si="178"/>
        <v>21.75393178239872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projet'!$B$15,Paramètres!$A$1:$I$88,3,0)*VLOOKUP('Données projet'!$B$15,Paramètres!$A$1:$I$88,5,0)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projet'!$B$15,Paramètres!$A$1:$I$88,3,0)*0.475*44/12</f>
        <v>#N/A</v>
      </c>
      <c r="EW181" s="23" t="e">
        <f>EXP(-LN(2)/25)*EW180+(1-EXP(-LN(2)/25))/(LN(2)/25)*Calculateur!ER181*Calculateur!ET181*VLOOKUP('Données projet'!$B$15,Paramètres!$A$1:$I$88,3,0)*0.475*44/12</f>
        <v>#N/A</v>
      </c>
      <c r="EX181" s="23" t="e">
        <f>EXP(-LN(2)/2)*EX180+(1-EXP(-LN(2)/2))/(LN(2)/2)*ER181*EU181*VLOOKUP('Données projet'!$B$15,Paramètres!$A$1:$I$88,3,0)*0.475*44/12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projet'!$B$16,Paramètres!$A$1:$I$88,3,0)*VLOOKUP('Données projet'!$B$16,Paramètres!$A$1:$I$88,5,0)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projet'!$B$16,Paramètres!$A$1:$I$88,3,0)*0.475*44/12</f>
        <v>#N/A</v>
      </c>
      <c r="FR181" s="23" t="e">
        <f>EXP(-LN(2)/25)*FR180+(1-EXP(-LN(2)/25))/(LN(2)/25)*Calculateur!FM181*Calculateur!FO181*VLOOKUP('Données projet'!$B$16,Paramètres!$A$1:$I$88,3,0)*0.475*44/12</f>
        <v>#N/A</v>
      </c>
      <c r="FS181" s="23" t="e">
        <f>EXP(-LN(2)/2)*FS180+(1-EXP(-LN(2)/2))/(LN(2)/2)*FM181*FP181*VLOOKUP('Données projet'!$B$16,Paramètres!$A$1:$I$88,3,0)*0.475*44/12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projet'!$B$17,Paramètres!$A$1:$I$88,3,0)*VLOOKUP('Données projet'!$B$17,Paramètres!$A$1:$I$88,5,0)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projet'!$B$17,Paramètres!$A$1:$I$88,3,0)*0.475*44/12</f>
        <v>#N/A</v>
      </c>
      <c r="GM181" s="23" t="e">
        <f>EXP(-LN(2)/25)*GM180+(1-EXP(-LN(2)/25))/(LN(2)/25)*Calculateur!GH181*Calculateur!GJ181*VLOOKUP('Données projet'!$B$17,Paramètres!$A$1:$I$88,3,0)*0.475*44/12</f>
        <v>#N/A</v>
      </c>
      <c r="GN181" s="23" t="e">
        <f>EXP(-LN(2)/2)*GN180+(1-EXP(-LN(2)/2))/(LN(2)/2)*GH181*GK181*VLOOKUP('Données projet'!$B$17,Paramètres!$A$1:$I$88,3,0)*0.475*44/12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projet'!$B$18,Paramètres!$A$1:$I$88,3,0)*VLOOKUP('Données projet'!$B$18,Paramètres!$A$1:$I$88,5,0)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projet'!$B$18,Paramètres!$A$1:$I$88,3,0)*0.475*44/12</f>
        <v>#N/A</v>
      </c>
      <c r="HH181" s="23" t="e">
        <f>EXP(-LN(2)/25)*HH180+(1-EXP(-LN(2)/25))/(LN(2)/25)*Calculateur!HC181*Calculateur!HE181*VLOOKUP('Données projet'!$B$18,Paramètres!$A$1:$I$88,3,0)*0.475*44/12</f>
        <v>#N/A</v>
      </c>
      <c r="HI181" s="23" t="e">
        <f>EXP(-LN(2)/2)*HI180+(1-EXP(-LN(2)/2))/(LN(2)/2)*HC181*HF181*VLOOKUP('Données projet'!$B$18,Paramètres!$A$1:$I$88,3,0)*0.475*44/12</f>
        <v>#N/A</v>
      </c>
      <c r="HJ181" s="24" t="e">
        <f t="shared" si="190"/>
        <v>#N/A</v>
      </c>
    </row>
    <row r="182" spans="1:218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projet'!$B$9,Paramètres!$A$1:$I$88,3,0)*VLOOKUP('Données projet'!$B$9,Paramètres!$A$1:$I$88,5,0)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289.3358747341382</v>
      </c>
      <c r="S182" s="62">
        <f ca="1">AVERAGE(OFFSET($R$3,0,0,'Données projet'!$E$9+1,1))-AVERAGE(OFFSET($H$3,0,0,'Données projet'!$E$9+1,1))</f>
        <v>301.2688576786212</v>
      </c>
      <c r="T182" s="62">
        <f t="shared" si="142"/>
        <v>417.62172165132927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11.719231418620122</v>
      </c>
      <c r="AA182" s="23">
        <f>EXP(-LN(2)/25)*AA181+(1-EXP(-LN(2)/25))/(LN(2)/25)*Calculateur!V182*Calculateur!X182*VLOOKUP('Données projet'!$B$9,Paramètres!$A$1:$I$88,3,0)*0.475*44/12</f>
        <v>1.3914597896159866</v>
      </c>
      <c r="AB182" s="23">
        <f>EXP(-LN(2)/2)*AB181+(1-EXP(-LN(2)/2))/(LN(2)/2)*V182*Y182*VLOOKUP('Données projet'!$B$9,Paramètres!$A$1:$I$88,3,0)*0.475*44/12</f>
        <v>1.1289945275435874E-18</v>
      </c>
      <c r="AC182" s="24">
        <f t="shared" si="163"/>
        <v>13.110691208236108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projet'!$B$10,Paramètres!$A$1:$I$88,3,0)*VLOOKUP('Données projet'!$B$10,Paramètres!$A$1:$I$88,5,0)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170.08673939431091</v>
      </c>
      <c r="AO182" s="62">
        <f t="shared" si="144"/>
        <v>252.97355497077106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projet'!$B$10,Paramètres!$A$1:$I$88,3,0)*0.475*44/12</f>
        <v>4.8931011852019477</v>
      </c>
      <c r="AV182" s="23">
        <f>EXP(-LN(2)/25)*AV181+(1-EXP(-LN(2)/25))/(LN(2)/25)*Calculateur!AQ182*Calculateur!AS182*VLOOKUP('Données projet'!$B$10,Paramètres!$A$1:$I$88,3,0)*0.475*44/12</f>
        <v>1.4103188300888059</v>
      </c>
      <c r="AW182" s="23">
        <f>EXP(-LN(2)/2)*AW181+(1-EXP(-LN(2)/2))/(LN(2)/2)*AQ182*AT182*VLOOKUP('Données projet'!$B$10,Paramètres!$A$1:$I$88,3,0)*0.475*44/12</f>
        <v>1.4461512243920445E-18</v>
      </c>
      <c r="AX182" s="23">
        <f t="shared" si="166"/>
        <v>6.3034200152907536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-1.1368683772161603E-13</v>
      </c>
      <c r="BE182" s="14">
        <f>BD182*VLOOKUP('Données projet'!$B$11,Paramètres!$A$1:$I$88,3,0)*VLOOKUP('Données projet'!$B$11,Paramètres!$A$1:$I$88,5,0)</f>
        <v>-1.0286385077051818E-13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362.63718589694594</v>
      </c>
      <c r="BJ182" s="62">
        <f t="shared" si="146"/>
        <v>250.47702091764884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projet'!$B$11,Paramètres!$A$1:$I$88,7,0))</f>
        <v>0</v>
      </c>
      <c r="BN182" s="17">
        <f>IF(ISNA(VLOOKUP(A182,'Données projet'!$A$87:$I$107,6,0)),0%,VLOOKUP(A182,'Données projet'!$A$87:$I$107,6,0)*VLOOKUP('Données projet'!$B$11,Paramètres!$A$1:$I$88,7,0))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projet'!$B$11,Paramètres!$A$1:$I$88,3,0)*0.475*44/12</f>
        <v>26.688148151102094</v>
      </c>
      <c r="BQ182" s="23">
        <f>EXP(-LN(2)/25)*BQ181+(1-EXP(-LN(2)/25))/(LN(2)/25)*Calculateur!BL182*Calculateur!BN182*VLOOKUP('Données projet'!$B$11,Paramètres!$A$1:$I$88,3,0)*0.475*44/12</f>
        <v>0</v>
      </c>
      <c r="BR182" s="23">
        <f>EXP(-LN(2)/2)*BR181+(1-EXP(-LN(2)/2))/(LN(2)/2)*BL182*BO182*VLOOKUP('Données projet'!$B$11,Paramètres!$A$1:$I$88,3,0)*0.475*44/12</f>
        <v>0</v>
      </c>
      <c r="BS182" s="24">
        <f t="shared" si="169"/>
        <v>26.688148151102094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-1.1368683772161603E-13</v>
      </c>
      <c r="BZ182" s="14">
        <f>BY182*VLOOKUP('Données projet'!$B$12,Paramètres!$A$1:$I$88,3,0)*VLOOKUP('Données projet'!$B$12,Paramètres!$A$1:$I$88,5,0)</f>
        <v>-1.1527845344971866E-13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398.14524781940196</v>
      </c>
      <c r="CE182" s="62">
        <f t="shared" si="148"/>
        <v>273.35778700650792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projet'!$B$12,Paramètres!$A$1:$I$88,3,0)*0.475*44/12</f>
        <v>29.90913154864889</v>
      </c>
      <c r="CL182" s="23">
        <f>EXP(-LN(2)/25)*CL181+(1-EXP(-LN(2)/25))/(LN(2)/25)*Calculateur!CG182*Calculateur!CI182*VLOOKUP('Données projet'!$B$12,Paramètres!$A$1:$I$88,3,0)*0.475*44/12</f>
        <v>0</v>
      </c>
      <c r="CM182" s="23">
        <f>EXP(-LN(2)/2)*CM181+(1-EXP(-LN(2)/2))/(LN(2)/2)*CG182*CJ182*VLOOKUP('Données projet'!$B$12,Paramètres!$A$1:$I$88,3,0)*0.475*44/12</f>
        <v>0</v>
      </c>
      <c r="CN182" s="24">
        <f t="shared" si="172"/>
        <v>29.90913154864889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118</v>
      </c>
      <c r="CU182" s="18">
        <f>CT182*VLOOKUP('Données projet'!$B$13,Paramètres!$A$1:$I$88,3,0)*VLOOKUP('Données projet'!$B$13,Paramètres!$A$1:$I$88,5,0)</f>
        <v>112.28880000000001</v>
      </c>
      <c r="CV182" s="14">
        <f t="shared" si="173"/>
        <v>29.869595672288149</v>
      </c>
      <c r="CW182" s="22">
        <f t="shared" si="174"/>
        <v>247.59253912923518</v>
      </c>
      <c r="CX182" s="62">
        <f t="shared" si="122"/>
        <v>536.92841386337227</v>
      </c>
      <c r="CY182" s="62">
        <f ca="1">AVERAGE(OFFSET($CX$3,0,0,'Données projet'!$E$13+1,1))-AVERAGE(OFFSET($H$3,0,0,'Données projet'!$E$13+1,1))</f>
        <v>470.0521927195926</v>
      </c>
      <c r="CZ182" s="62">
        <f t="shared" si="150"/>
        <v>299.27200854723435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projet'!$B$13,Paramètres!$A$1:$I$88,3,0)*0.475*44/12</f>
        <v>28.068569607193606</v>
      </c>
      <c r="DG182" s="23">
        <f>EXP(-LN(2)/25)*DG181+(1-EXP(-LN(2)/25))/(LN(2)/25)*Calculateur!DB182*Calculateur!DD182*VLOOKUP('Données projet'!$B$13,Paramètres!$A$1:$I$88,3,0)*0.475*44/12</f>
        <v>0</v>
      </c>
      <c r="DH182" s="23">
        <f>EXP(-LN(2)/2)*DH181+(1-EXP(-LN(2)/2))/(LN(2)/2)*DB182*DE182*VLOOKUP('Données projet'!$B$13,Paramètres!$A$1:$I$88,3,0)*0.475*44/12</f>
        <v>0</v>
      </c>
      <c r="DI182" s="24">
        <f t="shared" si="175"/>
        <v>28.068569607193606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-1.4210854715202004E-13</v>
      </c>
      <c r="DP182" s="18">
        <f>DO182*VLOOKUP('Données projet'!$B$14,Paramètres!$A$1:$I$88,3,0)*VLOOKUP('Données projet'!$B$14,Paramètres!$A$1:$I$88,5,0)</f>
        <v>-1.3744738680543379E-13</v>
      </c>
      <c r="DQ182" s="14" t="e">
        <f t="shared" si="176"/>
        <v>#NUM!</v>
      </c>
      <c r="DR182" s="22" t="e">
        <f t="shared" si="177"/>
        <v>#NUM!</v>
      </c>
      <c r="DS182" s="62" t="e">
        <f t="shared" si="125"/>
        <v>#NUM!</v>
      </c>
      <c r="DT182" s="62">
        <f ca="1">AVERAGE(OFFSET($DS$3,0,0,'Données projet'!$E$14+1,1))-AVERAGE(OFFSET($H$3,0,0,'Données projet'!$E$14+1,1))</f>
        <v>290.89727102147953</v>
      </c>
      <c r="DU182" s="62">
        <f t="shared" si="152"/>
        <v>173.19148969173838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projet'!$B$14,Paramètres!$A$1:$I$88,3,0)*0.475*44/12</f>
        <v>21.327350448734105</v>
      </c>
      <c r="EB182" s="23">
        <f>EXP(-LN(2)/25)*EB181+(1-EXP(-LN(2)/25))/(LN(2)/25)*Calculateur!DW182*Calculateur!DY182*VLOOKUP('Données projet'!$B$14,Paramètres!$A$1:$I$88,3,0)*0.475*44/12</f>
        <v>0</v>
      </c>
      <c r="EC182" s="23">
        <f>EXP(-LN(2)/2)*EC181+(1-EXP(-LN(2)/2))/(LN(2)/2)*DW182*DZ182*VLOOKUP('Données projet'!$B$14,Paramètres!$A$1:$I$88,3,0)*0.475*44/12</f>
        <v>0</v>
      </c>
      <c r="ED182" s="24">
        <f t="shared" si="178"/>
        <v>21.327350448734105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projet'!$B$15,Paramètres!$A$1:$I$88,3,0)*VLOOKUP('Données projet'!$B$15,Paramètres!$A$1:$I$88,5,0)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projet'!$B$15,Paramètres!$A$1:$I$88,3,0)*0.475*44/12</f>
        <v>#N/A</v>
      </c>
      <c r="EW182" s="23" t="e">
        <f>EXP(-LN(2)/25)*EW181+(1-EXP(-LN(2)/25))/(LN(2)/25)*Calculateur!ER182*Calculateur!ET182*VLOOKUP('Données projet'!$B$15,Paramètres!$A$1:$I$88,3,0)*0.475*44/12</f>
        <v>#N/A</v>
      </c>
      <c r="EX182" s="23" t="e">
        <f>EXP(-LN(2)/2)*EX181+(1-EXP(-LN(2)/2))/(LN(2)/2)*ER182*EU182*VLOOKUP('Données projet'!$B$15,Paramètres!$A$1:$I$88,3,0)*0.475*44/12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projet'!$B$16,Paramètres!$A$1:$I$88,3,0)*VLOOKUP('Données projet'!$B$16,Paramètres!$A$1:$I$88,5,0)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projet'!$B$16,Paramètres!$A$1:$I$88,3,0)*0.475*44/12</f>
        <v>#N/A</v>
      </c>
      <c r="FR182" s="23" t="e">
        <f>EXP(-LN(2)/25)*FR181+(1-EXP(-LN(2)/25))/(LN(2)/25)*Calculateur!FM182*Calculateur!FO182*VLOOKUP('Données projet'!$B$16,Paramètres!$A$1:$I$88,3,0)*0.475*44/12</f>
        <v>#N/A</v>
      </c>
      <c r="FS182" s="23" t="e">
        <f>EXP(-LN(2)/2)*FS181+(1-EXP(-LN(2)/2))/(LN(2)/2)*FM182*FP182*VLOOKUP('Données projet'!$B$16,Paramètres!$A$1:$I$88,3,0)*0.475*44/12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projet'!$B$17,Paramètres!$A$1:$I$88,3,0)*VLOOKUP('Données projet'!$B$17,Paramètres!$A$1:$I$88,5,0)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projet'!$B$17,Paramètres!$A$1:$I$88,3,0)*0.475*44/12</f>
        <v>#N/A</v>
      </c>
      <c r="GM182" s="23" t="e">
        <f>EXP(-LN(2)/25)*GM181+(1-EXP(-LN(2)/25))/(LN(2)/25)*Calculateur!GH182*Calculateur!GJ182*VLOOKUP('Données projet'!$B$17,Paramètres!$A$1:$I$88,3,0)*0.475*44/12</f>
        <v>#N/A</v>
      </c>
      <c r="GN182" s="23" t="e">
        <f>EXP(-LN(2)/2)*GN181+(1-EXP(-LN(2)/2))/(LN(2)/2)*GH182*GK182*VLOOKUP('Données projet'!$B$17,Paramètres!$A$1:$I$88,3,0)*0.475*44/12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projet'!$B$18,Paramètres!$A$1:$I$88,3,0)*VLOOKUP('Données projet'!$B$18,Paramètres!$A$1:$I$88,5,0)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projet'!$B$18,Paramètres!$A$1:$I$88,3,0)*0.475*44/12</f>
        <v>#N/A</v>
      </c>
      <c r="HH182" s="23" t="e">
        <f>EXP(-LN(2)/25)*HH181+(1-EXP(-LN(2)/25))/(LN(2)/25)*Calculateur!HC182*Calculateur!HE182*VLOOKUP('Données projet'!$B$18,Paramètres!$A$1:$I$88,3,0)*0.475*44/12</f>
        <v>#N/A</v>
      </c>
      <c r="HI182" s="23" t="e">
        <f>EXP(-LN(2)/2)*HI181+(1-EXP(-LN(2)/2))/(LN(2)/2)*HC182*HF182*VLOOKUP('Données projet'!$B$18,Paramètres!$A$1:$I$88,3,0)*0.475*44/12</f>
        <v>#N/A</v>
      </c>
      <c r="HJ182" s="24" t="e">
        <f t="shared" si="190"/>
        <v>#N/A</v>
      </c>
    </row>
    <row r="183" spans="1:218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projet'!$B$9,Paramètres!$A$1:$I$88,3,0)*VLOOKUP('Données projet'!$B$9,Paramètres!$A$1:$I$88,5,0)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289.40522170385572</v>
      </c>
      <c r="S183" s="62">
        <f ca="1">AVERAGE(OFFSET($R$3,0,0,'Données projet'!$E$9+1,1))-AVERAGE(OFFSET($H$3,0,0,'Données projet'!$E$9+1,1))</f>
        <v>301.2688576786212</v>
      </c>
      <c r="T183" s="62">
        <f t="shared" si="142"/>
        <v>417.62172165132927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11.489424438526338</v>
      </c>
      <c r="AA183" s="23">
        <f>EXP(-LN(2)/25)*AA182+(1-EXP(-LN(2)/25))/(LN(2)/25)*Calculateur!V183*Calculateur!X183*VLOOKUP('Données projet'!$B$9,Paramètres!$A$1:$I$88,3,0)*0.475*44/12</f>
        <v>1.3534102484952473</v>
      </c>
      <c r="AB183" s="23">
        <f>EXP(-LN(2)/2)*AB182+(1-EXP(-LN(2)/2))/(LN(2)/2)*V183*Y183*VLOOKUP('Données projet'!$B$9,Paramètres!$A$1:$I$88,3,0)*0.475*44/12</f>
        <v>7.983196863485731E-19</v>
      </c>
      <c r="AC183" s="24">
        <f t="shared" si="163"/>
        <v>12.842834687021586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projet'!$B$10,Paramètres!$A$1:$I$88,3,0)*VLOOKUP('Données projet'!$B$10,Paramètres!$A$1:$I$88,5,0)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170.08673939431091</v>
      </c>
      <c r="AO183" s="62">
        <f t="shared" si="144"/>
        <v>252.97355497077106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projet'!$B$10,Paramètres!$A$1:$I$88,3,0)*0.475*44/12</f>
        <v>4.7971504554571656</v>
      </c>
      <c r="AV183" s="23">
        <f>EXP(-LN(2)/25)*AV182+(1-EXP(-LN(2)/25))/(LN(2)/25)*Calculateur!AQ183*Calculateur!AS183*VLOOKUP('Données projet'!$B$10,Paramètres!$A$1:$I$88,3,0)*0.475*44/12</f>
        <v>1.3717535875145834</v>
      </c>
      <c r="AW183" s="23">
        <f>EXP(-LN(2)/2)*AW182+(1-EXP(-LN(2)/2))/(LN(2)/2)*AQ183*AT183*VLOOKUP('Données projet'!$B$10,Paramètres!$A$1:$I$88,3,0)*0.475*44/12</f>
        <v>1.0225833373888431E-18</v>
      </c>
      <c r="AX183" s="23">
        <f t="shared" si="166"/>
        <v>6.1689040429717492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-1.1368683772161603E-13</v>
      </c>
      <c r="BE183" s="14">
        <f>BD183*VLOOKUP('Données projet'!$B$11,Paramètres!$A$1:$I$88,3,0)*VLOOKUP('Données projet'!$B$11,Paramètres!$A$1:$I$88,5,0)</f>
        <v>-1.0286385077051818E-13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362.63718589694594</v>
      </c>
      <c r="BJ183" s="62">
        <f t="shared" si="146"/>
        <v>250.47702091764884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projet'!$B$11,Paramètres!$A$1:$I$88,7,0))</f>
        <v>0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projet'!$B$11,Paramètres!$A$1:$I$88,3,0)*0.475*44/12</f>
        <v>26.16480984402202</v>
      </c>
      <c r="BQ183" s="23">
        <f>EXP(-LN(2)/25)*BQ182+(1-EXP(-LN(2)/25))/(LN(2)/25)*Calculateur!BL183*Calculateur!BN183*VLOOKUP('Données projet'!$B$11,Paramètres!$A$1:$I$88,3,0)*0.475*44/12</f>
        <v>0</v>
      </c>
      <c r="BR183" s="23">
        <f>EXP(-LN(2)/2)*BR182+(1-EXP(-LN(2)/2))/(LN(2)/2)*BL183*BO183*VLOOKUP('Données projet'!$B$11,Paramètres!$A$1:$I$88,3,0)*0.475*44/12</f>
        <v>0</v>
      </c>
      <c r="BS183" s="24">
        <f t="shared" si="169"/>
        <v>26.16480984402202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-1.1368683772161603E-13</v>
      </c>
      <c r="BZ183" s="14">
        <f>BY183*VLOOKUP('Données projet'!$B$12,Paramètres!$A$1:$I$88,3,0)*VLOOKUP('Données projet'!$B$12,Paramètres!$A$1:$I$88,5,0)</f>
        <v>-1.1527845344971866E-13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398.14524781940196</v>
      </c>
      <c r="CE183" s="62">
        <f t="shared" si="148"/>
        <v>273.35778700650792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projet'!$B$12,Paramètres!$A$1:$I$88,3,0)*0.475*44/12</f>
        <v>29.322631721748806</v>
      </c>
      <c r="CL183" s="23">
        <f>EXP(-LN(2)/25)*CL182+(1-EXP(-LN(2)/25))/(LN(2)/25)*Calculateur!CG183*Calculateur!CI183*VLOOKUP('Données projet'!$B$12,Paramètres!$A$1:$I$88,3,0)*0.475*44/12</f>
        <v>0</v>
      </c>
      <c r="CM183" s="23">
        <f>EXP(-LN(2)/2)*CM182+(1-EXP(-LN(2)/2))/(LN(2)/2)*CG183*CJ183*VLOOKUP('Données projet'!$B$12,Paramètres!$A$1:$I$88,3,0)*0.475*44/12</f>
        <v>0</v>
      </c>
      <c r="CN183" s="24">
        <f t="shared" si="172"/>
        <v>29.322631721748806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118</v>
      </c>
      <c r="CU183" s="18">
        <f>CT183*VLOOKUP('Données projet'!$B$13,Paramètres!$A$1:$I$88,3,0)*VLOOKUP('Données projet'!$B$13,Paramètres!$A$1:$I$88,5,0)</f>
        <v>112.28880000000001</v>
      </c>
      <c r="CV183" s="14">
        <f t="shared" si="173"/>
        <v>29.869595672288149</v>
      </c>
      <c r="CW183" s="22">
        <f t="shared" si="174"/>
        <v>247.59253912923518</v>
      </c>
      <c r="CX183" s="62">
        <f t="shared" si="122"/>
        <v>536.99776083308984</v>
      </c>
      <c r="CY183" s="62">
        <f ca="1">AVERAGE(OFFSET($CX$3,0,0,'Données projet'!$E$13+1,1))-AVERAGE(OFFSET($H$3,0,0,'Données projet'!$E$13+1,1))</f>
        <v>470.0521927195926</v>
      </c>
      <c r="CZ183" s="62">
        <f t="shared" si="150"/>
        <v>299.27200854723435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projet'!$B$13,Paramètres!$A$1:$I$88,7,0))</f>
        <v>0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projet'!$B$13,Paramètres!$A$1:$I$88,3,0)*0.475*44/12</f>
        <v>27.518162077333525</v>
      </c>
      <c r="DG183" s="23">
        <f>EXP(-LN(2)/25)*DG182+(1-EXP(-LN(2)/25))/(LN(2)/25)*Calculateur!DB183*Calculateur!DD183*VLOOKUP('Données projet'!$B$13,Paramètres!$A$1:$I$88,3,0)*0.475*44/12</f>
        <v>0</v>
      </c>
      <c r="DH183" s="23">
        <f>EXP(-LN(2)/2)*DH182+(1-EXP(-LN(2)/2))/(LN(2)/2)*DB183*DE183*VLOOKUP('Données projet'!$B$13,Paramètres!$A$1:$I$88,3,0)*0.475*44/12</f>
        <v>0</v>
      </c>
      <c r="DI183" s="24">
        <f t="shared" si="175"/>
        <v>27.518162077333525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-1.4210854715202004E-13</v>
      </c>
      <c r="DP183" s="18">
        <f>DO183*VLOOKUP('Données projet'!$B$14,Paramètres!$A$1:$I$88,3,0)*VLOOKUP('Données projet'!$B$14,Paramètres!$A$1:$I$88,5,0)</f>
        <v>-1.3744738680543379E-13</v>
      </c>
      <c r="DQ183" s="14" t="e">
        <f t="shared" si="176"/>
        <v>#NUM!</v>
      </c>
      <c r="DR183" s="22" t="e">
        <f t="shared" si="177"/>
        <v>#NUM!</v>
      </c>
      <c r="DS183" s="62" t="e">
        <f t="shared" si="125"/>
        <v>#NUM!</v>
      </c>
      <c r="DT183" s="62">
        <f ca="1">AVERAGE(OFFSET($DS$3,0,0,'Données projet'!$E$14+1,1))-AVERAGE(OFFSET($H$3,0,0,'Données projet'!$E$14+1,1))</f>
        <v>290.89727102147953</v>
      </c>
      <c r="DU183" s="62">
        <f t="shared" si="152"/>
        <v>173.19148969173838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projet'!$B$14,Paramètres!$A$1:$I$88,3,0)*0.475*44/12</f>
        <v>20.90913411483373</v>
      </c>
      <c r="EB183" s="23">
        <f>EXP(-LN(2)/25)*EB182+(1-EXP(-LN(2)/25))/(LN(2)/25)*Calculateur!DW183*Calculateur!DY183*VLOOKUP('Données projet'!$B$14,Paramètres!$A$1:$I$88,3,0)*0.475*44/12</f>
        <v>0</v>
      </c>
      <c r="EC183" s="23">
        <f>EXP(-LN(2)/2)*EC182+(1-EXP(-LN(2)/2))/(LN(2)/2)*DW183*DZ183*VLOOKUP('Données projet'!$B$14,Paramètres!$A$1:$I$88,3,0)*0.475*44/12</f>
        <v>0</v>
      </c>
      <c r="ED183" s="24">
        <f t="shared" si="178"/>
        <v>20.90913411483373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projet'!$B$15,Paramètres!$A$1:$I$88,3,0)*VLOOKUP('Données projet'!$B$15,Paramètres!$A$1:$I$88,5,0)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projet'!$B$15,Paramètres!$A$1:$I$88,3,0)*0.475*44/12</f>
        <v>#N/A</v>
      </c>
      <c r="EW183" s="23" t="e">
        <f>EXP(-LN(2)/25)*EW182+(1-EXP(-LN(2)/25))/(LN(2)/25)*Calculateur!ER183*Calculateur!ET183*VLOOKUP('Données projet'!$B$15,Paramètres!$A$1:$I$88,3,0)*0.475*44/12</f>
        <v>#N/A</v>
      </c>
      <c r="EX183" s="23" t="e">
        <f>EXP(-LN(2)/2)*EX182+(1-EXP(-LN(2)/2))/(LN(2)/2)*ER183*EU183*VLOOKUP('Données projet'!$B$15,Paramètres!$A$1:$I$88,3,0)*0.475*44/12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projet'!$B$16,Paramètres!$A$1:$I$88,3,0)*VLOOKUP('Données projet'!$B$16,Paramètres!$A$1:$I$88,5,0)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projet'!$B$16,Paramètres!$A$1:$I$88,3,0)*0.475*44/12</f>
        <v>#N/A</v>
      </c>
      <c r="FR183" s="23" t="e">
        <f>EXP(-LN(2)/25)*FR182+(1-EXP(-LN(2)/25))/(LN(2)/25)*Calculateur!FM183*Calculateur!FO183*VLOOKUP('Données projet'!$B$16,Paramètres!$A$1:$I$88,3,0)*0.475*44/12</f>
        <v>#N/A</v>
      </c>
      <c r="FS183" s="23" t="e">
        <f>EXP(-LN(2)/2)*FS182+(1-EXP(-LN(2)/2))/(LN(2)/2)*FM183*FP183*VLOOKUP('Données projet'!$B$16,Paramètres!$A$1:$I$88,3,0)*0.475*44/12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projet'!$B$17,Paramètres!$A$1:$I$88,3,0)*VLOOKUP('Données projet'!$B$17,Paramètres!$A$1:$I$88,5,0)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projet'!$B$17,Paramètres!$A$1:$I$88,3,0)*0.475*44/12</f>
        <v>#N/A</v>
      </c>
      <c r="GM183" s="23" t="e">
        <f>EXP(-LN(2)/25)*GM182+(1-EXP(-LN(2)/25))/(LN(2)/25)*Calculateur!GH183*Calculateur!GJ183*VLOOKUP('Données projet'!$B$17,Paramètres!$A$1:$I$88,3,0)*0.475*44/12</f>
        <v>#N/A</v>
      </c>
      <c r="GN183" s="23" t="e">
        <f>EXP(-LN(2)/2)*GN182+(1-EXP(-LN(2)/2))/(LN(2)/2)*GH183*GK183*VLOOKUP('Données projet'!$B$17,Paramètres!$A$1:$I$88,3,0)*0.475*44/12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projet'!$B$18,Paramètres!$A$1:$I$88,3,0)*VLOOKUP('Données projet'!$B$18,Paramètres!$A$1:$I$88,5,0)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projet'!$B$18,Paramètres!$A$1:$I$88,3,0)*0.475*44/12</f>
        <v>#N/A</v>
      </c>
      <c r="HH183" s="23" t="e">
        <f>EXP(-LN(2)/25)*HH182+(1-EXP(-LN(2)/25))/(LN(2)/25)*Calculateur!HC183*Calculateur!HE183*VLOOKUP('Données projet'!$B$18,Paramètres!$A$1:$I$88,3,0)*0.475*44/12</f>
        <v>#N/A</v>
      </c>
      <c r="HI183" s="23" t="e">
        <f>EXP(-LN(2)/2)*HI182+(1-EXP(-LN(2)/2))/(LN(2)/2)*HC183*HF183*VLOOKUP('Données projet'!$B$18,Paramètres!$A$1:$I$88,3,0)*0.475*44/12</f>
        <v>#N/A</v>
      </c>
      <c r="HJ183" s="24" t="e">
        <f t="shared" si="190"/>
        <v>#N/A</v>
      </c>
    </row>
    <row r="184" spans="1:218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projet'!$B$9,Paramètres!$A$1:$I$88,3,0)*VLOOKUP('Données projet'!$B$9,Paramètres!$A$1:$I$88,5,0)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289.47336565868517</v>
      </c>
      <c r="S184" s="62">
        <f ca="1">AVERAGE(OFFSET($R$3,0,0,'Données projet'!$E$9+1,1))-AVERAGE(OFFSET($H$3,0,0,'Données projet'!$E$9+1,1))</f>
        <v>301.2688576786212</v>
      </c>
      <c r="T184" s="62">
        <f t="shared" si="142"/>
        <v>417.62172165132927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11.264123833143776</v>
      </c>
      <c r="AA184" s="23">
        <f>EXP(-LN(2)/25)*AA183+(1-EXP(-LN(2)/25))/(LN(2)/25)*Calculateur!V184*Calculateur!X184*VLOOKUP('Données projet'!$B$9,Paramètres!$A$1:$I$88,3,0)*0.475*44/12</f>
        <v>1.3164011740773931</v>
      </c>
      <c r="AB184" s="23">
        <f>EXP(-LN(2)/2)*AB183+(1-EXP(-LN(2)/2))/(LN(2)/2)*V184*Y184*VLOOKUP('Données projet'!$B$9,Paramètres!$A$1:$I$88,3,0)*0.475*44/12</f>
        <v>5.6449726377179372E-19</v>
      </c>
      <c r="AC184" s="24">
        <f t="shared" si="163"/>
        <v>12.580525007221169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projet'!$B$10,Paramètres!$A$1:$I$88,3,0)*VLOOKUP('Données projet'!$B$10,Paramètres!$A$1:$I$88,5,0)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170.08673939431091</v>
      </c>
      <c r="AO184" s="62">
        <f t="shared" si="144"/>
        <v>252.97355497077106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projet'!$B$10,Paramètres!$A$1:$I$88,3,0)*0.475*44/12</f>
        <v>4.7030812609985126</v>
      </c>
      <c r="AV184" s="23">
        <f>EXP(-LN(2)/25)*AV183+(1-EXP(-LN(2)/25))/(LN(2)/25)*Calculateur!AQ184*Calculateur!AS184*VLOOKUP('Données projet'!$B$10,Paramètres!$A$1:$I$88,3,0)*0.475*44/12</f>
        <v>1.3342429135266112</v>
      </c>
      <c r="AW184" s="23">
        <f>EXP(-LN(2)/2)*AW183+(1-EXP(-LN(2)/2))/(LN(2)/2)*AQ184*AT184*VLOOKUP('Données projet'!$B$10,Paramètres!$A$1:$I$88,3,0)*0.475*44/12</f>
        <v>7.2307561219602223E-19</v>
      </c>
      <c r="AX184" s="23">
        <f t="shared" si="166"/>
        <v>6.037324174525124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-1.1368683772161603E-13</v>
      </c>
      <c r="BE184" s="14">
        <f>BD184*VLOOKUP('Données projet'!$B$11,Paramètres!$A$1:$I$88,3,0)*VLOOKUP('Données projet'!$B$11,Paramètres!$A$1:$I$88,5,0)</f>
        <v>-1.0286385077051818E-13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362.63718589694594</v>
      </c>
      <c r="BJ184" s="62">
        <f t="shared" si="146"/>
        <v>250.47702091764884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projet'!$B$11,Paramètres!$A$1:$I$88,3,0)*0.475*44/12</f>
        <v>25.651733881938938</v>
      </c>
      <c r="BQ184" s="23">
        <f>EXP(-LN(2)/25)*BQ183+(1-EXP(-LN(2)/25))/(LN(2)/25)*Calculateur!BL184*Calculateur!BN184*VLOOKUP('Données projet'!$B$11,Paramètres!$A$1:$I$88,3,0)*0.475*44/12</f>
        <v>0</v>
      </c>
      <c r="BR184" s="23">
        <f>EXP(-LN(2)/2)*BR183+(1-EXP(-LN(2)/2))/(LN(2)/2)*BL184*BO184*VLOOKUP('Données projet'!$B$11,Paramètres!$A$1:$I$88,3,0)*0.475*44/12</f>
        <v>0</v>
      </c>
      <c r="BS184" s="24">
        <f t="shared" si="169"/>
        <v>25.651733881938938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-1.1368683772161603E-13</v>
      </c>
      <c r="BZ184" s="14">
        <f>BY184*VLOOKUP('Données projet'!$B$12,Paramètres!$A$1:$I$88,3,0)*VLOOKUP('Données projet'!$B$12,Paramètres!$A$1:$I$88,5,0)</f>
        <v>-1.1527845344971866E-13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398.14524781940196</v>
      </c>
      <c r="CE184" s="62">
        <f t="shared" si="148"/>
        <v>273.35778700650792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projet'!$B$12,Paramètres!$A$1:$I$88,3,0)*0.475*44/12</f>
        <v>28.747632798724663</v>
      </c>
      <c r="CL184" s="23">
        <f>EXP(-LN(2)/25)*CL183+(1-EXP(-LN(2)/25))/(LN(2)/25)*Calculateur!CG184*Calculateur!CI184*VLOOKUP('Données projet'!$B$12,Paramètres!$A$1:$I$88,3,0)*0.475*44/12</f>
        <v>0</v>
      </c>
      <c r="CM184" s="23">
        <f>EXP(-LN(2)/2)*CM183+(1-EXP(-LN(2)/2))/(LN(2)/2)*CG184*CJ184*VLOOKUP('Données projet'!$B$12,Paramètres!$A$1:$I$88,3,0)*0.475*44/12</f>
        <v>0</v>
      </c>
      <c r="CN184" s="24">
        <f t="shared" si="172"/>
        <v>28.747632798724663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118</v>
      </c>
      <c r="CU184" s="18">
        <f>CT184*VLOOKUP('Données projet'!$B$13,Paramètres!$A$1:$I$88,3,0)*VLOOKUP('Données projet'!$B$13,Paramètres!$A$1:$I$88,5,0)</f>
        <v>112.28880000000001</v>
      </c>
      <c r="CV184" s="14">
        <f t="shared" si="173"/>
        <v>29.869595672288149</v>
      </c>
      <c r="CW184" s="22">
        <f t="shared" si="174"/>
        <v>247.59253912923518</v>
      </c>
      <c r="CX184" s="62">
        <f t="shared" si="122"/>
        <v>537.06590478791929</v>
      </c>
      <c r="CY184" s="62">
        <f ca="1">AVERAGE(OFFSET($CX$3,0,0,'Données projet'!$E$13+1,1))-AVERAGE(OFFSET($H$3,0,0,'Données projet'!$E$13+1,1))</f>
        <v>470.0521927195926</v>
      </c>
      <c r="CZ184" s="62">
        <f t="shared" si="150"/>
        <v>299.27200854723435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projet'!$B$13,Paramètres!$A$1:$I$88,3,0)*0.475*44/12</f>
        <v>26.978547703418556</v>
      </c>
      <c r="DG184" s="23">
        <f>EXP(-LN(2)/25)*DG183+(1-EXP(-LN(2)/25))/(LN(2)/25)*Calculateur!DB184*Calculateur!DD184*VLOOKUP('Données projet'!$B$13,Paramètres!$A$1:$I$88,3,0)*0.475*44/12</f>
        <v>0</v>
      </c>
      <c r="DH184" s="23">
        <f>EXP(-LN(2)/2)*DH183+(1-EXP(-LN(2)/2))/(LN(2)/2)*DB184*DE184*VLOOKUP('Données projet'!$B$13,Paramètres!$A$1:$I$88,3,0)*0.475*44/12</f>
        <v>0</v>
      </c>
      <c r="DI184" s="24">
        <f t="shared" si="175"/>
        <v>26.978547703418556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-1.4210854715202004E-13</v>
      </c>
      <c r="DP184" s="18">
        <f>DO184*VLOOKUP('Données projet'!$B$14,Paramètres!$A$1:$I$88,3,0)*VLOOKUP('Données projet'!$B$14,Paramètres!$A$1:$I$88,5,0)</f>
        <v>-1.3744738680543379E-13</v>
      </c>
      <c r="DQ184" s="14" t="e">
        <f t="shared" si="176"/>
        <v>#NUM!</v>
      </c>
      <c r="DR184" s="22" t="e">
        <f t="shared" si="177"/>
        <v>#NUM!</v>
      </c>
      <c r="DS184" s="62" t="e">
        <f t="shared" si="125"/>
        <v>#NUM!</v>
      </c>
      <c r="DT184" s="62">
        <f ca="1">AVERAGE(OFFSET($DS$3,0,0,'Données projet'!$E$14+1,1))-AVERAGE(OFFSET($H$3,0,0,'Données projet'!$E$14+1,1))</f>
        <v>290.89727102147953</v>
      </c>
      <c r="DU184" s="62">
        <f t="shared" si="152"/>
        <v>173.19148969173838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projet'!$B$14,Paramètres!$A$1:$I$88,3,0)*0.475*44/12</f>
        <v>20.499118748154366</v>
      </c>
      <c r="EB184" s="23">
        <f>EXP(-LN(2)/25)*EB183+(1-EXP(-LN(2)/25))/(LN(2)/25)*Calculateur!DW184*Calculateur!DY184*VLOOKUP('Données projet'!$B$14,Paramètres!$A$1:$I$88,3,0)*0.475*44/12</f>
        <v>0</v>
      </c>
      <c r="EC184" s="23">
        <f>EXP(-LN(2)/2)*EC183+(1-EXP(-LN(2)/2))/(LN(2)/2)*DW184*DZ184*VLOOKUP('Données projet'!$B$14,Paramètres!$A$1:$I$88,3,0)*0.475*44/12</f>
        <v>0</v>
      </c>
      <c r="ED184" s="24">
        <f t="shared" si="178"/>
        <v>20.499118748154366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projet'!$B$15,Paramètres!$A$1:$I$88,3,0)*VLOOKUP('Données projet'!$B$15,Paramètres!$A$1:$I$88,5,0)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projet'!$B$15,Paramètres!$A$1:$I$88,3,0)*0.475*44/12</f>
        <v>#N/A</v>
      </c>
      <c r="EW184" s="23" t="e">
        <f>EXP(-LN(2)/25)*EW183+(1-EXP(-LN(2)/25))/(LN(2)/25)*Calculateur!ER184*Calculateur!ET184*VLOOKUP('Données projet'!$B$15,Paramètres!$A$1:$I$88,3,0)*0.475*44/12</f>
        <v>#N/A</v>
      </c>
      <c r="EX184" s="23" t="e">
        <f>EXP(-LN(2)/2)*EX183+(1-EXP(-LN(2)/2))/(LN(2)/2)*ER184*EU184*VLOOKUP('Données projet'!$B$15,Paramètres!$A$1:$I$88,3,0)*0.475*44/12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projet'!$B$16,Paramètres!$A$1:$I$88,3,0)*VLOOKUP('Données projet'!$B$16,Paramètres!$A$1:$I$88,5,0)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projet'!$B$16,Paramètres!$A$1:$I$88,3,0)*0.475*44/12</f>
        <v>#N/A</v>
      </c>
      <c r="FR184" s="23" t="e">
        <f>EXP(-LN(2)/25)*FR183+(1-EXP(-LN(2)/25))/(LN(2)/25)*Calculateur!FM184*Calculateur!FO184*VLOOKUP('Données projet'!$B$16,Paramètres!$A$1:$I$88,3,0)*0.475*44/12</f>
        <v>#N/A</v>
      </c>
      <c r="FS184" s="23" t="e">
        <f>EXP(-LN(2)/2)*FS183+(1-EXP(-LN(2)/2))/(LN(2)/2)*FM184*FP184*VLOOKUP('Données projet'!$B$16,Paramètres!$A$1:$I$88,3,0)*0.475*44/12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projet'!$B$17,Paramètres!$A$1:$I$88,3,0)*VLOOKUP('Données projet'!$B$17,Paramètres!$A$1:$I$88,5,0)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projet'!$B$17,Paramètres!$A$1:$I$88,3,0)*0.475*44/12</f>
        <v>#N/A</v>
      </c>
      <c r="GM184" s="23" t="e">
        <f>EXP(-LN(2)/25)*GM183+(1-EXP(-LN(2)/25))/(LN(2)/25)*Calculateur!GH184*Calculateur!GJ184*VLOOKUP('Données projet'!$B$17,Paramètres!$A$1:$I$88,3,0)*0.475*44/12</f>
        <v>#N/A</v>
      </c>
      <c r="GN184" s="23" t="e">
        <f>EXP(-LN(2)/2)*GN183+(1-EXP(-LN(2)/2))/(LN(2)/2)*GH184*GK184*VLOOKUP('Données projet'!$B$17,Paramètres!$A$1:$I$88,3,0)*0.475*44/12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projet'!$B$18,Paramètres!$A$1:$I$88,3,0)*VLOOKUP('Données projet'!$B$18,Paramètres!$A$1:$I$88,5,0)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projet'!$B$18,Paramètres!$A$1:$I$88,3,0)*0.475*44/12</f>
        <v>#N/A</v>
      </c>
      <c r="HH184" s="23" t="e">
        <f>EXP(-LN(2)/25)*HH183+(1-EXP(-LN(2)/25))/(LN(2)/25)*Calculateur!HC184*Calculateur!HE184*VLOOKUP('Données projet'!$B$18,Paramètres!$A$1:$I$88,3,0)*0.475*44/12</f>
        <v>#N/A</v>
      </c>
      <c r="HI184" s="23" t="e">
        <f>EXP(-LN(2)/2)*HI183+(1-EXP(-LN(2)/2))/(LN(2)/2)*HC184*HF184*VLOOKUP('Données projet'!$B$18,Paramètres!$A$1:$I$88,3,0)*0.475*44/12</f>
        <v>#N/A</v>
      </c>
      <c r="HJ184" s="24" t="e">
        <f t="shared" si="190"/>
        <v>#N/A</v>
      </c>
    </row>
    <row r="185" spans="1:218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projet'!$B$9,Paramètres!$A$1:$I$88,3,0)*VLOOKUP('Données projet'!$B$9,Paramètres!$A$1:$I$88,5,0)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289.54032746824549</v>
      </c>
      <c r="S185" s="62">
        <f ca="1">AVERAGE(OFFSET($R$3,0,0,'Données projet'!$E$9+1,1))-AVERAGE(OFFSET($H$3,0,0,'Données projet'!$E$9+1,1))</f>
        <v>301.2688576786212</v>
      </c>
      <c r="T185" s="62">
        <f t="shared" si="142"/>
        <v>417.62172165132927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11.043241235212966</v>
      </c>
      <c r="AA185" s="23">
        <f>EXP(-LN(2)/25)*AA184+(1-EXP(-LN(2)/25))/(LN(2)/25)*Calculateur!V185*Calculateur!X185*VLOOKUP('Données projet'!$B$9,Paramètres!$A$1:$I$88,3,0)*0.475*44/12</f>
        <v>1.2804041147457177</v>
      </c>
      <c r="AB185" s="23">
        <f>EXP(-LN(2)/2)*AB184+(1-EXP(-LN(2)/2))/(LN(2)/2)*V185*Y185*VLOOKUP('Données projet'!$B$9,Paramètres!$A$1:$I$88,3,0)*0.475*44/12</f>
        <v>3.9915984317428655E-19</v>
      </c>
      <c r="AC185" s="24">
        <f t="shared" si="163"/>
        <v>12.323645349958683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projet'!$B$10,Paramètres!$A$1:$I$88,3,0)*VLOOKUP('Données projet'!$B$10,Paramètres!$A$1:$I$88,5,0)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170.08673939431091</v>
      </c>
      <c r="AO185" s="62">
        <f t="shared" si="144"/>
        <v>252.97355497077106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projet'!$B$10,Paramètres!$A$1:$I$88,3,0)*0.475*44/12</f>
        <v>4.6108567060666505</v>
      </c>
      <c r="AV185" s="23">
        <f>EXP(-LN(2)/25)*AV184+(1-EXP(-LN(2)/25))/(LN(2)/25)*Calculateur!AQ185*Calculateur!AS185*VLOOKUP('Données projet'!$B$10,Paramètres!$A$1:$I$88,3,0)*0.475*44/12</f>
        <v>1.2977579708914406</v>
      </c>
      <c r="AW185" s="23">
        <f>EXP(-LN(2)/2)*AW184+(1-EXP(-LN(2)/2))/(LN(2)/2)*AQ185*AT185*VLOOKUP('Données projet'!$B$10,Paramètres!$A$1:$I$88,3,0)*0.475*44/12</f>
        <v>5.1129166869442157E-19</v>
      </c>
      <c r="AX185" s="23">
        <f t="shared" si="166"/>
        <v>5.9086146769580914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-1.1368683772161603E-13</v>
      </c>
      <c r="BE185" s="14">
        <f>BD185*VLOOKUP('Données projet'!$B$11,Paramètres!$A$1:$I$88,3,0)*VLOOKUP('Données projet'!$B$11,Paramètres!$A$1:$I$88,5,0)</f>
        <v>-1.0286385077051818E-13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362.63718589694594</v>
      </c>
      <c r="BJ185" s="62">
        <f t="shared" si="146"/>
        <v>250.47702091764884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projet'!$B$11,Paramètres!$A$1:$I$88,3,0)*0.475*44/12</f>
        <v>25.148719026526869</v>
      </c>
      <c r="BQ185" s="23">
        <f>EXP(-LN(2)/25)*BQ184+(1-EXP(-LN(2)/25))/(LN(2)/25)*Calculateur!BL185*Calculateur!BN185*VLOOKUP('Données projet'!$B$11,Paramètres!$A$1:$I$88,3,0)*0.475*44/12</f>
        <v>0</v>
      </c>
      <c r="BR185" s="23">
        <f>EXP(-LN(2)/2)*BR184+(1-EXP(-LN(2)/2))/(LN(2)/2)*BL185*BO185*VLOOKUP('Données projet'!$B$11,Paramètres!$A$1:$I$88,3,0)*0.475*44/12</f>
        <v>0</v>
      </c>
      <c r="BS185" s="24">
        <f t="shared" si="169"/>
        <v>25.148719026526869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-1.1368683772161603E-13</v>
      </c>
      <c r="BZ185" s="14">
        <f>BY185*VLOOKUP('Données projet'!$B$12,Paramètres!$A$1:$I$88,3,0)*VLOOKUP('Données projet'!$B$12,Paramètres!$A$1:$I$88,5,0)</f>
        <v>-1.1527845344971866E-13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398.14524781940196</v>
      </c>
      <c r="CE185" s="62">
        <f t="shared" si="148"/>
        <v>273.35778700650792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projet'!$B$12,Paramètres!$A$1:$I$88,3,0)*0.475*44/12</f>
        <v>28.183909253866307</v>
      </c>
      <c r="CL185" s="23">
        <f>EXP(-LN(2)/25)*CL184+(1-EXP(-LN(2)/25))/(LN(2)/25)*Calculateur!CG185*Calculateur!CI185*VLOOKUP('Données projet'!$B$12,Paramètres!$A$1:$I$88,3,0)*0.475*44/12</f>
        <v>0</v>
      </c>
      <c r="CM185" s="23">
        <f>EXP(-LN(2)/2)*CM184+(1-EXP(-LN(2)/2))/(LN(2)/2)*CG185*CJ185*VLOOKUP('Données projet'!$B$12,Paramètres!$A$1:$I$88,3,0)*0.475*44/12</f>
        <v>0</v>
      </c>
      <c r="CN185" s="24">
        <f t="shared" si="172"/>
        <v>28.183909253866307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118</v>
      </c>
      <c r="CU185" s="18">
        <f>CT185*VLOOKUP('Données projet'!$B$13,Paramètres!$A$1:$I$88,3,0)*VLOOKUP('Données projet'!$B$13,Paramètres!$A$1:$I$88,5,0)</f>
        <v>112.28880000000001</v>
      </c>
      <c r="CV185" s="14">
        <f t="shared" si="173"/>
        <v>29.869595672288149</v>
      </c>
      <c r="CW185" s="22">
        <f t="shared" si="174"/>
        <v>247.59253912923518</v>
      </c>
      <c r="CX185" s="62">
        <f t="shared" si="122"/>
        <v>537.13286659747962</v>
      </c>
      <c r="CY185" s="62">
        <f ca="1">AVERAGE(OFFSET($CX$3,0,0,'Données projet'!$E$13+1,1))-AVERAGE(OFFSET($H$3,0,0,'Données projet'!$E$13+1,1))</f>
        <v>470.0521927195926</v>
      </c>
      <c r="CZ185" s="62">
        <f t="shared" si="150"/>
        <v>299.27200854723435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projet'!$B$13,Paramètres!$A$1:$I$88,3,0)*0.475*44/12</f>
        <v>26.449514838243793</v>
      </c>
      <c r="DG185" s="23">
        <f>EXP(-LN(2)/25)*DG184+(1-EXP(-LN(2)/25))/(LN(2)/25)*Calculateur!DB185*Calculateur!DD185*VLOOKUP('Données projet'!$B$13,Paramètres!$A$1:$I$88,3,0)*0.475*44/12</f>
        <v>0</v>
      </c>
      <c r="DH185" s="23">
        <f>EXP(-LN(2)/2)*DH184+(1-EXP(-LN(2)/2))/(LN(2)/2)*DB185*DE185*VLOOKUP('Données projet'!$B$13,Paramètres!$A$1:$I$88,3,0)*0.475*44/12</f>
        <v>0</v>
      </c>
      <c r="DI185" s="24">
        <f t="shared" si="175"/>
        <v>26.449514838243793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-1.4210854715202004E-13</v>
      </c>
      <c r="DP185" s="18">
        <f>DO185*VLOOKUP('Données projet'!$B$14,Paramètres!$A$1:$I$88,3,0)*VLOOKUP('Données projet'!$B$14,Paramètres!$A$1:$I$88,5,0)</f>
        <v>-1.3744738680543379E-13</v>
      </c>
      <c r="DQ185" s="14" t="e">
        <f t="shared" si="176"/>
        <v>#NUM!</v>
      </c>
      <c r="DR185" s="22" t="e">
        <f t="shared" si="177"/>
        <v>#NUM!</v>
      </c>
      <c r="DS185" s="62" t="e">
        <f t="shared" si="125"/>
        <v>#NUM!</v>
      </c>
      <c r="DT185" s="62">
        <f ca="1">AVERAGE(OFFSET($DS$3,0,0,'Données projet'!$E$14+1,1))-AVERAGE(OFFSET($H$3,0,0,'Données projet'!$E$14+1,1))</f>
        <v>290.89727102147953</v>
      </c>
      <c r="DU185" s="62">
        <f t="shared" si="152"/>
        <v>173.19148969173838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projet'!$B$14,Paramètres!$A$1:$I$88,3,0)*0.475*44/12</f>
        <v>20.097143532730904</v>
      </c>
      <c r="EB185" s="23">
        <f>EXP(-LN(2)/25)*EB184+(1-EXP(-LN(2)/25))/(LN(2)/25)*Calculateur!DW185*Calculateur!DY185*VLOOKUP('Données projet'!$B$14,Paramètres!$A$1:$I$88,3,0)*0.475*44/12</f>
        <v>0</v>
      </c>
      <c r="EC185" s="23">
        <f>EXP(-LN(2)/2)*EC184+(1-EXP(-LN(2)/2))/(LN(2)/2)*DW185*DZ185*VLOOKUP('Données projet'!$B$14,Paramètres!$A$1:$I$88,3,0)*0.475*44/12</f>
        <v>0</v>
      </c>
      <c r="ED185" s="24">
        <f t="shared" si="178"/>
        <v>20.097143532730904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projet'!$B$15,Paramètres!$A$1:$I$88,3,0)*VLOOKUP('Données projet'!$B$15,Paramètres!$A$1:$I$88,5,0)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projet'!$B$15,Paramètres!$A$1:$I$88,3,0)*0.475*44/12</f>
        <v>#N/A</v>
      </c>
      <c r="EW185" s="23" t="e">
        <f>EXP(-LN(2)/25)*EW184+(1-EXP(-LN(2)/25))/(LN(2)/25)*Calculateur!ER185*Calculateur!ET185*VLOOKUP('Données projet'!$B$15,Paramètres!$A$1:$I$88,3,0)*0.475*44/12</f>
        <v>#N/A</v>
      </c>
      <c r="EX185" s="23" t="e">
        <f>EXP(-LN(2)/2)*EX184+(1-EXP(-LN(2)/2))/(LN(2)/2)*ER185*EU185*VLOOKUP('Données projet'!$B$15,Paramètres!$A$1:$I$88,3,0)*0.475*44/12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projet'!$B$16,Paramètres!$A$1:$I$88,3,0)*VLOOKUP('Données projet'!$B$16,Paramètres!$A$1:$I$88,5,0)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projet'!$B$16,Paramètres!$A$1:$I$88,3,0)*0.475*44/12</f>
        <v>#N/A</v>
      </c>
      <c r="FR185" s="23" t="e">
        <f>EXP(-LN(2)/25)*FR184+(1-EXP(-LN(2)/25))/(LN(2)/25)*Calculateur!FM185*Calculateur!FO185*VLOOKUP('Données projet'!$B$16,Paramètres!$A$1:$I$88,3,0)*0.475*44/12</f>
        <v>#N/A</v>
      </c>
      <c r="FS185" s="23" t="e">
        <f>EXP(-LN(2)/2)*FS184+(1-EXP(-LN(2)/2))/(LN(2)/2)*FM185*FP185*VLOOKUP('Données projet'!$B$16,Paramètres!$A$1:$I$88,3,0)*0.475*44/12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projet'!$B$17,Paramètres!$A$1:$I$88,3,0)*VLOOKUP('Données projet'!$B$17,Paramètres!$A$1:$I$88,5,0)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projet'!$B$17,Paramètres!$A$1:$I$88,3,0)*0.475*44/12</f>
        <v>#N/A</v>
      </c>
      <c r="GM185" s="23" t="e">
        <f>EXP(-LN(2)/25)*GM184+(1-EXP(-LN(2)/25))/(LN(2)/25)*Calculateur!GH185*Calculateur!GJ185*VLOOKUP('Données projet'!$B$17,Paramètres!$A$1:$I$88,3,0)*0.475*44/12</f>
        <v>#N/A</v>
      </c>
      <c r="GN185" s="23" t="e">
        <f>EXP(-LN(2)/2)*GN184+(1-EXP(-LN(2)/2))/(LN(2)/2)*GH185*GK185*VLOOKUP('Données projet'!$B$17,Paramètres!$A$1:$I$88,3,0)*0.475*44/12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projet'!$B$18,Paramètres!$A$1:$I$88,3,0)*VLOOKUP('Données projet'!$B$18,Paramètres!$A$1:$I$88,5,0)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projet'!$B$18,Paramètres!$A$1:$I$88,3,0)*0.475*44/12</f>
        <v>#N/A</v>
      </c>
      <c r="HH185" s="23" t="e">
        <f>EXP(-LN(2)/25)*HH184+(1-EXP(-LN(2)/25))/(LN(2)/25)*Calculateur!HC185*Calculateur!HE185*VLOOKUP('Données projet'!$B$18,Paramètres!$A$1:$I$88,3,0)*0.475*44/12</f>
        <v>#N/A</v>
      </c>
      <c r="HI185" s="23" t="e">
        <f>EXP(-LN(2)/2)*HI184+(1-EXP(-LN(2)/2))/(LN(2)/2)*HC185*HF185*VLOOKUP('Données projet'!$B$18,Paramètres!$A$1:$I$88,3,0)*0.475*44/12</f>
        <v>#N/A</v>
      </c>
      <c r="HJ185" s="24" t="e">
        <f t="shared" si="190"/>
        <v>#N/A</v>
      </c>
    </row>
    <row r="186" spans="1:218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projet'!$B$9,Paramètres!$A$1:$I$88,3,0)*VLOOKUP('Données projet'!$B$9,Paramètres!$A$1:$I$88,5,0)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289.60612764011404</v>
      </c>
      <c r="S186" s="62">
        <f ca="1">AVERAGE(OFFSET($R$3,0,0,'Données projet'!$E$9+1,1))-AVERAGE(OFFSET($H$3,0,0,'Données projet'!$E$9+1,1))</f>
        <v>301.2688576786212</v>
      </c>
      <c r="T186" s="62">
        <f t="shared" si="142"/>
        <v>417.62172165132927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10.826690010302496</v>
      </c>
      <c r="AA186" s="23">
        <f>EXP(-LN(2)/25)*AA185+(1-EXP(-LN(2)/25))/(LN(2)/25)*Calculateur!V186*Calculateur!X186*VLOOKUP('Données projet'!$B$9,Paramètres!$A$1:$I$88,3,0)*0.475*44/12</f>
        <v>1.2453913968944701</v>
      </c>
      <c r="AB186" s="23">
        <f>EXP(-LN(2)/2)*AB185+(1-EXP(-LN(2)/2))/(LN(2)/2)*V186*Y186*VLOOKUP('Données projet'!$B$9,Paramètres!$A$1:$I$88,3,0)*0.475*44/12</f>
        <v>2.8224863188589686E-19</v>
      </c>
      <c r="AC186" s="24">
        <f t="shared" si="163"/>
        <v>12.072081407196967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projet'!$B$10,Paramètres!$A$1:$I$88,3,0)*VLOOKUP('Données projet'!$B$10,Paramètres!$A$1:$I$88,5,0)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170.08673939431091</v>
      </c>
      <c r="AO186" s="62">
        <f t="shared" si="144"/>
        <v>252.97355497077106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projet'!$B$10,Paramètres!$A$1:$I$88,3,0)*0.475*44/12</f>
        <v>4.5204406184055781</v>
      </c>
      <c r="AV186" s="23">
        <f>EXP(-LN(2)/25)*AV185+(1-EXP(-LN(2)/25))/(LN(2)/25)*Calculateur!AQ186*Calculateur!AS186*VLOOKUP('Données projet'!$B$10,Paramètres!$A$1:$I$88,3,0)*0.475*44/12</f>
        <v>1.2622707109312885</v>
      </c>
      <c r="AW186" s="23">
        <f>EXP(-LN(2)/2)*AW185+(1-EXP(-LN(2)/2))/(LN(2)/2)*AQ186*AT186*VLOOKUP('Données projet'!$B$10,Paramètres!$A$1:$I$88,3,0)*0.475*44/12</f>
        <v>3.6153780609801111E-19</v>
      </c>
      <c r="AX186" s="23">
        <f t="shared" si="166"/>
        <v>5.7827113293368662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-1.1368683772161603E-13</v>
      </c>
      <c r="BE186" s="14">
        <f>BD186*VLOOKUP('Données projet'!$B$11,Paramètres!$A$1:$I$88,3,0)*VLOOKUP('Données projet'!$B$11,Paramètres!$A$1:$I$88,5,0)</f>
        <v>-1.0286385077051818E-13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362.63718589694594</v>
      </c>
      <c r="BJ186" s="62">
        <f t="shared" si="146"/>
        <v>250.47702091764884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projet'!$B$11,Paramètres!$A$1:$I$88,3,0)*0.475*44/12</f>
        <v>24.655567985620664</v>
      </c>
      <c r="BQ186" s="23">
        <f>EXP(-LN(2)/25)*BQ185+(1-EXP(-LN(2)/25))/(LN(2)/25)*Calculateur!BL186*Calculateur!BN186*VLOOKUP('Données projet'!$B$11,Paramètres!$A$1:$I$88,3,0)*0.475*44/12</f>
        <v>0</v>
      </c>
      <c r="BR186" s="23">
        <f>EXP(-LN(2)/2)*BR185+(1-EXP(-LN(2)/2))/(LN(2)/2)*BL186*BO186*VLOOKUP('Données projet'!$B$11,Paramètres!$A$1:$I$88,3,0)*0.475*44/12</f>
        <v>0</v>
      </c>
      <c r="BS186" s="24">
        <f t="shared" si="169"/>
        <v>24.655567985620664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-1.1368683772161603E-13</v>
      </c>
      <c r="BZ186" s="14">
        <f>BY186*VLOOKUP('Données projet'!$B$12,Paramètres!$A$1:$I$88,3,0)*VLOOKUP('Données projet'!$B$12,Paramètres!$A$1:$I$88,5,0)</f>
        <v>-1.1527845344971866E-13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398.14524781940196</v>
      </c>
      <c r="CE186" s="62">
        <f t="shared" si="148"/>
        <v>273.35778700650792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projet'!$B$12,Paramètres!$A$1:$I$88,3,0)*0.475*44/12</f>
        <v>27.631239983885216</v>
      </c>
      <c r="CL186" s="23">
        <f>EXP(-LN(2)/25)*CL185+(1-EXP(-LN(2)/25))/(LN(2)/25)*Calculateur!CG186*Calculateur!CI186*VLOOKUP('Données projet'!$B$12,Paramètres!$A$1:$I$88,3,0)*0.475*44/12</f>
        <v>0</v>
      </c>
      <c r="CM186" s="23">
        <f>EXP(-LN(2)/2)*CM185+(1-EXP(-LN(2)/2))/(LN(2)/2)*CG186*CJ186*VLOOKUP('Données projet'!$B$12,Paramètres!$A$1:$I$88,3,0)*0.475*44/12</f>
        <v>0</v>
      </c>
      <c r="CN186" s="24">
        <f t="shared" si="172"/>
        <v>27.631239983885216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118</v>
      </c>
      <c r="CU186" s="18">
        <f>CT186*VLOOKUP('Données projet'!$B$13,Paramètres!$A$1:$I$88,3,0)*VLOOKUP('Données projet'!$B$13,Paramètres!$A$1:$I$88,5,0)</f>
        <v>112.28880000000001</v>
      </c>
      <c r="CV186" s="14">
        <f t="shared" si="173"/>
        <v>29.869595672288149</v>
      </c>
      <c r="CW186" s="22">
        <f t="shared" si="174"/>
        <v>247.59253912923518</v>
      </c>
      <c r="CX186" s="62">
        <f t="shared" si="122"/>
        <v>537.19866676934816</v>
      </c>
      <c r="CY186" s="62">
        <f ca="1">AVERAGE(OFFSET($CX$3,0,0,'Données projet'!$E$13+1,1))-AVERAGE(OFFSET($H$3,0,0,'Données projet'!$E$13+1,1))</f>
        <v>470.0521927195926</v>
      </c>
      <c r="CZ186" s="62">
        <f t="shared" si="150"/>
        <v>299.27200854723435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projet'!$B$13,Paramètres!$A$1:$I$88,3,0)*0.475*44/12</f>
        <v>25.930855984876921</v>
      </c>
      <c r="DG186" s="23">
        <f>EXP(-LN(2)/25)*DG185+(1-EXP(-LN(2)/25))/(LN(2)/25)*Calculateur!DB186*Calculateur!DD186*VLOOKUP('Données projet'!$B$13,Paramètres!$A$1:$I$88,3,0)*0.475*44/12</f>
        <v>0</v>
      </c>
      <c r="DH186" s="23">
        <f>EXP(-LN(2)/2)*DH185+(1-EXP(-LN(2)/2))/(LN(2)/2)*DB186*DE186*VLOOKUP('Données projet'!$B$13,Paramètres!$A$1:$I$88,3,0)*0.475*44/12</f>
        <v>0</v>
      </c>
      <c r="DI186" s="24">
        <f t="shared" si="175"/>
        <v>25.930855984876921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-1.4210854715202004E-13</v>
      </c>
      <c r="DP186" s="18">
        <f>DO186*VLOOKUP('Données projet'!$B$14,Paramètres!$A$1:$I$88,3,0)*VLOOKUP('Données projet'!$B$14,Paramètres!$A$1:$I$88,5,0)</f>
        <v>-1.3744738680543379E-13</v>
      </c>
      <c r="DQ186" s="14" t="e">
        <f t="shared" si="176"/>
        <v>#NUM!</v>
      </c>
      <c r="DR186" s="22" t="e">
        <f t="shared" si="177"/>
        <v>#NUM!</v>
      </c>
      <c r="DS186" s="62" t="e">
        <f t="shared" si="125"/>
        <v>#NUM!</v>
      </c>
      <c r="DT186" s="62">
        <f ca="1">AVERAGE(OFFSET($DS$3,0,0,'Données projet'!$E$14+1,1))-AVERAGE(OFFSET($H$3,0,0,'Données projet'!$E$14+1,1))</f>
        <v>290.89727102147953</v>
      </c>
      <c r="DU186" s="62">
        <f t="shared" si="152"/>
        <v>173.19148969173838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projet'!$B$14,Paramètres!$A$1:$I$88,3,0)*0.475*44/12</f>
        <v>19.703050806101224</v>
      </c>
      <c r="EB186" s="23">
        <f>EXP(-LN(2)/25)*EB185+(1-EXP(-LN(2)/25))/(LN(2)/25)*Calculateur!DW186*Calculateur!DY186*VLOOKUP('Données projet'!$B$14,Paramètres!$A$1:$I$88,3,0)*0.475*44/12</f>
        <v>0</v>
      </c>
      <c r="EC186" s="23">
        <f>EXP(-LN(2)/2)*EC185+(1-EXP(-LN(2)/2))/(LN(2)/2)*DW186*DZ186*VLOOKUP('Données projet'!$B$14,Paramètres!$A$1:$I$88,3,0)*0.475*44/12</f>
        <v>0</v>
      </c>
      <c r="ED186" s="24">
        <f t="shared" si="178"/>
        <v>19.703050806101224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projet'!$B$15,Paramètres!$A$1:$I$88,3,0)*VLOOKUP('Données projet'!$B$15,Paramètres!$A$1:$I$88,5,0)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projet'!$B$15,Paramètres!$A$1:$I$88,3,0)*0.475*44/12</f>
        <v>#N/A</v>
      </c>
      <c r="EW186" s="23" t="e">
        <f>EXP(-LN(2)/25)*EW185+(1-EXP(-LN(2)/25))/(LN(2)/25)*Calculateur!ER186*Calculateur!ET186*VLOOKUP('Données projet'!$B$15,Paramètres!$A$1:$I$88,3,0)*0.475*44/12</f>
        <v>#N/A</v>
      </c>
      <c r="EX186" s="23" t="e">
        <f>EXP(-LN(2)/2)*EX185+(1-EXP(-LN(2)/2))/(LN(2)/2)*ER186*EU186*VLOOKUP('Données projet'!$B$15,Paramètres!$A$1:$I$88,3,0)*0.475*44/12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projet'!$B$16,Paramètres!$A$1:$I$88,3,0)*VLOOKUP('Données projet'!$B$16,Paramètres!$A$1:$I$88,5,0)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projet'!$B$16,Paramètres!$A$1:$I$88,3,0)*0.475*44/12</f>
        <v>#N/A</v>
      </c>
      <c r="FR186" s="23" t="e">
        <f>EXP(-LN(2)/25)*FR185+(1-EXP(-LN(2)/25))/(LN(2)/25)*Calculateur!FM186*Calculateur!FO186*VLOOKUP('Données projet'!$B$16,Paramètres!$A$1:$I$88,3,0)*0.475*44/12</f>
        <v>#N/A</v>
      </c>
      <c r="FS186" s="23" t="e">
        <f>EXP(-LN(2)/2)*FS185+(1-EXP(-LN(2)/2))/(LN(2)/2)*FM186*FP186*VLOOKUP('Données projet'!$B$16,Paramètres!$A$1:$I$88,3,0)*0.475*44/12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projet'!$B$17,Paramètres!$A$1:$I$88,3,0)*VLOOKUP('Données projet'!$B$17,Paramètres!$A$1:$I$88,5,0)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projet'!$B$17,Paramètres!$A$1:$I$88,3,0)*0.475*44/12</f>
        <v>#N/A</v>
      </c>
      <c r="GM186" s="23" t="e">
        <f>EXP(-LN(2)/25)*GM185+(1-EXP(-LN(2)/25))/(LN(2)/25)*Calculateur!GH186*Calculateur!GJ186*VLOOKUP('Données projet'!$B$17,Paramètres!$A$1:$I$88,3,0)*0.475*44/12</f>
        <v>#N/A</v>
      </c>
      <c r="GN186" s="23" t="e">
        <f>EXP(-LN(2)/2)*GN185+(1-EXP(-LN(2)/2))/(LN(2)/2)*GH186*GK186*VLOOKUP('Données projet'!$B$17,Paramètres!$A$1:$I$88,3,0)*0.475*44/12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projet'!$B$18,Paramètres!$A$1:$I$88,3,0)*VLOOKUP('Données projet'!$B$18,Paramètres!$A$1:$I$88,5,0)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projet'!$B$18,Paramètres!$A$1:$I$88,3,0)*0.475*44/12</f>
        <v>#N/A</v>
      </c>
      <c r="HH186" s="23" t="e">
        <f>EXP(-LN(2)/25)*HH185+(1-EXP(-LN(2)/25))/(LN(2)/25)*Calculateur!HC186*Calculateur!HE186*VLOOKUP('Données projet'!$B$18,Paramètres!$A$1:$I$88,3,0)*0.475*44/12</f>
        <v>#N/A</v>
      </c>
      <c r="HI186" s="23" t="e">
        <f>EXP(-LN(2)/2)*HI185+(1-EXP(-LN(2)/2))/(LN(2)/2)*HC186*HF186*VLOOKUP('Données projet'!$B$18,Paramètres!$A$1:$I$88,3,0)*0.475*44/12</f>
        <v>#N/A</v>
      </c>
      <c r="HJ186" s="24" t="e">
        <f t="shared" si="190"/>
        <v>#N/A</v>
      </c>
    </row>
    <row r="187" spans="1:218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projet'!$B$9,Paramètres!$A$1:$I$88,3,0)*VLOOKUP('Données projet'!$B$9,Paramètres!$A$1:$I$88,5,0)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289.67078632610782</v>
      </c>
      <c r="S187" s="62">
        <f ca="1">AVERAGE(OFFSET($R$3,0,0,'Données projet'!$E$9+1,1))-AVERAGE(OFFSET($H$3,0,0,'Données projet'!$E$9+1,1))</f>
        <v>301.2688576786212</v>
      </c>
      <c r="T187" s="62">
        <f t="shared" si="142"/>
        <v>417.62172165132927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10.614385222829316</v>
      </c>
      <c r="AA187" s="23">
        <f>EXP(-LN(2)/25)*AA186+(1-EXP(-LN(2)/25))/(LN(2)/25)*Calculateur!V187*Calculateur!X187*VLOOKUP('Données projet'!$B$9,Paramètres!$A$1:$I$88,3,0)*0.475*44/12</f>
        <v>1.2113361036541037</v>
      </c>
      <c r="AB187" s="23">
        <f>EXP(-LN(2)/2)*AB186+(1-EXP(-LN(2)/2))/(LN(2)/2)*V187*Y187*VLOOKUP('Données projet'!$B$9,Paramètres!$A$1:$I$88,3,0)*0.475*44/12</f>
        <v>1.9957992158714327E-19</v>
      </c>
      <c r="AC187" s="24">
        <f t="shared" si="163"/>
        <v>11.82572132648342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projet'!$B$10,Paramètres!$A$1:$I$88,3,0)*VLOOKUP('Données projet'!$B$10,Paramètres!$A$1:$I$88,5,0)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170.08673939431091</v>
      </c>
      <c r="AO187" s="62">
        <f t="shared" si="144"/>
        <v>252.97355497077106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projet'!$B$10,Paramètres!$A$1:$I$88,3,0)*0.475*44/12</f>
        <v>4.4317975350751713</v>
      </c>
      <c r="AV187" s="23">
        <f>EXP(-LN(2)/25)*AV186+(1-EXP(-LN(2)/25))/(LN(2)/25)*Calculateur!AQ187*Calculateur!AS187*VLOOKUP('Données projet'!$B$10,Paramètres!$A$1:$I$88,3,0)*0.475*44/12</f>
        <v>1.2277538519609408</v>
      </c>
      <c r="AW187" s="23">
        <f>EXP(-LN(2)/2)*AW186+(1-EXP(-LN(2)/2))/(LN(2)/2)*AQ187*AT187*VLOOKUP('Données projet'!$B$10,Paramètres!$A$1:$I$88,3,0)*0.475*44/12</f>
        <v>2.5564583434721079E-19</v>
      </c>
      <c r="AX187" s="23">
        <f t="shared" si="166"/>
        <v>5.659551387036112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-1.1368683772161603E-13</v>
      </c>
      <c r="BE187" s="14">
        <f>BD187*VLOOKUP('Données projet'!$B$11,Paramètres!$A$1:$I$88,3,0)*VLOOKUP('Données projet'!$B$11,Paramètres!$A$1:$I$88,5,0)</f>
        <v>-1.0286385077051818E-13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362.63718589694594</v>
      </c>
      <c r="BJ187" s="62">
        <f t="shared" si="146"/>
        <v>250.47702091764884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projet'!$B$11,Paramètres!$A$1:$I$88,3,0)*0.475*44/12</f>
        <v>24.172087335834195</v>
      </c>
      <c r="BQ187" s="23">
        <f>EXP(-LN(2)/25)*BQ186+(1-EXP(-LN(2)/25))/(LN(2)/25)*Calculateur!BL187*Calculateur!BN187*VLOOKUP('Données projet'!$B$11,Paramètres!$A$1:$I$88,3,0)*0.475*44/12</f>
        <v>0</v>
      </c>
      <c r="BR187" s="23">
        <f>EXP(-LN(2)/2)*BR186+(1-EXP(-LN(2)/2))/(LN(2)/2)*BL187*BO187*VLOOKUP('Données projet'!$B$11,Paramètres!$A$1:$I$88,3,0)*0.475*44/12</f>
        <v>0</v>
      </c>
      <c r="BS187" s="24">
        <f t="shared" si="169"/>
        <v>24.172087335834195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-1.1368683772161603E-13</v>
      </c>
      <c r="BZ187" s="14">
        <f>BY187*VLOOKUP('Données projet'!$B$12,Paramètres!$A$1:$I$88,3,0)*VLOOKUP('Données projet'!$B$12,Paramètres!$A$1:$I$88,5,0)</f>
        <v>-1.1527845344971866E-13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398.14524781940196</v>
      </c>
      <c r="CE187" s="62">
        <f t="shared" si="148"/>
        <v>273.35778700650792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projet'!$B$12,Paramètres!$A$1:$I$88,3,0)*0.475*44/12</f>
        <v>27.089408221193484</v>
      </c>
      <c r="CL187" s="23">
        <f>EXP(-LN(2)/25)*CL186+(1-EXP(-LN(2)/25))/(LN(2)/25)*Calculateur!CG187*Calculateur!CI187*VLOOKUP('Données projet'!$B$12,Paramètres!$A$1:$I$88,3,0)*0.475*44/12</f>
        <v>0</v>
      </c>
      <c r="CM187" s="23">
        <f>EXP(-LN(2)/2)*CM186+(1-EXP(-LN(2)/2))/(LN(2)/2)*CG187*CJ187*VLOOKUP('Données projet'!$B$12,Paramètres!$A$1:$I$88,3,0)*0.475*44/12</f>
        <v>0</v>
      </c>
      <c r="CN187" s="24">
        <f t="shared" si="172"/>
        <v>27.089408221193484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118</v>
      </c>
      <c r="CU187" s="18">
        <f>CT187*VLOOKUP('Données projet'!$B$13,Paramètres!$A$1:$I$88,3,0)*VLOOKUP('Données projet'!$B$13,Paramètres!$A$1:$I$88,5,0)</f>
        <v>112.28880000000001</v>
      </c>
      <c r="CV187" s="14">
        <f t="shared" si="173"/>
        <v>29.869595672288149</v>
      </c>
      <c r="CW187" s="22">
        <f t="shared" si="174"/>
        <v>247.59253912923518</v>
      </c>
      <c r="CX187" s="62">
        <f t="shared" si="122"/>
        <v>537.26332545534194</v>
      </c>
      <c r="CY187" s="62">
        <f ca="1">AVERAGE(OFFSET($CX$3,0,0,'Données projet'!$E$13+1,1))-AVERAGE(OFFSET($H$3,0,0,'Données projet'!$E$13+1,1))</f>
        <v>470.0521927195926</v>
      </c>
      <c r="CZ187" s="62">
        <f t="shared" si="150"/>
        <v>299.27200854723435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projet'!$B$13,Paramètres!$A$1:$I$88,3,0)*0.475*44/12</f>
        <v>25.422367715273911</v>
      </c>
      <c r="DG187" s="23">
        <f>EXP(-LN(2)/25)*DG186+(1-EXP(-LN(2)/25))/(LN(2)/25)*Calculateur!DB187*Calculateur!DD187*VLOOKUP('Données projet'!$B$13,Paramètres!$A$1:$I$88,3,0)*0.475*44/12</f>
        <v>0</v>
      </c>
      <c r="DH187" s="23">
        <f>EXP(-LN(2)/2)*DH186+(1-EXP(-LN(2)/2))/(LN(2)/2)*DB187*DE187*VLOOKUP('Données projet'!$B$13,Paramètres!$A$1:$I$88,3,0)*0.475*44/12</f>
        <v>0</v>
      </c>
      <c r="DI187" s="24">
        <f t="shared" si="175"/>
        <v>25.422367715273911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-1.4210854715202004E-13</v>
      </c>
      <c r="DP187" s="18">
        <f>DO187*VLOOKUP('Données projet'!$B$14,Paramètres!$A$1:$I$88,3,0)*VLOOKUP('Données projet'!$B$14,Paramètres!$A$1:$I$88,5,0)</f>
        <v>-1.3744738680543379E-13</v>
      </c>
      <c r="DQ187" s="14" t="e">
        <f t="shared" si="176"/>
        <v>#NUM!</v>
      </c>
      <c r="DR187" s="22" t="e">
        <f t="shared" si="177"/>
        <v>#NUM!</v>
      </c>
      <c r="DS187" s="62" t="e">
        <f t="shared" si="125"/>
        <v>#NUM!</v>
      </c>
      <c r="DT187" s="62">
        <f ca="1">AVERAGE(OFFSET($DS$3,0,0,'Données projet'!$E$14+1,1))-AVERAGE(OFFSET($H$3,0,0,'Données projet'!$E$14+1,1))</f>
        <v>290.89727102147953</v>
      </c>
      <c r="DU187" s="62">
        <f t="shared" si="152"/>
        <v>173.19148969173838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projet'!$B$14,Paramètres!$A$1:$I$88,3,0)*0.475*44/12</f>
        <v>19.316685997467925</v>
      </c>
      <c r="EB187" s="23">
        <f>EXP(-LN(2)/25)*EB186+(1-EXP(-LN(2)/25))/(LN(2)/25)*Calculateur!DW187*Calculateur!DY187*VLOOKUP('Données projet'!$B$14,Paramètres!$A$1:$I$88,3,0)*0.475*44/12</f>
        <v>0</v>
      </c>
      <c r="EC187" s="23">
        <f>EXP(-LN(2)/2)*EC186+(1-EXP(-LN(2)/2))/(LN(2)/2)*DW187*DZ187*VLOOKUP('Données projet'!$B$14,Paramètres!$A$1:$I$88,3,0)*0.475*44/12</f>
        <v>0</v>
      </c>
      <c r="ED187" s="24">
        <f t="shared" si="178"/>
        <v>19.316685997467925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projet'!$B$15,Paramètres!$A$1:$I$88,3,0)*VLOOKUP('Données projet'!$B$15,Paramètres!$A$1:$I$88,5,0)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projet'!$B$15,Paramètres!$A$1:$I$88,3,0)*0.475*44/12</f>
        <v>#N/A</v>
      </c>
      <c r="EW187" s="23" t="e">
        <f>EXP(-LN(2)/25)*EW186+(1-EXP(-LN(2)/25))/(LN(2)/25)*Calculateur!ER187*Calculateur!ET187*VLOOKUP('Données projet'!$B$15,Paramètres!$A$1:$I$88,3,0)*0.475*44/12</f>
        <v>#N/A</v>
      </c>
      <c r="EX187" s="23" t="e">
        <f>EXP(-LN(2)/2)*EX186+(1-EXP(-LN(2)/2))/(LN(2)/2)*ER187*EU187*VLOOKUP('Données projet'!$B$15,Paramètres!$A$1:$I$88,3,0)*0.475*44/12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projet'!$B$16,Paramètres!$A$1:$I$88,3,0)*VLOOKUP('Données projet'!$B$16,Paramètres!$A$1:$I$88,5,0)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projet'!$B$16,Paramètres!$A$1:$I$88,3,0)*0.475*44/12</f>
        <v>#N/A</v>
      </c>
      <c r="FR187" s="23" t="e">
        <f>EXP(-LN(2)/25)*FR186+(1-EXP(-LN(2)/25))/(LN(2)/25)*Calculateur!FM187*Calculateur!FO187*VLOOKUP('Données projet'!$B$16,Paramètres!$A$1:$I$88,3,0)*0.475*44/12</f>
        <v>#N/A</v>
      </c>
      <c r="FS187" s="23" t="e">
        <f>EXP(-LN(2)/2)*FS186+(1-EXP(-LN(2)/2))/(LN(2)/2)*FM187*FP187*VLOOKUP('Données projet'!$B$16,Paramètres!$A$1:$I$88,3,0)*0.475*44/12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projet'!$B$17,Paramètres!$A$1:$I$88,3,0)*VLOOKUP('Données projet'!$B$17,Paramètres!$A$1:$I$88,5,0)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projet'!$B$17,Paramètres!$A$1:$I$88,3,0)*0.475*44/12</f>
        <v>#N/A</v>
      </c>
      <c r="GM187" s="23" t="e">
        <f>EXP(-LN(2)/25)*GM186+(1-EXP(-LN(2)/25))/(LN(2)/25)*Calculateur!GH187*Calculateur!GJ187*VLOOKUP('Données projet'!$B$17,Paramètres!$A$1:$I$88,3,0)*0.475*44/12</f>
        <v>#N/A</v>
      </c>
      <c r="GN187" s="23" t="e">
        <f>EXP(-LN(2)/2)*GN186+(1-EXP(-LN(2)/2))/(LN(2)/2)*GH187*GK187*VLOOKUP('Données projet'!$B$17,Paramètres!$A$1:$I$88,3,0)*0.475*44/12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projet'!$B$18,Paramètres!$A$1:$I$88,3,0)*VLOOKUP('Données projet'!$B$18,Paramètres!$A$1:$I$88,5,0)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projet'!$B$18,Paramètres!$A$1:$I$88,3,0)*0.475*44/12</f>
        <v>#N/A</v>
      </c>
      <c r="HH187" s="23" t="e">
        <f>EXP(-LN(2)/25)*HH186+(1-EXP(-LN(2)/25))/(LN(2)/25)*Calculateur!HC187*Calculateur!HE187*VLOOKUP('Données projet'!$B$18,Paramètres!$A$1:$I$88,3,0)*0.475*44/12</f>
        <v>#N/A</v>
      </c>
      <c r="HI187" s="23" t="e">
        <f>EXP(-LN(2)/2)*HI186+(1-EXP(-LN(2)/2))/(LN(2)/2)*HC187*HF187*VLOOKUP('Données projet'!$B$18,Paramètres!$A$1:$I$88,3,0)*0.475*44/12</f>
        <v>#N/A</v>
      </c>
      <c r="HJ187" s="24" t="e">
        <f t="shared" si="190"/>
        <v>#N/A</v>
      </c>
    </row>
    <row r="188" spans="1:218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projet'!$B$9,Paramètres!$A$1:$I$88,3,0)*VLOOKUP('Données projet'!$B$9,Paramètres!$A$1:$I$88,5,0)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289.73432332845482</v>
      </c>
      <c r="S188" s="62">
        <f ca="1">AVERAGE(OFFSET($R$3,0,0,'Données projet'!$E$9+1,1))-AVERAGE(OFFSET($H$3,0,0,'Données projet'!$E$9+1,1))</f>
        <v>301.2688576786212</v>
      </c>
      <c r="T188" s="62">
        <f t="shared" si="142"/>
        <v>417.62172165132927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10.406243602745352</v>
      </c>
      <c r="AA188" s="23">
        <f>EXP(-LN(2)/25)*AA187+(1-EXP(-LN(2)/25))/(LN(2)/25)*Calculateur!V188*Calculateur!X188*VLOOKUP('Données projet'!$B$9,Paramètres!$A$1:$I$88,3,0)*0.475*44/12</f>
        <v>1.178212054198285</v>
      </c>
      <c r="AB188" s="23">
        <f>EXP(-LN(2)/2)*AB187+(1-EXP(-LN(2)/2))/(LN(2)/2)*V188*Y188*VLOOKUP('Données projet'!$B$9,Paramètres!$A$1:$I$88,3,0)*0.475*44/12</f>
        <v>1.4112431594294843E-19</v>
      </c>
      <c r="AC188" s="24">
        <f t="shared" si="163"/>
        <v>11.584455656943637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projet'!$B$10,Paramètres!$A$1:$I$88,3,0)*VLOOKUP('Données projet'!$B$10,Paramètres!$A$1:$I$88,5,0)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170.08673939431091</v>
      </c>
      <c r="AO188" s="62">
        <f t="shared" si="144"/>
        <v>252.97355497077106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projet'!$B$10,Paramètres!$A$1:$I$88,3,0)*0.475*44/12</f>
        <v>4.3448926885419317</v>
      </c>
      <c r="AV188" s="23">
        <f>EXP(-LN(2)/25)*AV187+(1-EXP(-LN(2)/25))/(LN(2)/25)*Calculateur!AQ188*Calculateur!AS188*VLOOKUP('Données projet'!$B$10,Paramètres!$A$1:$I$88,3,0)*0.475*44/12</f>
        <v>1.1941808583142999</v>
      </c>
      <c r="AW188" s="23">
        <f>EXP(-LN(2)/2)*AW187+(1-EXP(-LN(2)/2))/(LN(2)/2)*AQ188*AT188*VLOOKUP('Données projet'!$B$10,Paramètres!$A$1:$I$88,3,0)*0.475*44/12</f>
        <v>1.8076890304900556E-19</v>
      </c>
      <c r="AX188" s="23">
        <f t="shared" si="166"/>
        <v>5.5390735468562315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-1.1368683772161603E-13</v>
      </c>
      <c r="BE188" s="14">
        <f>BD188*VLOOKUP('Données projet'!$B$11,Paramètres!$A$1:$I$88,3,0)*VLOOKUP('Données projet'!$B$11,Paramètres!$A$1:$I$88,5,0)</f>
        <v>-1.0286385077051818E-13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362.63718589694594</v>
      </c>
      <c r="BJ188" s="62">
        <f t="shared" si="146"/>
        <v>250.47702091764884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projet'!$B$11,Paramètres!$A$1:$I$88,3,0)*0.475*44/12</f>
        <v>23.698087446695961</v>
      </c>
      <c r="BQ188" s="23">
        <f>EXP(-LN(2)/25)*BQ187+(1-EXP(-LN(2)/25))/(LN(2)/25)*Calculateur!BL188*Calculateur!BN188*VLOOKUP('Données projet'!$B$11,Paramètres!$A$1:$I$88,3,0)*0.475*44/12</f>
        <v>0</v>
      </c>
      <c r="BR188" s="23">
        <f>EXP(-LN(2)/2)*BR187+(1-EXP(-LN(2)/2))/(LN(2)/2)*BL188*BO188*VLOOKUP('Données projet'!$B$11,Paramètres!$A$1:$I$88,3,0)*0.475*44/12</f>
        <v>0</v>
      </c>
      <c r="BS188" s="24">
        <f t="shared" si="169"/>
        <v>23.698087446695961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-1.1368683772161603E-13</v>
      </c>
      <c r="BZ188" s="14">
        <f>BY188*VLOOKUP('Données projet'!$B$12,Paramètres!$A$1:$I$88,3,0)*VLOOKUP('Données projet'!$B$12,Paramètres!$A$1:$I$88,5,0)</f>
        <v>-1.1527845344971866E-13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398.14524781940196</v>
      </c>
      <c r="CE188" s="62">
        <f t="shared" si="148"/>
        <v>273.35778700650792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projet'!$B$12,Paramètres!$A$1:$I$88,3,0)*0.475*44/12</f>
        <v>26.558201448883391</v>
      </c>
      <c r="CL188" s="23">
        <f>EXP(-LN(2)/25)*CL187+(1-EXP(-LN(2)/25))/(LN(2)/25)*Calculateur!CG188*Calculateur!CI188*VLOOKUP('Données projet'!$B$12,Paramètres!$A$1:$I$88,3,0)*0.475*44/12</f>
        <v>0</v>
      </c>
      <c r="CM188" s="23">
        <f>EXP(-LN(2)/2)*CM187+(1-EXP(-LN(2)/2))/(LN(2)/2)*CG188*CJ188*VLOOKUP('Données projet'!$B$12,Paramètres!$A$1:$I$88,3,0)*0.475*44/12</f>
        <v>0</v>
      </c>
      <c r="CN188" s="24">
        <f t="shared" si="172"/>
        <v>26.558201448883391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118</v>
      </c>
      <c r="CU188" s="18">
        <f>CT188*VLOOKUP('Données projet'!$B$13,Paramètres!$A$1:$I$88,3,0)*VLOOKUP('Données projet'!$B$13,Paramètres!$A$1:$I$88,5,0)</f>
        <v>112.28880000000001</v>
      </c>
      <c r="CV188" s="14">
        <f t="shared" si="173"/>
        <v>29.869595672288149</v>
      </c>
      <c r="CW188" s="22">
        <f t="shared" si="174"/>
        <v>247.59253912923518</v>
      </c>
      <c r="CX188" s="62">
        <f t="shared" si="122"/>
        <v>537.32686245768889</v>
      </c>
      <c r="CY188" s="62">
        <f ca="1">AVERAGE(OFFSET($CX$3,0,0,'Données projet'!$E$13+1,1))-AVERAGE(OFFSET($H$3,0,0,'Données projet'!$E$13+1,1))</f>
        <v>470.0521927195926</v>
      </c>
      <c r="CZ188" s="62">
        <f t="shared" si="150"/>
        <v>299.27200854723435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projet'!$B$13,Paramètres!$A$1:$I$88,3,0)*0.475*44/12</f>
        <v>24.923850590490595</v>
      </c>
      <c r="DG188" s="23">
        <f>EXP(-LN(2)/25)*DG187+(1-EXP(-LN(2)/25))/(LN(2)/25)*Calculateur!DB188*Calculateur!DD188*VLOOKUP('Données projet'!$B$13,Paramètres!$A$1:$I$88,3,0)*0.475*44/12</f>
        <v>0</v>
      </c>
      <c r="DH188" s="23">
        <f>EXP(-LN(2)/2)*DH187+(1-EXP(-LN(2)/2))/(LN(2)/2)*DB188*DE188*VLOOKUP('Données projet'!$B$13,Paramètres!$A$1:$I$88,3,0)*0.475*44/12</f>
        <v>0</v>
      </c>
      <c r="DI188" s="24">
        <f t="shared" si="175"/>
        <v>24.923850590490595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-1.4210854715202004E-13</v>
      </c>
      <c r="DP188" s="18">
        <f>DO188*VLOOKUP('Données projet'!$B$14,Paramètres!$A$1:$I$88,3,0)*VLOOKUP('Données projet'!$B$14,Paramètres!$A$1:$I$88,5,0)</f>
        <v>-1.3744738680543379E-13</v>
      </c>
      <c r="DQ188" s="14" t="e">
        <f t="shared" si="176"/>
        <v>#NUM!</v>
      </c>
      <c r="DR188" s="22" t="e">
        <f t="shared" si="177"/>
        <v>#NUM!</v>
      </c>
      <c r="DS188" s="62" t="e">
        <f t="shared" si="125"/>
        <v>#NUM!</v>
      </c>
      <c r="DT188" s="62">
        <f ca="1">AVERAGE(OFFSET($DS$3,0,0,'Données projet'!$E$14+1,1))-AVERAGE(OFFSET($H$3,0,0,'Données projet'!$E$14+1,1))</f>
        <v>290.89727102147953</v>
      </c>
      <c r="DU188" s="62">
        <f t="shared" si="152"/>
        <v>173.19148969173838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projet'!$B$14,Paramètres!$A$1:$I$88,3,0)*0.475*44/12</f>
        <v>18.93789756707266</v>
      </c>
      <c r="EB188" s="23">
        <f>EXP(-LN(2)/25)*EB187+(1-EXP(-LN(2)/25))/(LN(2)/25)*Calculateur!DW188*Calculateur!DY188*VLOOKUP('Données projet'!$B$14,Paramètres!$A$1:$I$88,3,0)*0.475*44/12</f>
        <v>0</v>
      </c>
      <c r="EC188" s="23">
        <f>EXP(-LN(2)/2)*EC187+(1-EXP(-LN(2)/2))/(LN(2)/2)*DW188*DZ188*VLOOKUP('Données projet'!$B$14,Paramètres!$A$1:$I$88,3,0)*0.475*44/12</f>
        <v>0</v>
      </c>
      <c r="ED188" s="24">
        <f t="shared" si="178"/>
        <v>18.93789756707266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projet'!$B$15,Paramètres!$A$1:$I$88,3,0)*VLOOKUP('Données projet'!$B$15,Paramètres!$A$1:$I$88,5,0)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projet'!$B$15,Paramètres!$A$1:$I$88,3,0)*0.475*44/12</f>
        <v>#N/A</v>
      </c>
      <c r="EW188" s="23" t="e">
        <f>EXP(-LN(2)/25)*EW187+(1-EXP(-LN(2)/25))/(LN(2)/25)*Calculateur!ER188*Calculateur!ET188*VLOOKUP('Données projet'!$B$15,Paramètres!$A$1:$I$88,3,0)*0.475*44/12</f>
        <v>#N/A</v>
      </c>
      <c r="EX188" s="23" t="e">
        <f>EXP(-LN(2)/2)*EX187+(1-EXP(-LN(2)/2))/(LN(2)/2)*ER188*EU188*VLOOKUP('Données projet'!$B$15,Paramètres!$A$1:$I$88,3,0)*0.475*44/12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projet'!$B$16,Paramètres!$A$1:$I$88,3,0)*VLOOKUP('Données projet'!$B$16,Paramètres!$A$1:$I$88,5,0)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projet'!$B$16,Paramètres!$A$1:$I$88,3,0)*0.475*44/12</f>
        <v>#N/A</v>
      </c>
      <c r="FR188" s="23" t="e">
        <f>EXP(-LN(2)/25)*FR187+(1-EXP(-LN(2)/25))/(LN(2)/25)*Calculateur!FM188*Calculateur!FO188*VLOOKUP('Données projet'!$B$16,Paramètres!$A$1:$I$88,3,0)*0.475*44/12</f>
        <v>#N/A</v>
      </c>
      <c r="FS188" s="23" t="e">
        <f>EXP(-LN(2)/2)*FS187+(1-EXP(-LN(2)/2))/(LN(2)/2)*FM188*FP188*VLOOKUP('Données projet'!$B$16,Paramètres!$A$1:$I$88,3,0)*0.475*44/12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projet'!$B$17,Paramètres!$A$1:$I$88,3,0)*VLOOKUP('Données projet'!$B$17,Paramètres!$A$1:$I$88,5,0)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projet'!$B$17,Paramètres!$A$1:$I$88,3,0)*0.475*44/12</f>
        <v>#N/A</v>
      </c>
      <c r="GM188" s="23" t="e">
        <f>EXP(-LN(2)/25)*GM187+(1-EXP(-LN(2)/25))/(LN(2)/25)*Calculateur!GH188*Calculateur!GJ188*VLOOKUP('Données projet'!$B$17,Paramètres!$A$1:$I$88,3,0)*0.475*44/12</f>
        <v>#N/A</v>
      </c>
      <c r="GN188" s="23" t="e">
        <f>EXP(-LN(2)/2)*GN187+(1-EXP(-LN(2)/2))/(LN(2)/2)*GH188*GK188*VLOOKUP('Données projet'!$B$17,Paramètres!$A$1:$I$88,3,0)*0.475*44/12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projet'!$B$18,Paramètres!$A$1:$I$88,3,0)*VLOOKUP('Données projet'!$B$18,Paramètres!$A$1:$I$88,5,0)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projet'!$B$18,Paramètres!$A$1:$I$88,3,0)*0.475*44/12</f>
        <v>#N/A</v>
      </c>
      <c r="HH188" s="23" t="e">
        <f>EXP(-LN(2)/25)*HH187+(1-EXP(-LN(2)/25))/(LN(2)/25)*Calculateur!HC188*Calculateur!HE188*VLOOKUP('Données projet'!$B$18,Paramètres!$A$1:$I$88,3,0)*0.475*44/12</f>
        <v>#N/A</v>
      </c>
      <c r="HI188" s="23" t="e">
        <f>EXP(-LN(2)/2)*HI187+(1-EXP(-LN(2)/2))/(LN(2)/2)*HC188*HF188*VLOOKUP('Données projet'!$B$18,Paramètres!$A$1:$I$88,3,0)*0.475*44/12</f>
        <v>#N/A</v>
      </c>
      <c r="HJ188" s="24" t="e">
        <f t="shared" si="190"/>
        <v>#N/A</v>
      </c>
    </row>
    <row r="189" spans="1:218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projet'!$B$9,Paramètres!$A$1:$I$88,3,0)*VLOOKUP('Données projet'!$B$9,Paramètres!$A$1:$I$88,5,0)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289.79675810585849</v>
      </c>
      <c r="S189" s="62">
        <f ca="1">AVERAGE(OFFSET($R$3,0,0,'Données projet'!$E$9+1,1))-AVERAGE(OFFSET($H$3,0,0,'Données projet'!$E$9+1,1))</f>
        <v>301.2688576786212</v>
      </c>
      <c r="T189" s="62">
        <f t="shared" si="142"/>
        <v>417.62172165132927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10.202183512877381</v>
      </c>
      <c r="AA189" s="23">
        <f>EXP(-LN(2)/25)*AA188+(1-EXP(-LN(2)/25))/(LN(2)/25)*Calculateur!V189*Calculateur!X189*VLOOKUP('Données projet'!$B$9,Paramètres!$A$1:$I$88,3,0)*0.475*44/12</f>
        <v>1.1459937836167537</v>
      </c>
      <c r="AB189" s="23">
        <f>EXP(-LN(2)/2)*AB188+(1-EXP(-LN(2)/2))/(LN(2)/2)*V189*Y189*VLOOKUP('Données projet'!$B$9,Paramètres!$A$1:$I$88,3,0)*0.475*44/12</f>
        <v>9.9789960793571637E-20</v>
      </c>
      <c r="AC189" s="24">
        <f t="shared" si="163"/>
        <v>11.348177296494136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projet'!$B$10,Paramètres!$A$1:$I$88,3,0)*VLOOKUP('Données projet'!$B$10,Paramètres!$A$1:$I$88,5,0)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170.08673939431091</v>
      </c>
      <c r="AO189" s="62">
        <f t="shared" si="144"/>
        <v>252.97355497077106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projet'!$B$10,Paramètres!$A$1:$I$88,3,0)*0.475*44/12</f>
        <v>4.2596919930424866</v>
      </c>
      <c r="AV189" s="23">
        <f>EXP(-LN(2)/25)*AV188+(1-EXP(-LN(2)/25))/(LN(2)/25)*Calculateur!AQ189*Calculateur!AS189*VLOOKUP('Données projet'!$B$10,Paramètres!$A$1:$I$88,3,0)*0.475*44/12</f>
        <v>1.1615259199444534</v>
      </c>
      <c r="AW189" s="23">
        <f>EXP(-LN(2)/2)*AW188+(1-EXP(-LN(2)/2))/(LN(2)/2)*AQ189*AT189*VLOOKUP('Données projet'!$B$10,Paramètres!$A$1:$I$88,3,0)*0.475*44/12</f>
        <v>1.2782291717360539E-19</v>
      </c>
      <c r="AX189" s="23">
        <f t="shared" si="166"/>
        <v>5.4212179129869398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-1.1368683772161603E-13</v>
      </c>
      <c r="BE189" s="14">
        <f>BD189*VLOOKUP('Données projet'!$B$11,Paramètres!$A$1:$I$88,3,0)*VLOOKUP('Données projet'!$B$11,Paramètres!$A$1:$I$88,5,0)</f>
        <v>-1.0286385077051818E-13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362.63718589694594</v>
      </c>
      <c r="BJ189" s="62">
        <f t="shared" si="146"/>
        <v>250.47702091764884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projet'!$B$11,Paramètres!$A$1:$I$88,3,0)*0.475*44/12</f>
        <v>23.233382406272341</v>
      </c>
      <c r="BQ189" s="23">
        <f>EXP(-LN(2)/25)*BQ188+(1-EXP(-LN(2)/25))/(LN(2)/25)*Calculateur!BL189*Calculateur!BN189*VLOOKUP('Données projet'!$B$11,Paramètres!$A$1:$I$88,3,0)*0.475*44/12</f>
        <v>0</v>
      </c>
      <c r="BR189" s="23">
        <f>EXP(-LN(2)/2)*BR188+(1-EXP(-LN(2)/2))/(LN(2)/2)*BL189*BO189*VLOOKUP('Données projet'!$B$11,Paramètres!$A$1:$I$88,3,0)*0.475*44/12</f>
        <v>0</v>
      </c>
      <c r="BS189" s="24">
        <f t="shared" si="169"/>
        <v>23.233382406272341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-1.1368683772161603E-13</v>
      </c>
      <c r="BZ189" s="14">
        <f>BY189*VLOOKUP('Données projet'!$B$12,Paramètres!$A$1:$I$88,3,0)*VLOOKUP('Données projet'!$B$12,Paramètres!$A$1:$I$88,5,0)</f>
        <v>-1.1527845344971866E-13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398.14524781940196</v>
      </c>
      <c r="CE189" s="62">
        <f t="shared" si="148"/>
        <v>273.35778700650792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projet'!$B$12,Paramètres!$A$1:$I$88,3,0)*0.475*44/12</f>
        <v>26.037411317374161</v>
      </c>
      <c r="CL189" s="23">
        <f>EXP(-LN(2)/25)*CL188+(1-EXP(-LN(2)/25))/(LN(2)/25)*Calculateur!CG189*Calculateur!CI189*VLOOKUP('Données projet'!$B$12,Paramètres!$A$1:$I$88,3,0)*0.475*44/12</f>
        <v>0</v>
      </c>
      <c r="CM189" s="23">
        <f>EXP(-LN(2)/2)*CM188+(1-EXP(-LN(2)/2))/(LN(2)/2)*CG189*CJ189*VLOOKUP('Données projet'!$B$12,Paramètres!$A$1:$I$88,3,0)*0.475*44/12</f>
        <v>0</v>
      </c>
      <c r="CN189" s="24">
        <f t="shared" si="172"/>
        <v>26.037411317374161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118</v>
      </c>
      <c r="CU189" s="18">
        <f>CT189*VLOOKUP('Données projet'!$B$13,Paramètres!$A$1:$I$88,3,0)*VLOOKUP('Données projet'!$B$13,Paramètres!$A$1:$I$88,5,0)</f>
        <v>112.28880000000001</v>
      </c>
      <c r="CV189" s="14">
        <f t="shared" si="173"/>
        <v>29.869595672288149</v>
      </c>
      <c r="CW189" s="22">
        <f t="shared" si="174"/>
        <v>247.59253912923518</v>
      </c>
      <c r="CX189" s="62">
        <f t="shared" si="122"/>
        <v>537.38929723509261</v>
      </c>
      <c r="CY189" s="62">
        <f ca="1">AVERAGE(OFFSET($CX$3,0,0,'Données projet'!$E$13+1,1))-AVERAGE(OFFSET($H$3,0,0,'Données projet'!$E$13+1,1))</f>
        <v>470.0521927195926</v>
      </c>
      <c r="CZ189" s="62">
        <f t="shared" si="150"/>
        <v>299.27200854723435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projet'!$B$13,Paramètres!$A$1:$I$88,3,0)*0.475*44/12</f>
        <v>24.435109082458858</v>
      </c>
      <c r="DG189" s="23">
        <f>EXP(-LN(2)/25)*DG188+(1-EXP(-LN(2)/25))/(LN(2)/25)*Calculateur!DB189*Calculateur!DD189*VLOOKUP('Données projet'!$B$13,Paramètres!$A$1:$I$88,3,0)*0.475*44/12</f>
        <v>0</v>
      </c>
      <c r="DH189" s="23">
        <f>EXP(-LN(2)/2)*DH188+(1-EXP(-LN(2)/2))/(LN(2)/2)*DB189*DE189*VLOOKUP('Données projet'!$B$13,Paramètres!$A$1:$I$88,3,0)*0.475*44/12</f>
        <v>0</v>
      </c>
      <c r="DI189" s="24">
        <f t="shared" si="175"/>
        <v>24.435109082458858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-1.4210854715202004E-13</v>
      </c>
      <c r="DP189" s="18">
        <f>DO189*VLOOKUP('Données projet'!$B$14,Paramètres!$A$1:$I$88,3,0)*VLOOKUP('Données projet'!$B$14,Paramètres!$A$1:$I$88,5,0)</f>
        <v>-1.3744738680543379E-13</v>
      </c>
      <c r="DQ189" s="14" t="e">
        <f t="shared" si="176"/>
        <v>#NUM!</v>
      </c>
      <c r="DR189" s="22" t="e">
        <f t="shared" si="177"/>
        <v>#NUM!</v>
      </c>
      <c r="DS189" s="62" t="e">
        <f t="shared" si="125"/>
        <v>#NUM!</v>
      </c>
      <c r="DT189" s="62">
        <f ca="1">AVERAGE(OFFSET($DS$3,0,0,'Données projet'!$E$14+1,1))-AVERAGE(OFFSET($H$3,0,0,'Données projet'!$E$14+1,1))</f>
        <v>290.89727102147953</v>
      </c>
      <c r="DU189" s="62">
        <f t="shared" si="152"/>
        <v>173.19148969173838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projet'!$B$14,Paramètres!$A$1:$I$88,3,0)*0.475*44/12</f>
        <v>18.566536946759317</v>
      </c>
      <c r="EB189" s="23">
        <f>EXP(-LN(2)/25)*EB188+(1-EXP(-LN(2)/25))/(LN(2)/25)*Calculateur!DW189*Calculateur!DY189*VLOOKUP('Données projet'!$B$14,Paramètres!$A$1:$I$88,3,0)*0.475*44/12</f>
        <v>0</v>
      </c>
      <c r="EC189" s="23">
        <f>EXP(-LN(2)/2)*EC188+(1-EXP(-LN(2)/2))/(LN(2)/2)*DW189*DZ189*VLOOKUP('Données projet'!$B$14,Paramètres!$A$1:$I$88,3,0)*0.475*44/12</f>
        <v>0</v>
      </c>
      <c r="ED189" s="24">
        <f t="shared" si="178"/>
        <v>18.566536946759317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projet'!$B$15,Paramètres!$A$1:$I$88,3,0)*VLOOKUP('Données projet'!$B$15,Paramètres!$A$1:$I$88,5,0)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projet'!$B$15,Paramètres!$A$1:$I$88,3,0)*0.475*44/12</f>
        <v>#N/A</v>
      </c>
      <c r="EW189" s="23" t="e">
        <f>EXP(-LN(2)/25)*EW188+(1-EXP(-LN(2)/25))/(LN(2)/25)*Calculateur!ER189*Calculateur!ET189*VLOOKUP('Données projet'!$B$15,Paramètres!$A$1:$I$88,3,0)*0.475*44/12</f>
        <v>#N/A</v>
      </c>
      <c r="EX189" s="23" t="e">
        <f>EXP(-LN(2)/2)*EX188+(1-EXP(-LN(2)/2))/(LN(2)/2)*ER189*EU189*VLOOKUP('Données projet'!$B$15,Paramètres!$A$1:$I$88,3,0)*0.475*44/12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projet'!$B$16,Paramètres!$A$1:$I$88,3,0)*VLOOKUP('Données projet'!$B$16,Paramètres!$A$1:$I$88,5,0)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projet'!$B$16,Paramètres!$A$1:$I$88,3,0)*0.475*44/12</f>
        <v>#N/A</v>
      </c>
      <c r="FR189" s="23" t="e">
        <f>EXP(-LN(2)/25)*FR188+(1-EXP(-LN(2)/25))/(LN(2)/25)*Calculateur!FM189*Calculateur!FO189*VLOOKUP('Données projet'!$B$16,Paramètres!$A$1:$I$88,3,0)*0.475*44/12</f>
        <v>#N/A</v>
      </c>
      <c r="FS189" s="23" t="e">
        <f>EXP(-LN(2)/2)*FS188+(1-EXP(-LN(2)/2))/(LN(2)/2)*FM189*FP189*VLOOKUP('Données projet'!$B$16,Paramètres!$A$1:$I$88,3,0)*0.475*44/12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projet'!$B$17,Paramètres!$A$1:$I$88,3,0)*VLOOKUP('Données projet'!$B$17,Paramètres!$A$1:$I$88,5,0)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projet'!$B$17,Paramètres!$A$1:$I$88,3,0)*0.475*44/12</f>
        <v>#N/A</v>
      </c>
      <c r="GM189" s="23" t="e">
        <f>EXP(-LN(2)/25)*GM188+(1-EXP(-LN(2)/25))/(LN(2)/25)*Calculateur!GH189*Calculateur!GJ189*VLOOKUP('Données projet'!$B$17,Paramètres!$A$1:$I$88,3,0)*0.475*44/12</f>
        <v>#N/A</v>
      </c>
      <c r="GN189" s="23" t="e">
        <f>EXP(-LN(2)/2)*GN188+(1-EXP(-LN(2)/2))/(LN(2)/2)*GH189*GK189*VLOOKUP('Données projet'!$B$17,Paramètres!$A$1:$I$88,3,0)*0.475*44/12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projet'!$B$18,Paramètres!$A$1:$I$88,3,0)*VLOOKUP('Données projet'!$B$18,Paramètres!$A$1:$I$88,5,0)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projet'!$B$18,Paramètres!$A$1:$I$88,3,0)*0.475*44/12</f>
        <v>#N/A</v>
      </c>
      <c r="HH189" s="23" t="e">
        <f>EXP(-LN(2)/25)*HH188+(1-EXP(-LN(2)/25))/(LN(2)/25)*Calculateur!HC189*Calculateur!HE189*VLOOKUP('Données projet'!$B$18,Paramètres!$A$1:$I$88,3,0)*0.475*44/12</f>
        <v>#N/A</v>
      </c>
      <c r="HI189" s="23" t="e">
        <f>EXP(-LN(2)/2)*HI188+(1-EXP(-LN(2)/2))/(LN(2)/2)*HC189*HF189*VLOOKUP('Données projet'!$B$18,Paramètres!$A$1:$I$88,3,0)*0.475*44/12</f>
        <v>#N/A</v>
      </c>
      <c r="HJ189" s="24" t="e">
        <f t="shared" si="190"/>
        <v>#N/A</v>
      </c>
    </row>
    <row r="190" spans="1:218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projet'!$B$9,Paramètres!$A$1:$I$88,3,0)*VLOOKUP('Données projet'!$B$9,Paramètres!$A$1:$I$88,5,0)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289.85810977945749</v>
      </c>
      <c r="S190" s="62">
        <f ca="1">AVERAGE(OFFSET($R$3,0,0,'Données projet'!$E$9+1,1))-AVERAGE(OFFSET($H$3,0,0,'Données projet'!$E$9+1,1))</f>
        <v>301.2688576786212</v>
      </c>
      <c r="T190" s="62">
        <f t="shared" si="142"/>
        <v>417.62172165132927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10.002124916907356</v>
      </c>
      <c r="AA190" s="23">
        <f>EXP(-LN(2)/25)*AA189+(1-EXP(-LN(2)/25))/(LN(2)/25)*Calculateur!V190*Calculateur!X190*VLOOKUP('Données projet'!$B$9,Paramètres!$A$1:$I$88,3,0)*0.475*44/12</f>
        <v>1.1146565233385597</v>
      </c>
      <c r="AB190" s="23">
        <f>EXP(-LN(2)/2)*AB189+(1-EXP(-LN(2)/2))/(LN(2)/2)*V190*Y190*VLOOKUP('Données projet'!$B$9,Paramètres!$A$1:$I$88,3,0)*0.475*44/12</f>
        <v>7.0562157971474215E-20</v>
      </c>
      <c r="AC190" s="24">
        <f t="shared" si="163"/>
        <v>11.116781440245916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projet'!$B$10,Paramètres!$A$1:$I$88,3,0)*VLOOKUP('Données projet'!$B$10,Paramètres!$A$1:$I$88,5,0)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170.08673939431091</v>
      </c>
      <c r="AO190" s="62">
        <f t="shared" si="144"/>
        <v>252.97355497077106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projet'!$B$10,Paramètres!$A$1:$I$88,3,0)*0.475*44/12</f>
        <v>4.1761620312144929</v>
      </c>
      <c r="AV190" s="23">
        <f>EXP(-LN(2)/25)*AV189+(1-EXP(-LN(2)/25))/(LN(2)/25)*Calculateur!AQ190*Calculateur!AS190*VLOOKUP('Données projet'!$B$10,Paramètres!$A$1:$I$88,3,0)*0.475*44/12</f>
        <v>1.1297639325815789</v>
      </c>
      <c r="AW190" s="23">
        <f>EXP(-LN(2)/2)*AW189+(1-EXP(-LN(2)/2))/(LN(2)/2)*AQ190*AT190*VLOOKUP('Données projet'!$B$10,Paramètres!$A$1:$I$88,3,0)*0.475*44/12</f>
        <v>9.0384451524502778E-20</v>
      </c>
      <c r="AX190" s="23">
        <f t="shared" si="166"/>
        <v>5.3059259637960716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-1.1368683772161603E-13</v>
      </c>
      <c r="BE190" s="14">
        <f>BD190*VLOOKUP('Données projet'!$B$11,Paramètres!$A$1:$I$88,3,0)*VLOOKUP('Données projet'!$B$11,Paramètres!$A$1:$I$88,5,0)</f>
        <v>-1.0286385077051818E-13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362.63718589694594</v>
      </c>
      <c r="BJ190" s="62">
        <f t="shared" si="146"/>
        <v>250.47702091764884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projet'!$B$11,Paramètres!$A$1:$I$88,3,0)*0.475*44/12</f>
        <v>22.777789948249342</v>
      </c>
      <c r="BQ190" s="23">
        <f>EXP(-LN(2)/25)*BQ189+(1-EXP(-LN(2)/25))/(LN(2)/25)*Calculateur!BL190*Calculateur!BN190*VLOOKUP('Données projet'!$B$11,Paramètres!$A$1:$I$88,3,0)*0.475*44/12</f>
        <v>0</v>
      </c>
      <c r="BR190" s="23">
        <f>EXP(-LN(2)/2)*BR189+(1-EXP(-LN(2)/2))/(LN(2)/2)*BL190*BO190*VLOOKUP('Données projet'!$B$11,Paramètres!$A$1:$I$88,3,0)*0.475*44/12</f>
        <v>0</v>
      </c>
      <c r="BS190" s="24">
        <f t="shared" si="169"/>
        <v>22.777789948249342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-1.1368683772161603E-13</v>
      </c>
      <c r="BZ190" s="14">
        <f>BY190*VLOOKUP('Données projet'!$B$12,Paramètres!$A$1:$I$88,3,0)*VLOOKUP('Données projet'!$B$12,Paramètres!$A$1:$I$88,5,0)</f>
        <v>-1.1527845344971866E-13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398.14524781940196</v>
      </c>
      <c r="CE190" s="62">
        <f t="shared" si="148"/>
        <v>273.35778700650792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projet'!$B$12,Paramètres!$A$1:$I$88,3,0)*0.475*44/12</f>
        <v>25.526833562693213</v>
      </c>
      <c r="CL190" s="23">
        <f>EXP(-LN(2)/25)*CL189+(1-EXP(-LN(2)/25))/(LN(2)/25)*Calculateur!CG190*Calculateur!CI190*VLOOKUP('Données projet'!$B$12,Paramètres!$A$1:$I$88,3,0)*0.475*44/12</f>
        <v>0</v>
      </c>
      <c r="CM190" s="23">
        <f>EXP(-LN(2)/2)*CM189+(1-EXP(-LN(2)/2))/(LN(2)/2)*CG190*CJ190*VLOOKUP('Données projet'!$B$12,Paramètres!$A$1:$I$88,3,0)*0.475*44/12</f>
        <v>0</v>
      </c>
      <c r="CN190" s="24">
        <f t="shared" si="172"/>
        <v>25.526833562693213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118</v>
      </c>
      <c r="CU190" s="18">
        <f>CT190*VLOOKUP('Données projet'!$B$13,Paramètres!$A$1:$I$88,3,0)*VLOOKUP('Données projet'!$B$13,Paramètres!$A$1:$I$88,5,0)</f>
        <v>112.28880000000001</v>
      </c>
      <c r="CV190" s="14">
        <f t="shared" si="173"/>
        <v>29.869595672288149</v>
      </c>
      <c r="CW190" s="22">
        <f t="shared" si="174"/>
        <v>247.59253912923518</v>
      </c>
      <c r="CX190" s="62">
        <f t="shared" si="122"/>
        <v>537.45064890869162</v>
      </c>
      <c r="CY190" s="62">
        <f ca="1">AVERAGE(OFFSET($CX$3,0,0,'Données projet'!$E$13+1,1))-AVERAGE(OFFSET($H$3,0,0,'Données projet'!$E$13+1,1))</f>
        <v>470.0521927195926</v>
      </c>
      <c r="CZ190" s="62">
        <f t="shared" si="150"/>
        <v>299.27200854723435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projet'!$B$13,Paramètres!$A$1:$I$88,3,0)*0.475*44/12</f>
        <v>23.955951497296738</v>
      </c>
      <c r="DG190" s="23">
        <f>EXP(-LN(2)/25)*DG189+(1-EXP(-LN(2)/25))/(LN(2)/25)*Calculateur!DB190*Calculateur!DD190*VLOOKUP('Données projet'!$B$13,Paramètres!$A$1:$I$88,3,0)*0.475*44/12</f>
        <v>0</v>
      </c>
      <c r="DH190" s="23">
        <f>EXP(-LN(2)/2)*DH189+(1-EXP(-LN(2)/2))/(LN(2)/2)*DB190*DE190*VLOOKUP('Données projet'!$B$13,Paramètres!$A$1:$I$88,3,0)*0.475*44/12</f>
        <v>0</v>
      </c>
      <c r="DI190" s="24">
        <f t="shared" si="175"/>
        <v>23.955951497296738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-1.4210854715202004E-13</v>
      </c>
      <c r="DP190" s="18">
        <f>DO190*VLOOKUP('Données projet'!$B$14,Paramètres!$A$1:$I$88,3,0)*VLOOKUP('Données projet'!$B$14,Paramètres!$A$1:$I$88,5,0)</f>
        <v>-1.3744738680543379E-13</v>
      </c>
      <c r="DQ190" s="14" t="e">
        <f t="shared" si="176"/>
        <v>#NUM!</v>
      </c>
      <c r="DR190" s="22" t="e">
        <f t="shared" si="177"/>
        <v>#NUM!</v>
      </c>
      <c r="DS190" s="62" t="e">
        <f t="shared" si="125"/>
        <v>#NUM!</v>
      </c>
      <c r="DT190" s="62">
        <f ca="1">AVERAGE(OFFSET($DS$3,0,0,'Données projet'!$E$14+1,1))-AVERAGE(OFFSET($H$3,0,0,'Données projet'!$E$14+1,1))</f>
        <v>290.89727102147953</v>
      </c>
      <c r="DU190" s="62">
        <f t="shared" si="152"/>
        <v>173.19148969173838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projet'!$B$14,Paramètres!$A$1:$I$88,3,0)*0.475*44/12</f>
        <v>18.202458481702706</v>
      </c>
      <c r="EB190" s="23">
        <f>EXP(-LN(2)/25)*EB189+(1-EXP(-LN(2)/25))/(LN(2)/25)*Calculateur!DW190*Calculateur!DY190*VLOOKUP('Données projet'!$B$14,Paramètres!$A$1:$I$88,3,0)*0.475*44/12</f>
        <v>0</v>
      </c>
      <c r="EC190" s="23">
        <f>EXP(-LN(2)/2)*EC189+(1-EXP(-LN(2)/2))/(LN(2)/2)*DW190*DZ190*VLOOKUP('Données projet'!$B$14,Paramètres!$A$1:$I$88,3,0)*0.475*44/12</f>
        <v>0</v>
      </c>
      <c r="ED190" s="24">
        <f t="shared" si="178"/>
        <v>18.202458481702706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projet'!$B$15,Paramètres!$A$1:$I$88,3,0)*VLOOKUP('Données projet'!$B$15,Paramètres!$A$1:$I$88,5,0)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projet'!$B$15,Paramètres!$A$1:$I$88,3,0)*0.475*44/12</f>
        <v>#N/A</v>
      </c>
      <c r="EW190" s="23" t="e">
        <f>EXP(-LN(2)/25)*EW189+(1-EXP(-LN(2)/25))/(LN(2)/25)*Calculateur!ER190*Calculateur!ET190*VLOOKUP('Données projet'!$B$15,Paramètres!$A$1:$I$88,3,0)*0.475*44/12</f>
        <v>#N/A</v>
      </c>
      <c r="EX190" s="23" t="e">
        <f>EXP(-LN(2)/2)*EX189+(1-EXP(-LN(2)/2))/(LN(2)/2)*ER190*EU190*VLOOKUP('Données projet'!$B$15,Paramètres!$A$1:$I$88,3,0)*0.475*44/12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projet'!$B$16,Paramètres!$A$1:$I$88,3,0)*VLOOKUP('Données projet'!$B$16,Paramètres!$A$1:$I$88,5,0)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projet'!$B$16,Paramètres!$A$1:$I$88,3,0)*0.475*44/12</f>
        <v>#N/A</v>
      </c>
      <c r="FR190" s="23" t="e">
        <f>EXP(-LN(2)/25)*FR189+(1-EXP(-LN(2)/25))/(LN(2)/25)*Calculateur!FM190*Calculateur!FO190*VLOOKUP('Données projet'!$B$16,Paramètres!$A$1:$I$88,3,0)*0.475*44/12</f>
        <v>#N/A</v>
      </c>
      <c r="FS190" s="23" t="e">
        <f>EXP(-LN(2)/2)*FS189+(1-EXP(-LN(2)/2))/(LN(2)/2)*FM190*FP190*VLOOKUP('Données projet'!$B$16,Paramètres!$A$1:$I$88,3,0)*0.475*44/12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projet'!$B$17,Paramètres!$A$1:$I$88,3,0)*VLOOKUP('Données projet'!$B$17,Paramètres!$A$1:$I$88,5,0)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projet'!$B$17,Paramètres!$A$1:$I$88,3,0)*0.475*44/12</f>
        <v>#N/A</v>
      </c>
      <c r="GM190" s="23" t="e">
        <f>EXP(-LN(2)/25)*GM189+(1-EXP(-LN(2)/25))/(LN(2)/25)*Calculateur!GH190*Calculateur!GJ190*VLOOKUP('Données projet'!$B$17,Paramètres!$A$1:$I$88,3,0)*0.475*44/12</f>
        <v>#N/A</v>
      </c>
      <c r="GN190" s="23" t="e">
        <f>EXP(-LN(2)/2)*GN189+(1-EXP(-LN(2)/2))/(LN(2)/2)*GH190*GK190*VLOOKUP('Données projet'!$B$17,Paramètres!$A$1:$I$88,3,0)*0.475*44/12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projet'!$B$18,Paramètres!$A$1:$I$88,3,0)*VLOOKUP('Données projet'!$B$18,Paramètres!$A$1:$I$88,5,0)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projet'!$B$18,Paramètres!$A$1:$I$88,3,0)*0.475*44/12</f>
        <v>#N/A</v>
      </c>
      <c r="HH190" s="23" t="e">
        <f>EXP(-LN(2)/25)*HH189+(1-EXP(-LN(2)/25))/(LN(2)/25)*Calculateur!HC190*Calculateur!HE190*VLOOKUP('Données projet'!$B$18,Paramètres!$A$1:$I$88,3,0)*0.475*44/12</f>
        <v>#N/A</v>
      </c>
      <c r="HI190" s="23" t="e">
        <f>EXP(-LN(2)/2)*HI189+(1-EXP(-LN(2)/2))/(LN(2)/2)*HC190*HF190*VLOOKUP('Données projet'!$B$18,Paramètres!$A$1:$I$88,3,0)*0.475*44/12</f>
        <v>#N/A</v>
      </c>
      <c r="HJ190" s="24" t="e">
        <f t="shared" si="190"/>
        <v>#N/A</v>
      </c>
    </row>
    <row r="191" spans="1:218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projet'!$B$9,Paramètres!$A$1:$I$88,3,0)*VLOOKUP('Données projet'!$B$9,Paramètres!$A$1:$I$88,5,0)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289.91839713868131</v>
      </c>
      <c r="S191" s="62">
        <f ca="1">AVERAGE(OFFSET($R$3,0,0,'Données projet'!$E$9+1,1))-AVERAGE(OFFSET($H$3,0,0,'Données projet'!$E$9+1,1))</f>
        <v>301.2688576786212</v>
      </c>
      <c r="T191" s="62">
        <f t="shared" si="142"/>
        <v>417.62172165132927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9.8059893479806082</v>
      </c>
      <c r="AA191" s="23">
        <f>EXP(-LN(2)/25)*AA190+(1-EXP(-LN(2)/25))/(LN(2)/25)*Calculateur!V191*Calculateur!X191*VLOOKUP('Données projet'!$B$9,Paramètres!$A$1:$I$88,3,0)*0.475*44/12</f>
        <v>1.0841761820906277</v>
      </c>
      <c r="AB191" s="23">
        <f>EXP(-LN(2)/2)*AB190+(1-EXP(-LN(2)/2))/(LN(2)/2)*V191*Y191*VLOOKUP('Données projet'!$B$9,Paramètres!$A$1:$I$88,3,0)*0.475*44/12</f>
        <v>4.9894980396785818E-20</v>
      </c>
      <c r="AC191" s="24">
        <f t="shared" si="163"/>
        <v>10.890165530071236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projet'!$B$10,Paramètres!$A$1:$I$88,3,0)*VLOOKUP('Données projet'!$B$10,Paramètres!$A$1:$I$88,5,0)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170.08673939431091</v>
      </c>
      <c r="AO191" s="62">
        <f t="shared" si="144"/>
        <v>252.97355497077106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projet'!$B$10,Paramètres!$A$1:$I$88,3,0)*0.475*44/12</f>
        <v>4.0942700409896995</v>
      </c>
      <c r="AV191" s="23">
        <f>EXP(-LN(2)/25)*AV190+(1-EXP(-LN(2)/25))/(LN(2)/25)*Calculateur!AQ191*Calculateur!AS191*VLOOKUP('Données projet'!$B$10,Paramètres!$A$1:$I$88,3,0)*0.475*44/12</f>
        <v>1.0988704784334324</v>
      </c>
      <c r="AW191" s="23">
        <f>EXP(-LN(2)/2)*AW190+(1-EXP(-LN(2)/2))/(LN(2)/2)*AQ191*AT191*VLOOKUP('Données projet'!$B$10,Paramètres!$A$1:$I$88,3,0)*0.475*44/12</f>
        <v>6.3911458586802696E-20</v>
      </c>
      <c r="AX191" s="23">
        <f t="shared" si="166"/>
        <v>5.1931405194231317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-1.1368683772161603E-13</v>
      </c>
      <c r="BE191" s="14">
        <f>BD191*VLOOKUP('Données projet'!$B$11,Paramètres!$A$1:$I$88,3,0)*VLOOKUP('Données projet'!$B$11,Paramètres!$A$1:$I$88,5,0)</f>
        <v>-1.0286385077051818E-13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362.63718589694594</v>
      </c>
      <c r="BJ191" s="62">
        <f t="shared" si="146"/>
        <v>250.47702091764884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projet'!$B$11,Paramètres!$A$1:$I$88,3,0)*0.475*44/12</f>
        <v>22.331131380444212</v>
      </c>
      <c r="BQ191" s="23">
        <f>EXP(-LN(2)/25)*BQ190+(1-EXP(-LN(2)/25))/(LN(2)/25)*Calculateur!BL191*Calculateur!BN191*VLOOKUP('Données projet'!$B$11,Paramètres!$A$1:$I$88,3,0)*0.475*44/12</f>
        <v>0</v>
      </c>
      <c r="BR191" s="23">
        <f>EXP(-LN(2)/2)*BR190+(1-EXP(-LN(2)/2))/(LN(2)/2)*BL191*BO191*VLOOKUP('Données projet'!$B$11,Paramètres!$A$1:$I$88,3,0)*0.475*44/12</f>
        <v>0</v>
      </c>
      <c r="BS191" s="24">
        <f t="shared" si="169"/>
        <v>22.331131380444212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-1.1368683772161603E-13</v>
      </c>
      <c r="BZ191" s="14">
        <f>BY191*VLOOKUP('Données projet'!$B$12,Paramètres!$A$1:$I$88,3,0)*VLOOKUP('Données projet'!$B$12,Paramètres!$A$1:$I$88,5,0)</f>
        <v>-1.1527845344971866E-13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398.14524781940196</v>
      </c>
      <c r="CE191" s="62">
        <f t="shared" si="148"/>
        <v>273.35778700650792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projet'!$B$12,Paramètres!$A$1:$I$88,3,0)*0.475*44/12</f>
        <v>25.026267926359878</v>
      </c>
      <c r="CL191" s="23">
        <f>EXP(-LN(2)/25)*CL190+(1-EXP(-LN(2)/25))/(LN(2)/25)*Calculateur!CG191*Calculateur!CI191*VLOOKUP('Données projet'!$B$12,Paramètres!$A$1:$I$88,3,0)*0.475*44/12</f>
        <v>0</v>
      </c>
      <c r="CM191" s="23">
        <f>EXP(-LN(2)/2)*CM190+(1-EXP(-LN(2)/2))/(LN(2)/2)*CG191*CJ191*VLOOKUP('Données projet'!$B$12,Paramètres!$A$1:$I$88,3,0)*0.475*44/12</f>
        <v>0</v>
      </c>
      <c r="CN191" s="24">
        <f t="shared" si="172"/>
        <v>25.026267926359878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118</v>
      </c>
      <c r="CU191" s="18">
        <f>CT191*VLOOKUP('Données projet'!$B$13,Paramètres!$A$1:$I$88,3,0)*VLOOKUP('Données projet'!$B$13,Paramètres!$A$1:$I$88,5,0)</f>
        <v>112.28880000000001</v>
      </c>
      <c r="CV191" s="14">
        <f t="shared" si="173"/>
        <v>29.869595672288149</v>
      </c>
      <c r="CW191" s="22">
        <f t="shared" si="174"/>
        <v>247.59253912923518</v>
      </c>
      <c r="CX191" s="62">
        <f t="shared" si="122"/>
        <v>537.51093626791544</v>
      </c>
      <c r="CY191" s="62">
        <f ca="1">AVERAGE(OFFSET($CX$3,0,0,'Données projet'!$E$13+1,1))-AVERAGE(OFFSET($H$3,0,0,'Données projet'!$E$13+1,1))</f>
        <v>470.0521927195926</v>
      </c>
      <c r="CZ191" s="62">
        <f t="shared" si="150"/>
        <v>299.27200854723435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projet'!$B$13,Paramètres!$A$1:$I$88,3,0)*0.475*44/12</f>
        <v>23.486189900122376</v>
      </c>
      <c r="DG191" s="23">
        <f>EXP(-LN(2)/25)*DG190+(1-EXP(-LN(2)/25))/(LN(2)/25)*Calculateur!DB191*Calculateur!DD191*VLOOKUP('Données projet'!$B$13,Paramètres!$A$1:$I$88,3,0)*0.475*44/12</f>
        <v>0</v>
      </c>
      <c r="DH191" s="23">
        <f>EXP(-LN(2)/2)*DH190+(1-EXP(-LN(2)/2))/(LN(2)/2)*DB191*DE191*VLOOKUP('Données projet'!$B$13,Paramètres!$A$1:$I$88,3,0)*0.475*44/12</f>
        <v>0</v>
      </c>
      <c r="DI191" s="24">
        <f t="shared" si="175"/>
        <v>23.486189900122376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-1.4210854715202004E-13</v>
      </c>
      <c r="DP191" s="18">
        <f>DO191*VLOOKUP('Données projet'!$B$14,Paramètres!$A$1:$I$88,3,0)*VLOOKUP('Données projet'!$B$14,Paramètres!$A$1:$I$88,5,0)</f>
        <v>-1.3744738680543379E-13</v>
      </c>
      <c r="DQ191" s="14" t="e">
        <f t="shared" si="176"/>
        <v>#NUM!</v>
      </c>
      <c r="DR191" s="22" t="e">
        <f t="shared" si="177"/>
        <v>#NUM!</v>
      </c>
      <c r="DS191" s="62" t="e">
        <f t="shared" si="125"/>
        <v>#NUM!</v>
      </c>
      <c r="DT191" s="62">
        <f ca="1">AVERAGE(OFFSET($DS$3,0,0,'Données projet'!$E$14+1,1))-AVERAGE(OFFSET($H$3,0,0,'Données projet'!$E$14+1,1))</f>
        <v>290.89727102147953</v>
      </c>
      <c r="DU191" s="62">
        <f t="shared" si="152"/>
        <v>173.19148969173838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projet'!$B$14,Paramètres!$A$1:$I$88,3,0)*0.475*44/12</f>
        <v>17.84551937327992</v>
      </c>
      <c r="EB191" s="23">
        <f>EXP(-LN(2)/25)*EB190+(1-EXP(-LN(2)/25))/(LN(2)/25)*Calculateur!DW191*Calculateur!DY191*VLOOKUP('Données projet'!$B$14,Paramètres!$A$1:$I$88,3,0)*0.475*44/12</f>
        <v>0</v>
      </c>
      <c r="EC191" s="23">
        <f>EXP(-LN(2)/2)*EC190+(1-EXP(-LN(2)/2))/(LN(2)/2)*DW191*DZ191*VLOOKUP('Données projet'!$B$14,Paramètres!$A$1:$I$88,3,0)*0.475*44/12</f>
        <v>0</v>
      </c>
      <c r="ED191" s="24">
        <f t="shared" si="178"/>
        <v>17.84551937327992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projet'!$B$15,Paramètres!$A$1:$I$88,3,0)*VLOOKUP('Données projet'!$B$15,Paramètres!$A$1:$I$88,5,0)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projet'!$B$15,Paramètres!$A$1:$I$88,3,0)*0.475*44/12</f>
        <v>#N/A</v>
      </c>
      <c r="EW191" s="23" t="e">
        <f>EXP(-LN(2)/25)*EW190+(1-EXP(-LN(2)/25))/(LN(2)/25)*Calculateur!ER191*Calculateur!ET191*VLOOKUP('Données projet'!$B$15,Paramètres!$A$1:$I$88,3,0)*0.475*44/12</f>
        <v>#N/A</v>
      </c>
      <c r="EX191" s="23" t="e">
        <f>EXP(-LN(2)/2)*EX190+(1-EXP(-LN(2)/2))/(LN(2)/2)*ER191*EU191*VLOOKUP('Données projet'!$B$15,Paramètres!$A$1:$I$88,3,0)*0.475*44/12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projet'!$B$16,Paramètres!$A$1:$I$88,3,0)*VLOOKUP('Données projet'!$B$16,Paramètres!$A$1:$I$88,5,0)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projet'!$B$16,Paramètres!$A$1:$I$88,3,0)*0.475*44/12</f>
        <v>#N/A</v>
      </c>
      <c r="FR191" s="23" t="e">
        <f>EXP(-LN(2)/25)*FR190+(1-EXP(-LN(2)/25))/(LN(2)/25)*Calculateur!FM191*Calculateur!FO191*VLOOKUP('Données projet'!$B$16,Paramètres!$A$1:$I$88,3,0)*0.475*44/12</f>
        <v>#N/A</v>
      </c>
      <c r="FS191" s="23" t="e">
        <f>EXP(-LN(2)/2)*FS190+(1-EXP(-LN(2)/2))/(LN(2)/2)*FM191*FP191*VLOOKUP('Données projet'!$B$16,Paramètres!$A$1:$I$88,3,0)*0.475*44/12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projet'!$B$17,Paramètres!$A$1:$I$88,3,0)*VLOOKUP('Données projet'!$B$17,Paramètres!$A$1:$I$88,5,0)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projet'!$B$17,Paramètres!$A$1:$I$88,3,0)*0.475*44/12</f>
        <v>#N/A</v>
      </c>
      <c r="GM191" s="23" t="e">
        <f>EXP(-LN(2)/25)*GM190+(1-EXP(-LN(2)/25))/(LN(2)/25)*Calculateur!GH191*Calculateur!GJ191*VLOOKUP('Données projet'!$B$17,Paramètres!$A$1:$I$88,3,0)*0.475*44/12</f>
        <v>#N/A</v>
      </c>
      <c r="GN191" s="23" t="e">
        <f>EXP(-LN(2)/2)*GN190+(1-EXP(-LN(2)/2))/(LN(2)/2)*GH191*GK191*VLOOKUP('Données projet'!$B$17,Paramètres!$A$1:$I$88,3,0)*0.475*44/12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projet'!$B$18,Paramètres!$A$1:$I$88,3,0)*VLOOKUP('Données projet'!$B$18,Paramètres!$A$1:$I$88,5,0)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projet'!$B$18,Paramètres!$A$1:$I$88,3,0)*0.475*44/12</f>
        <v>#N/A</v>
      </c>
      <c r="HH191" s="23" t="e">
        <f>EXP(-LN(2)/25)*HH190+(1-EXP(-LN(2)/25))/(LN(2)/25)*Calculateur!HC191*Calculateur!HE191*VLOOKUP('Données projet'!$B$18,Paramètres!$A$1:$I$88,3,0)*0.475*44/12</f>
        <v>#N/A</v>
      </c>
      <c r="HI191" s="23" t="e">
        <f>EXP(-LN(2)/2)*HI190+(1-EXP(-LN(2)/2))/(LN(2)/2)*HC191*HF191*VLOOKUP('Données projet'!$B$18,Paramètres!$A$1:$I$88,3,0)*0.475*44/12</f>
        <v>#N/A</v>
      </c>
      <c r="HJ191" s="24" t="e">
        <f t="shared" si="190"/>
        <v>#N/A</v>
      </c>
    </row>
    <row r="192" spans="1:218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projet'!$B$9,Paramètres!$A$1:$I$88,3,0)*VLOOKUP('Données projet'!$B$9,Paramètres!$A$1:$I$88,5,0)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289.97763864700494</v>
      </c>
      <c r="S192" s="62">
        <f ca="1">AVERAGE(OFFSET($R$3,0,0,'Données projet'!$E$9+1,1))-AVERAGE(OFFSET($H$3,0,0,'Données projet'!$E$9+1,1))</f>
        <v>301.2688576786212</v>
      </c>
      <c r="T192" s="62">
        <f t="shared" si="142"/>
        <v>417.62172165132927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9.6136998779296299</v>
      </c>
      <c r="AA192" s="23">
        <f>EXP(-LN(2)/25)*AA191+(1-EXP(-LN(2)/25))/(LN(2)/25)*Calculateur!V192*Calculateur!X192*VLOOKUP('Données projet'!$B$9,Paramètres!$A$1:$I$88,3,0)*0.475*44/12</f>
        <v>1.054529327377012</v>
      </c>
      <c r="AB192" s="23">
        <f>EXP(-LN(2)/2)*AB191+(1-EXP(-LN(2)/2))/(LN(2)/2)*V192*Y192*VLOOKUP('Données projet'!$B$9,Paramètres!$A$1:$I$88,3,0)*0.475*44/12</f>
        <v>3.5281078985737108E-20</v>
      </c>
      <c r="AC192" s="24">
        <f t="shared" si="163"/>
        <v>10.668229205306641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projet'!$B$10,Paramètres!$A$1:$I$88,3,0)*VLOOKUP('Données projet'!$B$10,Paramètres!$A$1:$I$88,5,0)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170.08673939431091</v>
      </c>
      <c r="AO192" s="62">
        <f t="shared" si="144"/>
        <v>252.97355497077106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projet'!$B$10,Paramètres!$A$1:$I$88,3,0)*0.475*44/12</f>
        <v>4.0139839027440329</v>
      </c>
      <c r="AV192" s="23">
        <f>EXP(-LN(2)/25)*AV191+(1-EXP(-LN(2)/25))/(LN(2)/25)*Calculateur!AQ192*Calculateur!AS192*VLOOKUP('Données projet'!$B$10,Paramètres!$A$1:$I$88,3,0)*0.475*44/12</f>
        <v>1.0688218074135833</v>
      </c>
      <c r="AW192" s="23">
        <f>EXP(-LN(2)/2)*AW191+(1-EXP(-LN(2)/2))/(LN(2)/2)*AQ192*AT192*VLOOKUP('Données projet'!$B$10,Paramètres!$A$1:$I$88,3,0)*0.475*44/12</f>
        <v>4.5192225762251389E-20</v>
      </c>
      <c r="AX192" s="23">
        <f t="shared" si="166"/>
        <v>5.0828057101576167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-1.1368683772161603E-13</v>
      </c>
      <c r="BE192" s="14">
        <f>BD192*VLOOKUP('Données projet'!$B$11,Paramètres!$A$1:$I$88,3,0)*VLOOKUP('Données projet'!$B$11,Paramètres!$A$1:$I$88,5,0)</f>
        <v>-1.0286385077051818E-13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362.63718589694594</v>
      </c>
      <c r="BJ192" s="62">
        <f t="shared" si="146"/>
        <v>250.47702091764884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projet'!$B$11,Paramètres!$A$1:$I$88,3,0)*0.475*44/12</f>
        <v>21.893231514718916</v>
      </c>
      <c r="BQ192" s="23">
        <f>EXP(-LN(2)/25)*BQ191+(1-EXP(-LN(2)/25))/(LN(2)/25)*Calculateur!BL192*Calculateur!BN192*VLOOKUP('Données projet'!$B$11,Paramètres!$A$1:$I$88,3,0)*0.475*44/12</f>
        <v>0</v>
      </c>
      <c r="BR192" s="23">
        <f>EXP(-LN(2)/2)*BR191+(1-EXP(-LN(2)/2))/(LN(2)/2)*BL192*BO192*VLOOKUP('Données projet'!$B$11,Paramètres!$A$1:$I$88,3,0)*0.475*44/12</f>
        <v>0</v>
      </c>
      <c r="BS192" s="24">
        <f t="shared" si="169"/>
        <v>21.893231514718916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-1.1368683772161603E-13</v>
      </c>
      <c r="BZ192" s="14">
        <f>BY192*VLOOKUP('Données projet'!$B$12,Paramètres!$A$1:$I$88,3,0)*VLOOKUP('Données projet'!$B$12,Paramètres!$A$1:$I$88,5,0)</f>
        <v>-1.1527845344971866E-13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398.14524781940196</v>
      </c>
      <c r="CE192" s="62">
        <f t="shared" si="148"/>
        <v>273.35778700650792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projet'!$B$12,Paramètres!$A$1:$I$88,3,0)*0.475*44/12</f>
        <v>24.535518076840152</v>
      </c>
      <c r="CL192" s="23">
        <f>EXP(-LN(2)/25)*CL191+(1-EXP(-LN(2)/25))/(LN(2)/25)*Calculateur!CG192*Calculateur!CI192*VLOOKUP('Données projet'!$B$12,Paramètres!$A$1:$I$88,3,0)*0.475*44/12</f>
        <v>0</v>
      </c>
      <c r="CM192" s="23">
        <f>EXP(-LN(2)/2)*CM191+(1-EXP(-LN(2)/2))/(LN(2)/2)*CG192*CJ192*VLOOKUP('Données projet'!$B$12,Paramètres!$A$1:$I$88,3,0)*0.475*44/12</f>
        <v>0</v>
      </c>
      <c r="CN192" s="24">
        <f t="shared" si="172"/>
        <v>24.535518076840152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118</v>
      </c>
      <c r="CU192" s="18">
        <f>CT192*VLOOKUP('Données projet'!$B$13,Paramètres!$A$1:$I$88,3,0)*VLOOKUP('Données projet'!$B$13,Paramètres!$A$1:$I$88,5,0)</f>
        <v>112.28880000000001</v>
      </c>
      <c r="CV192" s="14">
        <f t="shared" si="173"/>
        <v>29.869595672288149</v>
      </c>
      <c r="CW192" s="22">
        <f t="shared" si="174"/>
        <v>247.59253912923518</v>
      </c>
      <c r="CX192" s="62">
        <f t="shared" si="122"/>
        <v>537.57017777623901</v>
      </c>
      <c r="CY192" s="62">
        <f ca="1">AVERAGE(OFFSET($CX$3,0,0,'Données projet'!$E$13+1,1))-AVERAGE(OFFSET($H$3,0,0,'Données projet'!$E$13+1,1))</f>
        <v>470.0521927195926</v>
      </c>
      <c r="CZ192" s="62">
        <f t="shared" si="150"/>
        <v>299.27200854723435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projet'!$B$13,Paramètres!$A$1:$I$88,3,0)*0.475*44/12</f>
        <v>23.025640041342324</v>
      </c>
      <c r="DG192" s="23">
        <f>EXP(-LN(2)/25)*DG191+(1-EXP(-LN(2)/25))/(LN(2)/25)*Calculateur!DB192*Calculateur!DD192*VLOOKUP('Données projet'!$B$13,Paramètres!$A$1:$I$88,3,0)*0.475*44/12</f>
        <v>0</v>
      </c>
      <c r="DH192" s="23">
        <f>EXP(-LN(2)/2)*DH191+(1-EXP(-LN(2)/2))/(LN(2)/2)*DB192*DE192*VLOOKUP('Données projet'!$B$13,Paramètres!$A$1:$I$88,3,0)*0.475*44/12</f>
        <v>0</v>
      </c>
      <c r="DI192" s="24">
        <f t="shared" si="175"/>
        <v>23.025640041342324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-1.4210854715202004E-13</v>
      </c>
      <c r="DP192" s="18">
        <f>DO192*VLOOKUP('Données projet'!$B$14,Paramètres!$A$1:$I$88,3,0)*VLOOKUP('Données projet'!$B$14,Paramètres!$A$1:$I$88,5,0)</f>
        <v>-1.3744738680543379E-13</v>
      </c>
      <c r="DQ192" s="14" t="e">
        <f t="shared" si="176"/>
        <v>#NUM!</v>
      </c>
      <c r="DR192" s="22" t="e">
        <f t="shared" si="177"/>
        <v>#NUM!</v>
      </c>
      <c r="DS192" s="62" t="e">
        <f t="shared" si="125"/>
        <v>#NUM!</v>
      </c>
      <c r="DT192" s="62">
        <f ca="1">AVERAGE(OFFSET($DS$3,0,0,'Données projet'!$E$14+1,1))-AVERAGE(OFFSET($H$3,0,0,'Données projet'!$E$14+1,1))</f>
        <v>290.89727102147953</v>
      </c>
      <c r="DU192" s="62">
        <f t="shared" si="152"/>
        <v>173.19148969173838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projet'!$B$14,Paramètres!$A$1:$I$88,3,0)*0.475*44/12</f>
        <v>17.495579623061946</v>
      </c>
      <c r="EB192" s="23">
        <f>EXP(-LN(2)/25)*EB191+(1-EXP(-LN(2)/25))/(LN(2)/25)*Calculateur!DW192*Calculateur!DY192*VLOOKUP('Données projet'!$B$14,Paramètres!$A$1:$I$88,3,0)*0.475*44/12</f>
        <v>0</v>
      </c>
      <c r="EC192" s="23">
        <f>EXP(-LN(2)/2)*EC191+(1-EXP(-LN(2)/2))/(LN(2)/2)*DW192*DZ192*VLOOKUP('Données projet'!$B$14,Paramètres!$A$1:$I$88,3,0)*0.475*44/12</f>
        <v>0</v>
      </c>
      <c r="ED192" s="24">
        <f t="shared" si="178"/>
        <v>17.495579623061946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projet'!$B$15,Paramètres!$A$1:$I$88,3,0)*VLOOKUP('Données projet'!$B$15,Paramètres!$A$1:$I$88,5,0)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projet'!$B$15,Paramètres!$A$1:$I$88,3,0)*0.475*44/12</f>
        <v>#N/A</v>
      </c>
      <c r="EW192" s="23" t="e">
        <f>EXP(-LN(2)/25)*EW191+(1-EXP(-LN(2)/25))/(LN(2)/25)*Calculateur!ER192*Calculateur!ET192*VLOOKUP('Données projet'!$B$15,Paramètres!$A$1:$I$88,3,0)*0.475*44/12</f>
        <v>#N/A</v>
      </c>
      <c r="EX192" s="23" t="e">
        <f>EXP(-LN(2)/2)*EX191+(1-EXP(-LN(2)/2))/(LN(2)/2)*ER192*EU192*VLOOKUP('Données projet'!$B$15,Paramètres!$A$1:$I$88,3,0)*0.475*44/12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projet'!$B$16,Paramètres!$A$1:$I$88,3,0)*VLOOKUP('Données projet'!$B$16,Paramètres!$A$1:$I$88,5,0)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projet'!$B$16,Paramètres!$A$1:$I$88,3,0)*0.475*44/12</f>
        <v>#N/A</v>
      </c>
      <c r="FR192" s="23" t="e">
        <f>EXP(-LN(2)/25)*FR191+(1-EXP(-LN(2)/25))/(LN(2)/25)*Calculateur!FM192*Calculateur!FO192*VLOOKUP('Données projet'!$B$16,Paramètres!$A$1:$I$88,3,0)*0.475*44/12</f>
        <v>#N/A</v>
      </c>
      <c r="FS192" s="23" t="e">
        <f>EXP(-LN(2)/2)*FS191+(1-EXP(-LN(2)/2))/(LN(2)/2)*FM192*FP192*VLOOKUP('Données projet'!$B$16,Paramètres!$A$1:$I$88,3,0)*0.475*44/12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projet'!$B$17,Paramètres!$A$1:$I$88,3,0)*VLOOKUP('Données projet'!$B$17,Paramètres!$A$1:$I$88,5,0)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projet'!$B$17,Paramètres!$A$1:$I$88,3,0)*0.475*44/12</f>
        <v>#N/A</v>
      </c>
      <c r="GM192" s="23" t="e">
        <f>EXP(-LN(2)/25)*GM191+(1-EXP(-LN(2)/25))/(LN(2)/25)*Calculateur!GH192*Calculateur!GJ192*VLOOKUP('Données projet'!$B$17,Paramètres!$A$1:$I$88,3,0)*0.475*44/12</f>
        <v>#N/A</v>
      </c>
      <c r="GN192" s="23" t="e">
        <f>EXP(-LN(2)/2)*GN191+(1-EXP(-LN(2)/2))/(LN(2)/2)*GH192*GK192*VLOOKUP('Données projet'!$B$17,Paramètres!$A$1:$I$88,3,0)*0.475*44/12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projet'!$B$18,Paramètres!$A$1:$I$88,3,0)*VLOOKUP('Données projet'!$B$18,Paramètres!$A$1:$I$88,5,0)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projet'!$B$18,Paramètres!$A$1:$I$88,3,0)*0.475*44/12</f>
        <v>#N/A</v>
      </c>
      <c r="HH192" s="23" t="e">
        <f>EXP(-LN(2)/25)*HH191+(1-EXP(-LN(2)/25))/(LN(2)/25)*Calculateur!HC192*Calculateur!HE192*VLOOKUP('Données projet'!$B$18,Paramètres!$A$1:$I$88,3,0)*0.475*44/12</f>
        <v>#N/A</v>
      </c>
      <c r="HI192" s="23" t="e">
        <f>EXP(-LN(2)/2)*HI191+(1-EXP(-LN(2)/2))/(LN(2)/2)*HC192*HF192*VLOOKUP('Données projet'!$B$18,Paramètres!$A$1:$I$88,3,0)*0.475*44/12</f>
        <v>#N/A</v>
      </c>
      <c r="HJ192" s="24" t="e">
        <f t="shared" si="190"/>
        <v>#N/A</v>
      </c>
    </row>
    <row r="193" spans="1:218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projet'!$B$9,Paramètres!$A$1:$I$88,3,0)*VLOOKUP('Données projet'!$B$9,Paramètres!$A$1:$I$88,5,0)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290.03585244760336</v>
      </c>
      <c r="S193" s="62">
        <f ca="1">AVERAGE(OFFSET($R$3,0,0,'Données projet'!$E$9+1,1))-AVERAGE(OFFSET($H$3,0,0,'Données projet'!$E$9+1,1))</f>
        <v>301.2688576786212</v>
      </c>
      <c r="T193" s="62">
        <f t="shared" si="142"/>
        <v>417.62172165132927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9.4251810871013557</v>
      </c>
      <c r="AA193" s="23">
        <f>EXP(-LN(2)/25)*AA192+(1-EXP(-LN(2)/25))/(LN(2)/25)*Calculateur!V193*Calculateur!X193*VLOOKUP('Données projet'!$B$9,Paramètres!$A$1:$I$88,3,0)*0.475*44/12</f>
        <v>1.0256931674646004</v>
      </c>
      <c r="AB193" s="23">
        <f>EXP(-LN(2)/2)*AB192+(1-EXP(-LN(2)/2))/(LN(2)/2)*V193*Y193*VLOOKUP('Données projet'!$B$9,Paramètres!$A$1:$I$88,3,0)*0.475*44/12</f>
        <v>2.4947490198392909E-20</v>
      </c>
      <c r="AC193" s="24">
        <f t="shared" si="163"/>
        <v>10.450874254565957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projet'!$B$10,Paramètres!$A$1:$I$88,3,0)*VLOOKUP('Données projet'!$B$10,Paramètres!$A$1:$I$88,5,0)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170.08673939431091</v>
      </c>
      <c r="AO193" s="62">
        <f t="shared" si="144"/>
        <v>252.97355497077106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projet'!$B$10,Paramètres!$A$1:$I$88,3,0)*0.475*44/12</f>
        <v>3.9352721266996546</v>
      </c>
      <c r="AV193" s="23">
        <f>EXP(-LN(2)/25)*AV192+(1-EXP(-LN(2)/25))/(LN(2)/25)*Calculateur!AQ193*Calculateur!AS193*VLOOKUP('Données projet'!$B$10,Paramètres!$A$1:$I$88,3,0)*0.475*44/12</f>
        <v>1.0395948188829629</v>
      </c>
      <c r="AW193" s="23">
        <f>EXP(-LN(2)/2)*AW192+(1-EXP(-LN(2)/2))/(LN(2)/2)*AQ193*AT193*VLOOKUP('Données projet'!$B$10,Paramètres!$A$1:$I$88,3,0)*0.475*44/12</f>
        <v>3.1955729293401348E-20</v>
      </c>
      <c r="AX193" s="23">
        <f t="shared" si="166"/>
        <v>4.9748669455826171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-1.1368683772161603E-13</v>
      </c>
      <c r="BE193" s="14">
        <f>BD193*VLOOKUP('Données projet'!$B$11,Paramètres!$A$1:$I$88,3,0)*VLOOKUP('Données projet'!$B$11,Paramètres!$A$1:$I$88,5,0)</f>
        <v>-1.0286385077051818E-13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362.63718589694594</v>
      </c>
      <c r="BJ193" s="62">
        <f t="shared" si="146"/>
        <v>250.47702091764884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projet'!$B$11,Paramètres!$A$1:$I$88,7,0))</f>
        <v>0</v>
      </c>
      <c r="BN193" s="17">
        <f>IF(ISNA(VLOOKUP(A193,'Données projet'!$A$87:$I$107,6,0)),0%,VLOOKUP(A193,'Données projet'!$A$87:$I$107,6,0)*VLOOKUP('Données projet'!$B$11,Paramètres!$A$1:$I$88,7,0))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projet'!$B$11,Paramètres!$A$1:$I$88,3,0)*0.475*44/12</f>
        <v>21.463918598267949</v>
      </c>
      <c r="BQ193" s="23">
        <f>EXP(-LN(2)/25)*BQ192+(1-EXP(-LN(2)/25))/(LN(2)/25)*Calculateur!BL193*Calculateur!BN193*VLOOKUP('Données projet'!$B$11,Paramètres!$A$1:$I$88,3,0)*0.475*44/12</f>
        <v>0</v>
      </c>
      <c r="BR193" s="23">
        <f>EXP(-LN(2)/2)*BR192+(1-EXP(-LN(2)/2))/(LN(2)/2)*BL193*BO193*VLOOKUP('Données projet'!$B$11,Paramètres!$A$1:$I$88,3,0)*0.475*44/12</f>
        <v>0</v>
      </c>
      <c r="BS193" s="24">
        <f t="shared" si="169"/>
        <v>21.463918598267949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-1.1368683772161603E-13</v>
      </c>
      <c r="BZ193" s="14">
        <f>BY193*VLOOKUP('Données projet'!$B$12,Paramètres!$A$1:$I$88,3,0)*VLOOKUP('Données projet'!$B$12,Paramètres!$A$1:$I$88,5,0)</f>
        <v>-1.1527845344971866E-13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398.14524781940196</v>
      </c>
      <c r="CE193" s="62">
        <f t="shared" si="148"/>
        <v>273.35778700650792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projet'!$B$12,Paramètres!$A$1:$I$88,3,0)*0.475*44/12</f>
        <v>24.054391532541654</v>
      </c>
      <c r="CL193" s="23">
        <f>EXP(-LN(2)/25)*CL192+(1-EXP(-LN(2)/25))/(LN(2)/25)*Calculateur!CG193*Calculateur!CI193*VLOOKUP('Données projet'!$B$12,Paramètres!$A$1:$I$88,3,0)*0.475*44/12</f>
        <v>0</v>
      </c>
      <c r="CM193" s="23">
        <f>EXP(-LN(2)/2)*CM192+(1-EXP(-LN(2)/2))/(LN(2)/2)*CG193*CJ193*VLOOKUP('Données projet'!$B$12,Paramètres!$A$1:$I$88,3,0)*0.475*44/12</f>
        <v>0</v>
      </c>
      <c r="CN193" s="24">
        <f t="shared" si="172"/>
        <v>24.054391532541654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118</v>
      </c>
      <c r="CU193" s="18">
        <f>CT193*VLOOKUP('Données projet'!$B$13,Paramètres!$A$1:$I$88,3,0)*VLOOKUP('Données projet'!$B$13,Paramètres!$A$1:$I$88,5,0)</f>
        <v>112.28880000000001</v>
      </c>
      <c r="CV193" s="14">
        <f t="shared" si="173"/>
        <v>29.869595672288149</v>
      </c>
      <c r="CW193" s="22">
        <f t="shared" si="174"/>
        <v>247.59253912923518</v>
      </c>
      <c r="CX193" s="62">
        <f t="shared" si="122"/>
        <v>537.62839157683743</v>
      </c>
      <c r="CY193" s="62">
        <f ca="1">AVERAGE(OFFSET($CX$3,0,0,'Données projet'!$E$13+1,1))-AVERAGE(OFFSET($H$3,0,0,'Données projet'!$E$13+1,1))</f>
        <v>470.0521927195926</v>
      </c>
      <c r="CZ193" s="62">
        <f t="shared" si="150"/>
        <v>299.27200854723435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projet'!$B$13,Paramètres!$A$1:$I$88,3,0)*0.475*44/12</f>
        <v>22.574121284385271</v>
      </c>
      <c r="DG193" s="23">
        <f>EXP(-LN(2)/25)*DG192+(1-EXP(-LN(2)/25))/(LN(2)/25)*Calculateur!DB193*Calculateur!DD193*VLOOKUP('Données projet'!$B$13,Paramètres!$A$1:$I$88,3,0)*0.475*44/12</f>
        <v>0</v>
      </c>
      <c r="DH193" s="23">
        <f>EXP(-LN(2)/2)*DH192+(1-EXP(-LN(2)/2))/(LN(2)/2)*DB193*DE193*VLOOKUP('Données projet'!$B$13,Paramètres!$A$1:$I$88,3,0)*0.475*44/12</f>
        <v>0</v>
      </c>
      <c r="DI193" s="24">
        <f t="shared" si="175"/>
        <v>22.574121284385271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-1.4210854715202004E-13</v>
      </c>
      <c r="DP193" s="18">
        <f>DO193*VLOOKUP('Données projet'!$B$14,Paramètres!$A$1:$I$88,3,0)*VLOOKUP('Données projet'!$B$14,Paramètres!$A$1:$I$88,5,0)</f>
        <v>-1.3744738680543379E-13</v>
      </c>
      <c r="DQ193" s="14" t="e">
        <f t="shared" si="176"/>
        <v>#NUM!</v>
      </c>
      <c r="DR193" s="22" t="e">
        <f t="shared" si="177"/>
        <v>#NUM!</v>
      </c>
      <c r="DS193" s="62" t="e">
        <f t="shared" si="125"/>
        <v>#NUM!</v>
      </c>
      <c r="DT193" s="62">
        <f ca="1">AVERAGE(OFFSET($DS$3,0,0,'Données projet'!$E$14+1,1))-AVERAGE(OFFSET($H$3,0,0,'Données projet'!$E$14+1,1))</f>
        <v>290.89727102147953</v>
      </c>
      <c r="DU193" s="62">
        <f t="shared" si="152"/>
        <v>173.19148969173838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projet'!$B$14,Paramètres!$A$1:$I$88,3,0)*0.475*44/12</f>
        <v>17.152501977903572</v>
      </c>
      <c r="EB193" s="23">
        <f>EXP(-LN(2)/25)*EB192+(1-EXP(-LN(2)/25))/(LN(2)/25)*Calculateur!DW193*Calculateur!DY193*VLOOKUP('Données projet'!$B$14,Paramètres!$A$1:$I$88,3,0)*0.475*44/12</f>
        <v>0</v>
      </c>
      <c r="EC193" s="23">
        <f>EXP(-LN(2)/2)*EC192+(1-EXP(-LN(2)/2))/(LN(2)/2)*DW193*DZ193*VLOOKUP('Données projet'!$B$14,Paramètres!$A$1:$I$88,3,0)*0.475*44/12</f>
        <v>0</v>
      </c>
      <c r="ED193" s="24">
        <f t="shared" si="178"/>
        <v>17.152501977903572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projet'!$B$15,Paramètres!$A$1:$I$88,3,0)*VLOOKUP('Données projet'!$B$15,Paramètres!$A$1:$I$88,5,0)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projet'!$B$15,Paramètres!$A$1:$I$88,3,0)*0.475*44/12</f>
        <v>#N/A</v>
      </c>
      <c r="EW193" s="23" t="e">
        <f>EXP(-LN(2)/25)*EW192+(1-EXP(-LN(2)/25))/(LN(2)/25)*Calculateur!ER193*Calculateur!ET193*VLOOKUP('Données projet'!$B$15,Paramètres!$A$1:$I$88,3,0)*0.475*44/12</f>
        <v>#N/A</v>
      </c>
      <c r="EX193" s="23" t="e">
        <f>EXP(-LN(2)/2)*EX192+(1-EXP(-LN(2)/2))/(LN(2)/2)*ER193*EU193*VLOOKUP('Données projet'!$B$15,Paramètres!$A$1:$I$88,3,0)*0.475*44/12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projet'!$B$16,Paramètres!$A$1:$I$88,3,0)*VLOOKUP('Données projet'!$B$16,Paramètres!$A$1:$I$88,5,0)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projet'!$B$16,Paramètres!$A$1:$I$88,3,0)*0.475*44/12</f>
        <v>#N/A</v>
      </c>
      <c r="FR193" s="23" t="e">
        <f>EXP(-LN(2)/25)*FR192+(1-EXP(-LN(2)/25))/(LN(2)/25)*Calculateur!FM193*Calculateur!FO193*VLOOKUP('Données projet'!$B$16,Paramètres!$A$1:$I$88,3,0)*0.475*44/12</f>
        <v>#N/A</v>
      </c>
      <c r="FS193" s="23" t="e">
        <f>EXP(-LN(2)/2)*FS192+(1-EXP(-LN(2)/2))/(LN(2)/2)*FM193*FP193*VLOOKUP('Données projet'!$B$16,Paramètres!$A$1:$I$88,3,0)*0.475*44/12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projet'!$B$17,Paramètres!$A$1:$I$88,3,0)*VLOOKUP('Données projet'!$B$17,Paramètres!$A$1:$I$88,5,0)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projet'!$B$17,Paramètres!$A$1:$I$88,3,0)*0.475*44/12</f>
        <v>#N/A</v>
      </c>
      <c r="GM193" s="23" t="e">
        <f>EXP(-LN(2)/25)*GM192+(1-EXP(-LN(2)/25))/(LN(2)/25)*Calculateur!GH193*Calculateur!GJ193*VLOOKUP('Données projet'!$B$17,Paramètres!$A$1:$I$88,3,0)*0.475*44/12</f>
        <v>#N/A</v>
      </c>
      <c r="GN193" s="23" t="e">
        <f>EXP(-LN(2)/2)*GN192+(1-EXP(-LN(2)/2))/(LN(2)/2)*GH193*GK193*VLOOKUP('Données projet'!$B$17,Paramètres!$A$1:$I$88,3,0)*0.475*44/12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projet'!$B$18,Paramètres!$A$1:$I$88,3,0)*VLOOKUP('Données projet'!$B$18,Paramètres!$A$1:$I$88,5,0)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projet'!$B$18,Paramètres!$A$1:$I$88,3,0)*0.475*44/12</f>
        <v>#N/A</v>
      </c>
      <c r="HH193" s="23" t="e">
        <f>EXP(-LN(2)/25)*HH192+(1-EXP(-LN(2)/25))/(LN(2)/25)*Calculateur!HC193*Calculateur!HE193*VLOOKUP('Données projet'!$B$18,Paramètres!$A$1:$I$88,3,0)*0.475*44/12</f>
        <v>#N/A</v>
      </c>
      <c r="HI193" s="23" t="e">
        <f>EXP(-LN(2)/2)*HI192+(1-EXP(-LN(2)/2))/(LN(2)/2)*HC193*HF193*VLOOKUP('Données projet'!$B$18,Paramètres!$A$1:$I$88,3,0)*0.475*44/12</f>
        <v>#N/A</v>
      </c>
      <c r="HJ193" s="24" t="e">
        <f t="shared" si="190"/>
        <v>#N/A</v>
      </c>
    </row>
    <row r="194" spans="1:218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projet'!$B$9,Paramètres!$A$1:$I$88,3,0)*VLOOKUP('Données projet'!$B$9,Paramètres!$A$1:$I$88,5,0)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290.09305636890792</v>
      </c>
      <c r="S194" s="62">
        <f ca="1">AVERAGE(OFFSET($R$3,0,0,'Données projet'!$E$9+1,1))-AVERAGE(OFFSET($H$3,0,0,'Données projet'!$E$9+1,1))</f>
        <v>301.2688576786212</v>
      </c>
      <c r="T194" s="62">
        <f t="shared" si="142"/>
        <v>417.62172165132927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9.240359034776116</v>
      </c>
      <c r="AA194" s="23">
        <f>EXP(-LN(2)/25)*AA193+(1-EXP(-LN(2)/25))/(LN(2)/25)*Calculateur!V194*Calculateur!X194*VLOOKUP('Données projet'!$B$9,Paramètres!$A$1:$I$88,3,0)*0.475*44/12</f>
        <v>0.99764553386142141</v>
      </c>
      <c r="AB194" s="23">
        <f>EXP(-LN(2)/2)*AB193+(1-EXP(-LN(2)/2))/(LN(2)/2)*V194*Y194*VLOOKUP('Données projet'!$B$9,Paramètres!$A$1:$I$88,3,0)*0.475*44/12</f>
        <v>1.7640539492868554E-20</v>
      </c>
      <c r="AC194" s="24">
        <f t="shared" si="163"/>
        <v>10.238004568637537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projet'!$B$10,Paramètres!$A$1:$I$88,3,0)*VLOOKUP('Données projet'!$B$10,Paramètres!$A$1:$I$88,5,0)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170.08673939431091</v>
      </c>
      <c r="AO194" s="62">
        <f t="shared" si="144"/>
        <v>252.97355497077106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projet'!$B$10,Paramètres!$A$1:$I$88,3,0)*0.475*44/12</f>
        <v>3.858103840574064</v>
      </c>
      <c r="AV194" s="23">
        <f>EXP(-LN(2)/25)*AV193+(1-EXP(-LN(2)/25))/(LN(2)/25)*Calculateur!AQ194*Calculateur!AS194*VLOOKUP('Données projet'!$B$10,Paramètres!$A$1:$I$88,3,0)*0.475*44/12</f>
        <v>1.0111670438906928</v>
      </c>
      <c r="AW194" s="23">
        <f>EXP(-LN(2)/2)*AW193+(1-EXP(-LN(2)/2))/(LN(2)/2)*AQ194*AT194*VLOOKUP('Données projet'!$B$10,Paramètres!$A$1:$I$88,3,0)*0.475*44/12</f>
        <v>2.2596112881125695E-20</v>
      </c>
      <c r="AX194" s="23">
        <f t="shared" si="166"/>
        <v>4.8692708844647568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-1.1368683772161603E-13</v>
      </c>
      <c r="BE194" s="14">
        <f>BD194*VLOOKUP('Données projet'!$B$11,Paramètres!$A$1:$I$88,3,0)*VLOOKUP('Données projet'!$B$11,Paramètres!$A$1:$I$88,5,0)</f>
        <v>-1.0286385077051818E-13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362.63718589694594</v>
      </c>
      <c r="BJ194" s="62">
        <f t="shared" si="146"/>
        <v>250.47702091764884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projet'!$B$11,Paramètres!$A$1:$I$88,3,0)*0.475*44/12</f>
        <v>21.043024246253562</v>
      </c>
      <c r="BQ194" s="23">
        <f>EXP(-LN(2)/25)*BQ193+(1-EXP(-LN(2)/25))/(LN(2)/25)*Calculateur!BL194*Calculateur!BN194*VLOOKUP('Données projet'!$B$11,Paramètres!$A$1:$I$88,3,0)*0.475*44/12</f>
        <v>0</v>
      </c>
      <c r="BR194" s="23">
        <f>EXP(-LN(2)/2)*BR193+(1-EXP(-LN(2)/2))/(LN(2)/2)*BL194*BO194*VLOOKUP('Données projet'!$B$11,Paramètres!$A$1:$I$88,3,0)*0.475*44/12</f>
        <v>0</v>
      </c>
      <c r="BS194" s="24">
        <f t="shared" si="169"/>
        <v>21.043024246253562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-1.1368683772161603E-13</v>
      </c>
      <c r="BZ194" s="14">
        <f>BY194*VLOOKUP('Données projet'!$B$12,Paramètres!$A$1:$I$88,3,0)*VLOOKUP('Données projet'!$B$12,Paramètres!$A$1:$I$88,5,0)</f>
        <v>-1.1527845344971866E-13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398.14524781940196</v>
      </c>
      <c r="CE194" s="62">
        <f t="shared" si="148"/>
        <v>273.35778700650792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projet'!$B$12,Paramètres!$A$1:$I$88,3,0)*0.475*44/12</f>
        <v>23.582699586318633</v>
      </c>
      <c r="CL194" s="23">
        <f>EXP(-LN(2)/25)*CL193+(1-EXP(-LN(2)/25))/(LN(2)/25)*Calculateur!CG194*Calculateur!CI194*VLOOKUP('Données projet'!$B$12,Paramètres!$A$1:$I$88,3,0)*0.475*44/12</f>
        <v>0</v>
      </c>
      <c r="CM194" s="23">
        <f>EXP(-LN(2)/2)*CM193+(1-EXP(-LN(2)/2))/(LN(2)/2)*CG194*CJ194*VLOOKUP('Données projet'!$B$12,Paramètres!$A$1:$I$88,3,0)*0.475*44/12</f>
        <v>0</v>
      </c>
      <c r="CN194" s="24">
        <f t="shared" si="172"/>
        <v>23.582699586318633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118</v>
      </c>
      <c r="CU194" s="18">
        <f>CT194*VLOOKUP('Données projet'!$B$13,Paramètres!$A$1:$I$88,3,0)*VLOOKUP('Données projet'!$B$13,Paramètres!$A$1:$I$88,5,0)</f>
        <v>112.28880000000001</v>
      </c>
      <c r="CV194" s="14">
        <f t="shared" si="173"/>
        <v>29.869595672288149</v>
      </c>
      <c r="CW194" s="22">
        <f t="shared" si="174"/>
        <v>247.59253912923518</v>
      </c>
      <c r="CX194" s="62">
        <f t="shared" si="122"/>
        <v>537.68559549814199</v>
      </c>
      <c r="CY194" s="62">
        <f ca="1">AVERAGE(OFFSET($CX$3,0,0,'Données projet'!$E$13+1,1))-AVERAGE(OFFSET($H$3,0,0,'Données projet'!$E$13+1,1))</f>
        <v>470.0521927195926</v>
      </c>
      <c r="CZ194" s="62">
        <f t="shared" si="150"/>
        <v>299.27200854723435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projet'!$B$13,Paramètres!$A$1:$I$88,3,0)*0.475*44/12</f>
        <v>22.131456534852898</v>
      </c>
      <c r="DG194" s="23">
        <f>EXP(-LN(2)/25)*DG193+(1-EXP(-LN(2)/25))/(LN(2)/25)*Calculateur!DB194*Calculateur!DD194*VLOOKUP('Données projet'!$B$13,Paramètres!$A$1:$I$88,3,0)*0.475*44/12</f>
        <v>0</v>
      </c>
      <c r="DH194" s="23">
        <f>EXP(-LN(2)/2)*DH193+(1-EXP(-LN(2)/2))/(LN(2)/2)*DB194*DE194*VLOOKUP('Données projet'!$B$13,Paramètres!$A$1:$I$88,3,0)*0.475*44/12</f>
        <v>0</v>
      </c>
      <c r="DI194" s="24">
        <f t="shared" si="175"/>
        <v>22.131456534852898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-1.4210854715202004E-13</v>
      </c>
      <c r="DP194" s="18">
        <f>DO194*VLOOKUP('Données projet'!$B$14,Paramètres!$A$1:$I$88,3,0)*VLOOKUP('Données projet'!$B$14,Paramètres!$A$1:$I$88,5,0)</f>
        <v>-1.3744738680543379E-13</v>
      </c>
      <c r="DQ194" s="14" t="e">
        <f t="shared" si="176"/>
        <v>#NUM!</v>
      </c>
      <c r="DR194" s="22" t="e">
        <f t="shared" si="177"/>
        <v>#NUM!</v>
      </c>
      <c r="DS194" s="62" t="e">
        <f t="shared" si="125"/>
        <v>#NUM!</v>
      </c>
      <c r="DT194" s="62">
        <f ca="1">AVERAGE(OFFSET($DS$3,0,0,'Données projet'!$E$14+1,1))-AVERAGE(OFFSET($H$3,0,0,'Données projet'!$E$14+1,1))</f>
        <v>290.89727102147953</v>
      </c>
      <c r="DU194" s="62">
        <f t="shared" si="152"/>
        <v>173.19148969173838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projet'!$B$14,Paramètres!$A$1:$I$88,3,0)*0.475*44/12</f>
        <v>16.816151876110055</v>
      </c>
      <c r="EB194" s="23">
        <f>EXP(-LN(2)/25)*EB193+(1-EXP(-LN(2)/25))/(LN(2)/25)*Calculateur!DW194*Calculateur!DY194*VLOOKUP('Données projet'!$B$14,Paramètres!$A$1:$I$88,3,0)*0.475*44/12</f>
        <v>0</v>
      </c>
      <c r="EC194" s="23">
        <f>EXP(-LN(2)/2)*EC193+(1-EXP(-LN(2)/2))/(LN(2)/2)*DW194*DZ194*VLOOKUP('Données projet'!$B$14,Paramètres!$A$1:$I$88,3,0)*0.475*44/12</f>
        <v>0</v>
      </c>
      <c r="ED194" s="24">
        <f t="shared" si="178"/>
        <v>16.816151876110055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projet'!$B$15,Paramètres!$A$1:$I$88,3,0)*VLOOKUP('Données projet'!$B$15,Paramètres!$A$1:$I$88,5,0)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projet'!$B$15,Paramètres!$A$1:$I$88,3,0)*0.475*44/12</f>
        <v>#N/A</v>
      </c>
      <c r="EW194" s="23" t="e">
        <f>EXP(-LN(2)/25)*EW193+(1-EXP(-LN(2)/25))/(LN(2)/25)*Calculateur!ER194*Calculateur!ET194*VLOOKUP('Données projet'!$B$15,Paramètres!$A$1:$I$88,3,0)*0.475*44/12</f>
        <v>#N/A</v>
      </c>
      <c r="EX194" s="23" t="e">
        <f>EXP(-LN(2)/2)*EX193+(1-EXP(-LN(2)/2))/(LN(2)/2)*ER194*EU194*VLOOKUP('Données projet'!$B$15,Paramètres!$A$1:$I$88,3,0)*0.475*44/12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projet'!$B$16,Paramètres!$A$1:$I$88,3,0)*VLOOKUP('Données projet'!$B$16,Paramètres!$A$1:$I$88,5,0)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projet'!$B$16,Paramètres!$A$1:$I$88,3,0)*0.475*44/12</f>
        <v>#N/A</v>
      </c>
      <c r="FR194" s="23" t="e">
        <f>EXP(-LN(2)/25)*FR193+(1-EXP(-LN(2)/25))/(LN(2)/25)*Calculateur!FM194*Calculateur!FO194*VLOOKUP('Données projet'!$B$16,Paramètres!$A$1:$I$88,3,0)*0.475*44/12</f>
        <v>#N/A</v>
      </c>
      <c r="FS194" s="23" t="e">
        <f>EXP(-LN(2)/2)*FS193+(1-EXP(-LN(2)/2))/(LN(2)/2)*FM194*FP194*VLOOKUP('Données projet'!$B$16,Paramètres!$A$1:$I$88,3,0)*0.475*44/12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projet'!$B$17,Paramètres!$A$1:$I$88,3,0)*VLOOKUP('Données projet'!$B$17,Paramètres!$A$1:$I$88,5,0)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projet'!$B$17,Paramètres!$A$1:$I$88,3,0)*0.475*44/12</f>
        <v>#N/A</v>
      </c>
      <c r="GM194" s="23" t="e">
        <f>EXP(-LN(2)/25)*GM193+(1-EXP(-LN(2)/25))/(LN(2)/25)*Calculateur!GH194*Calculateur!GJ194*VLOOKUP('Données projet'!$B$17,Paramètres!$A$1:$I$88,3,0)*0.475*44/12</f>
        <v>#N/A</v>
      </c>
      <c r="GN194" s="23" t="e">
        <f>EXP(-LN(2)/2)*GN193+(1-EXP(-LN(2)/2))/(LN(2)/2)*GH194*GK194*VLOOKUP('Données projet'!$B$17,Paramètres!$A$1:$I$88,3,0)*0.475*44/12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projet'!$B$18,Paramètres!$A$1:$I$88,3,0)*VLOOKUP('Données projet'!$B$18,Paramètres!$A$1:$I$88,5,0)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projet'!$B$18,Paramètres!$A$1:$I$88,3,0)*0.475*44/12</f>
        <v>#N/A</v>
      </c>
      <c r="HH194" s="23" t="e">
        <f>EXP(-LN(2)/25)*HH193+(1-EXP(-LN(2)/25))/(LN(2)/25)*Calculateur!HC194*Calculateur!HE194*VLOOKUP('Données projet'!$B$18,Paramètres!$A$1:$I$88,3,0)*0.475*44/12</f>
        <v>#N/A</v>
      </c>
      <c r="HI194" s="23" t="e">
        <f>EXP(-LN(2)/2)*HI193+(1-EXP(-LN(2)/2))/(LN(2)/2)*HC194*HF194*VLOOKUP('Données projet'!$B$18,Paramètres!$A$1:$I$88,3,0)*0.475*44/12</f>
        <v>#N/A</v>
      </c>
      <c r="HJ194" s="24" t="e">
        <f t="shared" si="190"/>
        <v>#N/A</v>
      </c>
    </row>
    <row r="195" spans="1:218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projet'!$B$9,Paramètres!$A$1:$I$88,3,0)*VLOOKUP('Données projet'!$B$9,Paramètres!$A$1:$I$88,5,0)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290.14926793006674</v>
      </c>
      <c r="S195" s="62">
        <f ca="1">AVERAGE(OFFSET($R$3,0,0,'Données projet'!$E$9+1,1))-AVERAGE(OFFSET($H$3,0,0,'Données projet'!$E$9+1,1))</f>
        <v>301.2688576786212</v>
      </c>
      <c r="T195" s="62">
        <f t="shared" si="142"/>
        <v>417.62172165132927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9.0591612301666533</v>
      </c>
      <c r="AA195" s="23">
        <f>EXP(-LN(2)/25)*AA194+(1-EXP(-LN(2)/25))/(LN(2)/25)*Calculateur!V195*Calculateur!X195*VLOOKUP('Données projet'!$B$9,Paramètres!$A$1:$I$88,3,0)*0.475*44/12</f>
        <v>0.97036486427408242</v>
      </c>
      <c r="AB195" s="23">
        <f>EXP(-LN(2)/2)*AB194+(1-EXP(-LN(2)/2))/(LN(2)/2)*V195*Y195*VLOOKUP('Données projet'!$B$9,Paramètres!$A$1:$I$88,3,0)*0.475*44/12</f>
        <v>1.2473745099196455E-20</v>
      </c>
      <c r="AC195" s="24">
        <f t="shared" si="163"/>
        <v>10.029526094440735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projet'!$B$10,Paramètres!$A$1:$I$88,3,0)*VLOOKUP('Données projet'!$B$10,Paramètres!$A$1:$I$88,5,0)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170.08673939431091</v>
      </c>
      <c r="AO195" s="62">
        <f t="shared" si="144"/>
        <v>252.97355497077106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projet'!$B$10,Paramètres!$A$1:$I$88,3,0)*0.475*44/12</f>
        <v>3.7824487774713891</v>
      </c>
      <c r="AV195" s="23">
        <f>EXP(-LN(2)/25)*AV194+(1-EXP(-LN(2)/25))/(LN(2)/25)*Calculateur!AQ195*Calculateur!AS195*VLOOKUP('Données projet'!$B$10,Paramètres!$A$1:$I$88,3,0)*0.475*44/12</f>
        <v>0.98351662790053795</v>
      </c>
      <c r="AW195" s="23">
        <f>EXP(-LN(2)/2)*AW194+(1-EXP(-LN(2)/2))/(LN(2)/2)*AQ195*AT195*VLOOKUP('Données projet'!$B$10,Paramètres!$A$1:$I$88,3,0)*0.475*44/12</f>
        <v>1.5977864646700674E-20</v>
      </c>
      <c r="AX195" s="23">
        <f t="shared" si="166"/>
        <v>4.7659654053719267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-1.1368683772161603E-13</v>
      </c>
      <c r="BE195" s="14">
        <f>BD195*VLOOKUP('Données projet'!$B$11,Paramètres!$A$1:$I$88,3,0)*VLOOKUP('Données projet'!$B$11,Paramètres!$A$1:$I$88,5,0)</f>
        <v>-1.0286385077051818E-13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362.63718589694594</v>
      </c>
      <c r="BJ195" s="62">
        <f t="shared" si="146"/>
        <v>250.47702091764884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projet'!$B$11,Paramètres!$A$1:$I$88,3,0)*0.475*44/12</f>
        <v>20.630383375761973</v>
      </c>
      <c r="BQ195" s="23">
        <f>EXP(-LN(2)/25)*BQ194+(1-EXP(-LN(2)/25))/(LN(2)/25)*Calculateur!BL195*Calculateur!BN195*VLOOKUP('Données projet'!$B$11,Paramètres!$A$1:$I$88,3,0)*0.475*44/12</f>
        <v>0</v>
      </c>
      <c r="BR195" s="23">
        <f>EXP(-LN(2)/2)*BR194+(1-EXP(-LN(2)/2))/(LN(2)/2)*BL195*BO195*VLOOKUP('Données projet'!$B$11,Paramètres!$A$1:$I$88,3,0)*0.475*44/12</f>
        <v>0</v>
      </c>
      <c r="BS195" s="24">
        <f t="shared" si="169"/>
        <v>20.630383375761973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-1.1368683772161603E-13</v>
      </c>
      <c r="BZ195" s="14">
        <f>BY195*VLOOKUP('Données projet'!$B$12,Paramètres!$A$1:$I$88,3,0)*VLOOKUP('Données projet'!$B$12,Paramètres!$A$1:$I$88,5,0)</f>
        <v>-1.1527845344971866E-13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398.14524781940196</v>
      </c>
      <c r="CE195" s="62">
        <f t="shared" si="148"/>
        <v>273.35778700650792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projet'!$B$12,Paramètres!$A$1:$I$88,3,0)*0.475*44/12</f>
        <v>23.120257231457366</v>
      </c>
      <c r="CL195" s="23">
        <f>EXP(-LN(2)/25)*CL194+(1-EXP(-LN(2)/25))/(LN(2)/25)*Calculateur!CG195*Calculateur!CI195*VLOOKUP('Données projet'!$B$12,Paramètres!$A$1:$I$88,3,0)*0.475*44/12</f>
        <v>0</v>
      </c>
      <c r="CM195" s="23">
        <f>EXP(-LN(2)/2)*CM194+(1-EXP(-LN(2)/2))/(LN(2)/2)*CG195*CJ195*VLOOKUP('Données projet'!$B$12,Paramètres!$A$1:$I$88,3,0)*0.475*44/12</f>
        <v>0</v>
      </c>
      <c r="CN195" s="24">
        <f t="shared" si="172"/>
        <v>23.120257231457366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118</v>
      </c>
      <c r="CU195" s="18">
        <f>CT195*VLOOKUP('Données projet'!$B$13,Paramètres!$A$1:$I$88,3,0)*VLOOKUP('Données projet'!$B$13,Paramètres!$A$1:$I$88,5,0)</f>
        <v>112.28880000000001</v>
      </c>
      <c r="CV195" s="14">
        <f t="shared" si="173"/>
        <v>29.869595672288149</v>
      </c>
      <c r="CW195" s="22">
        <f t="shared" si="174"/>
        <v>247.59253912923518</v>
      </c>
      <c r="CX195" s="62">
        <f t="shared" si="122"/>
        <v>537.74180705930087</v>
      </c>
      <c r="CY195" s="62">
        <f ca="1">AVERAGE(OFFSET($CX$3,0,0,'Données projet'!$E$13+1,1))-AVERAGE(OFFSET($H$3,0,0,'Données projet'!$E$13+1,1))</f>
        <v>470.0521927195926</v>
      </c>
      <c r="CZ195" s="62">
        <f t="shared" si="150"/>
        <v>299.27200854723435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projet'!$B$13,Paramètres!$A$1:$I$88,3,0)*0.475*44/12</f>
        <v>21.697472171060017</v>
      </c>
      <c r="DG195" s="23">
        <f>EXP(-LN(2)/25)*DG194+(1-EXP(-LN(2)/25))/(LN(2)/25)*Calculateur!DB195*Calculateur!DD195*VLOOKUP('Données projet'!$B$13,Paramètres!$A$1:$I$88,3,0)*0.475*44/12</f>
        <v>0</v>
      </c>
      <c r="DH195" s="23">
        <f>EXP(-LN(2)/2)*DH194+(1-EXP(-LN(2)/2))/(LN(2)/2)*DB195*DE195*VLOOKUP('Données projet'!$B$13,Paramètres!$A$1:$I$88,3,0)*0.475*44/12</f>
        <v>0</v>
      </c>
      <c r="DI195" s="24">
        <f t="shared" si="175"/>
        <v>21.697472171060017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-1.4210854715202004E-13</v>
      </c>
      <c r="DP195" s="18">
        <f>DO195*VLOOKUP('Données projet'!$B$14,Paramètres!$A$1:$I$88,3,0)*VLOOKUP('Données projet'!$B$14,Paramètres!$A$1:$I$88,5,0)</f>
        <v>-1.3744738680543379E-13</v>
      </c>
      <c r="DQ195" s="14" t="e">
        <f t="shared" si="176"/>
        <v>#NUM!</v>
      </c>
      <c r="DR195" s="22" t="e">
        <f t="shared" si="177"/>
        <v>#NUM!</v>
      </c>
      <c r="DS195" s="62" t="e">
        <f t="shared" si="125"/>
        <v>#NUM!</v>
      </c>
      <c r="DT195" s="62">
        <f ca="1">AVERAGE(OFFSET($DS$3,0,0,'Données projet'!$E$14+1,1))-AVERAGE(OFFSET($H$3,0,0,'Données projet'!$E$14+1,1))</f>
        <v>290.89727102147953</v>
      </c>
      <c r="DU195" s="62">
        <f t="shared" si="152"/>
        <v>173.19148969173838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projet'!$B$14,Paramètres!$A$1:$I$88,3,0)*0.475*44/12</f>
        <v>16.486397394659402</v>
      </c>
      <c r="EB195" s="23">
        <f>EXP(-LN(2)/25)*EB194+(1-EXP(-LN(2)/25))/(LN(2)/25)*Calculateur!DW195*Calculateur!DY195*VLOOKUP('Données projet'!$B$14,Paramètres!$A$1:$I$88,3,0)*0.475*44/12</f>
        <v>0</v>
      </c>
      <c r="EC195" s="23">
        <f>EXP(-LN(2)/2)*EC194+(1-EXP(-LN(2)/2))/(LN(2)/2)*DW195*DZ195*VLOOKUP('Données projet'!$B$14,Paramètres!$A$1:$I$88,3,0)*0.475*44/12</f>
        <v>0</v>
      </c>
      <c r="ED195" s="24">
        <f t="shared" si="178"/>
        <v>16.486397394659402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projet'!$B$15,Paramètres!$A$1:$I$88,3,0)*VLOOKUP('Données projet'!$B$15,Paramètres!$A$1:$I$88,5,0)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projet'!$B$15,Paramètres!$A$1:$I$88,3,0)*0.475*44/12</f>
        <v>#N/A</v>
      </c>
      <c r="EW195" s="23" t="e">
        <f>EXP(-LN(2)/25)*EW194+(1-EXP(-LN(2)/25))/(LN(2)/25)*Calculateur!ER195*Calculateur!ET195*VLOOKUP('Données projet'!$B$15,Paramètres!$A$1:$I$88,3,0)*0.475*44/12</f>
        <v>#N/A</v>
      </c>
      <c r="EX195" s="23" t="e">
        <f>EXP(-LN(2)/2)*EX194+(1-EXP(-LN(2)/2))/(LN(2)/2)*ER195*EU195*VLOOKUP('Données projet'!$B$15,Paramètres!$A$1:$I$88,3,0)*0.475*44/12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projet'!$B$16,Paramètres!$A$1:$I$88,3,0)*VLOOKUP('Données projet'!$B$16,Paramètres!$A$1:$I$88,5,0)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projet'!$B$16,Paramètres!$A$1:$I$88,3,0)*0.475*44/12</f>
        <v>#N/A</v>
      </c>
      <c r="FR195" s="23" t="e">
        <f>EXP(-LN(2)/25)*FR194+(1-EXP(-LN(2)/25))/(LN(2)/25)*Calculateur!FM195*Calculateur!FO195*VLOOKUP('Données projet'!$B$16,Paramètres!$A$1:$I$88,3,0)*0.475*44/12</f>
        <v>#N/A</v>
      </c>
      <c r="FS195" s="23" t="e">
        <f>EXP(-LN(2)/2)*FS194+(1-EXP(-LN(2)/2))/(LN(2)/2)*FM195*FP195*VLOOKUP('Données projet'!$B$16,Paramètres!$A$1:$I$88,3,0)*0.475*44/12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projet'!$B$17,Paramètres!$A$1:$I$88,3,0)*VLOOKUP('Données projet'!$B$17,Paramètres!$A$1:$I$88,5,0)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projet'!$B$17,Paramètres!$A$1:$I$88,3,0)*0.475*44/12</f>
        <v>#N/A</v>
      </c>
      <c r="GM195" s="23" t="e">
        <f>EXP(-LN(2)/25)*GM194+(1-EXP(-LN(2)/25))/(LN(2)/25)*Calculateur!GH195*Calculateur!GJ195*VLOOKUP('Données projet'!$B$17,Paramètres!$A$1:$I$88,3,0)*0.475*44/12</f>
        <v>#N/A</v>
      </c>
      <c r="GN195" s="23" t="e">
        <f>EXP(-LN(2)/2)*GN194+(1-EXP(-LN(2)/2))/(LN(2)/2)*GH195*GK195*VLOOKUP('Données projet'!$B$17,Paramètres!$A$1:$I$88,3,0)*0.475*44/12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projet'!$B$18,Paramètres!$A$1:$I$88,3,0)*VLOOKUP('Données projet'!$B$18,Paramètres!$A$1:$I$88,5,0)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projet'!$B$18,Paramètres!$A$1:$I$88,3,0)*0.475*44/12</f>
        <v>#N/A</v>
      </c>
      <c r="HH195" s="23" t="e">
        <f>EXP(-LN(2)/25)*HH194+(1-EXP(-LN(2)/25))/(LN(2)/25)*Calculateur!HC195*Calculateur!HE195*VLOOKUP('Données projet'!$B$18,Paramètres!$A$1:$I$88,3,0)*0.475*44/12</f>
        <v>#N/A</v>
      </c>
      <c r="HI195" s="23" t="e">
        <f>EXP(-LN(2)/2)*HI194+(1-EXP(-LN(2)/2))/(LN(2)/2)*HC195*HF195*VLOOKUP('Données projet'!$B$18,Paramètres!$A$1:$I$88,3,0)*0.475*44/12</f>
        <v>#N/A</v>
      </c>
      <c r="HJ195" s="24" t="e">
        <f t="shared" si="190"/>
        <v>#N/A</v>
      </c>
    </row>
    <row r="196" spans="1:218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projet'!$B$9,Paramètres!$A$1:$I$88,3,0)*VLOOKUP('Données projet'!$B$9,Paramètres!$A$1:$I$88,5,0)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290.20450434630959</v>
      </c>
      <c r="S196" s="62">
        <f ca="1">AVERAGE(OFFSET($R$3,0,0,'Données projet'!$E$9+1,1))-AVERAGE(OFFSET($H$3,0,0,'Données projet'!$E$9+1,1))</f>
        <v>301.2688576786212</v>
      </c>
      <c r="T196" s="62">
        <f t="shared" si="142"/>
        <v>417.62172165132927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8.8815166039858333</v>
      </c>
      <c r="AA196" s="23">
        <f>EXP(-LN(2)/25)*AA195+(1-EXP(-LN(2)/25))/(LN(2)/25)*Calculateur!V196*Calculateur!X196*VLOOKUP('Données projet'!$B$9,Paramètres!$A$1:$I$88,3,0)*0.475*44/12</f>
        <v>0.94383018603123725</v>
      </c>
      <c r="AB196" s="23">
        <f>EXP(-LN(2)/2)*AB195+(1-EXP(-LN(2)/2))/(LN(2)/2)*V196*Y196*VLOOKUP('Données projet'!$B$9,Paramètres!$A$1:$I$88,3,0)*0.475*44/12</f>
        <v>8.8202697464342769E-21</v>
      </c>
      <c r="AC196" s="24">
        <f t="shared" si="163"/>
        <v>9.8253467900170701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projet'!$B$10,Paramètres!$A$1:$I$88,3,0)*VLOOKUP('Données projet'!$B$10,Paramètres!$A$1:$I$88,5,0)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170.08673939431091</v>
      </c>
      <c r="AO196" s="62">
        <f t="shared" si="144"/>
        <v>252.97355497077106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projet'!$B$10,Paramètres!$A$1:$I$88,3,0)*0.475*44/12</f>
        <v>3.7082772640111257</v>
      </c>
      <c r="AV196" s="23">
        <f>EXP(-LN(2)/25)*AV195+(1-EXP(-LN(2)/25))/(LN(2)/25)*Calculateur!AQ196*Calculateur!AS196*VLOOKUP('Données projet'!$B$10,Paramètres!$A$1:$I$88,3,0)*0.475*44/12</f>
        <v>0.9566223139897061</v>
      </c>
      <c r="AW196" s="23">
        <f>EXP(-LN(2)/2)*AW195+(1-EXP(-LN(2)/2))/(LN(2)/2)*AQ196*AT196*VLOOKUP('Données projet'!$B$10,Paramètres!$A$1:$I$88,3,0)*0.475*44/12</f>
        <v>1.1298056440562847E-20</v>
      </c>
      <c r="AX196" s="23">
        <f t="shared" si="166"/>
        <v>4.6648995780008313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-1.1368683772161603E-13</v>
      </c>
      <c r="BE196" s="14">
        <f>BD196*VLOOKUP('Données projet'!$B$11,Paramètres!$A$1:$I$88,3,0)*VLOOKUP('Données projet'!$B$11,Paramètres!$A$1:$I$88,5,0)</f>
        <v>-1.0286385077051818E-13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362.63718589694594</v>
      </c>
      <c r="BJ196" s="62">
        <f t="shared" si="146"/>
        <v>250.47702091764884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projet'!$B$11,Paramètres!$A$1:$I$88,3,0)*0.475*44/12</f>
        <v>20.225834141054644</v>
      </c>
      <c r="BQ196" s="23">
        <f>EXP(-LN(2)/25)*BQ195+(1-EXP(-LN(2)/25))/(LN(2)/25)*Calculateur!BL196*Calculateur!BN196*VLOOKUP('Données projet'!$B$11,Paramètres!$A$1:$I$88,3,0)*0.475*44/12</f>
        <v>0</v>
      </c>
      <c r="BR196" s="23">
        <f>EXP(-LN(2)/2)*BR195+(1-EXP(-LN(2)/2))/(LN(2)/2)*BL196*BO196*VLOOKUP('Données projet'!$B$11,Paramètres!$A$1:$I$88,3,0)*0.475*44/12</f>
        <v>0</v>
      </c>
      <c r="BS196" s="24">
        <f t="shared" si="169"/>
        <v>20.225834141054644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-1.1368683772161603E-13</v>
      </c>
      <c r="BZ196" s="14">
        <f>BY196*VLOOKUP('Données projet'!$B$12,Paramètres!$A$1:$I$88,3,0)*VLOOKUP('Données projet'!$B$12,Paramètres!$A$1:$I$88,5,0)</f>
        <v>-1.1527845344971866E-13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398.14524781940196</v>
      </c>
      <c r="CE196" s="62">
        <f t="shared" si="148"/>
        <v>273.35778700650792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projet'!$B$12,Paramètres!$A$1:$I$88,3,0)*0.475*44/12</f>
        <v>22.666883089112943</v>
      </c>
      <c r="CL196" s="23">
        <f>EXP(-LN(2)/25)*CL195+(1-EXP(-LN(2)/25))/(LN(2)/25)*Calculateur!CG196*Calculateur!CI196*VLOOKUP('Données projet'!$B$12,Paramètres!$A$1:$I$88,3,0)*0.475*44/12</f>
        <v>0</v>
      </c>
      <c r="CM196" s="23">
        <f>EXP(-LN(2)/2)*CM195+(1-EXP(-LN(2)/2))/(LN(2)/2)*CG196*CJ196*VLOOKUP('Données projet'!$B$12,Paramètres!$A$1:$I$88,3,0)*0.475*44/12</f>
        <v>0</v>
      </c>
      <c r="CN196" s="24">
        <f t="shared" si="172"/>
        <v>22.666883089112943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118</v>
      </c>
      <c r="CU196" s="18">
        <f>CT196*VLOOKUP('Données projet'!$B$13,Paramètres!$A$1:$I$88,3,0)*VLOOKUP('Données projet'!$B$13,Paramètres!$A$1:$I$88,5,0)</f>
        <v>112.28880000000001</v>
      </c>
      <c r="CV196" s="14">
        <f t="shared" si="173"/>
        <v>29.869595672288149</v>
      </c>
      <c r="CW196" s="22">
        <f t="shared" si="174"/>
        <v>247.59253912923518</v>
      </c>
      <c r="CX196" s="62">
        <f t="shared" ref="CX196:CX203" si="196">CW196+(CO196+CP196)*44/12</f>
        <v>537.79704347554366</v>
      </c>
      <c r="CY196" s="62">
        <f ca="1">AVERAGE(OFFSET($CX$3,0,0,'Données projet'!$E$13+1,1))-AVERAGE(OFFSET($H$3,0,0,'Données projet'!$E$13+1,1))</f>
        <v>470.0521927195926</v>
      </c>
      <c r="CZ196" s="62">
        <f t="shared" si="150"/>
        <v>299.27200854723435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projet'!$B$13,Paramètres!$A$1:$I$88,3,0)*0.475*44/12</f>
        <v>21.271997975936792</v>
      </c>
      <c r="DG196" s="23">
        <f>EXP(-LN(2)/25)*DG195+(1-EXP(-LN(2)/25))/(LN(2)/25)*Calculateur!DB196*Calculateur!DD196*VLOOKUP('Données projet'!$B$13,Paramètres!$A$1:$I$88,3,0)*0.475*44/12</f>
        <v>0</v>
      </c>
      <c r="DH196" s="23">
        <f>EXP(-LN(2)/2)*DH195+(1-EXP(-LN(2)/2))/(LN(2)/2)*DB196*DE196*VLOOKUP('Données projet'!$B$13,Paramètres!$A$1:$I$88,3,0)*0.475*44/12</f>
        <v>0</v>
      </c>
      <c r="DI196" s="24">
        <f t="shared" si="175"/>
        <v>21.271997975936792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-1.4210854715202004E-13</v>
      </c>
      <c r="DP196" s="18">
        <f>DO196*VLOOKUP('Données projet'!$B$14,Paramètres!$A$1:$I$88,3,0)*VLOOKUP('Données projet'!$B$14,Paramètres!$A$1:$I$88,5,0)</f>
        <v>-1.3744738680543379E-13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197">DR196+(DJ196+DK196)*44/12</f>
        <v>#NUM!</v>
      </c>
      <c r="DT196" s="62">
        <f ca="1">AVERAGE(OFFSET($DS$3,0,0,'Données projet'!$E$14+1,1))-AVERAGE(OFFSET($H$3,0,0,'Données projet'!$E$14+1,1))</f>
        <v>290.89727102147953</v>
      </c>
      <c r="DU196" s="62">
        <f t="shared" si="152"/>
        <v>173.19148969173838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projet'!$B$14,Paramètres!$A$1:$I$88,3,0)*0.475*44/12</f>
        <v>16.163109197459622</v>
      </c>
      <c r="EB196" s="23">
        <f>EXP(-LN(2)/25)*EB195+(1-EXP(-LN(2)/25))/(LN(2)/25)*Calculateur!DW196*Calculateur!DY196*VLOOKUP('Données projet'!$B$14,Paramètres!$A$1:$I$88,3,0)*0.475*44/12</f>
        <v>0</v>
      </c>
      <c r="EC196" s="23">
        <f>EXP(-LN(2)/2)*EC195+(1-EXP(-LN(2)/2))/(LN(2)/2)*DW196*DZ196*VLOOKUP('Données projet'!$B$14,Paramètres!$A$1:$I$88,3,0)*0.475*44/12</f>
        <v>0</v>
      </c>
      <c r="ED196" s="24">
        <f t="shared" si="178"/>
        <v>16.163109197459622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projet'!$B$15,Paramètres!$A$1:$I$88,3,0)*VLOOKUP('Données projet'!$B$15,Paramètres!$A$1:$I$88,5,0)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projet'!$B$15,Paramètres!$A$1:$I$88,3,0)*0.475*44/12</f>
        <v>#N/A</v>
      </c>
      <c r="EW196" s="23" t="e">
        <f>EXP(-LN(2)/25)*EW195+(1-EXP(-LN(2)/25))/(LN(2)/25)*Calculateur!ER196*Calculateur!ET196*VLOOKUP('Données projet'!$B$15,Paramètres!$A$1:$I$88,3,0)*0.475*44/12</f>
        <v>#N/A</v>
      </c>
      <c r="EX196" s="23" t="e">
        <f>EXP(-LN(2)/2)*EX195+(1-EXP(-LN(2)/2))/(LN(2)/2)*ER196*EU196*VLOOKUP('Données projet'!$B$15,Paramètres!$A$1:$I$88,3,0)*0.475*44/12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projet'!$B$16,Paramètres!$A$1:$I$88,3,0)*VLOOKUP('Données projet'!$B$16,Paramètres!$A$1:$I$88,5,0)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projet'!$B$16,Paramètres!$A$1:$I$88,3,0)*0.475*44/12</f>
        <v>#N/A</v>
      </c>
      <c r="FR196" s="23" t="e">
        <f>EXP(-LN(2)/25)*FR195+(1-EXP(-LN(2)/25))/(LN(2)/25)*Calculateur!FM196*Calculateur!FO196*VLOOKUP('Données projet'!$B$16,Paramètres!$A$1:$I$88,3,0)*0.475*44/12</f>
        <v>#N/A</v>
      </c>
      <c r="FS196" s="23" t="e">
        <f>EXP(-LN(2)/2)*FS195+(1-EXP(-LN(2)/2))/(LN(2)/2)*FM196*FP196*VLOOKUP('Données projet'!$B$16,Paramètres!$A$1:$I$88,3,0)*0.475*44/12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projet'!$B$17,Paramètres!$A$1:$I$88,3,0)*VLOOKUP('Données projet'!$B$17,Paramètres!$A$1:$I$88,5,0)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projet'!$B$17,Paramètres!$A$1:$I$88,3,0)*0.475*44/12</f>
        <v>#N/A</v>
      </c>
      <c r="GM196" s="23" t="e">
        <f>EXP(-LN(2)/25)*GM195+(1-EXP(-LN(2)/25))/(LN(2)/25)*Calculateur!GH196*Calculateur!GJ196*VLOOKUP('Données projet'!$B$17,Paramètres!$A$1:$I$88,3,0)*0.475*44/12</f>
        <v>#N/A</v>
      </c>
      <c r="GN196" s="23" t="e">
        <f>EXP(-LN(2)/2)*GN195+(1-EXP(-LN(2)/2))/(LN(2)/2)*GH196*GK196*VLOOKUP('Données projet'!$B$17,Paramètres!$A$1:$I$88,3,0)*0.475*44/12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projet'!$B$18,Paramètres!$A$1:$I$88,3,0)*VLOOKUP('Données projet'!$B$18,Paramètres!$A$1:$I$88,5,0)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projet'!$B$18,Paramètres!$A$1:$I$88,3,0)*0.475*44/12</f>
        <v>#N/A</v>
      </c>
      <c r="HH196" s="23" t="e">
        <f>EXP(-LN(2)/25)*HH195+(1-EXP(-LN(2)/25))/(LN(2)/25)*Calculateur!HC196*Calculateur!HE196*VLOOKUP('Données projet'!$B$18,Paramètres!$A$1:$I$88,3,0)*0.475*44/12</f>
        <v>#N/A</v>
      </c>
      <c r="HI196" s="23" t="e">
        <f>EXP(-LN(2)/2)*HI195+(1-EXP(-LN(2)/2))/(LN(2)/2)*HC196*HF196*VLOOKUP('Données projet'!$B$18,Paramètres!$A$1:$I$88,3,0)*0.475*44/12</f>
        <v>#N/A</v>
      </c>
      <c r="HJ196" s="24" t="e">
        <f t="shared" si="190"/>
        <v>#N/A</v>
      </c>
    </row>
    <row r="197" spans="1:218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projet'!$B$9,Paramètres!$A$1:$I$88,3,0)*VLOOKUP('Données projet'!$B$9,Paramètres!$A$1:$I$88,5,0)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290.25878253422081</v>
      </c>
      <c r="S197" s="62">
        <f ca="1">AVERAGE(OFFSET($R$3,0,0,'Données projet'!$E$9+1,1))-AVERAGE(OFFSET($H$3,0,0,'Données projet'!$E$9+1,1))</f>
        <v>301.2688576786212</v>
      </c>
      <c r="T197" s="62">
        <f t="shared" ref="T197:T203" si="204">$T$3</f>
        <v>417.62172165132927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8.7073554805718967</v>
      </c>
      <c r="AA197" s="23">
        <f>EXP(-LN(2)/25)*AA196+(1-EXP(-LN(2)/25))/(LN(2)/25)*Calculateur!V197*Calculateur!X197*VLOOKUP('Données projet'!$B$9,Paramètres!$A$1:$I$88,3,0)*0.475*44/12</f>
        <v>0.91802109996034076</v>
      </c>
      <c r="AB197" s="23">
        <f>EXP(-LN(2)/2)*AB196+(1-EXP(-LN(2)/2))/(LN(2)/2)*V197*Y197*VLOOKUP('Données projet'!$B$9,Paramètres!$A$1:$I$88,3,0)*0.475*44/12</f>
        <v>6.2368725495982273E-21</v>
      </c>
      <c r="AC197" s="24">
        <f t="shared" si="163"/>
        <v>9.6253765805322367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projet'!$B$10,Paramètres!$A$1:$I$88,3,0)*VLOOKUP('Données projet'!$B$10,Paramètres!$A$1:$I$88,5,0)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170.08673939431091</v>
      </c>
      <c r="AO197" s="62">
        <f t="shared" ref="AO197:AO203" si="205">$AO$3</f>
        <v>252.97355497077106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projet'!$B$10,Paramètres!$A$1:$I$88,3,0)*0.475*44/12</f>
        <v>3.6355602086896619</v>
      </c>
      <c r="AV197" s="23">
        <f>EXP(-LN(2)/25)*AV196+(1-EXP(-LN(2)/25))/(LN(2)/25)*Calculateur!AQ197*Calculateur!AS197*VLOOKUP('Données projet'!$B$10,Paramètres!$A$1:$I$88,3,0)*0.475*44/12</f>
        <v>0.93046342650707647</v>
      </c>
      <c r="AW197" s="23">
        <f>EXP(-LN(2)/2)*AW196+(1-EXP(-LN(2)/2))/(LN(2)/2)*AQ197*AT197*VLOOKUP('Données projet'!$B$10,Paramètres!$A$1:$I$88,3,0)*0.475*44/12</f>
        <v>7.9889323233503371E-21</v>
      </c>
      <c r="AX197" s="23">
        <f t="shared" si="166"/>
        <v>4.5660236351967383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-1.1368683772161603E-13</v>
      </c>
      <c r="BE197" s="14">
        <f>BD197*VLOOKUP('Données projet'!$B$11,Paramètres!$A$1:$I$88,3,0)*VLOOKUP('Données projet'!$B$11,Paramètres!$A$1:$I$88,5,0)</f>
        <v>-1.0286385077051818E-13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362.63718589694594</v>
      </c>
      <c r="BJ197" s="62">
        <f t="shared" ref="BJ197:BJ203" si="206">$BJ$3</f>
        <v>250.47702091764884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projet'!$B$11,Paramètres!$A$1:$I$88,3,0)*0.475*44/12</f>
        <v>19.829217870089256</v>
      </c>
      <c r="BQ197" s="23">
        <f>EXP(-LN(2)/25)*BQ196+(1-EXP(-LN(2)/25))/(LN(2)/25)*Calculateur!BL197*Calculateur!BN197*VLOOKUP('Données projet'!$B$11,Paramètres!$A$1:$I$88,3,0)*0.475*44/12</f>
        <v>0</v>
      </c>
      <c r="BR197" s="23">
        <f>EXP(-LN(2)/2)*BR196+(1-EXP(-LN(2)/2))/(LN(2)/2)*BL197*BO197*VLOOKUP('Données projet'!$B$11,Paramètres!$A$1:$I$88,3,0)*0.475*44/12</f>
        <v>0</v>
      </c>
      <c r="BS197" s="24">
        <f t="shared" si="169"/>
        <v>19.829217870089256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-1.1368683772161603E-13</v>
      </c>
      <c r="BZ197" s="14">
        <f>BY197*VLOOKUP('Données projet'!$B$12,Paramètres!$A$1:$I$88,3,0)*VLOOKUP('Données projet'!$B$12,Paramètres!$A$1:$I$88,5,0)</f>
        <v>-1.1527845344971866E-13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398.14524781940196</v>
      </c>
      <c r="CE197" s="62">
        <f t="shared" ref="CE197:CE203" si="207">$CE$3</f>
        <v>273.35778700650792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projet'!$B$12,Paramètres!$A$1:$I$88,3,0)*0.475*44/12</f>
        <v>22.222399337168973</v>
      </c>
      <c r="CL197" s="23">
        <f>EXP(-LN(2)/25)*CL196+(1-EXP(-LN(2)/25))/(LN(2)/25)*Calculateur!CG197*Calculateur!CI197*VLOOKUP('Données projet'!$B$12,Paramètres!$A$1:$I$88,3,0)*0.475*44/12</f>
        <v>0</v>
      </c>
      <c r="CM197" s="23">
        <f>EXP(-LN(2)/2)*CM196+(1-EXP(-LN(2)/2))/(LN(2)/2)*CG197*CJ197*VLOOKUP('Données projet'!$B$12,Paramètres!$A$1:$I$88,3,0)*0.475*44/12</f>
        <v>0</v>
      </c>
      <c r="CN197" s="24">
        <f t="shared" si="172"/>
        <v>22.222399337168973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118</v>
      </c>
      <c r="CU197" s="18">
        <f>CT197*VLOOKUP('Données projet'!$B$13,Paramètres!$A$1:$I$88,3,0)*VLOOKUP('Données projet'!$B$13,Paramètres!$A$1:$I$88,5,0)</f>
        <v>112.28880000000001</v>
      </c>
      <c r="CV197" s="14">
        <f t="shared" si="173"/>
        <v>29.869595672288149</v>
      </c>
      <c r="CW197" s="22">
        <f t="shared" si="174"/>
        <v>247.59253912923518</v>
      </c>
      <c r="CX197" s="62">
        <f t="shared" si="196"/>
        <v>537.85132166345488</v>
      </c>
      <c r="CY197" s="62">
        <f ca="1">AVERAGE(OFFSET($CX$3,0,0,'Données projet'!$E$13+1,1))-AVERAGE(OFFSET($H$3,0,0,'Données projet'!$E$13+1,1))</f>
        <v>470.0521927195926</v>
      </c>
      <c r="CZ197" s="62">
        <f t="shared" ref="CZ197:CZ203" si="208">$CZ$3</f>
        <v>299.27200854723435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projet'!$B$13,Paramètres!$A$1:$I$88,3,0)*0.475*44/12</f>
        <v>20.854867070266298</v>
      </c>
      <c r="DG197" s="23">
        <f>EXP(-LN(2)/25)*DG196+(1-EXP(-LN(2)/25))/(LN(2)/25)*Calculateur!DB197*Calculateur!DD197*VLOOKUP('Données projet'!$B$13,Paramètres!$A$1:$I$88,3,0)*0.475*44/12</f>
        <v>0</v>
      </c>
      <c r="DH197" s="23">
        <f>EXP(-LN(2)/2)*DH196+(1-EXP(-LN(2)/2))/(LN(2)/2)*DB197*DE197*VLOOKUP('Données projet'!$B$13,Paramètres!$A$1:$I$88,3,0)*0.475*44/12</f>
        <v>0</v>
      </c>
      <c r="DI197" s="24">
        <f t="shared" si="175"/>
        <v>20.854867070266298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-1.4210854715202004E-13</v>
      </c>
      <c r="DP197" s="18">
        <f>DO197*VLOOKUP('Données projet'!$B$14,Paramètres!$A$1:$I$88,3,0)*VLOOKUP('Données projet'!$B$14,Paramètres!$A$1:$I$88,5,0)</f>
        <v>-1.3744738680543379E-13</v>
      </c>
      <c r="DQ197" s="14" t="e">
        <f t="shared" si="176"/>
        <v>#NUM!</v>
      </c>
      <c r="DR197" s="22" t="e">
        <f t="shared" si="177"/>
        <v>#NUM!</v>
      </c>
      <c r="DS197" s="62" t="e">
        <f t="shared" si="197"/>
        <v>#NUM!</v>
      </c>
      <c r="DT197" s="62">
        <f ca="1">AVERAGE(OFFSET($DS$3,0,0,'Données projet'!$E$14+1,1))-AVERAGE(OFFSET($H$3,0,0,'Données projet'!$E$14+1,1))</f>
        <v>290.89727102147953</v>
      </c>
      <c r="DU197" s="62">
        <f t="shared" ref="DU197:DU203" si="209">$DU$3</f>
        <v>173.19148969173838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projet'!$B$14,Paramètres!$A$1:$I$88,3,0)*0.475*44/12</f>
        <v>15.846160484620601</v>
      </c>
      <c r="EB197" s="23">
        <f>EXP(-LN(2)/25)*EB196+(1-EXP(-LN(2)/25))/(LN(2)/25)*Calculateur!DW197*Calculateur!DY197*VLOOKUP('Données projet'!$B$14,Paramètres!$A$1:$I$88,3,0)*0.475*44/12</f>
        <v>0</v>
      </c>
      <c r="EC197" s="23">
        <f>EXP(-LN(2)/2)*EC196+(1-EXP(-LN(2)/2))/(LN(2)/2)*DW197*DZ197*VLOOKUP('Données projet'!$B$14,Paramètres!$A$1:$I$88,3,0)*0.475*44/12</f>
        <v>0</v>
      </c>
      <c r="ED197" s="24">
        <f t="shared" si="178"/>
        <v>15.846160484620601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projet'!$B$15,Paramètres!$A$1:$I$88,3,0)*VLOOKUP('Données projet'!$B$15,Paramètres!$A$1:$I$88,5,0)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projet'!$B$15,Paramètres!$A$1:$I$88,3,0)*0.475*44/12</f>
        <v>#N/A</v>
      </c>
      <c r="EW197" s="23" t="e">
        <f>EXP(-LN(2)/25)*EW196+(1-EXP(-LN(2)/25))/(LN(2)/25)*Calculateur!ER197*Calculateur!ET197*VLOOKUP('Données projet'!$B$15,Paramètres!$A$1:$I$88,3,0)*0.475*44/12</f>
        <v>#N/A</v>
      </c>
      <c r="EX197" s="23" t="e">
        <f>EXP(-LN(2)/2)*EX196+(1-EXP(-LN(2)/2))/(LN(2)/2)*ER197*EU197*VLOOKUP('Données projet'!$B$15,Paramètres!$A$1:$I$88,3,0)*0.475*44/12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projet'!$B$16,Paramètres!$A$1:$I$88,3,0)*VLOOKUP('Données projet'!$B$16,Paramètres!$A$1:$I$88,5,0)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projet'!$B$16,Paramètres!$A$1:$I$88,3,0)*0.475*44/12</f>
        <v>#N/A</v>
      </c>
      <c r="FR197" s="23" t="e">
        <f>EXP(-LN(2)/25)*FR196+(1-EXP(-LN(2)/25))/(LN(2)/25)*Calculateur!FM197*Calculateur!FO197*VLOOKUP('Données projet'!$B$16,Paramètres!$A$1:$I$88,3,0)*0.475*44/12</f>
        <v>#N/A</v>
      </c>
      <c r="FS197" s="23" t="e">
        <f>EXP(-LN(2)/2)*FS196+(1-EXP(-LN(2)/2))/(LN(2)/2)*FM197*FP197*VLOOKUP('Données projet'!$B$16,Paramètres!$A$1:$I$88,3,0)*0.475*44/12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projet'!$B$17,Paramètres!$A$1:$I$88,3,0)*VLOOKUP('Données projet'!$B$17,Paramètres!$A$1:$I$88,5,0)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projet'!$B$17,Paramètres!$A$1:$I$88,3,0)*0.475*44/12</f>
        <v>#N/A</v>
      </c>
      <c r="GM197" s="23" t="e">
        <f>EXP(-LN(2)/25)*GM196+(1-EXP(-LN(2)/25))/(LN(2)/25)*Calculateur!GH197*Calculateur!GJ197*VLOOKUP('Données projet'!$B$17,Paramètres!$A$1:$I$88,3,0)*0.475*44/12</f>
        <v>#N/A</v>
      </c>
      <c r="GN197" s="23" t="e">
        <f>EXP(-LN(2)/2)*GN196+(1-EXP(-LN(2)/2))/(LN(2)/2)*GH197*GK197*VLOOKUP('Données projet'!$B$17,Paramètres!$A$1:$I$88,3,0)*0.475*44/12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projet'!$B$18,Paramètres!$A$1:$I$88,3,0)*VLOOKUP('Données projet'!$B$18,Paramètres!$A$1:$I$88,5,0)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projet'!$B$18,Paramètres!$A$1:$I$88,3,0)*0.475*44/12</f>
        <v>#N/A</v>
      </c>
      <c r="HH197" s="23" t="e">
        <f>EXP(-LN(2)/25)*HH196+(1-EXP(-LN(2)/25))/(LN(2)/25)*Calculateur!HC197*Calculateur!HE197*VLOOKUP('Données projet'!$B$18,Paramètres!$A$1:$I$88,3,0)*0.475*44/12</f>
        <v>#N/A</v>
      </c>
      <c r="HI197" s="23" t="e">
        <f>EXP(-LN(2)/2)*HI196+(1-EXP(-LN(2)/2))/(LN(2)/2)*HC197*HF197*VLOOKUP('Données projet'!$B$18,Paramètres!$A$1:$I$88,3,0)*0.475*44/12</f>
        <v>#N/A</v>
      </c>
      <c r="HJ197" s="24" t="e">
        <f t="shared" si="190"/>
        <v>#N/A</v>
      </c>
    </row>
    <row r="198" spans="1:218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projet'!$B$9,Paramètres!$A$1:$I$88,3,0)*VLOOKUP('Données projet'!$B$9,Paramètres!$A$1:$I$88,5,0)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290.31211911691958</v>
      </c>
      <c r="S198" s="62">
        <f ca="1">AVERAGE(OFFSET($R$3,0,0,'Données projet'!$E$9+1,1))-AVERAGE(OFFSET($H$3,0,0,'Données projet'!$E$9+1,1))</f>
        <v>301.2688576786212</v>
      </c>
      <c r="T198" s="62">
        <f t="shared" si="204"/>
        <v>417.62172165132927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8.5366095505603106</v>
      </c>
      <c r="AA198" s="23">
        <f>EXP(-LN(2)/25)*AA197+(1-EXP(-LN(2)/25))/(LN(2)/25)*Calculateur!V198*Calculateur!X198*VLOOKUP('Données projet'!$B$9,Paramètres!$A$1:$I$88,3,0)*0.475*44/12</f>
        <v>0.89291776470529372</v>
      </c>
      <c r="AB198" s="23">
        <f>EXP(-LN(2)/2)*AB197+(1-EXP(-LN(2)/2))/(LN(2)/2)*V198*Y198*VLOOKUP('Données projet'!$B$9,Paramètres!$A$1:$I$88,3,0)*0.475*44/12</f>
        <v>4.4101348732171384E-21</v>
      </c>
      <c r="AC198" s="24">
        <f t="shared" si="163"/>
        <v>9.4295273152656041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projet'!$B$10,Paramètres!$A$1:$I$88,3,0)*VLOOKUP('Données projet'!$B$10,Paramètres!$A$1:$I$88,5,0)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170.08673939431091</v>
      </c>
      <c r="AO198" s="62">
        <f t="shared" si="205"/>
        <v>252.97355497077106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projet'!$B$10,Paramètres!$A$1:$I$88,3,0)*0.475*44/12</f>
        <v>3.5642690904700278</v>
      </c>
      <c r="AV198" s="23">
        <f>EXP(-LN(2)/25)*AV197+(1-EXP(-LN(2)/25))/(LN(2)/25)*Calculateur!AQ198*Calculateur!AS198*VLOOKUP('Données projet'!$B$10,Paramètres!$A$1:$I$88,3,0)*0.475*44/12</f>
        <v>0.90501985517829542</v>
      </c>
      <c r="AW198" s="23">
        <f>EXP(-LN(2)/2)*AW197+(1-EXP(-LN(2)/2))/(LN(2)/2)*AQ198*AT198*VLOOKUP('Données projet'!$B$10,Paramètres!$A$1:$I$88,3,0)*0.475*44/12</f>
        <v>5.6490282202814236E-21</v>
      </c>
      <c r="AX198" s="23">
        <f t="shared" si="166"/>
        <v>4.4692889456483229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-1.1368683772161603E-13</v>
      </c>
      <c r="BE198" s="14">
        <f>BD198*VLOOKUP('Données projet'!$B$11,Paramètres!$A$1:$I$88,3,0)*VLOOKUP('Données projet'!$B$11,Paramètres!$A$1:$I$88,5,0)</f>
        <v>-1.0286385077051818E-13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362.63718589694594</v>
      </c>
      <c r="BJ198" s="62">
        <f t="shared" si="206"/>
        <v>250.47702091764884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projet'!$B$11,Paramètres!$A$1:$I$88,3,0)*0.475*44/12</f>
        <v>19.440379002285461</v>
      </c>
      <c r="BQ198" s="23">
        <f>EXP(-LN(2)/25)*BQ197+(1-EXP(-LN(2)/25))/(LN(2)/25)*Calculateur!BL198*Calculateur!BN198*VLOOKUP('Données projet'!$B$11,Paramètres!$A$1:$I$88,3,0)*0.475*44/12</f>
        <v>0</v>
      </c>
      <c r="BR198" s="23">
        <f>EXP(-LN(2)/2)*BR197+(1-EXP(-LN(2)/2))/(LN(2)/2)*BL198*BO198*VLOOKUP('Données projet'!$B$11,Paramètres!$A$1:$I$88,3,0)*0.475*44/12</f>
        <v>0</v>
      </c>
      <c r="BS198" s="24">
        <f t="shared" si="169"/>
        <v>19.440379002285461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-1.1368683772161603E-13</v>
      </c>
      <c r="BZ198" s="14">
        <f>BY198*VLOOKUP('Données projet'!$B$12,Paramètres!$A$1:$I$88,3,0)*VLOOKUP('Données projet'!$B$12,Paramètres!$A$1:$I$88,5,0)</f>
        <v>-1.1527845344971866E-13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398.14524781940196</v>
      </c>
      <c r="CE198" s="62">
        <f t="shared" si="207"/>
        <v>273.35778700650792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projet'!$B$12,Paramètres!$A$1:$I$88,3,0)*0.475*44/12</f>
        <v>21.786631640492306</v>
      </c>
      <c r="CL198" s="23">
        <f>EXP(-LN(2)/25)*CL197+(1-EXP(-LN(2)/25))/(LN(2)/25)*Calculateur!CG198*Calculateur!CI198*VLOOKUP('Données projet'!$B$12,Paramètres!$A$1:$I$88,3,0)*0.475*44/12</f>
        <v>0</v>
      </c>
      <c r="CM198" s="23">
        <f>EXP(-LN(2)/2)*CM197+(1-EXP(-LN(2)/2))/(LN(2)/2)*CG198*CJ198*VLOOKUP('Données projet'!$B$12,Paramètres!$A$1:$I$88,3,0)*0.475*44/12</f>
        <v>0</v>
      </c>
      <c r="CN198" s="24">
        <f t="shared" si="172"/>
        <v>21.786631640492306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118</v>
      </c>
      <c r="CU198" s="18">
        <f>CT198*VLOOKUP('Données projet'!$B$13,Paramètres!$A$1:$I$88,3,0)*VLOOKUP('Données projet'!$B$13,Paramètres!$A$1:$I$88,5,0)</f>
        <v>112.28880000000001</v>
      </c>
      <c r="CV198" s="14">
        <f t="shared" si="173"/>
        <v>29.869595672288149</v>
      </c>
      <c r="CW198" s="22">
        <f t="shared" si="174"/>
        <v>247.59253912923518</v>
      </c>
      <c r="CX198" s="62">
        <f t="shared" si="196"/>
        <v>537.90465824615364</v>
      </c>
      <c r="CY198" s="62">
        <f ca="1">AVERAGE(OFFSET($CX$3,0,0,'Données projet'!$E$13+1,1))-AVERAGE(OFFSET($H$3,0,0,'Données projet'!$E$13+1,1))</f>
        <v>470.0521927195926</v>
      </c>
      <c r="CZ198" s="62">
        <f t="shared" si="208"/>
        <v>299.27200854723435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projet'!$B$13,Paramètres!$A$1:$I$88,3,0)*0.475*44/12</f>
        <v>20.445915847231273</v>
      </c>
      <c r="DG198" s="23">
        <f>EXP(-LN(2)/25)*DG197+(1-EXP(-LN(2)/25))/(LN(2)/25)*Calculateur!DB198*Calculateur!DD198*VLOOKUP('Données projet'!$B$13,Paramètres!$A$1:$I$88,3,0)*0.475*44/12</f>
        <v>0</v>
      </c>
      <c r="DH198" s="23">
        <f>EXP(-LN(2)/2)*DH197+(1-EXP(-LN(2)/2))/(LN(2)/2)*DB198*DE198*VLOOKUP('Données projet'!$B$13,Paramètres!$A$1:$I$88,3,0)*0.475*44/12</f>
        <v>0</v>
      </c>
      <c r="DI198" s="24">
        <f t="shared" si="175"/>
        <v>20.445915847231273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-1.4210854715202004E-13</v>
      </c>
      <c r="DP198" s="18">
        <f>DO198*VLOOKUP('Données projet'!$B$14,Paramètres!$A$1:$I$88,3,0)*VLOOKUP('Données projet'!$B$14,Paramètres!$A$1:$I$88,5,0)</f>
        <v>-1.3744738680543379E-13</v>
      </c>
      <c r="DQ198" s="14" t="e">
        <f t="shared" si="176"/>
        <v>#NUM!</v>
      </c>
      <c r="DR198" s="22" t="e">
        <f t="shared" si="177"/>
        <v>#NUM!</v>
      </c>
      <c r="DS198" s="62" t="e">
        <f t="shared" si="197"/>
        <v>#NUM!</v>
      </c>
      <c r="DT198" s="62">
        <f ca="1">AVERAGE(OFFSET($DS$3,0,0,'Données projet'!$E$14+1,1))-AVERAGE(OFFSET($H$3,0,0,'Données projet'!$E$14+1,1))</f>
        <v>290.89727102147953</v>
      </c>
      <c r="DU198" s="62">
        <f t="shared" si="209"/>
        <v>173.19148969173838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projet'!$B$14,Paramètres!$A$1:$I$88,3,0)*0.475*44/12</f>
        <v>15.535426942720727</v>
      </c>
      <c r="EB198" s="23">
        <f>EXP(-LN(2)/25)*EB197+(1-EXP(-LN(2)/25))/(LN(2)/25)*Calculateur!DW198*Calculateur!DY198*VLOOKUP('Données projet'!$B$14,Paramètres!$A$1:$I$88,3,0)*0.475*44/12</f>
        <v>0</v>
      </c>
      <c r="EC198" s="23">
        <f>EXP(-LN(2)/2)*EC197+(1-EXP(-LN(2)/2))/(LN(2)/2)*DW198*DZ198*VLOOKUP('Données projet'!$B$14,Paramètres!$A$1:$I$88,3,0)*0.475*44/12</f>
        <v>0</v>
      </c>
      <c r="ED198" s="24">
        <f t="shared" si="178"/>
        <v>15.535426942720727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projet'!$B$15,Paramètres!$A$1:$I$88,3,0)*VLOOKUP('Données projet'!$B$15,Paramètres!$A$1:$I$88,5,0)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projet'!$B$15,Paramètres!$A$1:$I$88,3,0)*0.475*44/12</f>
        <v>#N/A</v>
      </c>
      <c r="EW198" s="23" t="e">
        <f>EXP(-LN(2)/25)*EW197+(1-EXP(-LN(2)/25))/(LN(2)/25)*Calculateur!ER198*Calculateur!ET198*VLOOKUP('Données projet'!$B$15,Paramètres!$A$1:$I$88,3,0)*0.475*44/12</f>
        <v>#N/A</v>
      </c>
      <c r="EX198" s="23" t="e">
        <f>EXP(-LN(2)/2)*EX197+(1-EXP(-LN(2)/2))/(LN(2)/2)*ER198*EU198*VLOOKUP('Données projet'!$B$15,Paramètres!$A$1:$I$88,3,0)*0.475*44/12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projet'!$B$16,Paramètres!$A$1:$I$88,3,0)*VLOOKUP('Données projet'!$B$16,Paramètres!$A$1:$I$88,5,0)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projet'!$B$16,Paramètres!$A$1:$I$88,3,0)*0.475*44/12</f>
        <v>#N/A</v>
      </c>
      <c r="FR198" s="23" t="e">
        <f>EXP(-LN(2)/25)*FR197+(1-EXP(-LN(2)/25))/(LN(2)/25)*Calculateur!FM198*Calculateur!FO198*VLOOKUP('Données projet'!$B$16,Paramètres!$A$1:$I$88,3,0)*0.475*44/12</f>
        <v>#N/A</v>
      </c>
      <c r="FS198" s="23" t="e">
        <f>EXP(-LN(2)/2)*FS197+(1-EXP(-LN(2)/2))/(LN(2)/2)*FM198*FP198*VLOOKUP('Données projet'!$B$16,Paramètres!$A$1:$I$88,3,0)*0.475*44/12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projet'!$B$17,Paramètres!$A$1:$I$88,3,0)*VLOOKUP('Données projet'!$B$17,Paramètres!$A$1:$I$88,5,0)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projet'!$B$17,Paramètres!$A$1:$I$88,3,0)*0.475*44/12</f>
        <v>#N/A</v>
      </c>
      <c r="GM198" s="23" t="e">
        <f>EXP(-LN(2)/25)*GM197+(1-EXP(-LN(2)/25))/(LN(2)/25)*Calculateur!GH198*Calculateur!GJ198*VLOOKUP('Données projet'!$B$17,Paramètres!$A$1:$I$88,3,0)*0.475*44/12</f>
        <v>#N/A</v>
      </c>
      <c r="GN198" s="23" t="e">
        <f>EXP(-LN(2)/2)*GN197+(1-EXP(-LN(2)/2))/(LN(2)/2)*GH198*GK198*VLOOKUP('Données projet'!$B$17,Paramètres!$A$1:$I$88,3,0)*0.475*44/12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projet'!$B$18,Paramètres!$A$1:$I$88,3,0)*VLOOKUP('Données projet'!$B$18,Paramètres!$A$1:$I$88,5,0)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projet'!$B$18,Paramètres!$A$1:$I$88,3,0)*0.475*44/12</f>
        <v>#N/A</v>
      </c>
      <c r="HH198" s="23" t="e">
        <f>EXP(-LN(2)/25)*HH197+(1-EXP(-LN(2)/25))/(LN(2)/25)*Calculateur!HC198*Calculateur!HE198*VLOOKUP('Données projet'!$B$18,Paramètres!$A$1:$I$88,3,0)*0.475*44/12</f>
        <v>#N/A</v>
      </c>
      <c r="HI198" s="23" t="e">
        <f>EXP(-LN(2)/2)*HI197+(1-EXP(-LN(2)/2))/(LN(2)/2)*HC198*HF198*VLOOKUP('Données projet'!$B$18,Paramètres!$A$1:$I$88,3,0)*0.475*44/12</f>
        <v>#N/A</v>
      </c>
      <c r="HJ198" s="24" t="e">
        <f t="shared" si="190"/>
        <v>#N/A</v>
      </c>
    </row>
    <row r="199" spans="1:218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projet'!$B$9,Paramètres!$A$1:$I$88,3,0)*VLOOKUP('Données projet'!$B$9,Paramètres!$A$1:$I$88,5,0)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290.36453042915127</v>
      </c>
      <c r="S199" s="62">
        <f ca="1">AVERAGE(OFFSET($R$3,0,0,'Données projet'!$E$9+1,1))-AVERAGE(OFFSET($H$3,0,0,'Données projet'!$E$9+1,1))</f>
        <v>301.2688576786212</v>
      </c>
      <c r="T199" s="62">
        <f t="shared" si="204"/>
        <v>417.62172165132927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8.3692118440915184</v>
      </c>
      <c r="AA199" s="23">
        <f>EXP(-LN(2)/25)*AA198+(1-EXP(-LN(2)/25))/(LN(2)/25)*Calculateur!V199*Calculateur!X199*VLOOKUP('Données projet'!$B$9,Paramètres!$A$1:$I$88,3,0)*0.475*44/12</f>
        <v>0.86850088147292304</v>
      </c>
      <c r="AB199" s="23">
        <f>EXP(-LN(2)/2)*AB198+(1-EXP(-LN(2)/2))/(LN(2)/2)*V199*Y199*VLOOKUP('Données projet'!$B$9,Paramètres!$A$1:$I$88,3,0)*0.475*44/12</f>
        <v>3.1184362747991137E-21</v>
      </c>
      <c r="AC199" s="24">
        <f t="shared" si="163"/>
        <v>9.2377127255644407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projet'!$B$10,Paramètres!$A$1:$I$88,3,0)*VLOOKUP('Données projet'!$B$10,Paramètres!$A$1:$I$88,5,0)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170.08673939431091</v>
      </c>
      <c r="AO199" s="62">
        <f t="shared" si="205"/>
        <v>252.97355497077106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projet'!$B$10,Paramètres!$A$1:$I$88,3,0)*0.475*44/12</f>
        <v>3.4943759475953922</v>
      </c>
      <c r="AV199" s="23">
        <f>EXP(-LN(2)/25)*AV198+(1-EXP(-LN(2)/25))/(LN(2)/25)*Calculateur!AQ199*Calculateur!AS199*VLOOKUP('Données projet'!$B$10,Paramètres!$A$1:$I$88,3,0)*0.475*44/12</f>
        <v>0.88027203964551914</v>
      </c>
      <c r="AW199" s="23">
        <f>EXP(-LN(2)/2)*AW198+(1-EXP(-LN(2)/2))/(LN(2)/2)*AQ199*AT199*VLOOKUP('Données projet'!$B$10,Paramètres!$A$1:$I$88,3,0)*0.475*44/12</f>
        <v>3.9944661616751685E-21</v>
      </c>
      <c r="AX199" s="23">
        <f t="shared" si="166"/>
        <v>4.3746479872409116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-1.1368683772161603E-13</v>
      </c>
      <c r="BE199" s="14">
        <f>BD199*VLOOKUP('Données projet'!$B$11,Paramètres!$A$1:$I$88,3,0)*VLOOKUP('Données projet'!$B$11,Paramètres!$A$1:$I$88,5,0)</f>
        <v>-1.0286385077051818E-13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362.63718589694594</v>
      </c>
      <c r="BJ199" s="62">
        <f t="shared" si="206"/>
        <v>250.47702091764884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projet'!$B$11,Paramètres!$A$1:$I$88,3,0)*0.475*44/12</f>
        <v>19.059165027511007</v>
      </c>
      <c r="BQ199" s="23">
        <f>EXP(-LN(2)/25)*BQ198+(1-EXP(-LN(2)/25))/(LN(2)/25)*Calculateur!BL199*Calculateur!BN199*VLOOKUP('Données projet'!$B$11,Paramètres!$A$1:$I$88,3,0)*0.475*44/12</f>
        <v>0</v>
      </c>
      <c r="BR199" s="23">
        <f>EXP(-LN(2)/2)*BR198+(1-EXP(-LN(2)/2))/(LN(2)/2)*BL199*BO199*VLOOKUP('Données projet'!$B$11,Paramètres!$A$1:$I$88,3,0)*0.475*44/12</f>
        <v>0</v>
      </c>
      <c r="BS199" s="24">
        <f t="shared" si="169"/>
        <v>19.059165027511007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-1.1368683772161603E-13</v>
      </c>
      <c r="BZ199" s="14">
        <f>BY199*VLOOKUP('Données projet'!$B$12,Paramètres!$A$1:$I$88,3,0)*VLOOKUP('Données projet'!$B$12,Paramètres!$A$1:$I$88,5,0)</f>
        <v>-1.1527845344971866E-13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398.14524781940196</v>
      </c>
      <c r="CE199" s="62">
        <f t="shared" si="207"/>
        <v>273.35778700650792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projet'!$B$12,Paramètres!$A$1:$I$88,3,0)*0.475*44/12</f>
        <v>21.35940908255542</v>
      </c>
      <c r="CL199" s="23">
        <f>EXP(-LN(2)/25)*CL198+(1-EXP(-LN(2)/25))/(LN(2)/25)*Calculateur!CG199*Calculateur!CI199*VLOOKUP('Données projet'!$B$12,Paramètres!$A$1:$I$88,3,0)*0.475*44/12</f>
        <v>0</v>
      </c>
      <c r="CM199" s="23">
        <f>EXP(-LN(2)/2)*CM198+(1-EXP(-LN(2)/2))/(LN(2)/2)*CG199*CJ199*VLOOKUP('Données projet'!$B$12,Paramètres!$A$1:$I$88,3,0)*0.475*44/12</f>
        <v>0</v>
      </c>
      <c r="CN199" s="24">
        <f t="shared" si="172"/>
        <v>21.35940908255542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118</v>
      </c>
      <c r="CU199" s="18">
        <f>CT199*VLOOKUP('Données projet'!$B$13,Paramètres!$A$1:$I$88,3,0)*VLOOKUP('Données projet'!$B$13,Paramètres!$A$1:$I$88,5,0)</f>
        <v>112.28880000000001</v>
      </c>
      <c r="CV199" s="14">
        <f t="shared" si="173"/>
        <v>29.869595672288149</v>
      </c>
      <c r="CW199" s="22">
        <f t="shared" si="174"/>
        <v>247.59253912923518</v>
      </c>
      <c r="CX199" s="62">
        <f t="shared" si="196"/>
        <v>537.95706955838534</v>
      </c>
      <c r="CY199" s="62">
        <f ca="1">AVERAGE(OFFSET($CX$3,0,0,'Données projet'!$E$13+1,1))-AVERAGE(OFFSET($H$3,0,0,'Données projet'!$E$13+1,1))</f>
        <v>470.0521927195926</v>
      </c>
      <c r="CZ199" s="62">
        <f t="shared" si="208"/>
        <v>299.27200854723435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projet'!$B$13,Paramètres!$A$1:$I$88,3,0)*0.475*44/12</f>
        <v>20.044983908244348</v>
      </c>
      <c r="DG199" s="23">
        <f>EXP(-LN(2)/25)*DG198+(1-EXP(-LN(2)/25))/(LN(2)/25)*Calculateur!DB199*Calculateur!DD199*VLOOKUP('Données projet'!$B$13,Paramètres!$A$1:$I$88,3,0)*0.475*44/12</f>
        <v>0</v>
      </c>
      <c r="DH199" s="23">
        <f>EXP(-LN(2)/2)*DH198+(1-EXP(-LN(2)/2))/(LN(2)/2)*DB199*DE199*VLOOKUP('Données projet'!$B$13,Paramètres!$A$1:$I$88,3,0)*0.475*44/12</f>
        <v>0</v>
      </c>
      <c r="DI199" s="24">
        <f t="shared" si="175"/>
        <v>20.044983908244348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-1.4210854715202004E-13</v>
      </c>
      <c r="DP199" s="18">
        <f>DO199*VLOOKUP('Données projet'!$B$14,Paramètres!$A$1:$I$88,3,0)*VLOOKUP('Données projet'!$B$14,Paramètres!$A$1:$I$88,5,0)</f>
        <v>-1.3744738680543379E-13</v>
      </c>
      <c r="DQ199" s="14" t="e">
        <f t="shared" si="176"/>
        <v>#NUM!</v>
      </c>
      <c r="DR199" s="22" t="e">
        <f t="shared" si="177"/>
        <v>#NUM!</v>
      </c>
      <c r="DS199" s="62" t="e">
        <f t="shared" si="197"/>
        <v>#NUM!</v>
      </c>
      <c r="DT199" s="62">
        <f ca="1">AVERAGE(OFFSET($DS$3,0,0,'Données projet'!$E$14+1,1))-AVERAGE(OFFSET($H$3,0,0,'Données projet'!$E$14+1,1))</f>
        <v>290.89727102147953</v>
      </c>
      <c r="DU199" s="62">
        <f t="shared" si="209"/>
        <v>173.19148969173838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projet'!$B$14,Paramètres!$A$1:$I$88,3,0)*0.475*44/12</f>
        <v>15.230786696048764</v>
      </c>
      <c r="EB199" s="23">
        <f>EXP(-LN(2)/25)*EB198+(1-EXP(-LN(2)/25))/(LN(2)/25)*Calculateur!DW199*Calculateur!DY199*VLOOKUP('Données projet'!$B$14,Paramètres!$A$1:$I$88,3,0)*0.475*44/12</f>
        <v>0</v>
      </c>
      <c r="EC199" s="23">
        <f>EXP(-LN(2)/2)*EC198+(1-EXP(-LN(2)/2))/(LN(2)/2)*DW199*DZ199*VLOOKUP('Données projet'!$B$14,Paramètres!$A$1:$I$88,3,0)*0.475*44/12</f>
        <v>0</v>
      </c>
      <c r="ED199" s="24">
        <f t="shared" si="178"/>
        <v>15.230786696048764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projet'!$B$15,Paramètres!$A$1:$I$88,3,0)*VLOOKUP('Données projet'!$B$15,Paramètres!$A$1:$I$88,5,0)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projet'!$B$15,Paramètres!$A$1:$I$88,3,0)*0.475*44/12</f>
        <v>#N/A</v>
      </c>
      <c r="EW199" s="23" t="e">
        <f>EXP(-LN(2)/25)*EW198+(1-EXP(-LN(2)/25))/(LN(2)/25)*Calculateur!ER199*Calculateur!ET199*VLOOKUP('Données projet'!$B$15,Paramètres!$A$1:$I$88,3,0)*0.475*44/12</f>
        <v>#N/A</v>
      </c>
      <c r="EX199" s="23" t="e">
        <f>EXP(-LN(2)/2)*EX198+(1-EXP(-LN(2)/2))/(LN(2)/2)*ER199*EU199*VLOOKUP('Données projet'!$B$15,Paramètres!$A$1:$I$88,3,0)*0.475*44/12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projet'!$B$16,Paramètres!$A$1:$I$88,3,0)*VLOOKUP('Données projet'!$B$16,Paramètres!$A$1:$I$88,5,0)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projet'!$B$16,Paramètres!$A$1:$I$88,3,0)*0.475*44/12</f>
        <v>#N/A</v>
      </c>
      <c r="FR199" s="23" t="e">
        <f>EXP(-LN(2)/25)*FR198+(1-EXP(-LN(2)/25))/(LN(2)/25)*Calculateur!FM199*Calculateur!FO199*VLOOKUP('Données projet'!$B$16,Paramètres!$A$1:$I$88,3,0)*0.475*44/12</f>
        <v>#N/A</v>
      </c>
      <c r="FS199" s="23" t="e">
        <f>EXP(-LN(2)/2)*FS198+(1-EXP(-LN(2)/2))/(LN(2)/2)*FM199*FP199*VLOOKUP('Données projet'!$B$16,Paramètres!$A$1:$I$88,3,0)*0.475*44/12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projet'!$B$17,Paramètres!$A$1:$I$88,3,0)*VLOOKUP('Données projet'!$B$17,Paramètres!$A$1:$I$88,5,0)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projet'!$B$17,Paramètres!$A$1:$I$88,3,0)*0.475*44/12</f>
        <v>#N/A</v>
      </c>
      <c r="GM199" s="23" t="e">
        <f>EXP(-LN(2)/25)*GM198+(1-EXP(-LN(2)/25))/(LN(2)/25)*Calculateur!GH199*Calculateur!GJ199*VLOOKUP('Données projet'!$B$17,Paramètres!$A$1:$I$88,3,0)*0.475*44/12</f>
        <v>#N/A</v>
      </c>
      <c r="GN199" s="23" t="e">
        <f>EXP(-LN(2)/2)*GN198+(1-EXP(-LN(2)/2))/(LN(2)/2)*GH199*GK199*VLOOKUP('Données projet'!$B$17,Paramètres!$A$1:$I$88,3,0)*0.475*44/12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projet'!$B$18,Paramètres!$A$1:$I$88,3,0)*VLOOKUP('Données projet'!$B$18,Paramètres!$A$1:$I$88,5,0)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projet'!$B$18,Paramètres!$A$1:$I$88,3,0)*0.475*44/12</f>
        <v>#N/A</v>
      </c>
      <c r="HH199" s="23" t="e">
        <f>EXP(-LN(2)/25)*HH198+(1-EXP(-LN(2)/25))/(LN(2)/25)*Calculateur!HC199*Calculateur!HE199*VLOOKUP('Données projet'!$B$18,Paramètres!$A$1:$I$88,3,0)*0.475*44/12</f>
        <v>#N/A</v>
      </c>
      <c r="HI199" s="23" t="e">
        <f>EXP(-LN(2)/2)*HI198+(1-EXP(-LN(2)/2))/(LN(2)/2)*HC199*HF199*VLOOKUP('Données projet'!$B$18,Paramètres!$A$1:$I$88,3,0)*0.475*44/12</f>
        <v>#N/A</v>
      </c>
      <c r="HJ199" s="24" t="e">
        <f t="shared" si="190"/>
        <v>#N/A</v>
      </c>
    </row>
    <row r="200" spans="1:218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projet'!$B$9,Paramètres!$A$1:$I$88,3,0)*VLOOKUP('Données projet'!$B$9,Paramètres!$A$1:$I$88,5,0)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290.41603252228987</v>
      </c>
      <c r="S200" s="62">
        <f ca="1">AVERAGE(OFFSET($R$3,0,0,'Données projet'!$E$9+1,1))-AVERAGE(OFFSET($H$3,0,0,'Données projet'!$E$9+1,1))</f>
        <v>301.2688576786212</v>
      </c>
      <c r="T200" s="62">
        <f t="shared" si="204"/>
        <v>417.62172165132927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8.2050967045440597</v>
      </c>
      <c r="AA200" s="23">
        <f>EXP(-LN(2)/25)*AA199+(1-EXP(-LN(2)/25))/(LN(2)/25)*Calculateur!V200*Calculateur!X200*VLOOKUP('Données projet'!$B$9,Paramètres!$A$1:$I$88,3,0)*0.475*44/12</f>
        <v>0.84475167919656957</v>
      </c>
      <c r="AB200" s="23">
        <f>EXP(-LN(2)/2)*AB199+(1-EXP(-LN(2)/2))/(LN(2)/2)*V200*Y200*VLOOKUP('Données projet'!$B$9,Paramètres!$A$1:$I$88,3,0)*0.475*44/12</f>
        <v>2.2050674366085692E-21</v>
      </c>
      <c r="AC200" s="24">
        <f t="shared" si="163"/>
        <v>9.0498483837406294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projet'!$B$10,Paramètres!$A$1:$I$88,3,0)*VLOOKUP('Données projet'!$B$10,Paramètres!$A$1:$I$88,5,0)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170.08673939431091</v>
      </c>
      <c r="AO200" s="62">
        <f t="shared" si="205"/>
        <v>252.97355497077106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projet'!$B$10,Paramètres!$A$1:$I$88,3,0)*0.475*44/12</f>
        <v>3.4258533666219204</v>
      </c>
      <c r="AV200" s="23">
        <f>EXP(-LN(2)/25)*AV199+(1-EXP(-LN(2)/25))/(LN(2)/25)*Calculateur!AQ200*Calculateur!AS200*VLOOKUP('Données projet'!$B$10,Paramètres!$A$1:$I$88,3,0)*0.475*44/12</f>
        <v>0.85620095442991773</v>
      </c>
      <c r="AW200" s="23">
        <f>EXP(-LN(2)/2)*AW199+(1-EXP(-LN(2)/2))/(LN(2)/2)*AQ200*AT200*VLOOKUP('Données projet'!$B$10,Paramètres!$A$1:$I$88,3,0)*0.475*44/12</f>
        <v>2.8245141101407118E-21</v>
      </c>
      <c r="AX200" s="23">
        <f t="shared" si="166"/>
        <v>4.282054321051838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-1.1368683772161603E-13</v>
      </c>
      <c r="BE200" s="14">
        <f>BD200*VLOOKUP('Données projet'!$B$11,Paramètres!$A$1:$I$88,3,0)*VLOOKUP('Données projet'!$B$11,Paramètres!$A$1:$I$88,5,0)</f>
        <v>-1.0286385077051818E-13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362.63718589694594</v>
      </c>
      <c r="BJ200" s="62">
        <f t="shared" si="206"/>
        <v>250.47702091764884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projet'!$B$11,Paramètres!$A$1:$I$88,3,0)*0.475*44/12</f>
        <v>18.685426426264314</v>
      </c>
      <c r="BQ200" s="23">
        <f>EXP(-LN(2)/25)*BQ199+(1-EXP(-LN(2)/25))/(LN(2)/25)*Calculateur!BL200*Calculateur!BN200*VLOOKUP('Données projet'!$B$11,Paramètres!$A$1:$I$88,3,0)*0.475*44/12</f>
        <v>0</v>
      </c>
      <c r="BR200" s="23">
        <f>EXP(-LN(2)/2)*BR199+(1-EXP(-LN(2)/2))/(LN(2)/2)*BL200*BO200*VLOOKUP('Données projet'!$B$11,Paramètres!$A$1:$I$88,3,0)*0.475*44/12</f>
        <v>0</v>
      </c>
      <c r="BS200" s="24">
        <f t="shared" si="169"/>
        <v>18.685426426264314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-1.1368683772161603E-13</v>
      </c>
      <c r="BZ200" s="14">
        <f>BY200*VLOOKUP('Données projet'!$B$12,Paramètres!$A$1:$I$88,3,0)*VLOOKUP('Données projet'!$B$12,Paramètres!$A$1:$I$88,5,0)</f>
        <v>-1.1527845344971866E-13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398.14524781940196</v>
      </c>
      <c r="CE200" s="62">
        <f t="shared" si="207"/>
        <v>273.35778700650792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projet'!$B$12,Paramètres!$A$1:$I$88,3,0)*0.475*44/12</f>
        <v>20.940564098399644</v>
      </c>
      <c r="CL200" s="23">
        <f>EXP(-LN(2)/25)*CL199+(1-EXP(-LN(2)/25))/(LN(2)/25)*Calculateur!CG200*Calculateur!CI200*VLOOKUP('Données projet'!$B$12,Paramètres!$A$1:$I$88,3,0)*0.475*44/12</f>
        <v>0</v>
      </c>
      <c r="CM200" s="23">
        <f>EXP(-LN(2)/2)*CM199+(1-EXP(-LN(2)/2))/(LN(2)/2)*CG200*CJ200*VLOOKUP('Données projet'!$B$12,Paramètres!$A$1:$I$88,3,0)*0.475*44/12</f>
        <v>0</v>
      </c>
      <c r="CN200" s="24">
        <f t="shared" si="172"/>
        <v>20.940564098399644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118</v>
      </c>
      <c r="CU200" s="18">
        <f>CT200*VLOOKUP('Données projet'!$B$13,Paramètres!$A$1:$I$88,3,0)*VLOOKUP('Données projet'!$B$13,Paramètres!$A$1:$I$88,5,0)</f>
        <v>112.28880000000001</v>
      </c>
      <c r="CV200" s="14">
        <f t="shared" si="173"/>
        <v>29.869595672288149</v>
      </c>
      <c r="CW200" s="22">
        <f t="shared" si="174"/>
        <v>247.59253912923518</v>
      </c>
      <c r="CX200" s="62">
        <f t="shared" si="196"/>
        <v>538.00857165152399</v>
      </c>
      <c r="CY200" s="62">
        <f ca="1">AVERAGE(OFFSET($CX$3,0,0,'Données projet'!$E$13+1,1))-AVERAGE(OFFSET($H$3,0,0,'Données projet'!$E$13+1,1))</f>
        <v>470.0521927195926</v>
      </c>
      <c r="CZ200" s="62">
        <f t="shared" si="208"/>
        <v>299.27200854723435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projet'!$B$13,Paramètres!$A$1:$I$88,3,0)*0.475*44/12</f>
        <v>19.651914000036619</v>
      </c>
      <c r="DG200" s="23">
        <f>EXP(-LN(2)/25)*DG199+(1-EXP(-LN(2)/25))/(LN(2)/25)*Calculateur!DB200*Calculateur!DD200*VLOOKUP('Données projet'!$B$13,Paramètres!$A$1:$I$88,3,0)*0.475*44/12</f>
        <v>0</v>
      </c>
      <c r="DH200" s="23">
        <f>EXP(-LN(2)/2)*DH199+(1-EXP(-LN(2)/2))/(LN(2)/2)*DB200*DE200*VLOOKUP('Données projet'!$B$13,Paramètres!$A$1:$I$88,3,0)*0.475*44/12</f>
        <v>0</v>
      </c>
      <c r="DI200" s="24">
        <f t="shared" si="175"/>
        <v>19.651914000036619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-1.4210854715202004E-13</v>
      </c>
      <c r="DP200" s="18">
        <f>DO200*VLOOKUP('Données projet'!$B$14,Paramètres!$A$1:$I$88,3,0)*VLOOKUP('Données projet'!$B$14,Paramètres!$A$1:$I$88,5,0)</f>
        <v>-1.3744738680543379E-13</v>
      </c>
      <c r="DQ200" s="14" t="e">
        <f t="shared" si="176"/>
        <v>#NUM!</v>
      </c>
      <c r="DR200" s="22" t="e">
        <f t="shared" si="177"/>
        <v>#NUM!</v>
      </c>
      <c r="DS200" s="62" t="e">
        <f t="shared" si="197"/>
        <v>#NUM!</v>
      </c>
      <c r="DT200" s="62">
        <f ca="1">AVERAGE(OFFSET($DS$3,0,0,'Données projet'!$E$14+1,1))-AVERAGE(OFFSET($H$3,0,0,'Données projet'!$E$14+1,1))</f>
        <v>290.89727102147953</v>
      </c>
      <c r="DU200" s="62">
        <f t="shared" si="209"/>
        <v>173.19148969173838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projet'!$B$14,Paramètres!$A$1:$I$88,3,0)*0.475*44/12</f>
        <v>14.932120258801834</v>
      </c>
      <c r="EB200" s="23">
        <f>EXP(-LN(2)/25)*EB199+(1-EXP(-LN(2)/25))/(LN(2)/25)*Calculateur!DW200*Calculateur!DY200*VLOOKUP('Données projet'!$B$14,Paramètres!$A$1:$I$88,3,0)*0.475*44/12</f>
        <v>0</v>
      </c>
      <c r="EC200" s="23">
        <f>EXP(-LN(2)/2)*EC199+(1-EXP(-LN(2)/2))/(LN(2)/2)*DW200*DZ200*VLOOKUP('Données projet'!$B$14,Paramètres!$A$1:$I$88,3,0)*0.475*44/12</f>
        <v>0</v>
      </c>
      <c r="ED200" s="24">
        <f t="shared" si="178"/>
        <v>14.932120258801834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projet'!$B$15,Paramètres!$A$1:$I$88,3,0)*VLOOKUP('Données projet'!$B$15,Paramètres!$A$1:$I$88,5,0)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projet'!$B$15,Paramètres!$A$1:$I$88,3,0)*0.475*44/12</f>
        <v>#N/A</v>
      </c>
      <c r="EW200" s="23" t="e">
        <f>EXP(-LN(2)/25)*EW199+(1-EXP(-LN(2)/25))/(LN(2)/25)*Calculateur!ER200*Calculateur!ET200*VLOOKUP('Données projet'!$B$15,Paramètres!$A$1:$I$88,3,0)*0.475*44/12</f>
        <v>#N/A</v>
      </c>
      <c r="EX200" s="23" t="e">
        <f>EXP(-LN(2)/2)*EX199+(1-EXP(-LN(2)/2))/(LN(2)/2)*ER200*EU200*VLOOKUP('Données projet'!$B$15,Paramètres!$A$1:$I$88,3,0)*0.475*44/12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projet'!$B$16,Paramètres!$A$1:$I$88,3,0)*VLOOKUP('Données projet'!$B$16,Paramètres!$A$1:$I$88,5,0)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projet'!$B$16,Paramètres!$A$1:$I$88,3,0)*0.475*44/12</f>
        <v>#N/A</v>
      </c>
      <c r="FR200" s="23" t="e">
        <f>EXP(-LN(2)/25)*FR199+(1-EXP(-LN(2)/25))/(LN(2)/25)*Calculateur!FM200*Calculateur!FO200*VLOOKUP('Données projet'!$B$16,Paramètres!$A$1:$I$88,3,0)*0.475*44/12</f>
        <v>#N/A</v>
      </c>
      <c r="FS200" s="23" t="e">
        <f>EXP(-LN(2)/2)*FS199+(1-EXP(-LN(2)/2))/(LN(2)/2)*FM200*FP200*VLOOKUP('Données projet'!$B$16,Paramètres!$A$1:$I$88,3,0)*0.475*44/12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projet'!$B$17,Paramètres!$A$1:$I$88,3,0)*VLOOKUP('Données projet'!$B$17,Paramètres!$A$1:$I$88,5,0)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projet'!$B$17,Paramètres!$A$1:$I$88,3,0)*0.475*44/12</f>
        <v>#N/A</v>
      </c>
      <c r="GM200" s="23" t="e">
        <f>EXP(-LN(2)/25)*GM199+(1-EXP(-LN(2)/25))/(LN(2)/25)*Calculateur!GH200*Calculateur!GJ200*VLOOKUP('Données projet'!$B$17,Paramètres!$A$1:$I$88,3,0)*0.475*44/12</f>
        <v>#N/A</v>
      </c>
      <c r="GN200" s="23" t="e">
        <f>EXP(-LN(2)/2)*GN199+(1-EXP(-LN(2)/2))/(LN(2)/2)*GH200*GK200*VLOOKUP('Données projet'!$B$17,Paramètres!$A$1:$I$88,3,0)*0.475*44/12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projet'!$B$18,Paramètres!$A$1:$I$88,3,0)*VLOOKUP('Données projet'!$B$18,Paramètres!$A$1:$I$88,5,0)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projet'!$B$18,Paramètres!$A$1:$I$88,3,0)*0.475*44/12</f>
        <v>#N/A</v>
      </c>
      <c r="HH200" s="23" t="e">
        <f>EXP(-LN(2)/25)*HH199+(1-EXP(-LN(2)/25))/(LN(2)/25)*Calculateur!HC200*Calculateur!HE200*VLOOKUP('Données projet'!$B$18,Paramètres!$A$1:$I$88,3,0)*0.475*44/12</f>
        <v>#N/A</v>
      </c>
      <c r="HI200" s="23" t="e">
        <f>EXP(-LN(2)/2)*HI199+(1-EXP(-LN(2)/2))/(LN(2)/2)*HC200*HF200*VLOOKUP('Données projet'!$B$18,Paramètres!$A$1:$I$88,3,0)*0.475*44/12</f>
        <v>#N/A</v>
      </c>
      <c r="HJ200" s="24" t="e">
        <f t="shared" si="190"/>
        <v>#N/A</v>
      </c>
    </row>
    <row r="201" spans="1:218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projet'!$B$9,Paramètres!$A$1:$I$88,3,0)*VLOOKUP('Données projet'!$B$9,Paramètres!$A$1:$I$88,5,0)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290.46664116925399</v>
      </c>
      <c r="S201" s="62">
        <f ca="1">AVERAGE(OFFSET($R$3,0,0,'Données projet'!$E$9+1,1))-AVERAGE(OFFSET($H$3,0,0,'Données projet'!$E$9+1,1))</f>
        <v>301.2688576786212</v>
      </c>
      <c r="T201" s="62">
        <f t="shared" si="204"/>
        <v>417.62172165132927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8.0441997627827764</v>
      </c>
      <c r="AA201" s="23">
        <f>EXP(-LN(2)/25)*AA200+(1-EXP(-LN(2)/25))/(LN(2)/25)*Calculateur!V201*Calculateur!X201*VLOOKUP('Données projet'!$B$9,Paramètres!$A$1:$I$88,3,0)*0.475*44/12</f>
        <v>0.82165190010537925</v>
      </c>
      <c r="AB201" s="23">
        <f>EXP(-LN(2)/2)*AB200+(1-EXP(-LN(2)/2))/(LN(2)/2)*V201*Y201*VLOOKUP('Données projet'!$B$9,Paramètres!$A$1:$I$88,3,0)*0.475*44/12</f>
        <v>1.5592181373995568E-21</v>
      </c>
      <c r="AC201" s="24">
        <f t="shared" si="163"/>
        <v>8.8658516628881561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projet'!$B$10,Paramètres!$A$1:$I$88,3,0)*VLOOKUP('Données projet'!$B$10,Paramètres!$A$1:$I$88,5,0)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170.08673939431091</v>
      </c>
      <c r="AO201" s="62">
        <f t="shared" si="205"/>
        <v>252.97355497077106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projet'!$B$10,Paramètres!$A$1:$I$88,3,0)*0.475*44/12</f>
        <v>3.3586744716666908</v>
      </c>
      <c r="AV201" s="23">
        <f>EXP(-LN(2)/25)*AV200+(1-EXP(-LN(2)/25))/(LN(2)/25)*Calculateur!AQ201*Calculateur!AS201*VLOOKUP('Données projet'!$B$10,Paramètres!$A$1:$I$88,3,0)*0.475*44/12</f>
        <v>0.83278809430538026</v>
      </c>
      <c r="AW201" s="23">
        <f>EXP(-LN(2)/2)*AW200+(1-EXP(-LN(2)/2))/(LN(2)/2)*AQ201*AT201*VLOOKUP('Données projet'!$B$10,Paramètres!$A$1:$I$88,3,0)*0.475*44/12</f>
        <v>1.9972330808375843E-21</v>
      </c>
      <c r="AX201" s="23">
        <f t="shared" si="166"/>
        <v>4.1914625659720706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-1.1368683772161603E-13</v>
      </c>
      <c r="BE201" s="14">
        <f>BD201*VLOOKUP('Données projet'!$B$11,Paramètres!$A$1:$I$88,3,0)*VLOOKUP('Données projet'!$B$11,Paramètres!$A$1:$I$88,5,0)</f>
        <v>-1.0286385077051818E-13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362.63718589694594</v>
      </c>
      <c r="BJ201" s="62">
        <f t="shared" si="206"/>
        <v>250.47702091764884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projet'!$B$11,Paramètres!$A$1:$I$88,3,0)*0.475*44/12</f>
        <v>18.319016611030033</v>
      </c>
      <c r="BQ201" s="23">
        <f>EXP(-LN(2)/25)*BQ200+(1-EXP(-LN(2)/25))/(LN(2)/25)*Calculateur!BL201*Calculateur!BN201*VLOOKUP('Données projet'!$B$11,Paramètres!$A$1:$I$88,3,0)*0.475*44/12</f>
        <v>0</v>
      </c>
      <c r="BR201" s="23">
        <f>EXP(-LN(2)/2)*BR200+(1-EXP(-LN(2)/2))/(LN(2)/2)*BL201*BO201*VLOOKUP('Données projet'!$B$11,Paramètres!$A$1:$I$88,3,0)*0.475*44/12</f>
        <v>0</v>
      </c>
      <c r="BS201" s="24">
        <f t="shared" si="169"/>
        <v>18.319016611030033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-1.1368683772161603E-13</v>
      </c>
      <c r="BZ201" s="14">
        <f>BY201*VLOOKUP('Données projet'!$B$12,Paramètres!$A$1:$I$88,3,0)*VLOOKUP('Données projet'!$B$12,Paramètres!$A$1:$I$88,5,0)</f>
        <v>-1.1527845344971866E-13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398.14524781940196</v>
      </c>
      <c r="CE201" s="62">
        <f t="shared" si="207"/>
        <v>273.35778700650792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projet'!$B$12,Paramètres!$A$1:$I$88,3,0)*0.475*44/12</f>
        <v>20.529932408912948</v>
      </c>
      <c r="CL201" s="23">
        <f>EXP(-LN(2)/25)*CL200+(1-EXP(-LN(2)/25))/(LN(2)/25)*Calculateur!CG201*Calculateur!CI201*VLOOKUP('Données projet'!$B$12,Paramètres!$A$1:$I$88,3,0)*0.475*44/12</f>
        <v>0</v>
      </c>
      <c r="CM201" s="23">
        <f>EXP(-LN(2)/2)*CM200+(1-EXP(-LN(2)/2))/(LN(2)/2)*CG201*CJ201*VLOOKUP('Données projet'!$B$12,Paramètres!$A$1:$I$88,3,0)*0.475*44/12</f>
        <v>0</v>
      </c>
      <c r="CN201" s="24">
        <f t="shared" si="172"/>
        <v>20.529932408912948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118</v>
      </c>
      <c r="CU201" s="18">
        <f>CT201*VLOOKUP('Données projet'!$B$13,Paramètres!$A$1:$I$88,3,0)*VLOOKUP('Données projet'!$B$13,Paramètres!$A$1:$I$88,5,0)</f>
        <v>112.28880000000001</v>
      </c>
      <c r="CV201" s="14">
        <f t="shared" si="173"/>
        <v>29.869595672288149</v>
      </c>
      <c r="CW201" s="22">
        <f t="shared" si="174"/>
        <v>247.59253912923518</v>
      </c>
      <c r="CX201" s="62">
        <f t="shared" si="196"/>
        <v>538.05918029848806</v>
      </c>
      <c r="CY201" s="62">
        <f ca="1">AVERAGE(OFFSET($CX$3,0,0,'Données projet'!$E$13+1,1))-AVERAGE(OFFSET($H$3,0,0,'Données projet'!$E$13+1,1))</f>
        <v>470.0521927195926</v>
      </c>
      <c r="CZ201" s="62">
        <f t="shared" si="208"/>
        <v>299.27200854723435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projet'!$B$13,Paramètres!$A$1:$I$88,3,0)*0.475*44/12</f>
        <v>19.266551952979874</v>
      </c>
      <c r="DG201" s="23">
        <f>EXP(-LN(2)/25)*DG200+(1-EXP(-LN(2)/25))/(LN(2)/25)*Calculateur!DB201*Calculateur!DD201*VLOOKUP('Données projet'!$B$13,Paramètres!$A$1:$I$88,3,0)*0.475*44/12</f>
        <v>0</v>
      </c>
      <c r="DH201" s="23">
        <f>EXP(-LN(2)/2)*DH200+(1-EXP(-LN(2)/2))/(LN(2)/2)*DB201*DE201*VLOOKUP('Données projet'!$B$13,Paramètres!$A$1:$I$88,3,0)*0.475*44/12</f>
        <v>0</v>
      </c>
      <c r="DI201" s="24">
        <f t="shared" si="175"/>
        <v>19.266551952979874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-1.4210854715202004E-13</v>
      </c>
      <c r="DP201" s="18">
        <f>DO201*VLOOKUP('Données projet'!$B$14,Paramètres!$A$1:$I$88,3,0)*VLOOKUP('Données projet'!$B$14,Paramètres!$A$1:$I$88,5,0)</f>
        <v>-1.3744738680543379E-13</v>
      </c>
      <c r="DQ201" s="14" t="e">
        <f t="shared" si="176"/>
        <v>#NUM!</v>
      </c>
      <c r="DR201" s="22" t="e">
        <f t="shared" si="177"/>
        <v>#NUM!</v>
      </c>
      <c r="DS201" s="62" t="e">
        <f t="shared" si="197"/>
        <v>#NUM!</v>
      </c>
      <c r="DT201" s="62">
        <f ca="1">AVERAGE(OFFSET($DS$3,0,0,'Données projet'!$E$14+1,1))-AVERAGE(OFFSET($H$3,0,0,'Données projet'!$E$14+1,1))</f>
        <v>290.89727102147953</v>
      </c>
      <c r="DU201" s="62">
        <f t="shared" si="209"/>
        <v>173.19148969173838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projet'!$B$14,Paramètres!$A$1:$I$88,3,0)*0.475*44/12</f>
        <v>14.639310488220778</v>
      </c>
      <c r="EB201" s="23">
        <f>EXP(-LN(2)/25)*EB200+(1-EXP(-LN(2)/25))/(LN(2)/25)*Calculateur!DW201*Calculateur!DY201*VLOOKUP('Données projet'!$B$14,Paramètres!$A$1:$I$88,3,0)*0.475*44/12</f>
        <v>0</v>
      </c>
      <c r="EC201" s="23">
        <f>EXP(-LN(2)/2)*EC200+(1-EXP(-LN(2)/2))/(LN(2)/2)*DW201*DZ201*VLOOKUP('Données projet'!$B$14,Paramètres!$A$1:$I$88,3,0)*0.475*44/12</f>
        <v>0</v>
      </c>
      <c r="ED201" s="24">
        <f t="shared" si="178"/>
        <v>14.639310488220778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projet'!$B$15,Paramètres!$A$1:$I$88,3,0)*VLOOKUP('Données projet'!$B$15,Paramètres!$A$1:$I$88,5,0)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projet'!$B$15,Paramètres!$A$1:$I$88,3,0)*0.475*44/12</f>
        <v>#N/A</v>
      </c>
      <c r="EW201" s="23" t="e">
        <f>EXP(-LN(2)/25)*EW200+(1-EXP(-LN(2)/25))/(LN(2)/25)*Calculateur!ER201*Calculateur!ET201*VLOOKUP('Données projet'!$B$15,Paramètres!$A$1:$I$88,3,0)*0.475*44/12</f>
        <v>#N/A</v>
      </c>
      <c r="EX201" s="23" t="e">
        <f>EXP(-LN(2)/2)*EX200+(1-EXP(-LN(2)/2))/(LN(2)/2)*ER201*EU201*VLOOKUP('Données projet'!$B$15,Paramètres!$A$1:$I$88,3,0)*0.475*44/12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projet'!$B$16,Paramètres!$A$1:$I$88,3,0)*VLOOKUP('Données projet'!$B$16,Paramètres!$A$1:$I$88,5,0)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projet'!$B$16,Paramètres!$A$1:$I$88,3,0)*0.475*44/12</f>
        <v>#N/A</v>
      </c>
      <c r="FR201" s="23" t="e">
        <f>EXP(-LN(2)/25)*FR200+(1-EXP(-LN(2)/25))/(LN(2)/25)*Calculateur!FM201*Calculateur!FO201*VLOOKUP('Données projet'!$B$16,Paramètres!$A$1:$I$88,3,0)*0.475*44/12</f>
        <v>#N/A</v>
      </c>
      <c r="FS201" s="23" t="e">
        <f>EXP(-LN(2)/2)*FS200+(1-EXP(-LN(2)/2))/(LN(2)/2)*FM201*FP201*VLOOKUP('Données projet'!$B$16,Paramètres!$A$1:$I$88,3,0)*0.475*44/12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projet'!$B$17,Paramètres!$A$1:$I$88,3,0)*VLOOKUP('Données projet'!$B$17,Paramètres!$A$1:$I$88,5,0)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projet'!$B$17,Paramètres!$A$1:$I$88,3,0)*0.475*44/12</f>
        <v>#N/A</v>
      </c>
      <c r="GM201" s="23" t="e">
        <f>EXP(-LN(2)/25)*GM200+(1-EXP(-LN(2)/25))/(LN(2)/25)*Calculateur!GH201*Calculateur!GJ201*VLOOKUP('Données projet'!$B$17,Paramètres!$A$1:$I$88,3,0)*0.475*44/12</f>
        <v>#N/A</v>
      </c>
      <c r="GN201" s="23" t="e">
        <f>EXP(-LN(2)/2)*GN200+(1-EXP(-LN(2)/2))/(LN(2)/2)*GH201*GK201*VLOOKUP('Données projet'!$B$17,Paramètres!$A$1:$I$88,3,0)*0.475*44/12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projet'!$B$18,Paramètres!$A$1:$I$88,3,0)*VLOOKUP('Données projet'!$B$18,Paramètres!$A$1:$I$88,5,0)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projet'!$B$18,Paramètres!$A$1:$I$88,3,0)*0.475*44/12</f>
        <v>#N/A</v>
      </c>
      <c r="HH201" s="23" t="e">
        <f>EXP(-LN(2)/25)*HH200+(1-EXP(-LN(2)/25))/(LN(2)/25)*Calculateur!HC201*Calculateur!HE201*VLOOKUP('Données projet'!$B$18,Paramètres!$A$1:$I$88,3,0)*0.475*44/12</f>
        <v>#N/A</v>
      </c>
      <c r="HI201" s="23" t="e">
        <f>EXP(-LN(2)/2)*HI200+(1-EXP(-LN(2)/2))/(LN(2)/2)*HC201*HF201*VLOOKUP('Données projet'!$B$18,Paramètres!$A$1:$I$88,3,0)*0.475*44/12</f>
        <v>#N/A</v>
      </c>
      <c r="HJ201" s="24" t="e">
        <f t="shared" si="190"/>
        <v>#N/A</v>
      </c>
    </row>
    <row r="202" spans="1:218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projet'!$B$9,Paramètres!$A$1:$I$88,3,0)*VLOOKUP('Données projet'!$B$9,Paramètres!$A$1:$I$88,5,0)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290.51637186933721</v>
      </c>
      <c r="S202" s="62">
        <f ca="1">AVERAGE(OFFSET($R$3,0,0,'Données projet'!$E$9+1,1))-AVERAGE(OFFSET($H$3,0,0,'Données projet'!$E$9+1,1))</f>
        <v>301.2688576786212</v>
      </c>
      <c r="T202" s="62">
        <f t="shared" si="204"/>
        <v>417.62172165132927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7.8864579119119869</v>
      </c>
      <c r="AA202" s="23">
        <f>EXP(-LN(2)/25)*AA201+(1-EXP(-LN(2)/25))/(LN(2)/25)*Calculateur!V202*Calculateur!X202*VLOOKUP('Données projet'!$B$9,Paramètres!$A$1:$I$88,3,0)*0.475*44/12</f>
        <v>0.79918378568820214</v>
      </c>
      <c r="AB202" s="23">
        <f>EXP(-LN(2)/2)*AB201+(1-EXP(-LN(2)/2))/(LN(2)/2)*V202*Y202*VLOOKUP('Données projet'!$B$9,Paramètres!$A$1:$I$88,3,0)*0.475*44/12</f>
        <v>1.1025337183042846E-21</v>
      </c>
      <c r="AC202" s="24">
        <f t="shared" si="163"/>
        <v>8.6856416976001896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projet'!$B$10,Paramètres!$A$1:$I$88,3,0)*VLOOKUP('Données projet'!$B$10,Paramètres!$A$1:$I$88,5,0)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170.08673939431091</v>
      </c>
      <c r="AO202" s="62">
        <f t="shared" si="205"/>
        <v>252.97355497077106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projet'!$B$10,Paramètres!$A$1:$I$88,3,0)*0.475*44/12</f>
        <v>3.2928129138664533</v>
      </c>
      <c r="AV202" s="23">
        <f>EXP(-LN(2)/25)*AV201+(1-EXP(-LN(2)/25))/(LN(2)/25)*Calculateur!AQ202*Calculateur!AS202*VLOOKUP('Données projet'!$B$10,Paramètres!$A$1:$I$88,3,0)*0.475*44/12</f>
        <v>0.81001546007217706</v>
      </c>
      <c r="AW202" s="23">
        <f>EXP(-LN(2)/2)*AW201+(1-EXP(-LN(2)/2))/(LN(2)/2)*AQ202*AT202*VLOOKUP('Données projet'!$B$10,Paramètres!$A$1:$I$88,3,0)*0.475*44/12</f>
        <v>1.4122570550703559E-21</v>
      </c>
      <c r="AX202" s="23">
        <f t="shared" si="166"/>
        <v>4.10282837393863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-1.1368683772161603E-13</v>
      </c>
      <c r="BE202" s="14">
        <f>BD202*VLOOKUP('Données projet'!$B$11,Paramètres!$A$1:$I$88,3,0)*VLOOKUP('Données projet'!$B$11,Paramètres!$A$1:$I$88,5,0)</f>
        <v>-1.0286385077051818E-13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362.63718589694594</v>
      </c>
      <c r="BJ202" s="62">
        <f t="shared" si="206"/>
        <v>250.47702091764884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projet'!$B$11,Paramètres!$A$1:$I$88,3,0)*0.475*44/12</f>
        <v>17.959791868784574</v>
      </c>
      <c r="BQ202" s="23">
        <f>EXP(-LN(2)/25)*BQ201+(1-EXP(-LN(2)/25))/(LN(2)/25)*Calculateur!BL202*Calculateur!BN202*VLOOKUP('Données projet'!$B$11,Paramètres!$A$1:$I$88,3,0)*0.475*44/12</f>
        <v>0</v>
      </c>
      <c r="BR202" s="23">
        <f>EXP(-LN(2)/2)*BR201+(1-EXP(-LN(2)/2))/(LN(2)/2)*BL202*BO202*VLOOKUP('Données projet'!$B$11,Paramètres!$A$1:$I$88,3,0)*0.475*44/12</f>
        <v>0</v>
      </c>
      <c r="BS202" s="24">
        <f t="shared" si="169"/>
        <v>17.959791868784574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-1.1368683772161603E-13</v>
      </c>
      <c r="BZ202" s="14">
        <f>BY202*VLOOKUP('Données projet'!$B$12,Paramètres!$A$1:$I$88,3,0)*VLOOKUP('Données projet'!$B$12,Paramètres!$A$1:$I$88,5,0)</f>
        <v>-1.1527845344971866E-13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398.14524781940196</v>
      </c>
      <c r="CE202" s="62">
        <f t="shared" si="207"/>
        <v>273.35778700650792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projet'!$B$12,Paramètres!$A$1:$I$88,3,0)*0.475*44/12</f>
        <v>20.127352956396489</v>
      </c>
      <c r="CL202" s="23">
        <f>EXP(-LN(2)/25)*CL201+(1-EXP(-LN(2)/25))/(LN(2)/25)*Calculateur!CG202*Calculateur!CI202*VLOOKUP('Données projet'!$B$12,Paramètres!$A$1:$I$88,3,0)*0.475*44/12</f>
        <v>0</v>
      </c>
      <c r="CM202" s="23">
        <f>EXP(-LN(2)/2)*CM201+(1-EXP(-LN(2)/2))/(LN(2)/2)*CG202*CJ202*VLOOKUP('Données projet'!$B$12,Paramètres!$A$1:$I$88,3,0)*0.475*44/12</f>
        <v>0</v>
      </c>
      <c r="CN202" s="24">
        <f t="shared" si="172"/>
        <v>20.127352956396489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118</v>
      </c>
      <c r="CU202" s="18">
        <f>CT202*VLOOKUP('Données projet'!$B$13,Paramètres!$A$1:$I$88,3,0)*VLOOKUP('Données projet'!$B$13,Paramètres!$A$1:$I$88,5,0)</f>
        <v>112.28880000000001</v>
      </c>
      <c r="CV202" s="14">
        <f t="shared" si="173"/>
        <v>29.869595672288149</v>
      </c>
      <c r="CW202" s="22">
        <f t="shared" si="174"/>
        <v>247.59253912923518</v>
      </c>
      <c r="CX202" s="62">
        <f t="shared" si="196"/>
        <v>538.10891099857133</v>
      </c>
      <c r="CY202" s="62">
        <f ca="1">AVERAGE(OFFSET($CX$3,0,0,'Données projet'!$E$13+1,1))-AVERAGE(OFFSET($H$3,0,0,'Données projet'!$E$13+1,1))</f>
        <v>470.0521927195926</v>
      </c>
      <c r="CZ202" s="62">
        <f t="shared" si="208"/>
        <v>299.27200854723435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projet'!$B$13,Paramètres!$A$1:$I$88,3,0)*0.475*44/12</f>
        <v>18.888746620618271</v>
      </c>
      <c r="DG202" s="23">
        <f>EXP(-LN(2)/25)*DG201+(1-EXP(-LN(2)/25))/(LN(2)/25)*Calculateur!DB202*Calculateur!DD202*VLOOKUP('Données projet'!$B$13,Paramètres!$A$1:$I$88,3,0)*0.475*44/12</f>
        <v>0</v>
      </c>
      <c r="DH202" s="23">
        <f>EXP(-LN(2)/2)*DH201+(1-EXP(-LN(2)/2))/(LN(2)/2)*DB202*DE202*VLOOKUP('Données projet'!$B$13,Paramètres!$A$1:$I$88,3,0)*0.475*44/12</f>
        <v>0</v>
      </c>
      <c r="DI202" s="24">
        <f t="shared" si="175"/>
        <v>18.888746620618271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-1.4210854715202004E-13</v>
      </c>
      <c r="DP202" s="18">
        <f>DO202*VLOOKUP('Données projet'!$B$14,Paramètres!$A$1:$I$88,3,0)*VLOOKUP('Données projet'!$B$14,Paramètres!$A$1:$I$88,5,0)</f>
        <v>-1.3744738680543379E-13</v>
      </c>
      <c r="DQ202" s="14" t="e">
        <f t="shared" si="176"/>
        <v>#NUM!</v>
      </c>
      <c r="DR202" s="22" t="e">
        <f t="shared" si="177"/>
        <v>#NUM!</v>
      </c>
      <c r="DS202" s="62" t="e">
        <f t="shared" si="197"/>
        <v>#NUM!</v>
      </c>
      <c r="DT202" s="62">
        <f ca="1">AVERAGE(OFFSET($DS$3,0,0,'Données projet'!$E$14+1,1))-AVERAGE(OFFSET($H$3,0,0,'Données projet'!$E$14+1,1))</f>
        <v>290.89727102147953</v>
      </c>
      <c r="DU202" s="62">
        <f t="shared" si="209"/>
        <v>173.19148969173838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projet'!$B$14,Paramètres!$A$1:$I$88,3,0)*0.475*44/12</f>
        <v>14.352242538644491</v>
      </c>
      <c r="EB202" s="23">
        <f>EXP(-LN(2)/25)*EB201+(1-EXP(-LN(2)/25))/(LN(2)/25)*Calculateur!DW202*Calculateur!DY202*VLOOKUP('Données projet'!$B$14,Paramètres!$A$1:$I$88,3,0)*0.475*44/12</f>
        <v>0</v>
      </c>
      <c r="EC202" s="23">
        <f>EXP(-LN(2)/2)*EC201+(1-EXP(-LN(2)/2))/(LN(2)/2)*DW202*DZ202*VLOOKUP('Données projet'!$B$14,Paramètres!$A$1:$I$88,3,0)*0.475*44/12</f>
        <v>0</v>
      </c>
      <c r="ED202" s="24">
        <f t="shared" si="178"/>
        <v>14.352242538644491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projet'!$B$15,Paramètres!$A$1:$I$88,3,0)*VLOOKUP('Données projet'!$B$15,Paramètres!$A$1:$I$88,5,0)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projet'!$B$15,Paramètres!$A$1:$I$88,3,0)*0.475*44/12</f>
        <v>#N/A</v>
      </c>
      <c r="EW202" s="23" t="e">
        <f>EXP(-LN(2)/25)*EW201+(1-EXP(-LN(2)/25))/(LN(2)/25)*Calculateur!ER202*Calculateur!ET202*VLOOKUP('Données projet'!$B$15,Paramètres!$A$1:$I$88,3,0)*0.475*44/12</f>
        <v>#N/A</v>
      </c>
      <c r="EX202" s="23" t="e">
        <f>EXP(-LN(2)/2)*EX201+(1-EXP(-LN(2)/2))/(LN(2)/2)*ER202*EU202*VLOOKUP('Données projet'!$B$15,Paramètres!$A$1:$I$88,3,0)*0.475*44/12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projet'!$B$16,Paramètres!$A$1:$I$88,3,0)*VLOOKUP('Données projet'!$B$16,Paramètres!$A$1:$I$88,5,0)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projet'!$B$16,Paramètres!$A$1:$I$88,3,0)*0.475*44/12</f>
        <v>#N/A</v>
      </c>
      <c r="FR202" s="23" t="e">
        <f>EXP(-LN(2)/25)*FR201+(1-EXP(-LN(2)/25))/(LN(2)/25)*Calculateur!FM202*Calculateur!FO202*VLOOKUP('Données projet'!$B$16,Paramètres!$A$1:$I$88,3,0)*0.475*44/12</f>
        <v>#N/A</v>
      </c>
      <c r="FS202" s="23" t="e">
        <f>EXP(-LN(2)/2)*FS201+(1-EXP(-LN(2)/2))/(LN(2)/2)*FM202*FP202*VLOOKUP('Données projet'!$B$16,Paramètres!$A$1:$I$88,3,0)*0.475*44/12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projet'!$B$17,Paramètres!$A$1:$I$88,3,0)*VLOOKUP('Données projet'!$B$17,Paramètres!$A$1:$I$88,5,0)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projet'!$B$17,Paramètres!$A$1:$I$88,3,0)*0.475*44/12</f>
        <v>#N/A</v>
      </c>
      <c r="GM202" s="23" t="e">
        <f>EXP(-LN(2)/25)*GM201+(1-EXP(-LN(2)/25))/(LN(2)/25)*Calculateur!GH202*Calculateur!GJ202*VLOOKUP('Données projet'!$B$17,Paramètres!$A$1:$I$88,3,0)*0.475*44/12</f>
        <v>#N/A</v>
      </c>
      <c r="GN202" s="23" t="e">
        <f>EXP(-LN(2)/2)*GN201+(1-EXP(-LN(2)/2))/(LN(2)/2)*GH202*GK202*VLOOKUP('Données projet'!$B$17,Paramètres!$A$1:$I$88,3,0)*0.475*44/12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projet'!$B$18,Paramètres!$A$1:$I$88,3,0)*VLOOKUP('Données projet'!$B$18,Paramètres!$A$1:$I$88,5,0)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projet'!$B$18,Paramètres!$A$1:$I$88,3,0)*0.475*44/12</f>
        <v>#N/A</v>
      </c>
      <c r="HH202" s="23" t="e">
        <f>EXP(-LN(2)/25)*HH201+(1-EXP(-LN(2)/25))/(LN(2)/25)*Calculateur!HC202*Calculateur!HE202*VLOOKUP('Données projet'!$B$18,Paramètres!$A$1:$I$88,3,0)*0.475*44/12</f>
        <v>#N/A</v>
      </c>
      <c r="HI202" s="23" t="e">
        <f>EXP(-LN(2)/2)*HI201+(1-EXP(-LN(2)/2))/(LN(2)/2)*HC202*HF202*VLOOKUP('Données projet'!$B$18,Paramètres!$A$1:$I$88,3,0)*0.475*44/12</f>
        <v>#N/A</v>
      </c>
      <c r="HJ202" s="24" t="e">
        <f t="shared" si="190"/>
        <v>#N/A</v>
      </c>
    </row>
    <row r="203" spans="1:218" ht="16" thickBot="1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projet'!$B$9,Paramètres!$A$1:$I$88,3,0)*VLOOKUP('Données projet'!$B$9,Paramètres!$A$1:$I$88,5,0)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290.56523985295519</v>
      </c>
      <c r="S203" s="62">
        <f ca="1">AVERAGE(OFFSET($R$3,0,0,'Données projet'!$E$9+1,1))-AVERAGE(OFFSET($H$3,0,0,'Données projet'!$E$9+1,1))</f>
        <v>301.2688576786212</v>
      </c>
      <c r="T203" s="62">
        <f t="shared" si="204"/>
        <v>417.62172165132927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7.731809282523745</v>
      </c>
      <c r="AA203" s="23">
        <f>EXP(-LN(2)/25)*AA202+(1-EXP(-LN(2)/25))/(LN(2)/25)*Calculateur!V203*Calculateur!X203*VLOOKUP('Données projet'!$B$9,Paramètres!$A$1:$I$88,3,0)*0.475*44/12</f>
        <v>0.77733006304130947</v>
      </c>
      <c r="AB203" s="23">
        <f>EXP(-LN(2)/2)*AB202+(1-EXP(-LN(2)/2))/(LN(2)/2)*V203*Y203*VLOOKUP('Données projet'!$B$9,Paramètres!$A$1:$I$88,3,0)*0.475*44/12</f>
        <v>7.7960906869977841E-22</v>
      </c>
      <c r="AC203" s="24">
        <f t="shared" si="163"/>
        <v>8.509139345565055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projet'!$B$10,Paramètres!$A$1:$I$88,3,0)*VLOOKUP('Données projet'!$B$10,Paramètres!$A$1:$I$88,5,0)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170.08673939431091</v>
      </c>
      <c r="AO203" s="62">
        <f t="shared" si="205"/>
        <v>252.97355497077106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projet'!$B$10,Paramètres!$A$1:$I$88,3,0)*0.475*44/12</f>
        <v>3.2282428610430949</v>
      </c>
      <c r="AV203" s="23">
        <f>EXP(-LN(2)/25)*AV202+(1-EXP(-LN(2)/25))/(LN(2)/25)*Calculateur!AQ203*Calculateur!AS203*VLOOKUP('Données projet'!$B$10,Paramètres!$A$1:$I$88,3,0)*0.475*44/12</f>
        <v>0.78786554471964165</v>
      </c>
      <c r="AW203" s="23">
        <f>EXP(-LN(2)/2)*AW202+(1-EXP(-LN(2)/2))/(LN(2)/2)*AQ203*AT203*VLOOKUP('Données projet'!$B$10,Paramètres!$A$1:$I$88,3,0)*0.475*44/12</f>
        <v>9.9861654041879213E-22</v>
      </c>
      <c r="AX203" s="23">
        <f t="shared" si="166"/>
        <v>4.0161084057627363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-1.1368683772161603E-13</v>
      </c>
      <c r="BE203" s="14">
        <f>BD203*VLOOKUP('Données projet'!$B$11,Paramètres!$A$1:$I$88,3,0)*VLOOKUP('Données projet'!$B$11,Paramètres!$A$1:$I$88,5,0)</f>
        <v>-1.0286385077051818E-13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362.63718589694594</v>
      </c>
      <c r="BJ203" s="62">
        <f t="shared" si="206"/>
        <v>250.47702091764884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projet'!$B$11,Paramètres!$A$1:$I$88,3,0)*0.475*44/12</f>
        <v>17.607611304629092</v>
      </c>
      <c r="BQ203" s="23">
        <f>EXP(-LN(2)/25)*BQ202+(1-EXP(-LN(2)/25))/(LN(2)/25)*Calculateur!BL203*Calculateur!BN203*VLOOKUP('Données projet'!$B$11,Paramètres!$A$1:$I$88,3,0)*0.475*44/12</f>
        <v>0</v>
      </c>
      <c r="BR203" s="23">
        <f>EXP(-LN(2)/2)*BR202+(1-EXP(-LN(2)/2))/(LN(2)/2)*BL203*BO203*VLOOKUP('Données projet'!$B$11,Paramètres!$A$1:$I$88,3,0)*0.475*44/12</f>
        <v>0</v>
      </c>
      <c r="BS203" s="24">
        <f t="shared" si="169"/>
        <v>17.607611304629092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-1.1368683772161603E-13</v>
      </c>
      <c r="BZ203" s="14">
        <f>BY203*VLOOKUP('Données projet'!$B$12,Paramètres!$A$1:$I$88,3,0)*VLOOKUP('Données projet'!$B$12,Paramètres!$A$1:$I$88,5,0)</f>
        <v>-1.1527845344971866E-13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398.14524781940196</v>
      </c>
      <c r="CE203" s="62">
        <f t="shared" si="207"/>
        <v>273.35778700650792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projet'!$B$12,Paramètres!$A$1:$I$88,3,0)*0.475*44/12</f>
        <v>19.732667841394658</v>
      </c>
      <c r="CL203" s="23">
        <f>EXP(-LN(2)/25)*CL202+(1-EXP(-LN(2)/25))/(LN(2)/25)*Calculateur!CG203*Calculateur!CI203*VLOOKUP('Données projet'!$B$12,Paramètres!$A$1:$I$88,3,0)*0.475*44/12</f>
        <v>0</v>
      </c>
      <c r="CM203" s="23">
        <f>EXP(-LN(2)/2)*CM202+(1-EXP(-LN(2)/2))/(LN(2)/2)*CG203*CJ203*VLOOKUP('Données projet'!$B$12,Paramètres!$A$1:$I$88,3,0)*0.475*44/12</f>
        <v>0</v>
      </c>
      <c r="CN203" s="24">
        <f t="shared" si="172"/>
        <v>19.732667841394658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118</v>
      </c>
      <c r="CU203" s="18">
        <f>CT203*VLOOKUP('Données projet'!$B$13,Paramètres!$A$1:$I$88,3,0)*VLOOKUP('Données projet'!$B$13,Paramètres!$A$1:$I$88,5,0)</f>
        <v>112.28880000000001</v>
      </c>
      <c r="CV203" s="14">
        <f t="shared" si="173"/>
        <v>29.869595672288149</v>
      </c>
      <c r="CW203" s="22">
        <f t="shared" si="174"/>
        <v>247.59253912923518</v>
      </c>
      <c r="CX203" s="62">
        <f t="shared" si="196"/>
        <v>538.15777898218926</v>
      </c>
      <c r="CY203" s="62">
        <f ca="1">AVERAGE(OFFSET($CX$3,0,0,'Données projet'!$E$13+1,1))-AVERAGE(OFFSET($H$3,0,0,'Données projet'!$E$13+1,1))</f>
        <v>470.0521927195926</v>
      </c>
      <c r="CZ203" s="62">
        <f t="shared" si="208"/>
        <v>299.27200854723435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projet'!$B$13,Paramètres!$A$1:$I$88,3,0)*0.475*44/12</f>
        <v>18.518349820385779</v>
      </c>
      <c r="DG203" s="23">
        <f>EXP(-LN(2)/25)*DG202+(1-EXP(-LN(2)/25))/(LN(2)/25)*Calculateur!DB203*Calculateur!DD203*VLOOKUP('Données projet'!$B$13,Paramètres!$A$1:$I$88,3,0)*0.475*44/12</f>
        <v>0</v>
      </c>
      <c r="DH203" s="23">
        <f>EXP(-LN(2)/2)*DH202+(1-EXP(-LN(2)/2))/(LN(2)/2)*DB203*DE203*VLOOKUP('Données projet'!$B$13,Paramètres!$A$1:$I$88,3,0)*0.475*44/12</f>
        <v>0</v>
      </c>
      <c r="DI203" s="24">
        <f t="shared" si="175"/>
        <v>18.518349820385779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-1.4210854715202004E-13</v>
      </c>
      <c r="DP203" s="18">
        <f>DO203*VLOOKUP('Données projet'!$B$14,Paramètres!$A$1:$I$88,3,0)*VLOOKUP('Données projet'!$B$14,Paramètres!$A$1:$I$88,5,0)</f>
        <v>-1.3744738680543379E-13</v>
      </c>
      <c r="DQ203" s="14" t="e">
        <f t="shared" si="176"/>
        <v>#NUM!</v>
      </c>
      <c r="DR203" s="22" t="e">
        <f t="shared" si="177"/>
        <v>#NUM!</v>
      </c>
      <c r="DS203" s="62" t="e">
        <f t="shared" si="197"/>
        <v>#NUM!</v>
      </c>
      <c r="DT203" s="62">
        <f ca="1">AVERAGE(OFFSET($DS$3,0,0,'Données projet'!$E$14+1,1))-AVERAGE(OFFSET($H$3,0,0,'Données projet'!$E$14+1,1))</f>
        <v>290.89727102147953</v>
      </c>
      <c r="DU203" s="62">
        <f t="shared" si="209"/>
        <v>173.19148969173838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projet'!$B$14,Paramètres!$A$1:$I$88,3,0)*0.475*44/12</f>
        <v>14.070803816465235</v>
      </c>
      <c r="EB203" s="23">
        <f>EXP(-LN(2)/25)*EB202+(1-EXP(-LN(2)/25))/(LN(2)/25)*Calculateur!DW203*Calculateur!DY203*VLOOKUP('Données projet'!$B$14,Paramètres!$A$1:$I$88,3,0)*0.475*44/12</f>
        <v>0</v>
      </c>
      <c r="EC203" s="23">
        <f>EXP(-LN(2)/2)*EC202+(1-EXP(-LN(2)/2))/(LN(2)/2)*DW203*DZ203*VLOOKUP('Données projet'!$B$14,Paramètres!$A$1:$I$88,3,0)*0.475*44/12</f>
        <v>0</v>
      </c>
      <c r="ED203" s="24">
        <f t="shared" si="178"/>
        <v>14.070803816465235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projet'!$B$15,Paramètres!$A$1:$I$88,3,0)*VLOOKUP('Données projet'!$B$15,Paramètres!$A$1:$I$88,5,0)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projet'!$B$15,Paramètres!$A$1:$I$88,3,0)*0.475*44/12</f>
        <v>#N/A</v>
      </c>
      <c r="EW203" s="23" t="e">
        <f>EXP(-LN(2)/25)*EW202+(1-EXP(-LN(2)/25))/(LN(2)/25)*Calculateur!ER203*Calculateur!ET203*VLOOKUP('Données projet'!$B$15,Paramètres!$A$1:$I$88,3,0)*0.475*44/12</f>
        <v>#N/A</v>
      </c>
      <c r="EX203" s="23" t="e">
        <f>EXP(-LN(2)/2)*EX202+(1-EXP(-LN(2)/2))/(LN(2)/2)*ER203*EU203*VLOOKUP('Données projet'!$B$15,Paramètres!$A$1:$I$88,3,0)*0.475*44/12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projet'!$B$16,Paramètres!$A$1:$I$88,3,0)*VLOOKUP('Données projet'!$B$16,Paramètres!$A$1:$I$88,5,0)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projet'!$B$16,Paramètres!$A$1:$I$88,3,0)*0.475*44/12</f>
        <v>#N/A</v>
      </c>
      <c r="FR203" s="23" t="e">
        <f>EXP(-LN(2)/25)*FR202+(1-EXP(-LN(2)/25))/(LN(2)/25)*Calculateur!FM203*Calculateur!FO203*VLOOKUP('Données projet'!$B$16,Paramètres!$A$1:$I$88,3,0)*0.475*44/12</f>
        <v>#N/A</v>
      </c>
      <c r="FS203" s="23" t="e">
        <f>EXP(-LN(2)/2)*FS202+(1-EXP(-LN(2)/2))/(LN(2)/2)*FM203*FP203*VLOOKUP('Données projet'!$B$16,Paramètres!$A$1:$I$88,3,0)*0.475*44/12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projet'!$B$17,Paramètres!$A$1:$I$88,3,0)*VLOOKUP('Données projet'!$B$17,Paramètres!$A$1:$I$88,5,0)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projet'!$B$17,Paramètres!$A$1:$I$88,3,0)*0.475*44/12</f>
        <v>#N/A</v>
      </c>
      <c r="GM203" s="23" t="e">
        <f>EXP(-LN(2)/25)*GM202+(1-EXP(-LN(2)/25))/(LN(2)/25)*Calculateur!GH203*Calculateur!GJ203*VLOOKUP('Données projet'!$B$17,Paramètres!$A$1:$I$88,3,0)*0.475*44/12</f>
        <v>#N/A</v>
      </c>
      <c r="GN203" s="23" t="e">
        <f>EXP(-LN(2)/2)*GN202+(1-EXP(-LN(2)/2))/(LN(2)/2)*GH203*GK203*VLOOKUP('Données projet'!$B$17,Paramètres!$A$1:$I$88,3,0)*0.475*44/12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projet'!$B$18,Paramètres!$A$1:$I$88,3,0)*VLOOKUP('Données projet'!$B$18,Paramètres!$A$1:$I$88,5,0)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projet'!$B$18,Paramètres!$A$1:$I$88,3,0)*0.475*44/12</f>
        <v>#N/A</v>
      </c>
      <c r="HH203" s="23" t="e">
        <f>EXP(-LN(2)/25)*HH202+(1-EXP(-LN(2)/25))/(LN(2)/25)*Calculateur!HC203*Calculateur!HE203*VLOOKUP('Données projet'!$B$18,Paramètres!$A$1:$I$88,3,0)*0.475*44/12</f>
        <v>#N/A</v>
      </c>
      <c r="HI203" s="23" t="e">
        <f>EXP(-LN(2)/2)*HI202+(1-EXP(-LN(2)/2))/(LN(2)/2)*HC203*HF203*VLOOKUP('Données projet'!$B$18,Paramètres!$A$1:$I$88,3,0)*0.475*44/12</f>
        <v>#N/A</v>
      </c>
      <c r="HJ203" s="24" t="e">
        <f t="shared" si="190"/>
        <v>#N/A</v>
      </c>
    </row>
    <row r="204" spans="1:218" ht="17" thickBot="1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298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298</v>
      </c>
      <c r="BA204" s="87" t="s">
        <v>298</v>
      </c>
      <c r="BV204" s="87" t="s">
        <v>298</v>
      </c>
      <c r="CQ204" s="87" t="s">
        <v>298</v>
      </c>
      <c r="DL204" s="87" t="s">
        <v>298</v>
      </c>
      <c r="EG204" s="87" t="s">
        <v>298</v>
      </c>
      <c r="FB204" s="87" t="s">
        <v>298</v>
      </c>
      <c r="FW204" s="87" t="s">
        <v>298</v>
      </c>
      <c r="GR204" s="87" t="s">
        <v>298</v>
      </c>
    </row>
    <row r="205" spans="1:218" ht="16" thickBot="1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1.351820999185372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1.2755490616773966</v>
      </c>
      <c r="BA205" s="88">
        <f>EXP(LN('Données projet'!B88)/'Données projet'!A88)</f>
        <v>1.2054868146447177</v>
      </c>
      <c r="BV205" s="88">
        <f>EXP(LN('Données projet'!B114)/'Données projet'!A114)</f>
        <v>1.2054868146447177</v>
      </c>
      <c r="CQ205" s="88">
        <f>EXP(LN('Données projet'!B140)/'Données projet'!A140)</f>
        <v>1.189207115002721</v>
      </c>
      <c r="DL205" s="88">
        <f>EXP(LN('Données projet'!B166)/'Données projet'!A166)</f>
        <v>1.1457367676485573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PAD3Petg27uLkBWNLkoCstus9QK4UFEFQKVgtUE5W3qYiwGMPSQIqKa+UwvEW3Uii34BwtIor110/xmaHWjp+w==" saltValue="GHb6zcSGUkNQybd2GuQjbQ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4"/>
  <sheetViews>
    <sheetView topLeftCell="A22" workbookViewId="0">
      <selection activeCell="D23" sqref="D23"/>
    </sheetView>
  </sheetViews>
  <sheetFormatPr baseColWidth="10" defaultColWidth="11.5" defaultRowHeight="15"/>
  <cols>
    <col min="1" max="1" width="23.5" style="5" bestFit="1" customWidth="1"/>
    <col min="2" max="2" width="27.6640625" style="5" bestFit="1" customWidth="1"/>
    <col min="3" max="3" width="11.83203125" style="5" bestFit="1" customWidth="1"/>
    <col min="4" max="4" width="40" style="5" bestFit="1" customWidth="1"/>
    <col min="5" max="5" width="11.83203125" style="5" bestFit="1" customWidth="1"/>
    <col min="6" max="6" width="13.6640625" style="5" bestFit="1" customWidth="1"/>
    <col min="7" max="7" width="11.5" style="5" bestFit="1" customWidth="1"/>
    <col min="8" max="8" width="39" style="5" bestFit="1" customWidth="1"/>
    <col min="9" max="9" width="16.6640625" style="5" customWidth="1"/>
    <col min="10" max="14" width="11.5" style="5"/>
    <col min="15" max="15" width="23.5" style="5" bestFit="1" customWidth="1"/>
    <col min="16" max="16384" width="11.5" style="5"/>
  </cols>
  <sheetData>
    <row r="1" spans="1:16" ht="49" thickBot="1">
      <c r="A1" s="121" t="s">
        <v>0</v>
      </c>
      <c r="B1" s="122" t="s">
        <v>106</v>
      </c>
      <c r="C1" s="123" t="s">
        <v>144</v>
      </c>
      <c r="D1" s="122" t="s">
        <v>100</v>
      </c>
      <c r="E1" s="123" t="s">
        <v>145</v>
      </c>
      <c r="F1" s="123" t="s">
        <v>100</v>
      </c>
      <c r="G1" s="123" t="s">
        <v>146</v>
      </c>
      <c r="H1" s="123" t="s">
        <v>100</v>
      </c>
      <c r="I1" s="124" t="s">
        <v>147</v>
      </c>
      <c r="J1" s="101"/>
      <c r="K1" s="101"/>
      <c r="L1" s="101"/>
      <c r="M1" s="101"/>
      <c r="N1" s="101"/>
    </row>
    <row r="2" spans="1:16">
      <c r="A2" s="125" t="s">
        <v>1</v>
      </c>
      <c r="B2" s="126" t="s">
        <v>53</v>
      </c>
      <c r="C2" s="127">
        <v>0.62</v>
      </c>
      <c r="D2" s="127" t="s">
        <v>161</v>
      </c>
      <c r="E2" s="127">
        <v>1.56</v>
      </c>
      <c r="F2" s="127" t="s">
        <v>275</v>
      </c>
      <c r="G2" s="128">
        <v>0.43</v>
      </c>
      <c r="H2" s="129" t="s">
        <v>279</v>
      </c>
      <c r="I2" s="130">
        <v>0.25</v>
      </c>
      <c r="J2" s="101"/>
      <c r="K2" s="101"/>
      <c r="L2" s="101"/>
      <c r="M2" s="101"/>
      <c r="N2" s="101"/>
      <c r="O2" s="295" t="s">
        <v>238</v>
      </c>
      <c r="P2" s="131">
        <v>0</v>
      </c>
    </row>
    <row r="3" spans="1:16" ht="16" thickBot="1">
      <c r="A3" s="132" t="s">
        <v>2</v>
      </c>
      <c r="B3" s="133" t="s">
        <v>54</v>
      </c>
      <c r="C3" s="134">
        <v>0.64</v>
      </c>
      <c r="D3" s="134" t="s">
        <v>161</v>
      </c>
      <c r="E3" s="134">
        <v>1.56</v>
      </c>
      <c r="F3" s="135" t="s">
        <v>275</v>
      </c>
      <c r="G3" s="136">
        <v>0.43</v>
      </c>
      <c r="H3" s="134" t="s">
        <v>279</v>
      </c>
      <c r="I3" s="137">
        <v>0.25</v>
      </c>
      <c r="J3" s="101"/>
      <c r="K3" s="101"/>
      <c r="L3" s="101"/>
      <c r="M3" s="101"/>
      <c r="N3" s="101"/>
      <c r="O3" s="296"/>
      <c r="P3" s="138">
        <v>0.2</v>
      </c>
    </row>
    <row r="4" spans="1:16" ht="16" thickBot="1">
      <c r="A4" s="132" t="s">
        <v>98</v>
      </c>
      <c r="B4" s="133" t="s">
        <v>99</v>
      </c>
      <c r="C4" s="134">
        <v>0.42</v>
      </c>
      <c r="D4" s="134" t="s">
        <v>161</v>
      </c>
      <c r="E4" s="134">
        <v>1.56</v>
      </c>
      <c r="F4" s="135" t="s">
        <v>275</v>
      </c>
      <c r="G4" s="136">
        <v>0.43</v>
      </c>
      <c r="H4" s="134" t="s">
        <v>279</v>
      </c>
      <c r="I4" s="137">
        <v>0.25</v>
      </c>
      <c r="J4" s="101"/>
      <c r="K4" s="101"/>
      <c r="L4" s="101"/>
      <c r="M4" s="101"/>
      <c r="N4" s="101"/>
    </row>
    <row r="5" spans="1:16">
      <c r="A5" s="132" t="s">
        <v>4</v>
      </c>
      <c r="B5" s="133" t="s">
        <v>55</v>
      </c>
      <c r="C5" s="134">
        <v>0.42</v>
      </c>
      <c r="D5" s="134" t="s">
        <v>161</v>
      </c>
      <c r="E5" s="134">
        <v>1.56</v>
      </c>
      <c r="F5" s="135" t="s">
        <v>275</v>
      </c>
      <c r="G5" s="136">
        <v>0.43</v>
      </c>
      <c r="H5" s="134" t="s">
        <v>279</v>
      </c>
      <c r="I5" s="137">
        <v>0.25</v>
      </c>
      <c r="J5" s="101"/>
      <c r="K5" s="101"/>
      <c r="L5" s="101"/>
      <c r="M5" s="101"/>
      <c r="N5" s="101"/>
      <c r="O5" s="295" t="s">
        <v>237</v>
      </c>
      <c r="P5" s="131">
        <v>0</v>
      </c>
    </row>
    <row r="6" spans="1:16">
      <c r="A6" s="132" t="s">
        <v>3</v>
      </c>
      <c r="B6" s="133" t="s">
        <v>97</v>
      </c>
      <c r="C6" s="134">
        <v>0.42</v>
      </c>
      <c r="D6" s="134" t="s">
        <v>161</v>
      </c>
      <c r="E6" s="134">
        <v>1.56</v>
      </c>
      <c r="F6" s="135" t="s">
        <v>275</v>
      </c>
      <c r="G6" s="136">
        <v>0.43</v>
      </c>
      <c r="H6" s="134" t="s">
        <v>279</v>
      </c>
      <c r="I6" s="137">
        <v>0.25</v>
      </c>
      <c r="J6" s="101"/>
      <c r="K6" s="101"/>
      <c r="L6" s="101"/>
      <c r="M6" s="101"/>
      <c r="N6" s="101"/>
      <c r="O6" s="297"/>
      <c r="P6" s="139">
        <v>0.05</v>
      </c>
    </row>
    <row r="7" spans="1:16">
      <c r="A7" s="132" t="s">
        <v>5</v>
      </c>
      <c r="B7" s="133" t="s">
        <v>56</v>
      </c>
      <c r="C7" s="134">
        <v>0.52</v>
      </c>
      <c r="D7" s="134" t="s">
        <v>161</v>
      </c>
      <c r="E7" s="134">
        <v>1.56</v>
      </c>
      <c r="F7" s="135" t="s">
        <v>275</v>
      </c>
      <c r="G7" s="136">
        <v>0.43</v>
      </c>
      <c r="H7" s="134" t="s">
        <v>279</v>
      </c>
      <c r="I7" s="137">
        <v>0.25</v>
      </c>
      <c r="J7" s="101"/>
      <c r="K7" s="101"/>
      <c r="L7" s="101"/>
      <c r="M7" s="101"/>
      <c r="N7" s="101"/>
      <c r="O7" s="297"/>
      <c r="P7" s="139">
        <v>0.1</v>
      </c>
    </row>
    <row r="8" spans="1:16" ht="16" thickBot="1">
      <c r="A8" s="132" t="s">
        <v>164</v>
      </c>
      <c r="B8" s="133" t="s">
        <v>57</v>
      </c>
      <c r="C8" s="134">
        <v>0.36</v>
      </c>
      <c r="D8" s="134" t="s">
        <v>161</v>
      </c>
      <c r="E8" s="134">
        <v>1.3</v>
      </c>
      <c r="F8" s="135" t="s">
        <v>275</v>
      </c>
      <c r="G8" s="136">
        <v>0.55000000000000004</v>
      </c>
      <c r="H8" s="134" t="s">
        <v>153</v>
      </c>
      <c r="I8" s="137">
        <v>0.43</v>
      </c>
      <c r="J8" s="101"/>
      <c r="K8" s="101"/>
      <c r="L8" s="101"/>
      <c r="M8" s="101"/>
      <c r="N8" s="101"/>
      <c r="O8" s="296"/>
      <c r="P8" s="138">
        <v>0.15</v>
      </c>
    </row>
    <row r="9" spans="1:16" ht="16" thickBot="1">
      <c r="A9" s="132" t="s">
        <v>6</v>
      </c>
      <c r="B9" s="133" t="s">
        <v>58</v>
      </c>
      <c r="C9" s="134">
        <v>0.61</v>
      </c>
      <c r="D9" s="134" t="s">
        <v>161</v>
      </c>
      <c r="E9" s="134">
        <v>1.56</v>
      </c>
      <c r="F9" s="135" t="s">
        <v>275</v>
      </c>
      <c r="G9" s="136">
        <v>0.43</v>
      </c>
      <c r="H9" s="134" t="s">
        <v>279</v>
      </c>
      <c r="I9" s="137">
        <v>0.25</v>
      </c>
      <c r="J9" s="101"/>
      <c r="K9" s="101"/>
      <c r="L9" s="101"/>
      <c r="M9" s="101"/>
      <c r="N9" s="101"/>
    </row>
    <row r="10" spans="1:16">
      <c r="A10" s="132" t="s">
        <v>7</v>
      </c>
      <c r="B10" s="133" t="s">
        <v>59</v>
      </c>
      <c r="C10" s="134">
        <v>0.66</v>
      </c>
      <c r="D10" s="134" t="s">
        <v>161</v>
      </c>
      <c r="E10" s="134">
        <v>1.56</v>
      </c>
      <c r="F10" s="135" t="s">
        <v>275</v>
      </c>
      <c r="G10" s="136">
        <v>0.43</v>
      </c>
      <c r="H10" s="134" t="s">
        <v>279</v>
      </c>
      <c r="I10" s="137">
        <v>0.25</v>
      </c>
      <c r="J10" s="101"/>
      <c r="K10" s="101"/>
      <c r="L10" s="101"/>
      <c r="M10" s="101"/>
      <c r="N10" s="101"/>
      <c r="O10" s="295" t="s">
        <v>236</v>
      </c>
      <c r="P10" s="131">
        <v>0</v>
      </c>
    </row>
    <row r="11" spans="1:16" ht="16" thickBot="1">
      <c r="A11" s="132" t="s">
        <v>8</v>
      </c>
      <c r="B11" s="133" t="s">
        <v>60</v>
      </c>
      <c r="C11" s="134">
        <v>0.47</v>
      </c>
      <c r="D11" s="134" t="s">
        <v>161</v>
      </c>
      <c r="E11" s="134">
        <v>1.56</v>
      </c>
      <c r="F11" s="135" t="s">
        <v>275</v>
      </c>
      <c r="G11" s="136">
        <v>0.43</v>
      </c>
      <c r="H11" s="134" t="s">
        <v>279</v>
      </c>
      <c r="I11" s="137">
        <v>0.25</v>
      </c>
      <c r="J11" s="101"/>
      <c r="K11" s="101"/>
      <c r="L11" s="101"/>
      <c r="M11" s="101"/>
      <c r="N11" s="101"/>
      <c r="O11" s="296"/>
      <c r="P11" s="138">
        <v>0.1</v>
      </c>
    </row>
    <row r="12" spans="1:16">
      <c r="A12" s="132" t="s">
        <v>9</v>
      </c>
      <c r="B12" s="133" t="s">
        <v>61</v>
      </c>
      <c r="C12" s="134">
        <v>0.67</v>
      </c>
      <c r="D12" s="134" t="s">
        <v>161</v>
      </c>
      <c r="E12" s="134">
        <v>1.56</v>
      </c>
      <c r="F12" s="135" t="s">
        <v>275</v>
      </c>
      <c r="G12" s="136">
        <v>0.43</v>
      </c>
      <c r="H12" s="134" t="s">
        <v>152</v>
      </c>
      <c r="I12" s="137">
        <v>0.25</v>
      </c>
      <c r="J12" s="101"/>
      <c r="K12" s="101"/>
      <c r="L12" s="101"/>
      <c r="M12" s="101"/>
      <c r="N12" s="101"/>
    </row>
    <row r="13" spans="1:16">
      <c r="A13" s="132" t="s">
        <v>10</v>
      </c>
      <c r="B13" s="133" t="s">
        <v>62</v>
      </c>
      <c r="C13" s="134">
        <v>0.7</v>
      </c>
      <c r="D13" s="134" t="s">
        <v>161</v>
      </c>
      <c r="E13" s="134">
        <v>1.56</v>
      </c>
      <c r="F13" s="135" t="s">
        <v>275</v>
      </c>
      <c r="G13" s="136">
        <v>0.43</v>
      </c>
      <c r="H13" s="134" t="s">
        <v>152</v>
      </c>
      <c r="I13" s="137">
        <v>0.25</v>
      </c>
      <c r="J13" s="101"/>
      <c r="K13" s="101"/>
      <c r="L13" s="101"/>
      <c r="M13" s="101"/>
      <c r="N13" s="101"/>
    </row>
    <row r="14" spans="1:16">
      <c r="A14" s="132" t="s">
        <v>11</v>
      </c>
      <c r="B14" s="133" t="s">
        <v>63</v>
      </c>
      <c r="C14" s="134">
        <v>0.54</v>
      </c>
      <c r="D14" s="134" t="s">
        <v>161</v>
      </c>
      <c r="E14" s="134">
        <v>1.56</v>
      </c>
      <c r="F14" s="135" t="s">
        <v>275</v>
      </c>
      <c r="G14" s="136">
        <v>0.43</v>
      </c>
      <c r="H14" s="134" t="s">
        <v>152</v>
      </c>
      <c r="I14" s="137">
        <v>0.25</v>
      </c>
      <c r="J14" s="101"/>
      <c r="K14" s="101"/>
      <c r="L14" s="101"/>
      <c r="M14" s="101"/>
      <c r="N14" s="101"/>
    </row>
    <row r="15" spans="1:16">
      <c r="A15" s="132" t="s">
        <v>12</v>
      </c>
      <c r="B15" s="133" t="s">
        <v>64</v>
      </c>
      <c r="C15" s="134">
        <v>0.65</v>
      </c>
      <c r="D15" s="134" t="s">
        <v>161</v>
      </c>
      <c r="E15" s="134">
        <v>1.56</v>
      </c>
      <c r="F15" s="135" t="s">
        <v>275</v>
      </c>
      <c r="G15" s="136">
        <v>0.43</v>
      </c>
      <c r="H15" s="134" t="s">
        <v>152</v>
      </c>
      <c r="I15" s="137">
        <v>0.25</v>
      </c>
      <c r="J15" s="101"/>
      <c r="K15" s="101"/>
      <c r="L15" s="101"/>
      <c r="M15" s="101"/>
      <c r="N15" s="101"/>
    </row>
    <row r="16" spans="1:16">
      <c r="A16" s="132" t="s">
        <v>13</v>
      </c>
      <c r="B16" s="133" t="s">
        <v>65</v>
      </c>
      <c r="C16" s="134">
        <v>0.56000000000000005</v>
      </c>
      <c r="D16" s="134" t="s">
        <v>161</v>
      </c>
      <c r="E16" s="134">
        <v>1.56</v>
      </c>
      <c r="F16" s="135" t="s">
        <v>275</v>
      </c>
      <c r="G16" s="136">
        <v>0.43</v>
      </c>
      <c r="H16" s="134" t="s">
        <v>152</v>
      </c>
      <c r="I16" s="137">
        <v>0.25</v>
      </c>
      <c r="J16" s="101"/>
      <c r="K16" s="101"/>
      <c r="L16" s="101"/>
      <c r="M16" s="101"/>
      <c r="N16" s="101"/>
    </row>
    <row r="17" spans="1:14">
      <c r="A17" s="132" t="s">
        <v>14</v>
      </c>
      <c r="B17" s="133" t="s">
        <v>66</v>
      </c>
      <c r="C17" s="134">
        <v>0.57999999999999996</v>
      </c>
      <c r="D17" s="134" t="s">
        <v>161</v>
      </c>
      <c r="E17" s="134">
        <v>1.56</v>
      </c>
      <c r="F17" s="135" t="s">
        <v>275</v>
      </c>
      <c r="G17" s="136">
        <v>0.43</v>
      </c>
      <c r="H17" s="134" t="s">
        <v>152</v>
      </c>
      <c r="I17" s="137">
        <v>0.25</v>
      </c>
      <c r="J17" s="101"/>
      <c r="K17" s="101"/>
      <c r="L17" s="101"/>
      <c r="M17" s="101"/>
      <c r="N17" s="101"/>
    </row>
    <row r="18" spans="1:14">
      <c r="A18" s="132" t="s">
        <v>15</v>
      </c>
      <c r="B18" s="133" t="s">
        <v>67</v>
      </c>
      <c r="C18" s="134">
        <v>0.64</v>
      </c>
      <c r="D18" s="134" t="s">
        <v>161</v>
      </c>
      <c r="E18" s="134">
        <v>1.56</v>
      </c>
      <c r="F18" s="135" t="s">
        <v>275</v>
      </c>
      <c r="G18" s="136">
        <v>0.43</v>
      </c>
      <c r="H18" s="134" t="s">
        <v>152</v>
      </c>
      <c r="I18" s="137">
        <v>0.25</v>
      </c>
      <c r="J18" s="101"/>
      <c r="K18" s="101"/>
      <c r="L18" s="101"/>
      <c r="M18" s="101"/>
      <c r="N18" s="101"/>
    </row>
    <row r="19" spans="1:14">
      <c r="A19" s="132" t="s">
        <v>16</v>
      </c>
      <c r="B19" s="133" t="s">
        <v>68</v>
      </c>
      <c r="C19" s="134">
        <v>0.73</v>
      </c>
      <c r="D19" s="134" t="s">
        <v>161</v>
      </c>
      <c r="E19" s="134">
        <v>1.56</v>
      </c>
      <c r="F19" s="135" t="s">
        <v>275</v>
      </c>
      <c r="G19" s="136">
        <v>0.43</v>
      </c>
      <c r="H19" s="134" t="s">
        <v>152</v>
      </c>
      <c r="I19" s="137">
        <v>0.25</v>
      </c>
      <c r="J19" s="101"/>
      <c r="K19" s="101"/>
      <c r="L19" s="101"/>
      <c r="M19" s="101"/>
      <c r="N19" s="101"/>
    </row>
    <row r="20" spans="1:14">
      <c r="A20" s="132" t="s">
        <v>52</v>
      </c>
      <c r="B20" s="133" t="s">
        <v>69</v>
      </c>
      <c r="C20" s="134">
        <v>0.69</v>
      </c>
      <c r="D20" s="134" t="s">
        <v>131</v>
      </c>
      <c r="E20" s="134">
        <v>1.56</v>
      </c>
      <c r="F20" s="135" t="s">
        <v>275</v>
      </c>
      <c r="G20" s="136">
        <v>0.43</v>
      </c>
      <c r="H20" s="134" t="s">
        <v>283</v>
      </c>
      <c r="I20" s="137">
        <v>0.25</v>
      </c>
      <c r="J20" s="101"/>
      <c r="K20" s="101"/>
      <c r="L20" s="101"/>
      <c r="M20" s="101"/>
      <c r="N20" s="101"/>
    </row>
    <row r="21" spans="1:14">
      <c r="A21" s="132" t="s">
        <v>154</v>
      </c>
      <c r="B21" s="133" t="s">
        <v>155</v>
      </c>
      <c r="C21" s="134">
        <v>0.36</v>
      </c>
      <c r="D21" s="134" t="s">
        <v>161</v>
      </c>
      <c r="E21" s="134">
        <v>1.3</v>
      </c>
      <c r="F21" s="135" t="s">
        <v>275</v>
      </c>
      <c r="G21" s="136">
        <v>0.55000000000000004</v>
      </c>
      <c r="H21" s="134" t="s">
        <v>153</v>
      </c>
      <c r="I21" s="137">
        <v>0.43</v>
      </c>
      <c r="J21" s="101"/>
      <c r="K21" s="101"/>
      <c r="L21" s="101"/>
      <c r="M21" s="101"/>
      <c r="N21" s="101"/>
    </row>
    <row r="22" spans="1:14">
      <c r="A22" s="132" t="s">
        <v>17</v>
      </c>
      <c r="B22" s="133" t="s">
        <v>70</v>
      </c>
      <c r="C22" s="134">
        <v>0.4</v>
      </c>
      <c r="D22" s="134" t="s">
        <v>161</v>
      </c>
      <c r="E22" s="134">
        <v>1.3</v>
      </c>
      <c r="F22" s="135" t="s">
        <v>275</v>
      </c>
      <c r="G22" s="136">
        <v>0.55000000000000004</v>
      </c>
      <c r="H22" s="134" t="s">
        <v>153</v>
      </c>
      <c r="I22" s="137">
        <v>0.43</v>
      </c>
      <c r="J22" s="101"/>
      <c r="K22" s="101"/>
      <c r="L22" s="101"/>
      <c r="M22" s="101"/>
      <c r="N22" s="101"/>
    </row>
    <row r="23" spans="1:14">
      <c r="A23" s="132" t="s">
        <v>18</v>
      </c>
      <c r="B23" s="133" t="s">
        <v>71</v>
      </c>
      <c r="C23" s="134">
        <v>0.43</v>
      </c>
      <c r="D23" s="134" t="s">
        <v>161</v>
      </c>
      <c r="E23" s="134">
        <v>1.3</v>
      </c>
      <c r="F23" s="135" t="s">
        <v>275</v>
      </c>
      <c r="G23" s="136">
        <v>0.55000000000000004</v>
      </c>
      <c r="H23" s="134" t="s">
        <v>153</v>
      </c>
      <c r="I23" s="137">
        <v>0.43</v>
      </c>
      <c r="J23" s="101"/>
      <c r="K23" s="101"/>
      <c r="L23" s="101"/>
      <c r="M23" s="101"/>
      <c r="N23" s="101"/>
    </row>
    <row r="24" spans="1:14">
      <c r="A24" s="132" t="s">
        <v>19</v>
      </c>
      <c r="B24" s="133" t="s">
        <v>72</v>
      </c>
      <c r="C24" s="134">
        <v>0.37</v>
      </c>
      <c r="D24" s="134" t="s">
        <v>161</v>
      </c>
      <c r="E24" s="134">
        <v>1.3</v>
      </c>
      <c r="F24" s="135" t="s">
        <v>275</v>
      </c>
      <c r="G24" s="136">
        <v>0.55000000000000004</v>
      </c>
      <c r="H24" s="134" t="s">
        <v>152</v>
      </c>
      <c r="I24" s="137">
        <v>0.43</v>
      </c>
      <c r="J24" s="101"/>
      <c r="K24" s="101"/>
      <c r="L24" s="101"/>
      <c r="M24" s="101"/>
      <c r="N24" s="101"/>
    </row>
    <row r="25" spans="1:14">
      <c r="A25" s="132" t="s">
        <v>20</v>
      </c>
      <c r="B25" s="133" t="s">
        <v>73</v>
      </c>
      <c r="C25" s="134">
        <v>0.36</v>
      </c>
      <c r="D25" s="134" t="s">
        <v>161</v>
      </c>
      <c r="E25" s="134">
        <v>1.3</v>
      </c>
      <c r="F25" s="135" t="s">
        <v>275</v>
      </c>
      <c r="G25" s="136">
        <v>0.55000000000000004</v>
      </c>
      <c r="H25" s="134" t="s">
        <v>152</v>
      </c>
      <c r="I25" s="137">
        <v>0.43</v>
      </c>
      <c r="J25" s="101"/>
      <c r="K25" s="101"/>
      <c r="L25" s="101"/>
      <c r="M25" s="101"/>
      <c r="N25" s="101"/>
    </row>
    <row r="26" spans="1:14">
      <c r="A26" s="132" t="s">
        <v>21</v>
      </c>
      <c r="B26" s="133" t="s">
        <v>74</v>
      </c>
      <c r="C26" s="134">
        <v>0.56000000000000005</v>
      </c>
      <c r="D26" s="134" t="s">
        <v>161</v>
      </c>
      <c r="E26" s="134">
        <v>1.56</v>
      </c>
      <c r="F26" s="135" t="s">
        <v>275</v>
      </c>
      <c r="G26" s="136">
        <v>0.53</v>
      </c>
      <c r="H26" s="134" t="s">
        <v>276</v>
      </c>
      <c r="I26" s="137">
        <v>0.25</v>
      </c>
      <c r="J26" s="101"/>
      <c r="K26" s="101"/>
      <c r="L26" s="101"/>
      <c r="M26" s="101"/>
      <c r="N26" s="101"/>
    </row>
    <row r="27" spans="1:14">
      <c r="A27" s="132" t="s">
        <v>22</v>
      </c>
      <c r="B27" s="133" t="s">
        <v>75</v>
      </c>
      <c r="C27" s="134">
        <v>0.51</v>
      </c>
      <c r="D27" s="134" t="s">
        <v>161</v>
      </c>
      <c r="E27" s="134">
        <v>1.56</v>
      </c>
      <c r="F27" s="135" t="s">
        <v>275</v>
      </c>
      <c r="G27" s="136">
        <v>0.53</v>
      </c>
      <c r="H27" s="134" t="s">
        <v>276</v>
      </c>
      <c r="I27" s="137">
        <v>0.25</v>
      </c>
      <c r="J27" s="101"/>
      <c r="K27" s="101"/>
      <c r="L27" s="101"/>
      <c r="M27" s="101"/>
      <c r="N27" s="101"/>
    </row>
    <row r="28" spans="1:14">
      <c r="A28" s="132" t="s">
        <v>23</v>
      </c>
      <c r="B28" s="133" t="s">
        <v>76</v>
      </c>
      <c r="C28" s="134">
        <v>0.51</v>
      </c>
      <c r="D28" s="134" t="s">
        <v>161</v>
      </c>
      <c r="E28" s="134">
        <v>1.56</v>
      </c>
      <c r="F28" s="135" t="s">
        <v>275</v>
      </c>
      <c r="G28" s="136">
        <v>0.53</v>
      </c>
      <c r="H28" s="134" t="s">
        <v>276</v>
      </c>
      <c r="I28" s="137">
        <v>0.25</v>
      </c>
      <c r="J28" s="101"/>
      <c r="K28" s="101"/>
      <c r="L28" s="101"/>
      <c r="M28" s="101"/>
      <c r="N28" s="101"/>
    </row>
    <row r="29" spans="1:14">
      <c r="A29" s="132" t="s">
        <v>24</v>
      </c>
      <c r="B29" s="133" t="s">
        <v>24</v>
      </c>
      <c r="C29" s="134">
        <v>0.56000000000000005</v>
      </c>
      <c r="D29" s="134" t="s">
        <v>161</v>
      </c>
      <c r="E29" s="134">
        <v>1.56</v>
      </c>
      <c r="F29" s="135" t="s">
        <v>275</v>
      </c>
      <c r="G29" s="136">
        <v>0.53</v>
      </c>
      <c r="H29" s="134" t="s">
        <v>276</v>
      </c>
      <c r="I29" s="137">
        <v>0.25</v>
      </c>
      <c r="J29" s="101"/>
      <c r="K29" s="101"/>
      <c r="L29" s="101"/>
      <c r="M29" s="101"/>
      <c r="N29" s="101"/>
    </row>
    <row r="30" spans="1:14">
      <c r="A30" s="132" t="s">
        <v>25</v>
      </c>
      <c r="B30" s="133" t="s">
        <v>77</v>
      </c>
      <c r="C30" s="134">
        <v>0.55000000000000004</v>
      </c>
      <c r="D30" s="134" t="s">
        <v>161</v>
      </c>
      <c r="E30" s="134">
        <v>1.56</v>
      </c>
      <c r="F30" s="135" t="s">
        <v>275</v>
      </c>
      <c r="G30" s="136">
        <v>0.53</v>
      </c>
      <c r="H30" s="134" t="s">
        <v>152</v>
      </c>
      <c r="I30" s="137">
        <v>0.25</v>
      </c>
      <c r="J30" s="101"/>
      <c r="K30" s="101"/>
      <c r="L30" s="101"/>
      <c r="M30" s="101"/>
      <c r="N30" s="101"/>
    </row>
    <row r="31" spans="1:14">
      <c r="A31" s="132" t="s">
        <v>26</v>
      </c>
      <c r="B31" s="133" t="s">
        <v>78</v>
      </c>
      <c r="C31" s="134">
        <v>0.56000000000000005</v>
      </c>
      <c r="D31" s="134" t="s">
        <v>161</v>
      </c>
      <c r="E31" s="134">
        <v>1.56</v>
      </c>
      <c r="F31" s="135" t="s">
        <v>275</v>
      </c>
      <c r="G31" s="136">
        <v>0.43</v>
      </c>
      <c r="H31" s="134" t="s">
        <v>279</v>
      </c>
      <c r="I31" s="137">
        <v>0.25</v>
      </c>
      <c r="J31" s="101"/>
      <c r="K31" s="101"/>
      <c r="L31" s="101"/>
      <c r="M31" s="101"/>
      <c r="N31" s="101"/>
    </row>
    <row r="32" spans="1:14">
      <c r="A32" s="132" t="s">
        <v>27</v>
      </c>
      <c r="B32" s="133" t="s">
        <v>79</v>
      </c>
      <c r="C32" s="134">
        <v>0.48</v>
      </c>
      <c r="D32" s="134" t="s">
        <v>161</v>
      </c>
      <c r="E32" s="134">
        <v>1.3</v>
      </c>
      <c r="F32" s="135" t="s">
        <v>275</v>
      </c>
      <c r="G32" s="136">
        <v>0.6</v>
      </c>
      <c r="H32" s="134" t="s">
        <v>282</v>
      </c>
      <c r="I32" s="137">
        <v>0.43</v>
      </c>
      <c r="J32" s="101"/>
      <c r="K32" s="101"/>
      <c r="L32" s="101"/>
      <c r="M32" s="101"/>
      <c r="N32" s="101"/>
    </row>
    <row r="33" spans="1:14">
      <c r="A33" s="132" t="s">
        <v>28</v>
      </c>
      <c r="B33" s="133" t="s">
        <v>80</v>
      </c>
      <c r="C33" s="134">
        <v>0.42</v>
      </c>
      <c r="D33" s="134" t="s">
        <v>161</v>
      </c>
      <c r="E33" s="134">
        <v>1.3</v>
      </c>
      <c r="F33" s="135" t="s">
        <v>275</v>
      </c>
      <c r="G33" s="136">
        <v>0.6</v>
      </c>
      <c r="H33" s="134" t="s">
        <v>282</v>
      </c>
      <c r="I33" s="137">
        <v>0.43</v>
      </c>
      <c r="J33" s="101"/>
      <c r="K33" s="101"/>
      <c r="L33" s="101"/>
      <c r="M33" s="101"/>
      <c r="N33" s="101"/>
    </row>
    <row r="34" spans="1:14">
      <c r="A34" s="132" t="s">
        <v>81</v>
      </c>
      <c r="B34" s="133" t="s">
        <v>163</v>
      </c>
      <c r="C34" s="134">
        <v>0.42</v>
      </c>
      <c r="D34" s="134" t="s">
        <v>103</v>
      </c>
      <c r="E34" s="134">
        <v>1.3</v>
      </c>
      <c r="F34" s="135" t="s">
        <v>275</v>
      </c>
      <c r="G34" s="136">
        <v>0.6</v>
      </c>
      <c r="H34" s="133" t="s">
        <v>281</v>
      </c>
      <c r="I34" s="137">
        <v>0.43</v>
      </c>
      <c r="J34" s="101"/>
      <c r="K34" s="101"/>
      <c r="L34" s="101"/>
      <c r="M34" s="101"/>
      <c r="N34" s="101"/>
    </row>
    <row r="35" spans="1:14">
      <c r="A35" s="132" t="s">
        <v>29</v>
      </c>
      <c r="B35" s="133" t="s">
        <v>82</v>
      </c>
      <c r="C35" s="134">
        <v>0.5</v>
      </c>
      <c r="D35" s="134" t="s">
        <v>161</v>
      </c>
      <c r="E35" s="134">
        <v>1.56</v>
      </c>
      <c r="F35" s="135" t="s">
        <v>275</v>
      </c>
      <c r="G35" s="136">
        <v>0.43</v>
      </c>
      <c r="H35" s="134" t="s">
        <v>279</v>
      </c>
      <c r="I35" s="137">
        <v>0.25</v>
      </c>
      <c r="J35" s="101"/>
      <c r="K35" s="101"/>
      <c r="L35" s="101"/>
      <c r="M35" s="101"/>
      <c r="N35" s="101"/>
    </row>
    <row r="36" spans="1:14">
      <c r="A36" s="132" t="s">
        <v>102</v>
      </c>
      <c r="B36" s="133" t="s">
        <v>101</v>
      </c>
      <c r="C36" s="134">
        <v>0.55000000000000004</v>
      </c>
      <c r="D36" s="134" t="s">
        <v>161</v>
      </c>
      <c r="E36" s="134">
        <v>1.56</v>
      </c>
      <c r="F36" s="135" t="s">
        <v>275</v>
      </c>
      <c r="G36" s="136">
        <v>0.53</v>
      </c>
      <c r="H36" s="134" t="s">
        <v>276</v>
      </c>
      <c r="I36" s="137">
        <v>0.25</v>
      </c>
      <c r="J36" s="101"/>
      <c r="K36" s="101"/>
      <c r="L36" s="101"/>
      <c r="M36" s="101"/>
      <c r="N36" s="101"/>
    </row>
    <row r="37" spans="1:14">
      <c r="A37" s="132" t="s">
        <v>30</v>
      </c>
      <c r="B37" s="133" t="s">
        <v>104</v>
      </c>
      <c r="C37" s="134">
        <v>0.52</v>
      </c>
      <c r="D37" s="134" t="s">
        <v>161</v>
      </c>
      <c r="E37" s="134">
        <v>1.56</v>
      </c>
      <c r="F37" s="135" t="s">
        <v>275</v>
      </c>
      <c r="G37" s="136">
        <v>0.53</v>
      </c>
      <c r="H37" s="134" t="s">
        <v>276</v>
      </c>
      <c r="I37" s="137">
        <v>0.25</v>
      </c>
      <c r="J37" s="101"/>
      <c r="K37" s="101"/>
      <c r="L37" s="101"/>
      <c r="M37" s="101"/>
      <c r="N37" s="101"/>
    </row>
    <row r="38" spans="1:14">
      <c r="A38" s="132" t="s">
        <v>31</v>
      </c>
      <c r="B38" s="133" t="s">
        <v>105</v>
      </c>
      <c r="C38" s="134">
        <v>0.52</v>
      </c>
      <c r="D38" s="134" t="s">
        <v>161</v>
      </c>
      <c r="E38" s="134">
        <v>1.56</v>
      </c>
      <c r="F38" s="135" t="s">
        <v>275</v>
      </c>
      <c r="G38" s="136">
        <v>0.43</v>
      </c>
      <c r="H38" s="134" t="s">
        <v>279</v>
      </c>
      <c r="I38" s="137">
        <v>0.25</v>
      </c>
      <c r="J38" s="101"/>
      <c r="K38" s="101"/>
      <c r="L38" s="101"/>
      <c r="M38" s="101"/>
      <c r="N38" s="101"/>
    </row>
    <row r="39" spans="1:14">
      <c r="A39" s="132" t="s">
        <v>107</v>
      </c>
      <c r="B39" s="133" t="s">
        <v>132</v>
      </c>
      <c r="C39" s="134">
        <v>0.313</v>
      </c>
      <c r="D39" s="134" t="s">
        <v>130</v>
      </c>
      <c r="E39" s="134">
        <v>1.56</v>
      </c>
      <c r="F39" s="135" t="s">
        <v>275</v>
      </c>
      <c r="G39" s="136">
        <v>0.6</v>
      </c>
      <c r="H39" s="134" t="s">
        <v>284</v>
      </c>
      <c r="I39" s="137">
        <v>1.03</v>
      </c>
      <c r="J39" s="101"/>
      <c r="K39" s="101"/>
      <c r="L39" s="101"/>
      <c r="M39" s="101"/>
      <c r="N39" s="101"/>
    </row>
    <row r="40" spans="1:14">
      <c r="A40" s="132" t="s">
        <v>108</v>
      </c>
      <c r="B40" s="133" t="s">
        <v>132</v>
      </c>
      <c r="C40" s="134">
        <v>0.35199999999999998</v>
      </c>
      <c r="D40" s="134" t="s">
        <v>130</v>
      </c>
      <c r="E40" s="134">
        <v>1.56</v>
      </c>
      <c r="F40" s="135" t="s">
        <v>275</v>
      </c>
      <c r="G40" s="136">
        <v>0.6</v>
      </c>
      <c r="H40" s="134" t="s">
        <v>284</v>
      </c>
      <c r="I40" s="137">
        <v>1.03</v>
      </c>
      <c r="J40" s="101"/>
      <c r="K40" s="101"/>
      <c r="L40" s="101"/>
      <c r="M40" s="101"/>
      <c r="N40" s="101"/>
    </row>
    <row r="41" spans="1:14">
      <c r="A41" s="132" t="s">
        <v>121</v>
      </c>
      <c r="B41" s="133" t="s">
        <v>132</v>
      </c>
      <c r="C41" s="134">
        <v>0.32200000000000001</v>
      </c>
      <c r="D41" s="134" t="s">
        <v>130</v>
      </c>
      <c r="E41" s="134">
        <v>1.56</v>
      </c>
      <c r="F41" s="135" t="s">
        <v>275</v>
      </c>
      <c r="G41" s="136">
        <v>0.6</v>
      </c>
      <c r="H41" s="134" t="s">
        <v>284</v>
      </c>
      <c r="I41" s="137">
        <v>1.03</v>
      </c>
      <c r="J41" s="101"/>
      <c r="K41" s="101"/>
      <c r="L41" s="101"/>
      <c r="M41" s="101"/>
      <c r="N41" s="101"/>
    </row>
    <row r="42" spans="1:14">
      <c r="A42" s="132" t="s">
        <v>122</v>
      </c>
      <c r="B42" s="133" t="s">
        <v>132</v>
      </c>
      <c r="C42" s="134">
        <v>0.311</v>
      </c>
      <c r="D42" s="134" t="s">
        <v>130</v>
      </c>
      <c r="E42" s="134">
        <v>1.56</v>
      </c>
      <c r="F42" s="135" t="s">
        <v>275</v>
      </c>
      <c r="G42" s="136">
        <v>0.6</v>
      </c>
      <c r="H42" s="134" t="s">
        <v>284</v>
      </c>
      <c r="I42" s="137">
        <v>1.03</v>
      </c>
      <c r="J42" s="101"/>
      <c r="K42" s="101"/>
      <c r="L42" s="101"/>
      <c r="M42" s="101"/>
      <c r="N42" s="101"/>
    </row>
    <row r="43" spans="1:14">
      <c r="A43" s="132" t="s">
        <v>109</v>
      </c>
      <c r="B43" s="133" t="s">
        <v>132</v>
      </c>
      <c r="C43" s="134">
        <v>0.33900000000000002</v>
      </c>
      <c r="D43" s="134" t="s">
        <v>130</v>
      </c>
      <c r="E43" s="134">
        <v>1.56</v>
      </c>
      <c r="F43" s="135" t="s">
        <v>275</v>
      </c>
      <c r="G43" s="136">
        <v>0.6</v>
      </c>
      <c r="H43" s="134" t="s">
        <v>284</v>
      </c>
      <c r="I43" s="137">
        <v>1.03</v>
      </c>
      <c r="J43" s="101"/>
      <c r="K43" s="101"/>
      <c r="L43" s="101"/>
      <c r="M43" s="101"/>
      <c r="N43" s="101"/>
    </row>
    <row r="44" spans="1:14">
      <c r="A44" s="132" t="s">
        <v>123</v>
      </c>
      <c r="B44" s="133" t="s">
        <v>132</v>
      </c>
      <c r="C44" s="134">
        <v>0.33600000000000002</v>
      </c>
      <c r="D44" s="134" t="s">
        <v>130</v>
      </c>
      <c r="E44" s="134">
        <v>1.56</v>
      </c>
      <c r="F44" s="135" t="s">
        <v>275</v>
      </c>
      <c r="G44" s="136">
        <v>0.6</v>
      </c>
      <c r="H44" s="134" t="s">
        <v>284</v>
      </c>
      <c r="I44" s="137">
        <v>1.03</v>
      </c>
      <c r="J44" s="101"/>
      <c r="K44" s="101"/>
      <c r="L44" s="101"/>
      <c r="M44" s="101"/>
      <c r="N44" s="101"/>
    </row>
    <row r="45" spans="1:14">
      <c r="A45" s="132" t="s">
        <v>110</v>
      </c>
      <c r="B45" s="133" t="s">
        <v>132</v>
      </c>
      <c r="C45" s="134">
        <v>0.32900000000000001</v>
      </c>
      <c r="D45" s="134" t="s">
        <v>130</v>
      </c>
      <c r="E45" s="134">
        <v>1.56</v>
      </c>
      <c r="F45" s="135" t="s">
        <v>275</v>
      </c>
      <c r="G45" s="136">
        <v>0.6</v>
      </c>
      <c r="H45" s="134" t="s">
        <v>284</v>
      </c>
      <c r="I45" s="137">
        <v>1.03</v>
      </c>
      <c r="J45" s="101"/>
      <c r="K45" s="101"/>
      <c r="L45" s="101"/>
      <c r="M45" s="101"/>
      <c r="N45" s="101"/>
    </row>
    <row r="46" spans="1:14">
      <c r="A46" s="132" t="s">
        <v>124</v>
      </c>
      <c r="B46" s="133" t="s">
        <v>132</v>
      </c>
      <c r="C46" s="134">
        <v>0.34300000000000003</v>
      </c>
      <c r="D46" s="134" t="s">
        <v>130</v>
      </c>
      <c r="E46" s="134">
        <v>1.56</v>
      </c>
      <c r="F46" s="135" t="s">
        <v>275</v>
      </c>
      <c r="G46" s="136">
        <v>0.6</v>
      </c>
      <c r="H46" s="134" t="s">
        <v>284</v>
      </c>
      <c r="I46" s="137">
        <v>1.03</v>
      </c>
      <c r="J46" s="101"/>
      <c r="K46" s="101"/>
      <c r="L46" s="101"/>
      <c r="M46" s="101"/>
      <c r="N46" s="101"/>
    </row>
    <row r="47" spans="1:14">
      <c r="A47" s="132" t="s">
        <v>125</v>
      </c>
      <c r="B47" s="133" t="s">
        <v>132</v>
      </c>
      <c r="C47" s="134">
        <v>0.32500000000000001</v>
      </c>
      <c r="D47" s="134" t="s">
        <v>130</v>
      </c>
      <c r="E47" s="134">
        <v>1.56</v>
      </c>
      <c r="F47" s="135" t="s">
        <v>275</v>
      </c>
      <c r="G47" s="136">
        <v>0.6</v>
      </c>
      <c r="H47" s="134" t="s">
        <v>284</v>
      </c>
      <c r="I47" s="137">
        <v>1.03</v>
      </c>
      <c r="J47" s="101"/>
      <c r="K47" s="101"/>
      <c r="L47" s="101"/>
      <c r="M47" s="101"/>
      <c r="N47" s="101"/>
    </row>
    <row r="48" spans="1:14">
      <c r="A48" s="132" t="s">
        <v>126</v>
      </c>
      <c r="B48" s="133" t="s">
        <v>132</v>
      </c>
      <c r="C48" s="134">
        <v>0.32</v>
      </c>
      <c r="D48" s="134" t="s">
        <v>130</v>
      </c>
      <c r="E48" s="134">
        <v>1.56</v>
      </c>
      <c r="F48" s="135" t="s">
        <v>275</v>
      </c>
      <c r="G48" s="136">
        <v>0.6</v>
      </c>
      <c r="H48" s="134" t="s">
        <v>284</v>
      </c>
      <c r="I48" s="137">
        <v>1.03</v>
      </c>
      <c r="J48" s="101"/>
      <c r="K48" s="101"/>
      <c r="L48" s="101"/>
      <c r="M48" s="101"/>
      <c r="N48" s="101"/>
    </row>
    <row r="49" spans="1:14">
      <c r="A49" s="132" t="s">
        <v>111</v>
      </c>
      <c r="B49" s="133" t="s">
        <v>132</v>
      </c>
      <c r="C49" s="134">
        <v>0.28199999999999997</v>
      </c>
      <c r="D49" s="134" t="s">
        <v>130</v>
      </c>
      <c r="E49" s="134">
        <v>1.56</v>
      </c>
      <c r="F49" s="135" t="s">
        <v>275</v>
      </c>
      <c r="G49" s="136">
        <v>0.6</v>
      </c>
      <c r="H49" s="134" t="s">
        <v>284</v>
      </c>
      <c r="I49" s="137">
        <v>1.03</v>
      </c>
      <c r="J49" s="101"/>
      <c r="K49" s="101"/>
      <c r="L49" s="101"/>
      <c r="M49" s="101"/>
      <c r="N49" s="101"/>
    </row>
    <row r="50" spans="1:14">
      <c r="A50" s="132" t="s">
        <v>127</v>
      </c>
      <c r="B50" s="133" t="s">
        <v>132</v>
      </c>
      <c r="C50" s="134">
        <v>0.32800000000000001</v>
      </c>
      <c r="D50" s="134" t="s">
        <v>130</v>
      </c>
      <c r="E50" s="134">
        <v>1.56</v>
      </c>
      <c r="F50" s="135" t="s">
        <v>275</v>
      </c>
      <c r="G50" s="136">
        <v>0.6</v>
      </c>
      <c r="H50" s="134" t="s">
        <v>284</v>
      </c>
      <c r="I50" s="137">
        <v>1.03</v>
      </c>
      <c r="J50" s="101"/>
      <c r="K50" s="101"/>
      <c r="L50" s="101"/>
      <c r="M50" s="101"/>
      <c r="N50" s="101"/>
    </row>
    <row r="51" spans="1:14">
      <c r="A51" s="132" t="s">
        <v>112</v>
      </c>
      <c r="B51" s="133" t="s">
        <v>132</v>
      </c>
      <c r="C51" s="134">
        <v>0.32600000000000001</v>
      </c>
      <c r="D51" s="134" t="s">
        <v>130</v>
      </c>
      <c r="E51" s="134">
        <v>1.56</v>
      </c>
      <c r="F51" s="135" t="s">
        <v>275</v>
      </c>
      <c r="G51" s="136">
        <v>0.6</v>
      </c>
      <c r="H51" s="134" t="s">
        <v>284</v>
      </c>
      <c r="I51" s="137">
        <v>1.03</v>
      </c>
      <c r="J51" s="101"/>
      <c r="K51" s="101"/>
      <c r="L51" s="101"/>
      <c r="M51" s="101"/>
      <c r="N51" s="101"/>
    </row>
    <row r="52" spans="1:14">
      <c r="A52" s="132" t="s">
        <v>113</v>
      </c>
      <c r="B52" s="133" t="s">
        <v>132</v>
      </c>
      <c r="C52" s="134">
        <v>0.35899999999999999</v>
      </c>
      <c r="D52" s="134" t="s">
        <v>130</v>
      </c>
      <c r="E52" s="134">
        <v>1.56</v>
      </c>
      <c r="F52" s="135" t="s">
        <v>275</v>
      </c>
      <c r="G52" s="136">
        <v>0.6</v>
      </c>
      <c r="H52" s="134" t="s">
        <v>284</v>
      </c>
      <c r="I52" s="137">
        <v>1.03</v>
      </c>
      <c r="J52" s="101"/>
      <c r="K52" s="101"/>
      <c r="L52" s="101"/>
      <c r="M52" s="101"/>
      <c r="N52" s="101"/>
    </row>
    <row r="53" spans="1:14">
      <c r="A53" s="132" t="s">
        <v>114</v>
      </c>
      <c r="B53" s="133" t="s">
        <v>132</v>
      </c>
      <c r="C53" s="134">
        <v>0.34599999999999997</v>
      </c>
      <c r="D53" s="134" t="s">
        <v>130</v>
      </c>
      <c r="E53" s="134">
        <v>1.56</v>
      </c>
      <c r="F53" s="135" t="s">
        <v>275</v>
      </c>
      <c r="G53" s="136">
        <v>0.6</v>
      </c>
      <c r="H53" s="134" t="s">
        <v>284</v>
      </c>
      <c r="I53" s="137">
        <v>1.03</v>
      </c>
      <c r="J53" s="101"/>
      <c r="K53" s="101"/>
      <c r="L53" s="101"/>
      <c r="M53" s="101"/>
      <c r="N53" s="101"/>
    </row>
    <row r="54" spans="1:14">
      <c r="A54" s="132" t="s">
        <v>115</v>
      </c>
      <c r="B54" s="133" t="s">
        <v>132</v>
      </c>
      <c r="C54" s="134">
        <v>0.32600000000000001</v>
      </c>
      <c r="D54" s="134" t="s">
        <v>130</v>
      </c>
      <c r="E54" s="134">
        <v>1.56</v>
      </c>
      <c r="F54" s="135" t="s">
        <v>275</v>
      </c>
      <c r="G54" s="136">
        <v>0.6</v>
      </c>
      <c r="H54" s="134" t="s">
        <v>284</v>
      </c>
      <c r="I54" s="137">
        <v>1.03</v>
      </c>
      <c r="J54" s="101"/>
      <c r="K54" s="101"/>
      <c r="L54" s="101"/>
      <c r="M54" s="101"/>
      <c r="N54" s="101"/>
    </row>
    <row r="55" spans="1:14">
      <c r="A55" s="132" t="s">
        <v>116</v>
      </c>
      <c r="B55" s="133" t="s">
        <v>132</v>
      </c>
      <c r="C55" s="134">
        <v>0.30499999999999999</v>
      </c>
      <c r="D55" s="134" t="s">
        <v>130</v>
      </c>
      <c r="E55" s="134">
        <v>1.56</v>
      </c>
      <c r="F55" s="135" t="s">
        <v>275</v>
      </c>
      <c r="G55" s="136">
        <v>0.6</v>
      </c>
      <c r="H55" s="134" t="s">
        <v>284</v>
      </c>
      <c r="I55" s="137">
        <v>1.03</v>
      </c>
      <c r="J55" s="101"/>
      <c r="K55" s="101"/>
      <c r="L55" s="101"/>
      <c r="M55" s="101"/>
      <c r="N55" s="101"/>
    </row>
    <row r="56" spans="1:14">
      <c r="A56" s="132" t="s">
        <v>128</v>
      </c>
      <c r="B56" s="133" t="s">
        <v>132</v>
      </c>
      <c r="C56" s="134">
        <v>0.32300000000000001</v>
      </c>
      <c r="D56" s="134" t="s">
        <v>130</v>
      </c>
      <c r="E56" s="134">
        <v>1.56</v>
      </c>
      <c r="F56" s="135" t="s">
        <v>275</v>
      </c>
      <c r="G56" s="136">
        <v>0.6</v>
      </c>
      <c r="H56" s="134" t="s">
        <v>284</v>
      </c>
      <c r="I56" s="137">
        <v>1.03</v>
      </c>
      <c r="J56" s="101"/>
      <c r="K56" s="101"/>
      <c r="L56" s="101"/>
      <c r="M56" s="101"/>
      <c r="N56" s="101"/>
    </row>
    <row r="57" spans="1:14">
      <c r="A57" s="132" t="s">
        <v>129</v>
      </c>
      <c r="B57" s="133" t="s">
        <v>132</v>
      </c>
      <c r="C57" s="134">
        <v>0.36699999999999999</v>
      </c>
      <c r="D57" s="134" t="s">
        <v>130</v>
      </c>
      <c r="E57" s="134">
        <v>1.56</v>
      </c>
      <c r="F57" s="135" t="s">
        <v>275</v>
      </c>
      <c r="G57" s="136">
        <v>0.6</v>
      </c>
      <c r="H57" s="134" t="s">
        <v>284</v>
      </c>
      <c r="I57" s="137">
        <v>1.03</v>
      </c>
      <c r="J57" s="101"/>
      <c r="K57" s="101"/>
      <c r="L57" s="101"/>
      <c r="M57" s="101"/>
      <c r="N57" s="101"/>
    </row>
    <row r="58" spans="1:14">
      <c r="A58" s="132" t="s">
        <v>117</v>
      </c>
      <c r="B58" s="133" t="s">
        <v>132</v>
      </c>
      <c r="C58" s="134">
        <v>0.36</v>
      </c>
      <c r="D58" s="134" t="s">
        <v>130</v>
      </c>
      <c r="E58" s="134">
        <v>1.56</v>
      </c>
      <c r="F58" s="135" t="s">
        <v>275</v>
      </c>
      <c r="G58" s="136">
        <v>0.6</v>
      </c>
      <c r="H58" s="134" t="s">
        <v>284</v>
      </c>
      <c r="I58" s="137">
        <v>1.03</v>
      </c>
      <c r="J58" s="101"/>
      <c r="K58" s="101"/>
      <c r="L58" s="101"/>
      <c r="M58" s="101"/>
      <c r="N58" s="101"/>
    </row>
    <row r="59" spans="1:14">
      <c r="A59" s="132" t="s">
        <v>118</v>
      </c>
      <c r="B59" s="133" t="s">
        <v>132</v>
      </c>
      <c r="C59" s="134">
        <v>0.36799999999999999</v>
      </c>
      <c r="D59" s="134" t="s">
        <v>130</v>
      </c>
      <c r="E59" s="134">
        <v>1.56</v>
      </c>
      <c r="F59" s="135" t="s">
        <v>275</v>
      </c>
      <c r="G59" s="136">
        <v>0.6</v>
      </c>
      <c r="H59" s="134" t="s">
        <v>284</v>
      </c>
      <c r="I59" s="137">
        <v>1.03</v>
      </c>
      <c r="J59" s="101"/>
      <c r="K59" s="101"/>
      <c r="L59" s="101"/>
      <c r="M59" s="101"/>
      <c r="N59" s="101"/>
    </row>
    <row r="60" spans="1:14">
      <c r="A60" s="132" t="s">
        <v>119</v>
      </c>
      <c r="B60" s="133" t="s">
        <v>132</v>
      </c>
      <c r="C60" s="134">
        <v>0.30599999999999999</v>
      </c>
      <c r="D60" s="134" t="s">
        <v>130</v>
      </c>
      <c r="E60" s="134">
        <v>1.56</v>
      </c>
      <c r="F60" s="135" t="s">
        <v>275</v>
      </c>
      <c r="G60" s="136">
        <v>0.6</v>
      </c>
      <c r="H60" s="134" t="s">
        <v>284</v>
      </c>
      <c r="I60" s="137">
        <v>1.03</v>
      </c>
      <c r="J60" s="101"/>
      <c r="K60" s="101"/>
      <c r="L60" s="101"/>
      <c r="M60" s="101"/>
      <c r="N60" s="101"/>
    </row>
    <row r="61" spans="1:14">
      <c r="A61" s="132" t="s">
        <v>120</v>
      </c>
      <c r="B61" s="133" t="s">
        <v>132</v>
      </c>
      <c r="C61" s="134">
        <v>0.313</v>
      </c>
      <c r="D61" s="134" t="s">
        <v>130</v>
      </c>
      <c r="E61" s="134">
        <v>1.56</v>
      </c>
      <c r="F61" s="135" t="s">
        <v>275</v>
      </c>
      <c r="G61" s="136">
        <v>0.6</v>
      </c>
      <c r="H61" s="134" t="s">
        <v>284</v>
      </c>
      <c r="I61" s="137">
        <v>1.03</v>
      </c>
      <c r="J61" s="101"/>
      <c r="K61" s="101"/>
      <c r="L61" s="101"/>
      <c r="M61" s="101"/>
      <c r="N61" s="101"/>
    </row>
    <row r="62" spans="1:14">
      <c r="A62" s="132" t="s">
        <v>32</v>
      </c>
      <c r="B62" s="133" t="s">
        <v>133</v>
      </c>
      <c r="C62" s="134">
        <v>0.37</v>
      </c>
      <c r="D62" s="134" t="s">
        <v>161</v>
      </c>
      <c r="E62" s="134">
        <v>1.56</v>
      </c>
      <c r="F62" s="135" t="s">
        <v>275</v>
      </c>
      <c r="G62" s="136">
        <v>0.6</v>
      </c>
      <c r="H62" s="134" t="s">
        <v>284</v>
      </c>
      <c r="I62" s="137">
        <v>1.03</v>
      </c>
      <c r="J62" s="101"/>
      <c r="K62" s="101"/>
      <c r="L62" s="101"/>
      <c r="M62" s="101"/>
      <c r="N62" s="101"/>
    </row>
    <row r="63" spans="1:14">
      <c r="A63" s="132" t="s">
        <v>90</v>
      </c>
      <c r="B63" s="133" t="s">
        <v>83</v>
      </c>
      <c r="C63" s="134">
        <v>0.45</v>
      </c>
      <c r="D63" s="134" t="s">
        <v>161</v>
      </c>
      <c r="E63" s="134">
        <v>1.3</v>
      </c>
      <c r="F63" s="135" t="s">
        <v>275</v>
      </c>
      <c r="G63" s="136">
        <v>0.45</v>
      </c>
      <c r="H63" s="134" t="s">
        <v>277</v>
      </c>
      <c r="I63" s="137">
        <v>0.43</v>
      </c>
      <c r="J63" s="101"/>
      <c r="K63" s="101"/>
      <c r="L63" s="101"/>
      <c r="M63" s="101"/>
      <c r="N63" s="101"/>
    </row>
    <row r="64" spans="1:14">
      <c r="A64" s="132" t="s">
        <v>33</v>
      </c>
      <c r="B64" s="133" t="s">
        <v>134</v>
      </c>
      <c r="C64" s="134">
        <v>0.39</v>
      </c>
      <c r="D64" s="134" t="s">
        <v>161</v>
      </c>
      <c r="E64" s="134">
        <v>1.3</v>
      </c>
      <c r="F64" s="135" t="s">
        <v>275</v>
      </c>
      <c r="G64" s="136">
        <v>0.45</v>
      </c>
      <c r="H64" s="134" t="s">
        <v>277</v>
      </c>
      <c r="I64" s="137">
        <v>0.43</v>
      </c>
      <c r="J64" s="101"/>
      <c r="K64" s="101"/>
      <c r="L64" s="101"/>
      <c r="M64" s="101"/>
      <c r="N64" s="101"/>
    </row>
    <row r="65" spans="1:14">
      <c r="A65" s="132" t="s">
        <v>34</v>
      </c>
      <c r="B65" s="133" t="s">
        <v>135</v>
      </c>
      <c r="C65" s="134">
        <v>0.44</v>
      </c>
      <c r="D65" s="134" t="s">
        <v>161</v>
      </c>
      <c r="E65" s="134">
        <v>1.3</v>
      </c>
      <c r="F65" s="135" t="s">
        <v>275</v>
      </c>
      <c r="G65" s="136">
        <v>0.45</v>
      </c>
      <c r="H65" s="134" t="s">
        <v>277</v>
      </c>
      <c r="I65" s="137">
        <v>0.43</v>
      </c>
      <c r="J65" s="101"/>
      <c r="K65" s="101"/>
      <c r="L65" s="101"/>
      <c r="M65" s="101"/>
      <c r="N65" s="101"/>
    </row>
    <row r="66" spans="1:14">
      <c r="A66" s="132" t="s">
        <v>35</v>
      </c>
      <c r="B66" s="133" t="s">
        <v>84</v>
      </c>
      <c r="C66" s="134">
        <v>0.46</v>
      </c>
      <c r="D66" s="134" t="s">
        <v>161</v>
      </c>
      <c r="E66" s="134">
        <v>1.3</v>
      </c>
      <c r="F66" s="135" t="s">
        <v>275</v>
      </c>
      <c r="G66" s="136">
        <v>0.45</v>
      </c>
      <c r="H66" s="134" t="s">
        <v>277</v>
      </c>
      <c r="I66" s="137">
        <v>0.43</v>
      </c>
      <c r="J66" s="101"/>
      <c r="K66" s="101"/>
      <c r="L66" s="101"/>
      <c r="M66" s="101"/>
      <c r="N66" s="101"/>
    </row>
    <row r="67" spans="1:14">
      <c r="A67" s="132" t="s">
        <v>36</v>
      </c>
      <c r="B67" s="133" t="s">
        <v>85</v>
      </c>
      <c r="C67" s="134">
        <v>0.46</v>
      </c>
      <c r="D67" s="134" t="s">
        <v>161</v>
      </c>
      <c r="E67" s="134">
        <v>1.3</v>
      </c>
      <c r="F67" s="135" t="s">
        <v>275</v>
      </c>
      <c r="G67" s="136">
        <v>0.45</v>
      </c>
      <c r="H67" s="134" t="s">
        <v>152</v>
      </c>
      <c r="I67" s="137">
        <v>0.59</v>
      </c>
      <c r="J67" s="101"/>
      <c r="K67" s="101"/>
      <c r="L67" s="101"/>
      <c r="M67" s="101"/>
      <c r="N67" s="101"/>
    </row>
    <row r="68" spans="1:14">
      <c r="A68" s="132" t="s">
        <v>37</v>
      </c>
      <c r="B68" s="133" t="s">
        <v>136</v>
      </c>
      <c r="C68" s="134">
        <v>0.44</v>
      </c>
      <c r="D68" s="134" t="s">
        <v>161</v>
      </c>
      <c r="E68" s="134">
        <v>1.3</v>
      </c>
      <c r="F68" s="135" t="s">
        <v>275</v>
      </c>
      <c r="G68" s="136">
        <v>0.45</v>
      </c>
      <c r="H68" s="134" t="s">
        <v>277</v>
      </c>
      <c r="I68" s="137">
        <v>0.43</v>
      </c>
      <c r="J68" s="101"/>
      <c r="K68" s="101"/>
      <c r="L68" s="101"/>
      <c r="M68" s="101"/>
      <c r="N68" s="101"/>
    </row>
    <row r="69" spans="1:14">
      <c r="A69" s="132" t="s">
        <v>38</v>
      </c>
      <c r="B69" s="133" t="s">
        <v>86</v>
      </c>
      <c r="C69" s="134">
        <v>0.46</v>
      </c>
      <c r="D69" s="134" t="s">
        <v>161</v>
      </c>
      <c r="E69" s="134">
        <v>1.3</v>
      </c>
      <c r="F69" s="135" t="s">
        <v>275</v>
      </c>
      <c r="G69" s="136">
        <v>0.45</v>
      </c>
      <c r="H69" s="134" t="s">
        <v>277</v>
      </c>
      <c r="I69" s="137">
        <v>0.43</v>
      </c>
      <c r="J69" s="101"/>
      <c r="K69" s="101"/>
      <c r="L69" s="101"/>
      <c r="M69" s="101"/>
      <c r="N69" s="101"/>
    </row>
    <row r="70" spans="1:14">
      <c r="A70" s="132" t="s">
        <v>39</v>
      </c>
      <c r="B70" s="133" t="s">
        <v>137</v>
      </c>
      <c r="C70" s="134">
        <v>0.48</v>
      </c>
      <c r="D70" s="134" t="s">
        <v>161</v>
      </c>
      <c r="E70" s="134">
        <v>2.4</v>
      </c>
      <c r="F70" s="134" t="s">
        <v>285</v>
      </c>
      <c r="G70" s="136">
        <v>0.45</v>
      </c>
      <c r="H70" s="134" t="s">
        <v>277</v>
      </c>
      <c r="I70" s="137">
        <v>0.43</v>
      </c>
      <c r="J70" s="101"/>
      <c r="K70" s="101"/>
      <c r="L70" s="101"/>
      <c r="M70" s="101"/>
      <c r="N70" s="101"/>
    </row>
    <row r="71" spans="1:14">
      <c r="A71" s="132" t="s">
        <v>40</v>
      </c>
      <c r="B71" s="133" t="s">
        <v>87</v>
      </c>
      <c r="C71" s="134">
        <v>0.46</v>
      </c>
      <c r="D71" s="134" t="s">
        <v>150</v>
      </c>
      <c r="E71" s="134">
        <v>1.3</v>
      </c>
      <c r="F71" s="135" t="s">
        <v>275</v>
      </c>
      <c r="G71" s="136">
        <v>0.45</v>
      </c>
      <c r="H71" s="134" t="s">
        <v>277</v>
      </c>
      <c r="I71" s="137">
        <v>0.43</v>
      </c>
      <c r="J71" s="101"/>
      <c r="K71" s="101"/>
      <c r="L71" s="101"/>
      <c r="M71" s="101"/>
      <c r="N71" s="101"/>
    </row>
    <row r="72" spans="1:14">
      <c r="A72" s="132" t="s">
        <v>41</v>
      </c>
      <c r="B72" s="133" t="s">
        <v>88</v>
      </c>
      <c r="C72" s="134">
        <v>0.44</v>
      </c>
      <c r="D72" s="134" t="s">
        <v>161</v>
      </c>
      <c r="E72" s="134">
        <v>1.3</v>
      </c>
      <c r="F72" s="135" t="s">
        <v>275</v>
      </c>
      <c r="G72" s="136">
        <v>0.45</v>
      </c>
      <c r="H72" s="134" t="s">
        <v>277</v>
      </c>
      <c r="I72" s="137">
        <v>0.43</v>
      </c>
      <c r="J72" s="101"/>
      <c r="K72" s="101"/>
      <c r="L72" s="101"/>
      <c r="M72" s="101"/>
      <c r="N72" s="101"/>
    </row>
    <row r="73" spans="1:14">
      <c r="A73" s="132" t="s">
        <v>138</v>
      </c>
      <c r="B73" s="133" t="s">
        <v>140</v>
      </c>
      <c r="C73" s="134">
        <v>0.46</v>
      </c>
      <c r="D73" s="134" t="s">
        <v>151</v>
      </c>
      <c r="E73" s="134">
        <v>1.3</v>
      </c>
      <c r="F73" s="135" t="s">
        <v>275</v>
      </c>
      <c r="G73" s="136">
        <v>0.45</v>
      </c>
      <c r="H73" s="134" t="s">
        <v>277</v>
      </c>
      <c r="I73" s="137">
        <v>0.43</v>
      </c>
      <c r="J73" s="101"/>
      <c r="K73" s="101"/>
      <c r="L73" s="101"/>
      <c r="M73" s="101"/>
      <c r="N73" s="101"/>
    </row>
    <row r="74" spans="1:14">
      <c r="A74" s="132" t="s">
        <v>42</v>
      </c>
      <c r="B74" s="133" t="s">
        <v>139</v>
      </c>
      <c r="C74" s="134">
        <v>0.34</v>
      </c>
      <c r="D74" s="134" t="s">
        <v>161</v>
      </c>
      <c r="E74" s="134">
        <v>1.3</v>
      </c>
      <c r="F74" s="135" t="s">
        <v>275</v>
      </c>
      <c r="G74" s="136">
        <v>0.45</v>
      </c>
      <c r="H74" s="134" t="s">
        <v>277</v>
      </c>
      <c r="I74" s="137">
        <v>0.43</v>
      </c>
      <c r="J74" s="101"/>
      <c r="K74" s="101"/>
      <c r="L74" s="101"/>
      <c r="M74" s="101"/>
      <c r="N74" s="101"/>
    </row>
    <row r="75" spans="1:14">
      <c r="A75" s="132" t="s">
        <v>43</v>
      </c>
      <c r="B75" s="133" t="s">
        <v>162</v>
      </c>
      <c r="C75" s="134">
        <v>0.5</v>
      </c>
      <c r="D75" s="134" t="s">
        <v>161</v>
      </c>
      <c r="E75" s="134">
        <v>1.56</v>
      </c>
      <c r="F75" s="135" t="s">
        <v>275</v>
      </c>
      <c r="G75" s="136">
        <v>0.53</v>
      </c>
      <c r="H75" s="134" t="s">
        <v>276</v>
      </c>
      <c r="I75" s="137">
        <v>0.25</v>
      </c>
      <c r="J75" s="101"/>
      <c r="K75" s="101"/>
      <c r="L75" s="101"/>
      <c r="M75" s="101"/>
      <c r="N75" s="101"/>
    </row>
    <row r="76" spans="1:14">
      <c r="A76" s="132" t="s">
        <v>44</v>
      </c>
      <c r="B76" s="133" t="s">
        <v>89</v>
      </c>
      <c r="C76" s="134">
        <v>0.57999999999999996</v>
      </c>
      <c r="D76" s="134" t="s">
        <v>161</v>
      </c>
      <c r="E76" s="134">
        <v>1.56</v>
      </c>
      <c r="F76" s="135" t="s">
        <v>275</v>
      </c>
      <c r="G76" s="136">
        <v>0.3</v>
      </c>
      <c r="H76" s="134" t="s">
        <v>278</v>
      </c>
      <c r="I76" s="137">
        <v>0.25</v>
      </c>
      <c r="J76" s="101"/>
      <c r="K76" s="101"/>
      <c r="L76" s="101"/>
      <c r="M76" s="101"/>
      <c r="N76" s="101"/>
    </row>
    <row r="77" spans="1:14">
      <c r="A77" s="132" t="s">
        <v>47</v>
      </c>
      <c r="B77" s="133" t="s">
        <v>141</v>
      </c>
      <c r="C77" s="134">
        <v>0.37</v>
      </c>
      <c r="D77" s="134" t="s">
        <v>161</v>
      </c>
      <c r="E77" s="134">
        <v>1.3</v>
      </c>
      <c r="F77" s="135" t="s">
        <v>275</v>
      </c>
      <c r="G77" s="136">
        <v>0.55000000000000004</v>
      </c>
      <c r="H77" s="134" t="s">
        <v>152</v>
      </c>
      <c r="I77" s="137">
        <v>0.43</v>
      </c>
      <c r="J77" s="101"/>
      <c r="K77" s="101"/>
      <c r="L77" s="101"/>
      <c r="M77" s="101"/>
      <c r="N77" s="101"/>
    </row>
    <row r="78" spans="1:14">
      <c r="A78" s="132" t="s">
        <v>45</v>
      </c>
      <c r="B78" s="133" t="s">
        <v>96</v>
      </c>
      <c r="C78" s="134">
        <v>0.37</v>
      </c>
      <c r="D78" s="134" t="s">
        <v>161</v>
      </c>
      <c r="E78" s="134">
        <v>1.3</v>
      </c>
      <c r="F78" s="135" t="s">
        <v>275</v>
      </c>
      <c r="G78" s="136">
        <v>0.55000000000000004</v>
      </c>
      <c r="H78" s="134" t="s">
        <v>152</v>
      </c>
      <c r="I78" s="137">
        <v>0.43</v>
      </c>
      <c r="J78" s="101"/>
      <c r="K78" s="101"/>
      <c r="L78" s="101"/>
      <c r="M78" s="101"/>
      <c r="N78" s="101"/>
    </row>
    <row r="79" spans="1:14">
      <c r="A79" s="132" t="s">
        <v>46</v>
      </c>
      <c r="B79" s="133" t="s">
        <v>95</v>
      </c>
      <c r="C79" s="134">
        <v>0.38</v>
      </c>
      <c r="D79" s="134" t="s">
        <v>161</v>
      </c>
      <c r="E79" s="134">
        <v>1.3</v>
      </c>
      <c r="F79" s="135" t="s">
        <v>275</v>
      </c>
      <c r="G79" s="136">
        <v>0.55000000000000004</v>
      </c>
      <c r="H79" s="134" t="s">
        <v>153</v>
      </c>
      <c r="I79" s="137">
        <v>0.43</v>
      </c>
      <c r="J79" s="101"/>
      <c r="K79" s="101"/>
      <c r="L79" s="101"/>
      <c r="M79" s="101"/>
      <c r="N79" s="101"/>
    </row>
    <row r="80" spans="1:14">
      <c r="A80" s="132" t="s">
        <v>48</v>
      </c>
      <c r="B80" s="133" t="s">
        <v>94</v>
      </c>
      <c r="C80" s="134">
        <v>0.36</v>
      </c>
      <c r="D80" s="134" t="s">
        <v>161</v>
      </c>
      <c r="E80" s="134">
        <v>1.3</v>
      </c>
      <c r="F80" s="135" t="s">
        <v>275</v>
      </c>
      <c r="G80" s="136">
        <v>0.55000000000000004</v>
      </c>
      <c r="H80" s="134" t="s">
        <v>153</v>
      </c>
      <c r="I80" s="137">
        <v>0.43</v>
      </c>
      <c r="J80" s="101"/>
      <c r="K80" s="101"/>
      <c r="L80" s="101"/>
      <c r="M80" s="101"/>
      <c r="N80" s="101"/>
    </row>
    <row r="81" spans="1:14">
      <c r="A81" s="132" t="s">
        <v>49</v>
      </c>
      <c r="B81" s="133" t="s">
        <v>142</v>
      </c>
      <c r="C81" s="134">
        <v>0.37</v>
      </c>
      <c r="D81" s="134" t="s">
        <v>161</v>
      </c>
      <c r="E81" s="134">
        <v>1.56</v>
      </c>
      <c r="F81" s="135" t="s">
        <v>275</v>
      </c>
      <c r="G81" s="136">
        <v>0.43</v>
      </c>
      <c r="H81" s="134" t="s">
        <v>279</v>
      </c>
      <c r="I81" s="137">
        <v>0.25</v>
      </c>
      <c r="J81" s="101"/>
      <c r="K81" s="101"/>
      <c r="L81" s="101"/>
      <c r="M81" s="101"/>
      <c r="N81" s="101"/>
    </row>
    <row r="82" spans="1:14">
      <c r="A82" s="132" t="s">
        <v>158</v>
      </c>
      <c r="B82" s="133" t="s">
        <v>159</v>
      </c>
      <c r="C82" s="134">
        <v>0.35</v>
      </c>
      <c r="D82" s="134" t="s">
        <v>160</v>
      </c>
      <c r="E82" s="134">
        <v>1.3</v>
      </c>
      <c r="F82" s="135" t="s">
        <v>275</v>
      </c>
      <c r="G82" s="136">
        <v>0.55000000000000004</v>
      </c>
      <c r="H82" s="134" t="s">
        <v>153</v>
      </c>
      <c r="I82" s="137">
        <v>0.43</v>
      </c>
      <c r="J82" s="101"/>
      <c r="K82" s="101"/>
      <c r="L82" s="101"/>
      <c r="M82" s="101"/>
      <c r="N82" s="101"/>
    </row>
    <row r="83" spans="1:14">
      <c r="A83" s="132" t="s">
        <v>156</v>
      </c>
      <c r="B83" s="133" t="s">
        <v>157</v>
      </c>
      <c r="C83" s="134">
        <v>0.34</v>
      </c>
      <c r="D83" s="134" t="s">
        <v>161</v>
      </c>
      <c r="E83" s="134">
        <v>1.3</v>
      </c>
      <c r="F83" s="135" t="s">
        <v>275</v>
      </c>
      <c r="G83" s="136">
        <v>0.55000000000000004</v>
      </c>
      <c r="H83" s="134" t="s">
        <v>153</v>
      </c>
      <c r="I83" s="137">
        <v>0.43</v>
      </c>
      <c r="J83" s="101"/>
      <c r="K83" s="101"/>
      <c r="L83" s="101"/>
      <c r="M83" s="101"/>
      <c r="N83" s="101"/>
    </row>
    <row r="84" spans="1:14">
      <c r="A84" s="132" t="s">
        <v>92</v>
      </c>
      <c r="B84" s="133" t="s">
        <v>93</v>
      </c>
      <c r="C84" s="134">
        <v>0.31</v>
      </c>
      <c r="D84" s="134" t="s">
        <v>161</v>
      </c>
      <c r="E84" s="134">
        <v>1.3</v>
      </c>
      <c r="F84" s="135" t="s">
        <v>275</v>
      </c>
      <c r="G84" s="136">
        <v>0.55000000000000004</v>
      </c>
      <c r="H84" s="134" t="s">
        <v>153</v>
      </c>
      <c r="I84" s="137">
        <v>0.43</v>
      </c>
      <c r="J84" s="101"/>
      <c r="K84" s="101"/>
      <c r="L84" s="101"/>
      <c r="M84" s="101"/>
      <c r="N84" s="101"/>
    </row>
    <row r="85" spans="1:14">
      <c r="A85" s="132" t="s">
        <v>50</v>
      </c>
      <c r="B85" s="133" t="s">
        <v>143</v>
      </c>
      <c r="C85" s="134">
        <v>0.43</v>
      </c>
      <c r="D85" s="134" t="s">
        <v>161</v>
      </c>
      <c r="E85" s="134">
        <v>1.56</v>
      </c>
      <c r="F85" s="135" t="s">
        <v>275</v>
      </c>
      <c r="G85" s="136">
        <v>0.53</v>
      </c>
      <c r="H85" s="134" t="s">
        <v>276</v>
      </c>
      <c r="I85" s="137">
        <v>0.25</v>
      </c>
      <c r="J85" s="101"/>
      <c r="K85" s="101"/>
      <c r="L85" s="101"/>
      <c r="M85" s="101"/>
      <c r="N85" s="101"/>
    </row>
    <row r="86" spans="1:14">
      <c r="A86" s="132" t="s">
        <v>51</v>
      </c>
      <c r="B86" s="133" t="s">
        <v>91</v>
      </c>
      <c r="C86" s="134">
        <v>0.38</v>
      </c>
      <c r="D86" s="134" t="s">
        <v>161</v>
      </c>
      <c r="E86" s="134">
        <v>1.56</v>
      </c>
      <c r="F86" s="135" t="s">
        <v>275</v>
      </c>
      <c r="G86" s="136">
        <v>0.6</v>
      </c>
      <c r="H86" s="134" t="s">
        <v>280</v>
      </c>
      <c r="I86" s="137">
        <v>0.25</v>
      </c>
      <c r="J86" s="101"/>
      <c r="K86" s="101"/>
      <c r="L86" s="101"/>
      <c r="M86" s="101"/>
      <c r="N86" s="101"/>
    </row>
    <row r="87" spans="1:14">
      <c r="A87" s="132" t="s">
        <v>148</v>
      </c>
      <c r="B87" s="140"/>
      <c r="C87" s="134">
        <v>0.42</v>
      </c>
      <c r="D87" s="134" t="s">
        <v>161</v>
      </c>
      <c r="E87" s="134">
        <v>1.3</v>
      </c>
      <c r="F87" s="135" t="s">
        <v>275</v>
      </c>
      <c r="G87" s="141"/>
      <c r="H87" s="140"/>
      <c r="I87" s="142"/>
    </row>
    <row r="88" spans="1:14" ht="16" thickBot="1">
      <c r="A88" s="143" t="s">
        <v>149</v>
      </c>
      <c r="B88" s="144"/>
      <c r="C88" s="145">
        <v>0.56999999999999995</v>
      </c>
      <c r="D88" s="146" t="s">
        <v>161</v>
      </c>
      <c r="E88" s="145">
        <v>1.56</v>
      </c>
      <c r="F88" s="145" t="s">
        <v>275</v>
      </c>
      <c r="G88" s="144"/>
      <c r="H88" s="144"/>
      <c r="I88" s="147"/>
    </row>
    <row r="92" spans="1:14">
      <c r="A92" s="132" t="s">
        <v>208</v>
      </c>
    </row>
    <row r="93" spans="1:14">
      <c r="A93" s="132" t="s">
        <v>209</v>
      </c>
    </row>
    <row r="94" spans="1:14">
      <c r="A94" s="132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K31" sqref="K31:K32"/>
    </sheetView>
  </sheetViews>
  <sheetFormatPr baseColWidth="10" defaultColWidth="11.5" defaultRowHeight="15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5"/>
    <col min="14" max="15" width="11.5" style="1"/>
    <col min="16" max="17" width="13.5" style="1" customWidth="1"/>
    <col min="18" max="16384" width="11.5" style="1"/>
  </cols>
  <sheetData>
    <row r="1" spans="1:62" ht="16" thickBot="1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>
      <c r="A2" s="286" t="s">
        <v>272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8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>
      <c r="A3" s="25"/>
      <c r="B3" s="25"/>
      <c r="C3" s="25"/>
      <c r="D3" s="25"/>
      <c r="E3" s="25"/>
      <c r="F3" s="25"/>
      <c r="G3" s="25"/>
      <c r="H3" s="25"/>
      <c r="I3" s="244"/>
      <c r="J3" s="244"/>
      <c r="K3" s="244"/>
      <c r="L3" s="244"/>
      <c r="M3" s="244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6" thickBot="1">
      <c r="A4" s="25"/>
      <c r="B4" s="25"/>
      <c r="C4" s="25"/>
      <c r="D4" s="25"/>
      <c r="E4" s="25"/>
      <c r="F4" s="25"/>
      <c r="G4" s="25"/>
      <c r="H4" s="25"/>
      <c r="I4" s="244"/>
      <c r="J4" s="244"/>
      <c r="K4" s="244"/>
      <c r="L4" s="244"/>
      <c r="M4" s="244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65" thickBot="1">
      <c r="A5" s="148" t="s">
        <v>207</v>
      </c>
      <c r="B5" s="149" t="s">
        <v>250</v>
      </c>
      <c r="C5" s="150" t="str">
        <f>Calculateur!S2</f>
        <v>Stock moyen de long terme (tCO₂/ha)</v>
      </c>
      <c r="D5" s="150" t="str">
        <f>Calculateur!T2</f>
        <v>Δstock CO₂ 30 ans (tCO₂/ha)</v>
      </c>
      <c r="E5" s="150" t="s">
        <v>228</v>
      </c>
      <c r="F5" s="150" t="s">
        <v>239</v>
      </c>
      <c r="G5" s="150" t="s">
        <v>240</v>
      </c>
      <c r="H5" s="151" t="s">
        <v>241</v>
      </c>
      <c r="I5" s="152" t="s">
        <v>242</v>
      </c>
      <c r="J5" s="153" t="s">
        <v>243</v>
      </c>
      <c r="K5" s="154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>
      <c r="A6" s="155" t="str">
        <f>IF('Données projet'!$B$9="","",'Données projet'!$B$9)</f>
        <v>Pin laricio</v>
      </c>
      <c r="B6" s="156">
        <f>'Données projet'!D9</f>
        <v>2.4588449999999997</v>
      </c>
      <c r="C6" s="157">
        <f ca="1">IF(OR('Données projet'!B9="",'Données projet'!C9="",'Données projet'!C9=0%),0,Calculateur!S3)</f>
        <v>301.2688576786212</v>
      </c>
      <c r="D6" s="157">
        <f>IF(OR('Données projet'!B9="",'Données projet'!C9="",'Données projet'!C9=0%),0,Calculateur!T3)</f>
        <v>417.62172165132927</v>
      </c>
      <c r="E6" s="157">
        <f ca="1">MIN(C6,D6)</f>
        <v>301.2688576786212</v>
      </c>
      <c r="F6" s="157">
        <f ca="1">E6*B6</f>
        <v>740.77342435878927</v>
      </c>
      <c r="G6" s="157">
        <f ca="1">F6*(100%-'Données projet'!$C$24)*(100%-'Données projet'!$C$25)*(100%-'Données projet'!$C$26)*(100%-'Données projet'!$C$27)</f>
        <v>666.69608192291037</v>
      </c>
      <c r="H6" s="158">
        <f>IF(OR('Données projet'!B9="",'Données projet'!C9="",'Données projet'!C9=0%),0,AVERAGE(Calculateur!$AC$3:$AC$33)*B6)</f>
        <v>25.187202606354152</v>
      </c>
      <c r="I6" s="159">
        <f>H6*(100%-'Données projet'!$C$24)*(100%-'Données projet'!$C$25)*(100%-'Données projet'!$C$26)*(100%-'Données projet'!$C$27)</f>
        <v>22.668482345718736</v>
      </c>
      <c r="J6" s="160">
        <f>IF(OR('Données projet'!B9="",'Données projet'!C9="",'Données projet'!C9=0%),0,SUM(Calculateur!$V$3:$V$33)*VLOOKUP('Données projet'!$B$9,Paramètres!$A$1:$I$88,9,0)*B6)</f>
        <v>181.85617619999996</v>
      </c>
      <c r="K6" s="161">
        <f>J6*(100%-'Données projet'!$C$24)*(100%-'Données projet'!$C$25)*(100%-'Données projet'!$C$26)*(100%-'Données projet'!$C$27)</f>
        <v>163.67055857999998</v>
      </c>
      <c r="L6" s="162">
        <f ca="1">G6+I6+K6</f>
        <v>853.03512284862904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>
      <c r="A7" s="163" t="str">
        <f>IF('Données projet'!$B$10="","",'Données projet'!$B$10)</f>
        <v>Cèdre de l'Atlas</v>
      </c>
      <c r="B7" s="164">
        <f>'Données projet'!D10</f>
        <v>1.050905</v>
      </c>
      <c r="C7" s="157">
        <f ca="1">IF(OR('Données projet'!B10="",'Données projet'!C10="",'Données projet'!C10=0%),0,Calculateur!AN3)</f>
        <v>170.08673939431091</v>
      </c>
      <c r="D7" s="157">
        <f>IF(OR('Données projet'!B10="",'Données projet'!C10="",'Données projet'!C10=0%),0,Calculateur!AO3)</f>
        <v>252.97355497077106</v>
      </c>
      <c r="E7" s="157">
        <f t="shared" ref="E7:E15" ca="1" si="0">MIN(C7,D7)</f>
        <v>170.08673939431091</v>
      </c>
      <c r="F7" s="157">
        <f t="shared" ref="F7:F15" ca="1" si="1">E7*B7</f>
        <v>178.74500486317831</v>
      </c>
      <c r="G7" s="157">
        <f ca="1">F7*(100%-'Données projet'!$C$24)*(100%-'Données projet'!$C$25)*(100%-'Données projet'!$C$26)*(100%-'Données projet'!$C$27)</f>
        <v>160.87050437686048</v>
      </c>
      <c r="H7" s="165">
        <f>IF(OR('Données projet'!B10="",'Données projet'!C10="",'Données projet'!C10=0%),0,AVERAGE(Calculateur!$AX$3:$AX$33)*B7)</f>
        <v>6.2931617183792303</v>
      </c>
      <c r="I7" s="159">
        <f>H7*(100%-'Données projet'!$C$24)*(100%-'Données projet'!$C$25)*(100%-'Données projet'!$C$26)*(100%-'Données projet'!$C$27)</f>
        <v>5.6638455465413076</v>
      </c>
      <c r="J7" s="160">
        <f>IF(OR('Données projet'!B10="",'Données projet'!C10="",'Données projet'!C10=0%),0,SUM(Calculateur!$AQ$3:$AQ$33)*VLOOKUP('Données projet'!$B$10,Paramètres!$A$1:$I$88,9,0)*B7)</f>
        <v>58.745589499999994</v>
      </c>
      <c r="K7" s="161">
        <f>J7*(100%-'Données projet'!$C$24)*(100%-'Données projet'!$C$25)*(100%-'Données projet'!$C$26)*(100%-'Données projet'!$C$27)</f>
        <v>52.871030549999993</v>
      </c>
      <c r="L7" s="162">
        <f t="shared" ref="L7:L15" ca="1" si="2">G7+I7+K7</f>
        <v>219.40538047340178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>
      <c r="A8" s="163" t="str">
        <f>IF('Données projet'!$B$11="","",'Données projet'!$B$11)</f>
        <v>Chêne sessile</v>
      </c>
      <c r="B8" s="164">
        <f>'Données projet'!D11</f>
        <v>1.0897899999999998</v>
      </c>
      <c r="C8" s="157">
        <f ca="1">IF(OR('Données projet'!B11="",'Données projet'!C11="",'Données projet'!C11=0%),0,Calculateur!BI3)</f>
        <v>362.63718589694594</v>
      </c>
      <c r="D8" s="157">
        <f>IF(OR('Données projet'!B11="",'Données projet'!C11="",'Données projet'!C11=0%),0,Calculateur!BJ3)</f>
        <v>250.47702091764884</v>
      </c>
      <c r="E8" s="157">
        <f t="shared" ca="1" si="0"/>
        <v>250.47702091764884</v>
      </c>
      <c r="F8" s="157">
        <f t="shared" ca="1" si="1"/>
        <v>272.96735262584451</v>
      </c>
      <c r="G8" s="157">
        <f ca="1">F8*(100%-'Données projet'!$C$24)*(100%-'Données projet'!$C$25)*(100%-'Données projet'!$C$26)*(100%-'Données projet'!$C$27)</f>
        <v>245.67061736326008</v>
      </c>
      <c r="H8" s="165">
        <f>IF(OR('Données projet'!B11="",'Données projet'!C11="",'Données projet'!C11=0%),0,AVERAGE(Calculateur!$BS$3:$BS$33)*B8)</f>
        <v>0</v>
      </c>
      <c r="I8" s="159">
        <f>H8*(100%-'Données projet'!$C$24)*(100%-'Données projet'!$C$25)*(100%-'Données projet'!$C$26)*(100%-'Données projet'!$C$27)</f>
        <v>0</v>
      </c>
      <c r="J8" s="160">
        <f>IF(OR('Données projet'!B11="",'Données projet'!C11="",'Données projet'!C11=0%),0,SUM(Calculateur!$BL$3:$BL$33)*VLOOKUP('Données projet'!$B$11,Paramètres!$A$1:$I$88,9,0)*B8)</f>
        <v>7.9009774999999989</v>
      </c>
      <c r="K8" s="161">
        <f>J8*(100%-'Données projet'!$C$24)*(100%-'Données projet'!$C$25)*(100%-'Données projet'!$C$26)*(100%-'Données projet'!$C$27)</f>
        <v>7.1108797499999987</v>
      </c>
      <c r="L8" s="162">
        <f t="shared" ca="1" si="2"/>
        <v>252.78149711326009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>
      <c r="A9" s="163" t="str">
        <f>IF('Données projet'!$B$12="","",'Données projet'!$B$12)</f>
        <v>Chêne pubescent</v>
      </c>
      <c r="B9" s="164">
        <f>'Données projet'!D12</f>
        <v>0.15806500000000001</v>
      </c>
      <c r="C9" s="157">
        <f ca="1">IF(OR('Données projet'!B12="",'Données projet'!C12="",'Données projet'!C12=0%),0,Calculateur!CD3)</f>
        <v>398.14524781940196</v>
      </c>
      <c r="D9" s="157">
        <f>IF(OR('Données projet'!B12="",'Données projet'!C12="",'Données projet'!C12=0%),0,Calculateur!CE3)</f>
        <v>273.35778700650792</v>
      </c>
      <c r="E9" s="157">
        <f t="shared" ca="1" si="0"/>
        <v>273.35778700650792</v>
      </c>
      <c r="F9" s="157">
        <f t="shared" ca="1" si="1"/>
        <v>43.208298603183678</v>
      </c>
      <c r="G9" s="157">
        <f ca="1">F9*(100%-'Données projet'!$C$24)*(100%-'Données projet'!$C$25)*(100%-'Données projet'!$C$26)*(100%-'Données projet'!$C$27)</f>
        <v>38.887468742865309</v>
      </c>
      <c r="H9" s="165">
        <f>IF(OR('Données projet'!B12="",'Données projet'!C12="",'Données projet'!C12=0%),0,AVERAGE(Calculateur!$CN$3:$CN$33)*B9)</f>
        <v>0</v>
      </c>
      <c r="I9" s="159">
        <f>H9*(100%-'Données projet'!$C$24)*(100%-'Données projet'!$C$25)*(100%-'Données projet'!$C$26)*(100%-'Données projet'!$C$27)</f>
        <v>0</v>
      </c>
      <c r="J9" s="160">
        <f>IF(OR('Données projet'!B12="",'Données projet'!C12="",'Données projet'!C12=0%),0,SUM(Calculateur!$CG$3:$CG$33)*VLOOKUP('Données projet'!$B$12,Paramètres!$A$1:$I$88,9,0)*B9)</f>
        <v>1.1459712500000001</v>
      </c>
      <c r="K9" s="161">
        <f>J9*(100%-'Données projet'!$C$24)*(100%-'Données projet'!$C$25)*(100%-'Données projet'!$C$26)*(100%-'Données projet'!$C$27)</f>
        <v>1.0313741250000001</v>
      </c>
      <c r="L9" s="162">
        <f t="shared" ca="1" si="2"/>
        <v>39.918842867865308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>
      <c r="A10" s="163" t="str">
        <f>IF('Données projet'!$B$13="","",'Données projet'!$B$13)</f>
        <v>Charme</v>
      </c>
      <c r="B10" s="164">
        <f>'Données projet'!D13</f>
        <v>0.133825</v>
      </c>
      <c r="C10" s="157">
        <f ca="1">IF(OR('Données projet'!B13="",'Données projet'!C13="",'Données projet'!C13=0%),0,Calculateur!CY3)</f>
        <v>470.0521927195926</v>
      </c>
      <c r="D10" s="157">
        <f>IF(OR('Données projet'!B13="",'Données projet'!C13="",'Données projet'!C13=0%),0,Calculateur!CZ3)</f>
        <v>299.27200854723435</v>
      </c>
      <c r="E10" s="157">
        <f t="shared" ca="1" si="0"/>
        <v>299.27200854723435</v>
      </c>
      <c r="F10" s="157">
        <f t="shared" ca="1" si="1"/>
        <v>40.05007654383364</v>
      </c>
      <c r="G10" s="157">
        <f ca="1">F10*(100%-'Données projet'!$C$24)*(100%-'Données projet'!$C$25)*(100%-'Données projet'!$C$26)*(100%-'Données projet'!$C$27)</f>
        <v>36.045068889450278</v>
      </c>
      <c r="H10" s="165">
        <f>IF(OR('Données projet'!B13="",'Données projet'!C13="",'Données projet'!C13=0%),0,AVERAGE(Calculateur!$DI$3:$DI$33)*B10)</f>
        <v>0</v>
      </c>
      <c r="I10" s="159">
        <f>H10*(100%-'Données projet'!$C$24)*(100%-'Données projet'!$C$25)*(100%-'Données projet'!$C$26)*(100%-'Données projet'!$C$27)</f>
        <v>0</v>
      </c>
      <c r="J10" s="160">
        <f>IF(OR('Données projet'!B13="",'Données projet'!C13="",'Données projet'!C13=0%),0,SUM(Calculateur!$DB$3:$DB$33)*VLOOKUP('Données projet'!$B$13,Paramètres!$A$1:$I$88,9,0)*B10)</f>
        <v>0.97023124999999999</v>
      </c>
      <c r="K10" s="161">
        <f>J10*(100%-'Données projet'!$C$24)*(100%-'Données projet'!$C$25)*(100%-'Données projet'!$C$26)*(100%-'Données projet'!$C$27)</f>
        <v>0.873208125</v>
      </c>
      <c r="L10" s="162">
        <f t="shared" ca="1" si="2"/>
        <v>36.918277014450275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>
      <c r="A11" s="163" t="str">
        <f>IF('Données projet'!$B$14="","",'Données projet'!$B$14)</f>
        <v>Alisier torminal</v>
      </c>
      <c r="B11" s="164">
        <f>'Données projet'!D14</f>
        <v>0.15806500000000001</v>
      </c>
      <c r="C11" s="157">
        <f ca="1">IF(OR('Données projet'!B14="",'Données projet'!C14="",'Données projet'!C14=0%),0,Calculateur!DT3)</f>
        <v>290.89727102147953</v>
      </c>
      <c r="D11" s="157">
        <f>IF(OR('Données projet'!B14="",'Données projet'!C14="",'Données projet'!C14=0%),0,Calculateur!DU3)</f>
        <v>173.19148969173838</v>
      </c>
      <c r="E11" s="157">
        <f t="shared" ca="1" si="0"/>
        <v>173.19148969173838</v>
      </c>
      <c r="F11" s="157">
        <f t="shared" ca="1" si="1"/>
        <v>27.37551281812463</v>
      </c>
      <c r="G11" s="157">
        <f ca="1">F11*(100%-'Données projet'!$C$24)*(100%-'Données projet'!$C$25)*(100%-'Données projet'!$C$26)*(100%-'Données projet'!$C$27)</f>
        <v>24.637961536312169</v>
      </c>
      <c r="H11" s="165">
        <f>IF(OR('Données projet'!B14="",'Données projet'!C14="",'Données projet'!C14=0%),0,AVERAGE(Calculateur!$ED$3:$ED$33)*B11)</f>
        <v>0</v>
      </c>
      <c r="I11" s="159">
        <f>H11*(100%-'Données projet'!$C$24)*(100%-'Données projet'!$C$25)*(100%-'Données projet'!$C$26)*(100%-'Données projet'!$C$27)</f>
        <v>0</v>
      </c>
      <c r="J11" s="160">
        <f>IF(OR('Données projet'!B14="",'Données projet'!C14="",'Données projet'!C14=0%),0,SUM(Calculateur!$DW$3:$DW$33)*VLOOKUP('Données projet'!$B$14,Paramètres!$A$1:$I$88,9,0)*B11)</f>
        <v>0</v>
      </c>
      <c r="K11" s="161">
        <f>J11*(100%-'Données projet'!$C$24)*(100%-'Données projet'!$C$25)*(100%-'Données projet'!$C$26)*(100%-'Données projet'!$C$27)</f>
        <v>0</v>
      </c>
      <c r="L11" s="162">
        <f t="shared" ca="1" si="2"/>
        <v>24.637961536312169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>
      <c r="A12" s="163" t="str">
        <f>IF('Données projet'!$B$15="","",'Données projet'!$B$15)</f>
        <v/>
      </c>
      <c r="B12" s="164">
        <f>'Données projet'!D15</f>
        <v>0</v>
      </c>
      <c r="C12" s="157">
        <f>IF(OR('Données projet'!B15="",'Données projet'!C15="",'Données projet'!C15=0%),0,Calculateur!EO3)</f>
        <v>0</v>
      </c>
      <c r="D12" s="157">
        <f>IF(OR('Données projet'!B15="",'Données projet'!C15="",'Données projet'!C15=0%),0,Calculateur!EP3)</f>
        <v>0</v>
      </c>
      <c r="E12" s="157">
        <f t="shared" si="0"/>
        <v>0</v>
      </c>
      <c r="F12" s="157">
        <f t="shared" si="1"/>
        <v>0</v>
      </c>
      <c r="G12" s="157">
        <f>F12*(100%-'Données projet'!$C$24)*(100%-'Données projet'!$C$25)*(100%-'Données projet'!$C$26)*(100%-'Données projet'!$C$27)</f>
        <v>0</v>
      </c>
      <c r="H12" s="165">
        <f>IF(OR('Données projet'!B15="",'Données projet'!C15="",'Données projet'!C15=0%),0,AVERAGE(Calculateur!$EY$3:$EY$33)*B12)</f>
        <v>0</v>
      </c>
      <c r="I12" s="159">
        <f>H12*(100%-'Données projet'!$C$24)*(100%-'Données projet'!$C$25)*(100%-'Données projet'!$C$26)*(100%-'Données projet'!$C$27)</f>
        <v>0</v>
      </c>
      <c r="J12" s="160">
        <f>IF(OR('Données projet'!B15="",'Données projet'!C15="",'Données projet'!C15=0%),0,SUM(Calculateur!$ER$3:$ER$33)*VLOOKUP('Données projet'!$B$15,Paramètres!$A$1:$I$88,9,0)*B12)</f>
        <v>0</v>
      </c>
      <c r="K12" s="161">
        <f>J12*(100%-'Données projet'!$C$24)*(100%-'Données projet'!$C$25)*(100%-'Données projet'!$C$26)*(100%-'Données projet'!$C$27)</f>
        <v>0</v>
      </c>
      <c r="L12" s="162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>
      <c r="A13" s="163" t="str">
        <f>IF('Données projet'!$B$16="","",'Données projet'!$B$16)</f>
        <v/>
      </c>
      <c r="B13" s="164">
        <f>'Données projet'!D16</f>
        <v>0</v>
      </c>
      <c r="C13" s="157">
        <f>IF(OR('Données projet'!B16="",'Données projet'!C16="",'Données projet'!C16=0%),0,Calculateur!FJ3)</f>
        <v>0</v>
      </c>
      <c r="D13" s="157">
        <f>IF(OR('Données projet'!B16="",'Données projet'!C16="",'Données projet'!C16=0%),0,Calculateur!FK3)</f>
        <v>0</v>
      </c>
      <c r="E13" s="157">
        <f t="shared" si="0"/>
        <v>0</v>
      </c>
      <c r="F13" s="157">
        <f t="shared" si="1"/>
        <v>0</v>
      </c>
      <c r="G13" s="157">
        <f>F13*(100%-'Données projet'!$C$24)*(100%-'Données projet'!$C$25)*(100%-'Données projet'!$C$26)*(100%-'Données projet'!$C$27)</f>
        <v>0</v>
      </c>
      <c r="H13" s="165">
        <f>IF(OR('Données projet'!B16="",'Données projet'!C16="",'Données projet'!C16=0%),0,AVERAGE(Calculateur!$FT$3:$FT$33)*B13)</f>
        <v>0</v>
      </c>
      <c r="I13" s="159">
        <f>H13*(100%-'Données projet'!$C$24)*(100%-'Données projet'!$C$25)*(100%-'Données projet'!$C$26)*(100%-'Données projet'!$C$27)</f>
        <v>0</v>
      </c>
      <c r="J13" s="160">
        <f>IF(OR('Données projet'!C16="",'Données projet'!C16=0%),0,SUM(Calculateur!$FM$3:$FM$33)*VLOOKUP('Données projet'!$B$16,Paramètres!$A$1:$I$88,9,0)*B13)</f>
        <v>0</v>
      </c>
      <c r="K13" s="161">
        <f>J13*(100%-'Données projet'!$C$24)*(100%-'Données projet'!$C$25)*(100%-'Données projet'!$C$26)*(100%-'Données projet'!$C$27)</f>
        <v>0</v>
      </c>
      <c r="L13" s="162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>
      <c r="A14" s="163" t="str">
        <f>IF('Données projet'!$B$17="","",'Données projet'!$B$17)</f>
        <v/>
      </c>
      <c r="B14" s="164">
        <f>'Données projet'!D17</f>
        <v>0</v>
      </c>
      <c r="C14" s="157">
        <f>IF(OR('Données projet'!B17="",'Données projet'!C17="",'Données projet'!C17=0%),0,Calculateur!GE3)</f>
        <v>0</v>
      </c>
      <c r="D14" s="157">
        <f>IF(OR('Données projet'!B17="",'Données projet'!C17="",'Données projet'!C17=0%),0,Calculateur!GF3)</f>
        <v>0</v>
      </c>
      <c r="E14" s="157">
        <f t="shared" si="0"/>
        <v>0</v>
      </c>
      <c r="F14" s="157">
        <f t="shared" si="1"/>
        <v>0</v>
      </c>
      <c r="G14" s="157">
        <f>F14*(100%-'Données projet'!$C$24)*(100%-'Données projet'!$C$25)*(100%-'Données projet'!$C$26)*(100%-'Données projet'!$C$27)</f>
        <v>0</v>
      </c>
      <c r="H14" s="165">
        <f>IF(OR('Données projet'!B17="",'Données projet'!C17="",'Données projet'!C17=0%),0,AVERAGE(Calculateur!$GO$3:$GO$33)*B14)</f>
        <v>0</v>
      </c>
      <c r="I14" s="159">
        <f>H14*(100%-'Données projet'!$C$24)*(100%-'Données projet'!$C$25)*(100%-'Données projet'!$C$26)*(100%-'Données projet'!$C$27)</f>
        <v>0</v>
      </c>
      <c r="J14" s="160">
        <f>IF(OR('Données projet'!B17="",'Données projet'!C17="",'Données projet'!C17=0%),0,SUM(Calculateur!$GH$3:$GH$33)*VLOOKUP('Données projet'!$B$17,Paramètres!$A$1:$I$88,9,0)*B14)</f>
        <v>0</v>
      </c>
      <c r="K14" s="161">
        <f>J14*(100%-'Données projet'!$C$24)*(100%-'Données projet'!$C$25)*(100%-'Données projet'!$C$26)*(100%-'Données projet'!$C$27)</f>
        <v>0</v>
      </c>
      <c r="L14" s="162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6" thickBot="1">
      <c r="A15" s="166" t="str">
        <f>IF('Données projet'!B18="","",'Données projet'!B18)</f>
        <v/>
      </c>
      <c r="B15" s="167">
        <f>'Données projet'!D18</f>
        <v>0</v>
      </c>
      <c r="C15" s="168">
        <f>IF(OR('Données projet'!B18="",'Données projet'!C18="",'Données projet'!C18=0%),0,Calculateur!GZ3)</f>
        <v>0</v>
      </c>
      <c r="D15" s="168">
        <f>IF(OR('Données projet'!B18="",'Données projet'!C18="",'Données projet'!C18=0%),0,Calculateur!HA3)</f>
        <v>0</v>
      </c>
      <c r="E15" s="168">
        <f t="shared" si="0"/>
        <v>0</v>
      </c>
      <c r="F15" s="169">
        <f t="shared" si="1"/>
        <v>0</v>
      </c>
      <c r="G15" s="169">
        <f>F15*(100%-'Données projet'!$C$24)*(100%-'Données projet'!$C$25)*(100%-'Données projet'!$C$26)*(100%-'Données projet'!$C$27)</f>
        <v>0</v>
      </c>
      <c r="H15" s="170">
        <f>IF(OR('Données projet'!B18="",'Données projet'!C18="",'Données projet'!C18=0%),0,AVERAGE(Calculateur!$HJ$3:$HJ$33)*B15)</f>
        <v>0</v>
      </c>
      <c r="I15" s="171">
        <f>H15*(100%-'Données projet'!$C$24)*(100%-'Données projet'!$C$25)*(100%-'Données projet'!$C$26)*(100%-'Données projet'!$C$27)</f>
        <v>0</v>
      </c>
      <c r="J15" s="172">
        <f>IF(OR('Données projet'!B18="",'Données projet'!C18="",'Données projet'!C18=0%),0,SUM(Calculateur!$HC$3:$HC$33)*VLOOKUP('Données projet'!$B$18,Paramètres!$A$1:$I$88,9,0)*B15)</f>
        <v>0</v>
      </c>
      <c r="K15" s="173">
        <f>J15*(100%-'Données projet'!$C$24)*(100%-'Données projet'!$C$25)*(100%-'Données projet'!$C$26)*(100%-'Données projet'!$C$27)</f>
        <v>0</v>
      </c>
      <c r="L15" s="174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6" thickBot="1">
      <c r="A16" s="237"/>
      <c r="B16" s="247"/>
      <c r="C16" s="248"/>
      <c r="D16" s="25"/>
      <c r="E16" s="25"/>
      <c r="F16" s="175">
        <f t="shared" ref="F16:L16" ca="1" si="3">SUM(F6:F15)</f>
        <v>1303.1196698129543</v>
      </c>
      <c r="G16" s="176">
        <f t="shared" ca="1" si="3"/>
        <v>1172.8077028316586</v>
      </c>
      <c r="H16" s="177">
        <f t="shared" si="3"/>
        <v>31.480364324733383</v>
      </c>
      <c r="I16" s="177">
        <f t="shared" si="3"/>
        <v>28.332327892260043</v>
      </c>
      <c r="J16" s="178">
        <f t="shared" si="3"/>
        <v>250.61894569999998</v>
      </c>
      <c r="K16" s="178">
        <f t="shared" si="3"/>
        <v>225.55705112999999</v>
      </c>
      <c r="L16" s="179">
        <f t="shared" ca="1" si="3"/>
        <v>1426.6970818539185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>
      <c r="A17" s="237"/>
      <c r="B17" s="247"/>
      <c r="C17" s="248"/>
      <c r="D17" s="244"/>
      <c r="E17" s="244"/>
      <c r="F17" s="298" t="s">
        <v>246</v>
      </c>
      <c r="G17" s="299"/>
      <c r="H17" s="299"/>
      <c r="I17" s="299"/>
      <c r="J17" s="299"/>
      <c r="K17" s="299"/>
      <c r="L17" s="299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>
      <c r="A18" s="237"/>
      <c r="B18" s="247"/>
      <c r="C18" s="248"/>
      <c r="D18" s="244"/>
      <c r="E18" s="244"/>
      <c r="F18" s="300"/>
      <c r="G18" s="300"/>
      <c r="H18" s="300"/>
      <c r="I18" s="300"/>
      <c r="J18" s="300"/>
      <c r="K18" s="300"/>
      <c r="L18" s="300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>
      <c r="A19" s="25"/>
      <c r="B19" s="25"/>
      <c r="C19" s="25"/>
      <c r="D19" s="25"/>
      <c r="E19" s="25"/>
      <c r="F19" s="25"/>
      <c r="G19" s="25"/>
      <c r="H19" s="25"/>
      <c r="I19" s="244"/>
      <c r="J19" s="244"/>
      <c r="K19" s="244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6" thickBot="1">
      <c r="A20" s="25"/>
      <c r="B20" s="25"/>
      <c r="C20" s="25"/>
      <c r="D20" s="25"/>
      <c r="E20" s="25"/>
      <c r="F20" s="25"/>
      <c r="G20" s="25"/>
      <c r="H20" s="25"/>
      <c r="I20" s="244"/>
      <c r="J20" s="244"/>
      <c r="K20" s="244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6" thickBot="1">
      <c r="A21" s="180" t="str">
        <f>A6</f>
        <v>Pin laricio</v>
      </c>
      <c r="B21" s="5"/>
      <c r="C21" s="5"/>
      <c r="D21" s="5"/>
      <c r="E21" s="5"/>
      <c r="F21" s="5"/>
      <c r="G21" s="5"/>
      <c r="H21" s="5"/>
      <c r="I21" s="244"/>
      <c r="J21" s="244"/>
      <c r="K21" s="244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>
      <c r="A22" s="5"/>
      <c r="B22" s="5"/>
      <c r="C22" s="5"/>
      <c r="D22" s="5"/>
      <c r="E22" s="5"/>
      <c r="F22" s="5"/>
      <c r="G22" s="5"/>
      <c r="H22" s="5"/>
      <c r="I22" s="244"/>
      <c r="J22" s="244"/>
      <c r="K22" s="244"/>
      <c r="L22" s="244"/>
      <c r="M22" s="244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>
      <c r="A23" s="5"/>
      <c r="B23" s="5"/>
      <c r="C23" s="5"/>
      <c r="D23" s="5"/>
      <c r="E23" s="5"/>
      <c r="F23" s="5"/>
      <c r="G23" s="5"/>
      <c r="H23" s="5"/>
      <c r="I23" s="244"/>
      <c r="J23" s="244"/>
      <c r="K23" s="244"/>
      <c r="L23" s="244"/>
      <c r="M23" s="244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>
      <c r="A24" s="5"/>
      <c r="B24" s="5"/>
      <c r="C24" s="5"/>
      <c r="D24" s="5"/>
      <c r="E24" s="5"/>
      <c r="F24" s="5"/>
      <c r="G24" s="5"/>
      <c r="H24" s="5"/>
      <c r="I24" s="244"/>
      <c r="J24" s="244"/>
      <c r="K24" s="244"/>
      <c r="L24" s="244"/>
      <c r="M24" s="244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>
      <c r="A25" s="5"/>
      <c r="B25" s="5"/>
      <c r="C25" s="5"/>
      <c r="D25" s="5"/>
      <c r="E25" s="5"/>
      <c r="F25" s="5"/>
      <c r="G25" s="5"/>
      <c r="H25" s="5"/>
      <c r="I25" s="244"/>
      <c r="J25" s="244"/>
      <c r="K25" s="244"/>
      <c r="L25" s="244"/>
      <c r="M25" s="244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>
      <c r="A26" s="5"/>
      <c r="B26" s="5"/>
      <c r="C26" s="5"/>
      <c r="D26" s="5"/>
      <c r="E26" s="5"/>
      <c r="F26" s="5"/>
      <c r="G26" s="5"/>
      <c r="H26" s="5"/>
      <c r="I26" s="244"/>
      <c r="J26" s="244"/>
      <c r="K26" s="244"/>
      <c r="L26" s="244"/>
      <c r="M26" s="244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>
      <c r="A27" s="5"/>
      <c r="B27" s="5"/>
      <c r="C27" s="5"/>
      <c r="D27" s="5"/>
      <c r="E27" s="5"/>
      <c r="F27" s="5"/>
      <c r="G27" s="5"/>
      <c r="H27" s="5"/>
      <c r="I27" s="244"/>
      <c r="J27" s="244"/>
      <c r="K27" s="244"/>
      <c r="L27" s="244"/>
      <c r="M27" s="244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>
      <c r="A28" s="5"/>
      <c r="B28" s="5"/>
      <c r="C28" s="5"/>
      <c r="D28" s="5"/>
      <c r="E28" s="5"/>
      <c r="F28" s="5"/>
      <c r="G28" s="5"/>
      <c r="H28" s="5"/>
      <c r="I28" s="244"/>
      <c r="J28" s="244"/>
      <c r="K28" s="244"/>
      <c r="L28" s="244"/>
      <c r="M28" s="244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>
      <c r="A29" s="5"/>
      <c r="B29" s="5"/>
      <c r="C29" s="5"/>
      <c r="D29" s="5"/>
      <c r="E29" s="5"/>
      <c r="F29" s="5"/>
      <c r="G29" s="5"/>
      <c r="H29" s="5"/>
      <c r="I29" s="244"/>
      <c r="J29" s="244"/>
      <c r="K29" s="244"/>
      <c r="L29" s="244"/>
      <c r="M29" s="244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>
      <c r="A30" s="5"/>
      <c r="B30" s="5"/>
      <c r="C30" s="5"/>
      <c r="D30" s="5"/>
      <c r="E30" s="5"/>
      <c r="F30" s="5"/>
      <c r="G30" s="5"/>
      <c r="H30" s="5"/>
      <c r="I30" s="244"/>
      <c r="J30" s="244"/>
      <c r="K30" s="244"/>
      <c r="L30" s="244"/>
      <c r="M30" s="244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>
      <c r="A31" s="5"/>
      <c r="B31" s="5"/>
      <c r="C31" s="5"/>
      <c r="D31" s="5"/>
      <c r="E31" s="5"/>
      <c r="F31" s="5"/>
      <c r="G31" s="5"/>
      <c r="H31" s="5"/>
      <c r="I31" s="244"/>
      <c r="J31" s="244"/>
      <c r="K31" s="244"/>
      <c r="L31" s="244"/>
      <c r="M31" s="244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>
      <c r="A32" s="5"/>
      <c r="B32" s="5"/>
      <c r="C32" s="5"/>
      <c r="D32" s="5"/>
      <c r="E32" s="5"/>
      <c r="F32" s="5"/>
      <c r="G32" s="5"/>
      <c r="H32" s="5"/>
      <c r="I32" s="244"/>
      <c r="J32" s="244"/>
      <c r="K32" s="244"/>
      <c r="L32" s="244"/>
      <c r="M32" s="244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>
      <c r="A33" s="5"/>
      <c r="B33" s="5"/>
      <c r="C33" s="5"/>
      <c r="D33" s="5"/>
      <c r="E33" s="5"/>
      <c r="F33" s="5"/>
      <c r="G33" s="5"/>
      <c r="H33" s="5"/>
      <c r="I33" s="244"/>
      <c r="J33" s="244"/>
      <c r="K33" s="244"/>
      <c r="L33" s="244"/>
      <c r="M33" s="244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>
      <c r="A34" s="5"/>
      <c r="B34" s="5"/>
      <c r="C34" s="5"/>
      <c r="D34" s="5"/>
      <c r="E34" s="5"/>
      <c r="F34" s="5"/>
      <c r="G34" s="5"/>
      <c r="H34" s="5"/>
      <c r="I34" s="244"/>
      <c r="J34" s="244"/>
      <c r="K34" s="244"/>
      <c r="L34" s="244"/>
      <c r="M34" s="244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>
      <c r="A35" s="5"/>
      <c r="B35" s="5"/>
      <c r="C35" s="5"/>
      <c r="D35" s="5"/>
      <c r="E35" s="5"/>
      <c r="F35" s="5"/>
      <c r="G35" s="5"/>
      <c r="H35" s="5"/>
      <c r="I35" s="244"/>
      <c r="J35" s="244"/>
      <c r="K35" s="244"/>
      <c r="L35" s="244"/>
      <c r="M35" s="244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>
      <c r="A36" s="5"/>
      <c r="B36" s="5"/>
      <c r="C36" s="5"/>
      <c r="D36" s="5"/>
      <c r="E36" s="5"/>
      <c r="F36" s="5"/>
      <c r="G36" s="5"/>
      <c r="H36" s="5"/>
      <c r="I36" s="244"/>
      <c r="J36" s="244"/>
      <c r="K36" s="244"/>
      <c r="L36" s="244"/>
      <c r="M36" s="244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>
      <c r="A37" s="5"/>
      <c r="B37" s="5"/>
      <c r="C37" s="5"/>
      <c r="D37" s="5"/>
      <c r="E37" s="5"/>
      <c r="F37" s="5"/>
      <c r="G37" s="5"/>
      <c r="H37" s="5"/>
      <c r="I37" s="244"/>
      <c r="J37" s="244"/>
      <c r="K37" s="244"/>
      <c r="L37" s="244"/>
      <c r="M37" s="244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6" thickBot="1">
      <c r="A38" s="5"/>
      <c r="B38" s="5"/>
      <c r="C38" s="5"/>
      <c r="D38" s="5"/>
      <c r="E38" s="5"/>
      <c r="F38" s="5"/>
      <c r="G38" s="5"/>
      <c r="H38" s="5"/>
      <c r="I38" s="244"/>
      <c r="J38" s="244"/>
      <c r="K38" s="244"/>
      <c r="L38" s="244"/>
      <c r="M38" s="244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6" thickBot="1">
      <c r="A39" s="180" t="str">
        <f>A7</f>
        <v>Cèdre de l'Atlas</v>
      </c>
      <c r="B39" s="5"/>
      <c r="C39" s="5"/>
      <c r="D39" s="5"/>
      <c r="E39" s="5"/>
      <c r="F39" s="5"/>
      <c r="G39" s="5"/>
      <c r="H39" s="5"/>
      <c r="I39" s="244"/>
      <c r="J39" s="244"/>
      <c r="K39" s="244"/>
      <c r="L39" s="244"/>
      <c r="M39" s="244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>
      <c r="A40" s="5"/>
      <c r="B40" s="5"/>
      <c r="C40" s="5"/>
      <c r="D40" s="5"/>
      <c r="E40" s="5"/>
      <c r="F40" s="5"/>
      <c r="G40" s="5"/>
      <c r="H40" s="5"/>
      <c r="I40" s="244"/>
      <c r="J40" s="244"/>
      <c r="K40" s="244"/>
      <c r="L40" s="244"/>
      <c r="M40" s="244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>
      <c r="A41" s="5"/>
      <c r="B41" s="5"/>
      <c r="C41" s="5"/>
      <c r="D41" s="5"/>
      <c r="E41" s="5"/>
      <c r="F41" s="5"/>
      <c r="G41" s="5"/>
      <c r="H41" s="5"/>
      <c r="I41" s="244"/>
      <c r="J41" s="244"/>
      <c r="K41" s="244"/>
      <c r="L41" s="244"/>
      <c r="M41" s="244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>
      <c r="A42" s="5"/>
      <c r="B42" s="5"/>
      <c r="C42" s="5"/>
      <c r="D42" s="5"/>
      <c r="E42" s="5"/>
      <c r="F42" s="5"/>
      <c r="G42" s="5"/>
      <c r="H42" s="5"/>
      <c r="I42" s="244"/>
      <c r="J42" s="244"/>
      <c r="K42" s="244"/>
      <c r="L42" s="244"/>
      <c r="M42" s="244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>
      <c r="A43" s="5"/>
      <c r="B43" s="5"/>
      <c r="C43" s="5"/>
      <c r="D43" s="5"/>
      <c r="E43" s="5"/>
      <c r="F43" s="5"/>
      <c r="G43" s="5"/>
      <c r="H43" s="5"/>
      <c r="I43" s="244"/>
      <c r="J43" s="244"/>
      <c r="K43" s="244"/>
      <c r="L43" s="244"/>
      <c r="M43" s="244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>
      <c r="A44" s="5"/>
      <c r="B44" s="5"/>
      <c r="C44" s="5"/>
      <c r="D44" s="5"/>
      <c r="E44" s="5"/>
      <c r="F44" s="5"/>
      <c r="G44" s="5"/>
      <c r="H44" s="5"/>
      <c r="I44" s="244"/>
      <c r="J44" s="244"/>
      <c r="K44" s="244"/>
      <c r="L44" s="244"/>
      <c r="M44" s="244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>
      <c r="A45" s="5"/>
      <c r="B45" s="5"/>
      <c r="C45" s="5"/>
      <c r="D45" s="5"/>
      <c r="E45" s="5"/>
      <c r="F45" s="5"/>
      <c r="G45" s="5"/>
      <c r="H45" s="5"/>
      <c r="I45" s="244"/>
      <c r="J45" s="244"/>
      <c r="K45" s="244"/>
      <c r="L45" s="244"/>
      <c r="M45" s="244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>
      <c r="A46" s="5"/>
      <c r="B46" s="5"/>
      <c r="C46" s="5"/>
      <c r="D46" s="5"/>
      <c r="E46" s="5"/>
      <c r="F46" s="5"/>
      <c r="G46" s="5"/>
      <c r="H46" s="5"/>
      <c r="I46" s="244"/>
      <c r="J46" s="244"/>
      <c r="K46" s="244"/>
      <c r="L46" s="244"/>
      <c r="M46" s="244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>
      <c r="A47" s="5"/>
      <c r="B47" s="5"/>
      <c r="C47" s="5"/>
      <c r="D47" s="5"/>
      <c r="E47" s="5"/>
      <c r="F47" s="5"/>
      <c r="G47" s="5"/>
      <c r="H47" s="5"/>
      <c r="I47" s="244"/>
      <c r="J47" s="244"/>
      <c r="K47" s="244"/>
      <c r="L47" s="244"/>
      <c r="M47" s="244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>
      <c r="A48" s="5"/>
      <c r="B48" s="5"/>
      <c r="C48" s="5"/>
      <c r="D48" s="5"/>
      <c r="E48" s="5"/>
      <c r="F48" s="5"/>
      <c r="G48" s="5"/>
      <c r="H48" s="5"/>
      <c r="I48" s="244"/>
      <c r="J48" s="244"/>
      <c r="K48" s="244"/>
      <c r="L48" s="244"/>
      <c r="M48" s="244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>
      <c r="A49" s="5"/>
      <c r="B49" s="5"/>
      <c r="C49" s="5"/>
      <c r="D49" s="5"/>
      <c r="E49" s="5"/>
      <c r="F49" s="5"/>
      <c r="G49" s="5"/>
      <c r="H49" s="5"/>
      <c r="I49" s="244"/>
      <c r="J49" s="244"/>
      <c r="K49" s="244"/>
      <c r="L49" s="244"/>
      <c r="M49" s="244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>
      <c r="A50" s="5"/>
      <c r="B50" s="5"/>
      <c r="C50" s="5"/>
      <c r="D50" s="5"/>
      <c r="E50" s="5"/>
      <c r="F50" s="5"/>
      <c r="G50" s="5"/>
      <c r="H50" s="5"/>
      <c r="I50" s="244"/>
      <c r="J50" s="244"/>
      <c r="K50" s="244"/>
      <c r="L50" s="244"/>
      <c r="M50" s="244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>
      <c r="A51" s="5"/>
      <c r="B51" s="5"/>
      <c r="C51" s="5"/>
      <c r="D51" s="5"/>
      <c r="E51" s="5"/>
      <c r="F51" s="5"/>
      <c r="G51" s="5"/>
      <c r="H51" s="5"/>
      <c r="I51" s="244"/>
      <c r="J51" s="244"/>
      <c r="K51" s="244"/>
      <c r="L51" s="244"/>
      <c r="M51" s="244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>
      <c r="A52" s="5"/>
      <c r="B52" s="5"/>
      <c r="C52" s="5"/>
      <c r="D52" s="5"/>
      <c r="E52" s="5"/>
      <c r="F52" s="5"/>
      <c r="G52" s="5"/>
      <c r="H52" s="5"/>
      <c r="I52" s="244"/>
      <c r="J52" s="244"/>
      <c r="K52" s="244"/>
      <c r="L52" s="244"/>
      <c r="M52" s="244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>
      <c r="A53" s="5"/>
      <c r="B53" s="5"/>
      <c r="C53" s="5"/>
      <c r="D53" s="5"/>
      <c r="E53" s="5"/>
      <c r="F53" s="5"/>
      <c r="G53" s="5"/>
      <c r="H53" s="5"/>
      <c r="I53" s="244"/>
      <c r="J53" s="244"/>
      <c r="K53" s="244"/>
      <c r="L53" s="244"/>
      <c r="M53" s="244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>
      <c r="A54" s="5"/>
      <c r="B54" s="5"/>
      <c r="C54" s="5"/>
      <c r="D54" s="5"/>
      <c r="E54" s="5"/>
      <c r="F54" s="5"/>
      <c r="G54" s="5"/>
      <c r="H54" s="5"/>
      <c r="I54" s="244"/>
      <c r="J54" s="244"/>
      <c r="K54" s="244"/>
      <c r="L54" s="244"/>
      <c r="M54" s="244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>
      <c r="A55" s="5"/>
      <c r="B55" s="5"/>
      <c r="C55" s="5"/>
      <c r="D55" s="5"/>
      <c r="E55" s="5"/>
      <c r="F55" s="5"/>
      <c r="G55" s="5"/>
      <c r="H55" s="5"/>
      <c r="I55" s="244"/>
      <c r="J55" s="244"/>
      <c r="K55" s="244"/>
      <c r="L55" s="244"/>
      <c r="M55" s="244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6" thickBot="1">
      <c r="A56" s="5"/>
      <c r="B56" s="5"/>
      <c r="C56" s="5"/>
      <c r="D56" s="5"/>
      <c r="E56" s="5"/>
      <c r="F56" s="5"/>
      <c r="G56" s="5"/>
      <c r="H56" s="5"/>
      <c r="I56" s="244"/>
      <c r="J56" s="244"/>
      <c r="K56" s="244"/>
      <c r="L56" s="244"/>
      <c r="M56" s="244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6" thickBot="1">
      <c r="A57" s="180" t="str">
        <f>A8</f>
        <v>Chêne sessile</v>
      </c>
      <c r="B57" s="5"/>
      <c r="C57" s="5"/>
      <c r="D57" s="5"/>
      <c r="E57" s="5"/>
      <c r="F57" s="5"/>
      <c r="G57" s="5"/>
      <c r="H57" s="5"/>
      <c r="I57" s="244"/>
      <c r="J57" s="244"/>
      <c r="K57" s="244"/>
      <c r="L57" s="244"/>
      <c r="M57" s="244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>
      <c r="A58" s="5"/>
      <c r="B58" s="5"/>
      <c r="C58" s="5"/>
      <c r="D58" s="5"/>
      <c r="E58" s="5"/>
      <c r="F58" s="5"/>
      <c r="G58" s="5"/>
      <c r="H58" s="5"/>
      <c r="I58" s="244"/>
      <c r="J58" s="244"/>
      <c r="K58" s="244"/>
      <c r="L58" s="244"/>
      <c r="M58" s="244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>
      <c r="A59" s="5"/>
      <c r="B59" s="5"/>
      <c r="C59" s="5"/>
      <c r="D59" s="5"/>
      <c r="E59" s="5"/>
      <c r="F59" s="5"/>
      <c r="G59" s="5"/>
      <c r="H59" s="5"/>
      <c r="I59" s="244"/>
      <c r="J59" s="244"/>
      <c r="K59" s="244"/>
      <c r="L59" s="244"/>
      <c r="M59" s="244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>
      <c r="A60" s="5"/>
      <c r="B60" s="5"/>
      <c r="C60" s="5"/>
      <c r="D60" s="5"/>
      <c r="E60" s="5"/>
      <c r="F60" s="5"/>
      <c r="G60" s="5"/>
      <c r="H60" s="5"/>
      <c r="I60" s="244"/>
      <c r="J60" s="244"/>
      <c r="K60" s="244"/>
      <c r="L60" s="244"/>
      <c r="M60" s="244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>
      <c r="A61" s="5"/>
      <c r="B61" s="5"/>
      <c r="C61" s="5"/>
      <c r="D61" s="5"/>
      <c r="E61" s="5"/>
      <c r="F61" s="5"/>
      <c r="G61" s="5"/>
      <c r="H61" s="5"/>
      <c r="I61" s="244"/>
      <c r="J61" s="244"/>
      <c r="K61" s="244"/>
      <c r="L61" s="244"/>
      <c r="M61" s="244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>
      <c r="A62" s="5"/>
      <c r="B62" s="5"/>
      <c r="C62" s="5"/>
      <c r="D62" s="5"/>
      <c r="E62" s="5"/>
      <c r="F62" s="5"/>
      <c r="G62" s="5"/>
      <c r="H62" s="5"/>
      <c r="I62" s="244"/>
      <c r="J62" s="244"/>
      <c r="K62" s="244"/>
      <c r="L62" s="244"/>
      <c r="M62" s="244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>
      <c r="A63" s="5"/>
      <c r="B63" s="5"/>
      <c r="C63" s="5"/>
      <c r="D63" s="5"/>
      <c r="E63" s="5"/>
      <c r="F63" s="5"/>
      <c r="G63" s="5"/>
      <c r="H63" s="5"/>
      <c r="I63" s="244"/>
      <c r="J63" s="244"/>
      <c r="K63" s="244"/>
      <c r="L63" s="244"/>
      <c r="M63" s="244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>
      <c r="A64" s="5"/>
      <c r="B64" s="5"/>
      <c r="C64" s="5"/>
      <c r="D64" s="5"/>
      <c r="E64" s="5"/>
      <c r="F64" s="5"/>
      <c r="G64" s="5"/>
      <c r="H64" s="5"/>
      <c r="I64" s="244"/>
      <c r="J64" s="244"/>
      <c r="K64" s="244"/>
      <c r="L64" s="244"/>
      <c r="M64" s="244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>
      <c r="A65" s="5"/>
      <c r="B65" s="5"/>
      <c r="C65" s="5"/>
      <c r="D65" s="5"/>
      <c r="E65" s="5"/>
      <c r="F65" s="5"/>
      <c r="G65" s="5"/>
      <c r="H65" s="5"/>
      <c r="I65" s="244"/>
      <c r="J65" s="244"/>
      <c r="K65" s="244"/>
      <c r="L65" s="244"/>
      <c r="M65" s="244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>
      <c r="A66" s="5"/>
      <c r="B66" s="5"/>
      <c r="C66" s="5"/>
      <c r="D66" s="5"/>
      <c r="E66" s="5"/>
      <c r="F66" s="5"/>
      <c r="G66" s="5"/>
      <c r="H66" s="5"/>
      <c r="I66" s="244"/>
      <c r="J66" s="244"/>
      <c r="K66" s="244"/>
      <c r="L66" s="244"/>
      <c r="M66" s="244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>
      <c r="A67" s="5"/>
      <c r="B67" s="5"/>
      <c r="C67" s="5"/>
      <c r="D67" s="5"/>
      <c r="E67" s="5"/>
      <c r="F67" s="5"/>
      <c r="G67" s="5"/>
      <c r="H67" s="5"/>
      <c r="I67" s="244"/>
      <c r="J67" s="244"/>
      <c r="K67" s="244"/>
      <c r="L67" s="244"/>
      <c r="M67" s="244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>
      <c r="A68" s="5"/>
      <c r="B68" s="5"/>
      <c r="C68" s="5"/>
      <c r="D68" s="5"/>
      <c r="E68" s="5"/>
      <c r="F68" s="5"/>
      <c r="G68" s="5"/>
      <c r="H68" s="5"/>
      <c r="I68" s="244"/>
      <c r="J68" s="244"/>
      <c r="K68" s="244"/>
      <c r="L68" s="244"/>
      <c r="M68" s="244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>
      <c r="A69" s="5"/>
      <c r="B69" s="5"/>
      <c r="C69" s="5"/>
      <c r="D69" s="5"/>
      <c r="E69" s="5"/>
      <c r="F69" s="5"/>
      <c r="G69" s="5"/>
      <c r="H69" s="5"/>
      <c r="I69" s="244"/>
      <c r="J69" s="244"/>
      <c r="K69" s="244"/>
      <c r="L69" s="244"/>
      <c r="M69" s="244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>
      <c r="A70" s="5"/>
      <c r="B70" s="5"/>
      <c r="C70" s="5"/>
      <c r="D70" s="5"/>
      <c r="E70" s="5"/>
      <c r="F70" s="5"/>
      <c r="G70" s="5"/>
      <c r="H70" s="5"/>
      <c r="I70" s="244"/>
      <c r="J70" s="244"/>
      <c r="K70" s="244"/>
      <c r="L70" s="244"/>
      <c r="M70" s="244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>
      <c r="A71" s="5"/>
      <c r="B71" s="5"/>
      <c r="C71" s="5"/>
      <c r="D71" s="5"/>
      <c r="E71" s="5"/>
      <c r="F71" s="5"/>
      <c r="G71" s="5"/>
      <c r="H71" s="5"/>
      <c r="I71" s="244"/>
      <c r="J71" s="244"/>
      <c r="K71" s="244"/>
      <c r="L71" s="244"/>
      <c r="M71" s="244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>
      <c r="A72" s="5"/>
      <c r="B72" s="5"/>
      <c r="C72" s="5"/>
      <c r="D72" s="5"/>
      <c r="E72" s="5"/>
      <c r="F72" s="5"/>
      <c r="G72" s="5"/>
      <c r="H72" s="5"/>
      <c r="I72" s="244"/>
      <c r="J72" s="244"/>
      <c r="K72" s="244"/>
      <c r="L72" s="244"/>
      <c r="M72" s="244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>
      <c r="A73" s="5"/>
      <c r="B73" s="5"/>
      <c r="C73" s="5"/>
      <c r="D73" s="5"/>
      <c r="E73" s="5"/>
      <c r="F73" s="5"/>
      <c r="G73" s="5"/>
      <c r="H73" s="5"/>
      <c r="I73" s="244"/>
      <c r="J73" s="244"/>
      <c r="K73" s="244"/>
      <c r="L73" s="244"/>
      <c r="M73" s="244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>
      <c r="A74" s="5"/>
      <c r="B74" s="5"/>
      <c r="C74" s="5"/>
      <c r="D74" s="5"/>
      <c r="E74" s="5"/>
      <c r="F74" s="5"/>
      <c r="G74" s="5"/>
      <c r="H74" s="5"/>
      <c r="I74" s="244"/>
      <c r="J74" s="244"/>
      <c r="K74" s="244"/>
      <c r="L74" s="244"/>
      <c r="M74" s="244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6" thickBot="1">
      <c r="A75" s="5"/>
      <c r="B75" s="5"/>
      <c r="C75" s="5"/>
      <c r="D75" s="5"/>
      <c r="E75" s="5"/>
      <c r="F75" s="5"/>
      <c r="G75" s="5"/>
      <c r="H75" s="5"/>
      <c r="I75" s="244"/>
      <c r="J75" s="244"/>
      <c r="K75" s="244"/>
      <c r="L75" s="244"/>
      <c r="M75" s="244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6" thickBot="1">
      <c r="A76" s="180" t="str">
        <f>A9</f>
        <v>Chêne pubescent</v>
      </c>
      <c r="B76" s="5"/>
      <c r="C76" s="5"/>
      <c r="D76" s="5"/>
      <c r="E76" s="5"/>
      <c r="F76" s="5"/>
      <c r="G76" s="5"/>
      <c r="H76" s="5"/>
      <c r="I76" s="244"/>
      <c r="J76" s="244"/>
      <c r="K76" s="244"/>
      <c r="L76" s="244"/>
      <c r="M76" s="244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>
      <c r="A77" s="5"/>
      <c r="B77" s="5"/>
      <c r="C77" s="5"/>
      <c r="D77" s="5"/>
      <c r="E77" s="5"/>
      <c r="F77" s="5"/>
      <c r="G77" s="5"/>
      <c r="H77" s="5"/>
      <c r="I77" s="244"/>
      <c r="J77" s="244"/>
      <c r="K77" s="244"/>
      <c r="L77" s="244"/>
      <c r="M77" s="244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>
      <c r="A78" s="5"/>
      <c r="B78" s="5"/>
      <c r="C78" s="5"/>
      <c r="D78" s="5"/>
      <c r="E78" s="5"/>
      <c r="F78" s="5"/>
      <c r="G78" s="5"/>
      <c r="H78" s="5"/>
      <c r="I78" s="244"/>
      <c r="J78" s="244"/>
      <c r="K78" s="244"/>
      <c r="L78" s="244"/>
      <c r="M78" s="244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>
      <c r="A79" s="5"/>
      <c r="B79" s="5"/>
      <c r="C79" s="5"/>
      <c r="D79" s="5"/>
      <c r="E79" s="5"/>
      <c r="F79" s="5"/>
      <c r="G79" s="5"/>
      <c r="H79" s="5"/>
      <c r="I79" s="244"/>
      <c r="J79" s="244"/>
      <c r="K79" s="244"/>
      <c r="L79" s="244"/>
      <c r="M79" s="244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>
      <c r="A80" s="5"/>
      <c r="B80" s="5"/>
      <c r="C80" s="5"/>
      <c r="D80" s="5"/>
      <c r="E80" s="5"/>
      <c r="F80" s="5"/>
      <c r="G80" s="5"/>
      <c r="H80" s="5"/>
      <c r="I80" s="244"/>
      <c r="J80" s="244"/>
      <c r="K80" s="244"/>
      <c r="L80" s="244"/>
      <c r="M80" s="244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>
      <c r="A81" s="5"/>
      <c r="B81" s="5"/>
      <c r="C81" s="5"/>
      <c r="D81" s="5"/>
      <c r="E81" s="5"/>
      <c r="F81" s="5"/>
      <c r="G81" s="5"/>
      <c r="H81" s="5"/>
      <c r="I81" s="244"/>
      <c r="J81" s="244"/>
      <c r="K81" s="244"/>
      <c r="L81" s="244"/>
      <c r="M81" s="244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>
      <c r="A82" s="5"/>
      <c r="B82" s="5"/>
      <c r="C82" s="5"/>
      <c r="D82" s="5"/>
      <c r="E82" s="5"/>
      <c r="F82" s="5"/>
      <c r="G82" s="5"/>
      <c r="H82" s="5"/>
      <c r="I82" s="244"/>
      <c r="J82" s="244"/>
      <c r="K82" s="244"/>
      <c r="L82" s="244"/>
      <c r="M82" s="244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>
      <c r="A83" s="5"/>
      <c r="B83" s="5"/>
      <c r="C83" s="5"/>
      <c r="D83" s="5"/>
      <c r="E83" s="5"/>
      <c r="F83" s="5"/>
      <c r="G83" s="5"/>
      <c r="H83" s="5"/>
      <c r="I83" s="244"/>
      <c r="J83" s="244"/>
      <c r="K83" s="244"/>
      <c r="L83" s="244"/>
      <c r="M83" s="244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>
      <c r="A84" s="5"/>
      <c r="B84" s="5"/>
      <c r="C84" s="5"/>
      <c r="D84" s="5"/>
      <c r="E84" s="5"/>
      <c r="F84" s="5"/>
      <c r="G84" s="5"/>
      <c r="H84" s="5"/>
      <c r="I84" s="244"/>
      <c r="J84" s="244"/>
      <c r="K84" s="244"/>
      <c r="L84" s="244"/>
      <c r="M84" s="244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>
      <c r="A85" s="5"/>
      <c r="B85" s="5"/>
      <c r="C85" s="5"/>
      <c r="D85" s="5"/>
      <c r="E85" s="5"/>
      <c r="F85" s="5"/>
      <c r="G85" s="5"/>
      <c r="H85" s="5"/>
      <c r="I85" s="244"/>
      <c r="J85" s="244"/>
      <c r="K85" s="244"/>
      <c r="L85" s="244"/>
      <c r="M85" s="244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>
      <c r="A86" s="5"/>
      <c r="B86" s="5"/>
      <c r="C86" s="5"/>
      <c r="D86" s="5"/>
      <c r="E86" s="5"/>
      <c r="F86" s="5"/>
      <c r="G86" s="5"/>
      <c r="H86" s="5"/>
      <c r="I86" s="244"/>
      <c r="J86" s="244"/>
      <c r="K86" s="244"/>
      <c r="L86" s="244"/>
      <c r="M86" s="244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>
      <c r="A87" s="5"/>
      <c r="B87" s="5"/>
      <c r="C87" s="5"/>
      <c r="D87" s="5"/>
      <c r="E87" s="5"/>
      <c r="F87" s="5"/>
      <c r="G87" s="5"/>
      <c r="H87" s="5"/>
      <c r="I87" s="244"/>
      <c r="J87" s="244"/>
      <c r="K87" s="244"/>
      <c r="L87" s="244"/>
      <c r="M87" s="244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>
      <c r="A88" s="5"/>
      <c r="B88" s="5"/>
      <c r="C88" s="5"/>
      <c r="D88" s="5"/>
      <c r="E88" s="5"/>
      <c r="F88" s="5"/>
      <c r="G88" s="5"/>
      <c r="H88" s="5"/>
      <c r="I88" s="244"/>
      <c r="J88" s="244"/>
      <c r="K88" s="244"/>
      <c r="L88" s="244"/>
      <c r="M88" s="244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>
      <c r="A89" s="5"/>
      <c r="B89" s="5"/>
      <c r="C89" s="5"/>
      <c r="D89" s="5"/>
      <c r="E89" s="5"/>
      <c r="F89" s="5"/>
      <c r="G89" s="5"/>
      <c r="H89" s="5"/>
      <c r="I89" s="244"/>
      <c r="J89" s="244"/>
      <c r="K89" s="244"/>
      <c r="L89" s="244"/>
      <c r="M89" s="244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>
      <c r="A90" s="5"/>
      <c r="B90" s="5"/>
      <c r="C90" s="5"/>
      <c r="D90" s="5"/>
      <c r="E90" s="5"/>
      <c r="F90" s="5"/>
      <c r="G90" s="5"/>
      <c r="H90" s="5"/>
      <c r="I90" s="244"/>
      <c r="J90" s="244"/>
      <c r="K90" s="244"/>
      <c r="L90" s="244"/>
      <c r="M90" s="244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>
      <c r="A91" s="5"/>
      <c r="B91" s="5"/>
      <c r="C91" s="5"/>
      <c r="D91" s="5"/>
      <c r="E91" s="5"/>
      <c r="F91" s="5"/>
      <c r="G91" s="5"/>
      <c r="H91" s="5"/>
      <c r="I91" s="244"/>
      <c r="J91" s="244"/>
      <c r="K91" s="244"/>
      <c r="L91" s="244"/>
      <c r="M91" s="244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>
      <c r="A92" s="5"/>
      <c r="B92" s="5"/>
      <c r="C92" s="5"/>
      <c r="D92" s="5"/>
      <c r="E92" s="5"/>
      <c r="F92" s="5"/>
      <c r="G92" s="5"/>
      <c r="H92" s="5"/>
      <c r="I92" s="244"/>
      <c r="J92" s="244"/>
      <c r="K92" s="244"/>
      <c r="L92" s="244"/>
      <c r="M92" s="244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6" thickBot="1">
      <c r="A93" s="5"/>
      <c r="B93" s="5"/>
      <c r="C93" s="5"/>
      <c r="D93" s="5"/>
      <c r="E93" s="5"/>
      <c r="F93" s="5"/>
      <c r="G93" s="5"/>
      <c r="H93" s="5"/>
      <c r="I93" s="244"/>
      <c r="J93" s="244"/>
      <c r="K93" s="244"/>
      <c r="L93" s="244"/>
      <c r="M93" s="244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6" thickBot="1">
      <c r="A94" s="180" t="str">
        <f>A10</f>
        <v>Charme</v>
      </c>
      <c r="B94" s="5"/>
      <c r="C94" s="5"/>
      <c r="D94" s="5"/>
      <c r="E94" s="5"/>
      <c r="F94" s="5"/>
      <c r="G94" s="5"/>
      <c r="H94" s="5"/>
      <c r="I94" s="244"/>
      <c r="J94" s="244"/>
      <c r="K94" s="244"/>
      <c r="L94" s="244"/>
      <c r="M94" s="244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>
      <c r="A95" s="5"/>
      <c r="B95" s="5"/>
      <c r="C95" s="5"/>
      <c r="D95" s="5"/>
      <c r="E95" s="5"/>
      <c r="F95" s="5"/>
      <c r="G95" s="5"/>
      <c r="H95" s="5"/>
      <c r="I95" s="244"/>
      <c r="J95" s="244"/>
      <c r="K95" s="244"/>
      <c r="L95" s="244"/>
      <c r="M95" s="244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>
      <c r="A96" s="5"/>
      <c r="B96" s="5"/>
      <c r="C96" s="5"/>
      <c r="D96" s="5"/>
      <c r="E96" s="5"/>
      <c r="F96" s="5"/>
      <c r="G96" s="5"/>
      <c r="H96" s="5"/>
      <c r="I96" s="244"/>
      <c r="J96" s="244"/>
      <c r="K96" s="244"/>
      <c r="L96" s="244"/>
      <c r="M96" s="244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>
      <c r="A97" s="5"/>
      <c r="B97" s="5"/>
      <c r="C97" s="5"/>
      <c r="D97" s="5"/>
      <c r="E97" s="5"/>
      <c r="F97" s="5"/>
      <c r="G97" s="5"/>
      <c r="H97" s="5"/>
      <c r="I97" s="244"/>
      <c r="J97" s="244"/>
      <c r="K97" s="244"/>
      <c r="L97" s="244"/>
      <c r="M97" s="244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>
      <c r="A98" s="5"/>
      <c r="B98" s="5"/>
      <c r="C98" s="5"/>
      <c r="D98" s="5"/>
      <c r="E98" s="5"/>
      <c r="F98" s="5"/>
      <c r="G98" s="5"/>
      <c r="H98" s="5"/>
      <c r="I98" s="244"/>
      <c r="J98" s="244"/>
      <c r="K98" s="244"/>
      <c r="L98" s="244"/>
      <c r="M98" s="244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>
      <c r="A99" s="5"/>
      <c r="B99" s="5"/>
      <c r="C99" s="5"/>
      <c r="D99" s="5"/>
      <c r="E99" s="5"/>
      <c r="F99" s="5"/>
      <c r="G99" s="5"/>
      <c r="H99" s="5"/>
      <c r="I99" s="244"/>
      <c r="J99" s="244"/>
      <c r="K99" s="244"/>
      <c r="L99" s="244"/>
      <c r="M99" s="244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>
      <c r="A100" s="5"/>
      <c r="B100" s="5"/>
      <c r="C100" s="5"/>
      <c r="D100" s="5"/>
      <c r="E100" s="5"/>
      <c r="F100" s="5"/>
      <c r="G100" s="5"/>
      <c r="H100" s="5"/>
      <c r="I100" s="244"/>
      <c r="J100" s="244"/>
      <c r="K100" s="244"/>
      <c r="L100" s="244"/>
      <c r="M100" s="244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>
      <c r="A101" s="5"/>
      <c r="B101" s="5"/>
      <c r="C101" s="5"/>
      <c r="D101" s="5"/>
      <c r="E101" s="5"/>
      <c r="F101" s="5"/>
      <c r="G101" s="5"/>
      <c r="H101" s="5"/>
      <c r="I101" s="244"/>
      <c r="J101" s="244"/>
      <c r="K101" s="244"/>
      <c r="L101" s="244"/>
      <c r="M101" s="244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>
      <c r="A102" s="5"/>
      <c r="B102" s="5"/>
      <c r="C102" s="5"/>
      <c r="D102" s="5"/>
      <c r="E102" s="5"/>
      <c r="F102" s="5"/>
      <c r="G102" s="5"/>
      <c r="H102" s="5"/>
      <c r="I102" s="244"/>
      <c r="J102" s="244"/>
      <c r="K102" s="244"/>
      <c r="L102" s="244"/>
      <c r="M102" s="244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>
      <c r="A103" s="5"/>
      <c r="B103" s="5"/>
      <c r="C103" s="5"/>
      <c r="D103" s="5"/>
      <c r="E103" s="5"/>
      <c r="F103" s="5"/>
      <c r="G103" s="5"/>
      <c r="H103" s="5"/>
      <c r="I103" s="244"/>
      <c r="J103" s="244"/>
      <c r="K103" s="244"/>
      <c r="L103" s="244"/>
      <c r="M103" s="244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>
      <c r="A104" s="5"/>
      <c r="B104" s="5"/>
      <c r="C104" s="5"/>
      <c r="D104" s="5"/>
      <c r="E104" s="5"/>
      <c r="F104" s="5"/>
      <c r="G104" s="5"/>
      <c r="H104" s="5"/>
      <c r="I104" s="244"/>
      <c r="J104" s="244"/>
      <c r="K104" s="244"/>
      <c r="L104" s="244"/>
      <c r="M104" s="244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>
      <c r="A105" s="5"/>
      <c r="B105" s="5"/>
      <c r="C105" s="5"/>
      <c r="D105" s="5"/>
      <c r="E105" s="5"/>
      <c r="F105" s="5"/>
      <c r="G105" s="5"/>
      <c r="H105" s="5"/>
      <c r="I105" s="244"/>
      <c r="J105" s="244"/>
      <c r="K105" s="244"/>
      <c r="L105" s="244"/>
      <c r="M105" s="244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>
      <c r="A106" s="5"/>
      <c r="B106" s="5"/>
      <c r="C106" s="5"/>
      <c r="D106" s="5"/>
      <c r="E106" s="5"/>
      <c r="F106" s="5"/>
      <c r="G106" s="5"/>
      <c r="H106" s="5"/>
      <c r="I106" s="244"/>
      <c r="J106" s="244"/>
      <c r="K106" s="244"/>
      <c r="L106" s="244"/>
      <c r="M106" s="244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>
      <c r="A107" s="5"/>
      <c r="B107" s="5"/>
      <c r="C107" s="5"/>
      <c r="D107" s="5"/>
      <c r="E107" s="5"/>
      <c r="F107" s="5"/>
      <c r="G107" s="5"/>
      <c r="H107" s="5"/>
      <c r="I107" s="244"/>
      <c r="J107" s="244"/>
      <c r="K107" s="244"/>
      <c r="L107" s="244"/>
      <c r="M107" s="244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>
      <c r="A108" s="5"/>
      <c r="B108" s="5"/>
      <c r="C108" s="5"/>
      <c r="D108" s="5"/>
      <c r="E108" s="5"/>
      <c r="F108" s="5"/>
      <c r="G108" s="5"/>
      <c r="H108" s="5"/>
      <c r="I108" s="244"/>
      <c r="J108" s="244"/>
      <c r="K108" s="244"/>
      <c r="L108" s="244"/>
      <c r="M108" s="244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>
      <c r="A109" s="5"/>
      <c r="B109" s="5"/>
      <c r="C109" s="5"/>
      <c r="D109" s="5"/>
      <c r="E109" s="5"/>
      <c r="F109" s="5"/>
      <c r="G109" s="5"/>
      <c r="H109" s="5"/>
      <c r="I109" s="244"/>
      <c r="J109" s="244"/>
      <c r="K109" s="244"/>
      <c r="L109" s="244"/>
      <c r="M109" s="244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>
      <c r="A110" s="5"/>
      <c r="B110" s="5"/>
      <c r="C110" s="5"/>
      <c r="D110" s="5"/>
      <c r="E110" s="5"/>
      <c r="F110" s="5"/>
      <c r="G110" s="5"/>
      <c r="H110" s="5"/>
      <c r="I110" s="244"/>
      <c r="J110" s="244"/>
      <c r="K110" s="244"/>
      <c r="L110" s="244"/>
      <c r="M110" s="244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6" thickBot="1">
      <c r="A111" s="5"/>
      <c r="B111" s="5"/>
      <c r="C111" s="5"/>
      <c r="D111" s="5"/>
      <c r="E111" s="5"/>
      <c r="F111" s="5"/>
      <c r="G111" s="5"/>
      <c r="H111" s="5"/>
      <c r="I111" s="244"/>
      <c r="J111" s="244"/>
      <c r="K111" s="244"/>
      <c r="L111" s="244"/>
      <c r="M111" s="244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6" thickBot="1">
      <c r="A112" s="180" t="str">
        <f>A11</f>
        <v>Alisier torminal</v>
      </c>
      <c r="B112" s="5"/>
      <c r="C112" s="5"/>
      <c r="D112" s="5"/>
      <c r="E112" s="5"/>
      <c r="F112" s="5"/>
      <c r="G112" s="5"/>
      <c r="H112" s="5"/>
      <c r="I112" s="244"/>
      <c r="J112" s="244"/>
      <c r="K112" s="244"/>
      <c r="L112" s="244"/>
      <c r="M112" s="244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>
      <c r="A113" s="5"/>
      <c r="B113" s="5"/>
      <c r="C113" s="5"/>
      <c r="D113" s="5"/>
      <c r="E113" s="5"/>
      <c r="F113" s="5"/>
      <c r="G113" s="5"/>
      <c r="H113" s="5"/>
      <c r="I113" s="244"/>
      <c r="J113" s="244"/>
      <c r="K113" s="244"/>
      <c r="L113" s="244"/>
      <c r="M113" s="244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>
      <c r="A114" s="5"/>
      <c r="B114" s="5"/>
      <c r="C114" s="5"/>
      <c r="D114" s="5"/>
      <c r="E114" s="5"/>
      <c r="F114" s="5"/>
      <c r="G114" s="5"/>
      <c r="H114" s="5"/>
      <c r="I114" s="244"/>
      <c r="J114" s="244"/>
      <c r="K114" s="244"/>
      <c r="L114" s="244"/>
      <c r="M114" s="244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>
      <c r="A115" s="5"/>
      <c r="B115" s="5"/>
      <c r="C115" s="5"/>
      <c r="D115" s="5"/>
      <c r="E115" s="5"/>
      <c r="F115" s="5"/>
      <c r="G115" s="5"/>
      <c r="H115" s="5"/>
      <c r="I115" s="244"/>
      <c r="J115" s="244"/>
      <c r="K115" s="244"/>
      <c r="L115" s="244"/>
      <c r="M115" s="244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>
      <c r="A116" s="5"/>
      <c r="B116" s="5"/>
      <c r="C116" s="5"/>
      <c r="D116" s="5"/>
      <c r="E116" s="5"/>
      <c r="F116" s="5"/>
      <c r="G116" s="5"/>
      <c r="H116" s="5"/>
      <c r="I116" s="244"/>
      <c r="J116" s="244"/>
      <c r="K116" s="244"/>
      <c r="L116" s="244"/>
      <c r="M116" s="244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>
      <c r="A117" s="5"/>
      <c r="B117" s="5"/>
      <c r="C117" s="5"/>
      <c r="D117" s="5"/>
      <c r="E117" s="5"/>
      <c r="F117" s="5"/>
      <c r="G117" s="5"/>
      <c r="H117" s="5"/>
      <c r="I117" s="244"/>
      <c r="J117" s="244"/>
      <c r="K117" s="244"/>
      <c r="L117" s="244"/>
      <c r="M117" s="244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>
      <c r="A118" s="5"/>
      <c r="B118" s="5"/>
      <c r="C118" s="5"/>
      <c r="D118" s="5"/>
      <c r="E118" s="5"/>
      <c r="F118" s="5"/>
      <c r="G118" s="5"/>
      <c r="H118" s="5"/>
      <c r="I118" s="244"/>
      <c r="J118" s="244"/>
      <c r="K118" s="244"/>
      <c r="L118" s="244"/>
      <c r="M118" s="244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>
      <c r="A119" s="5"/>
      <c r="B119" s="5"/>
      <c r="C119" s="5"/>
      <c r="D119" s="5"/>
      <c r="E119" s="5"/>
      <c r="F119" s="5"/>
      <c r="G119" s="5"/>
      <c r="H119" s="5"/>
      <c r="I119" s="244"/>
      <c r="J119" s="244"/>
      <c r="K119" s="244"/>
      <c r="L119" s="244"/>
      <c r="M119" s="244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>
      <c r="A120" s="5"/>
      <c r="B120" s="5"/>
      <c r="C120" s="5"/>
      <c r="D120" s="5"/>
      <c r="E120" s="5"/>
      <c r="F120" s="5"/>
      <c r="G120" s="5"/>
      <c r="H120" s="5"/>
      <c r="I120" s="244"/>
      <c r="J120" s="244"/>
      <c r="K120" s="244"/>
      <c r="L120" s="244"/>
      <c r="M120" s="244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>
      <c r="A121" s="5"/>
      <c r="B121" s="5"/>
      <c r="C121" s="5"/>
      <c r="D121" s="5"/>
      <c r="E121" s="5"/>
      <c r="F121" s="5"/>
      <c r="G121" s="5"/>
      <c r="H121" s="5"/>
      <c r="I121" s="244"/>
      <c r="J121" s="244"/>
      <c r="K121" s="244"/>
      <c r="L121" s="244"/>
      <c r="M121" s="244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>
      <c r="A122" s="5"/>
      <c r="B122" s="5"/>
      <c r="C122" s="5"/>
      <c r="D122" s="5"/>
      <c r="E122" s="5"/>
      <c r="F122" s="5"/>
      <c r="G122" s="5"/>
      <c r="H122" s="5"/>
      <c r="I122" s="244"/>
      <c r="J122" s="244"/>
      <c r="K122" s="244"/>
      <c r="L122" s="244"/>
      <c r="M122" s="244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>
      <c r="A123" s="5"/>
      <c r="B123" s="5"/>
      <c r="C123" s="5"/>
      <c r="D123" s="5"/>
      <c r="E123" s="5"/>
      <c r="F123" s="5"/>
      <c r="G123" s="5"/>
      <c r="H123" s="5"/>
      <c r="I123" s="244"/>
      <c r="J123" s="244"/>
      <c r="K123" s="244"/>
      <c r="L123" s="244"/>
      <c r="M123" s="244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>
      <c r="A124" s="5"/>
      <c r="B124" s="5"/>
      <c r="C124" s="5"/>
      <c r="D124" s="5"/>
      <c r="E124" s="5"/>
      <c r="F124" s="5"/>
      <c r="G124" s="5"/>
      <c r="H124" s="5"/>
      <c r="I124" s="244"/>
      <c r="J124" s="244"/>
      <c r="K124" s="244"/>
      <c r="L124" s="244"/>
      <c r="M124" s="244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>
      <c r="A125" s="5"/>
      <c r="B125" s="5"/>
      <c r="C125" s="5"/>
      <c r="D125" s="5"/>
      <c r="E125" s="5"/>
      <c r="F125" s="5"/>
      <c r="G125" s="5"/>
      <c r="H125" s="5"/>
      <c r="I125" s="244"/>
      <c r="J125" s="244"/>
      <c r="K125" s="244"/>
      <c r="L125" s="244"/>
      <c r="M125" s="244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>
      <c r="A126" s="5"/>
      <c r="B126" s="5"/>
      <c r="C126" s="5"/>
      <c r="D126" s="5"/>
      <c r="E126" s="5"/>
      <c r="F126" s="5"/>
      <c r="G126" s="5"/>
      <c r="H126" s="5"/>
      <c r="I126" s="244"/>
      <c r="J126" s="244"/>
      <c r="K126" s="244"/>
      <c r="L126" s="244"/>
      <c r="M126" s="244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>
      <c r="A127" s="5"/>
      <c r="B127" s="5"/>
      <c r="C127" s="5"/>
      <c r="D127" s="5"/>
      <c r="E127" s="5"/>
      <c r="F127" s="5"/>
      <c r="G127" s="5"/>
      <c r="H127" s="5"/>
      <c r="I127" s="244"/>
      <c r="J127" s="244"/>
      <c r="K127" s="244"/>
      <c r="L127" s="244"/>
      <c r="M127" s="244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>
      <c r="A128" s="5"/>
      <c r="B128" s="5"/>
      <c r="C128" s="5"/>
      <c r="D128" s="5"/>
      <c r="E128" s="5"/>
      <c r="F128" s="5"/>
      <c r="G128" s="5"/>
      <c r="H128" s="5"/>
      <c r="I128" s="244"/>
      <c r="J128" s="244"/>
      <c r="K128" s="244"/>
      <c r="L128" s="244"/>
      <c r="M128" s="244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6" thickBot="1">
      <c r="A129" s="5"/>
      <c r="B129" s="5"/>
      <c r="C129" s="5"/>
      <c r="D129" s="5"/>
      <c r="E129" s="5"/>
      <c r="F129" s="5"/>
      <c r="G129" s="5"/>
      <c r="H129" s="5"/>
      <c r="I129" s="244"/>
      <c r="J129" s="244"/>
      <c r="K129" s="244"/>
      <c r="L129" s="244"/>
      <c r="M129" s="244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6" thickBot="1">
      <c r="A130" s="180" t="str">
        <f>A12</f>
        <v/>
      </c>
      <c r="B130" s="5"/>
      <c r="C130" s="5"/>
      <c r="D130" s="5"/>
      <c r="E130" s="5"/>
      <c r="F130" s="5"/>
      <c r="G130" s="5"/>
      <c r="H130" s="5"/>
      <c r="I130" s="244"/>
      <c r="J130" s="244"/>
      <c r="K130" s="244"/>
      <c r="L130" s="244"/>
      <c r="M130" s="244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>
      <c r="A131" s="5"/>
      <c r="B131" s="5"/>
      <c r="C131" s="5"/>
      <c r="D131" s="5"/>
      <c r="E131" s="5"/>
      <c r="F131" s="5"/>
      <c r="G131" s="5"/>
      <c r="H131" s="5"/>
      <c r="I131" s="244"/>
      <c r="J131" s="244"/>
      <c r="K131" s="244"/>
      <c r="L131" s="244"/>
      <c r="M131" s="244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>
      <c r="A132" s="5"/>
      <c r="B132" s="5"/>
      <c r="C132" s="5"/>
      <c r="D132" s="5"/>
      <c r="E132" s="5"/>
      <c r="F132" s="5"/>
      <c r="G132" s="5"/>
      <c r="H132" s="5"/>
      <c r="I132" s="244"/>
      <c r="J132" s="244"/>
      <c r="K132" s="244"/>
      <c r="L132" s="244"/>
      <c r="M132" s="244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>
      <c r="A133" s="5"/>
      <c r="B133" s="5"/>
      <c r="C133" s="5"/>
      <c r="D133" s="5"/>
      <c r="E133" s="5"/>
      <c r="F133" s="5"/>
      <c r="G133" s="5"/>
      <c r="H133" s="5"/>
      <c r="I133" s="244"/>
      <c r="J133" s="244"/>
      <c r="K133" s="244"/>
      <c r="L133" s="244"/>
      <c r="M133" s="244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>
      <c r="A134" s="5"/>
      <c r="B134" s="5"/>
      <c r="C134" s="5"/>
      <c r="D134" s="5"/>
      <c r="E134" s="5"/>
      <c r="F134" s="5"/>
      <c r="G134" s="5"/>
      <c r="H134" s="5"/>
      <c r="I134" s="244"/>
      <c r="J134" s="244"/>
      <c r="K134" s="244"/>
      <c r="L134" s="244"/>
      <c r="M134" s="244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>
      <c r="A135" s="5"/>
      <c r="B135" s="5"/>
      <c r="C135" s="5"/>
      <c r="D135" s="5"/>
      <c r="E135" s="5"/>
      <c r="F135" s="5"/>
      <c r="G135" s="5"/>
      <c r="H135" s="5"/>
      <c r="I135" s="244"/>
      <c r="J135" s="244"/>
      <c r="K135" s="244"/>
      <c r="L135" s="244"/>
      <c r="M135" s="244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>
      <c r="A136" s="5"/>
      <c r="B136" s="5"/>
      <c r="C136" s="5"/>
      <c r="D136" s="5"/>
      <c r="E136" s="5"/>
      <c r="F136" s="5"/>
      <c r="G136" s="5"/>
      <c r="H136" s="5"/>
      <c r="I136" s="244"/>
      <c r="J136" s="244"/>
      <c r="K136" s="244"/>
      <c r="L136" s="244"/>
      <c r="M136" s="244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>
      <c r="A137" s="5"/>
      <c r="B137" s="5"/>
      <c r="C137" s="5"/>
      <c r="D137" s="5"/>
      <c r="E137" s="5"/>
      <c r="F137" s="5"/>
      <c r="G137" s="5"/>
      <c r="H137" s="5"/>
      <c r="I137" s="244"/>
      <c r="J137" s="244"/>
      <c r="K137" s="244"/>
      <c r="L137" s="244"/>
      <c r="M137" s="244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>
      <c r="A138" s="5"/>
      <c r="B138" s="5"/>
      <c r="C138" s="5"/>
      <c r="D138" s="5"/>
      <c r="E138" s="5"/>
      <c r="F138" s="5"/>
      <c r="G138" s="5"/>
      <c r="H138" s="5"/>
      <c r="I138" s="244"/>
      <c r="J138" s="244"/>
      <c r="K138" s="244"/>
      <c r="L138" s="244"/>
      <c r="M138" s="244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>
      <c r="A139" s="5"/>
      <c r="B139" s="5"/>
      <c r="C139" s="5"/>
      <c r="D139" s="5"/>
      <c r="E139" s="5"/>
      <c r="F139" s="5"/>
      <c r="G139" s="5"/>
      <c r="H139" s="5"/>
      <c r="I139" s="244"/>
      <c r="J139" s="244"/>
      <c r="K139" s="244"/>
      <c r="L139" s="244"/>
      <c r="M139" s="244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>
      <c r="A140" s="5"/>
      <c r="B140" s="5"/>
      <c r="C140" s="5"/>
      <c r="D140" s="5"/>
      <c r="E140" s="5"/>
      <c r="F140" s="5"/>
      <c r="G140" s="5"/>
      <c r="H140" s="5"/>
      <c r="I140" s="244"/>
      <c r="J140" s="244"/>
      <c r="K140" s="244"/>
      <c r="L140" s="244"/>
      <c r="M140" s="244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>
      <c r="A141" s="5"/>
      <c r="B141" s="5"/>
      <c r="C141" s="5"/>
      <c r="D141" s="5"/>
      <c r="E141" s="5"/>
      <c r="F141" s="5"/>
      <c r="G141" s="5"/>
      <c r="H141" s="5"/>
      <c r="I141" s="244"/>
      <c r="J141" s="244"/>
      <c r="K141" s="244"/>
      <c r="L141" s="244"/>
      <c r="M141" s="244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>
      <c r="A142" s="5"/>
      <c r="B142" s="5"/>
      <c r="C142" s="5"/>
      <c r="D142" s="5"/>
      <c r="E142" s="5"/>
      <c r="F142" s="5"/>
      <c r="G142" s="5"/>
      <c r="H142" s="5"/>
      <c r="I142" s="244"/>
      <c r="J142" s="244"/>
      <c r="K142" s="244"/>
      <c r="L142" s="244"/>
      <c r="M142" s="244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>
      <c r="A143" s="5"/>
      <c r="B143" s="5"/>
      <c r="C143" s="5"/>
      <c r="D143" s="5"/>
      <c r="E143" s="5"/>
      <c r="F143" s="5"/>
      <c r="G143" s="5"/>
      <c r="H143" s="5"/>
      <c r="I143" s="244"/>
      <c r="J143" s="244"/>
      <c r="K143" s="244"/>
      <c r="L143" s="244"/>
      <c r="M143" s="244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>
      <c r="A144" s="5"/>
      <c r="B144" s="5"/>
      <c r="C144" s="5"/>
      <c r="D144" s="5"/>
      <c r="E144" s="5"/>
      <c r="F144" s="5"/>
      <c r="G144" s="5"/>
      <c r="H144" s="5"/>
      <c r="I144" s="244"/>
      <c r="J144" s="244"/>
      <c r="K144" s="244"/>
      <c r="L144" s="244"/>
      <c r="M144" s="244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>
      <c r="A145" s="5"/>
      <c r="B145" s="5"/>
      <c r="C145" s="5"/>
      <c r="D145" s="5"/>
      <c r="E145" s="5"/>
      <c r="F145" s="5"/>
      <c r="G145" s="5"/>
      <c r="H145" s="5"/>
      <c r="I145" s="244"/>
      <c r="J145" s="244"/>
      <c r="K145" s="244"/>
      <c r="L145" s="244"/>
      <c r="M145" s="244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>
      <c r="A146" s="5"/>
      <c r="B146" s="5"/>
      <c r="C146" s="5"/>
      <c r="D146" s="5"/>
      <c r="E146" s="5"/>
      <c r="F146" s="5"/>
      <c r="G146" s="5"/>
      <c r="H146" s="5"/>
      <c r="I146" s="244"/>
      <c r="J146" s="244"/>
      <c r="K146" s="244"/>
      <c r="L146" s="244"/>
      <c r="M146" s="244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6" thickBot="1">
      <c r="A147" s="5"/>
      <c r="B147" s="5"/>
      <c r="C147" s="5"/>
      <c r="D147" s="5"/>
      <c r="E147" s="5"/>
      <c r="F147" s="5"/>
      <c r="G147" s="5"/>
      <c r="H147" s="5"/>
      <c r="I147" s="244"/>
      <c r="J147" s="244"/>
      <c r="K147" s="244"/>
      <c r="L147" s="244"/>
      <c r="M147" s="244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6" thickBot="1">
      <c r="A148" s="180" t="str">
        <f>A13</f>
        <v/>
      </c>
      <c r="B148" s="5"/>
      <c r="C148" s="5"/>
      <c r="D148" s="5"/>
      <c r="E148" s="5"/>
      <c r="F148" s="5"/>
      <c r="G148" s="5"/>
      <c r="H148" s="5"/>
      <c r="I148" s="244"/>
      <c r="J148" s="244"/>
      <c r="K148" s="244"/>
      <c r="L148" s="244"/>
      <c r="M148" s="244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>
      <c r="A149" s="5"/>
      <c r="B149" s="5"/>
      <c r="C149" s="5"/>
      <c r="D149" s="5"/>
      <c r="E149" s="5"/>
      <c r="F149" s="5"/>
      <c r="G149" s="5"/>
      <c r="H149" s="5"/>
      <c r="I149" s="244"/>
      <c r="J149" s="244"/>
      <c r="K149" s="244"/>
      <c r="L149" s="244"/>
      <c r="M149" s="244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>
      <c r="A150" s="5"/>
      <c r="B150" s="5"/>
      <c r="C150" s="5"/>
      <c r="D150" s="5"/>
      <c r="E150" s="5"/>
      <c r="F150" s="5"/>
      <c r="G150" s="5"/>
      <c r="H150" s="5"/>
      <c r="I150" s="244"/>
      <c r="J150" s="244"/>
      <c r="K150" s="244"/>
      <c r="L150" s="244"/>
      <c r="M150" s="244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>
      <c r="A151" s="5"/>
      <c r="B151" s="5"/>
      <c r="C151" s="5"/>
      <c r="D151" s="5"/>
      <c r="E151" s="5"/>
      <c r="F151" s="5"/>
      <c r="G151" s="5"/>
      <c r="H151" s="5"/>
      <c r="I151" s="244"/>
      <c r="J151" s="244"/>
      <c r="K151" s="244"/>
      <c r="L151" s="244"/>
      <c r="M151" s="244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>
      <c r="A152" s="5"/>
      <c r="B152" s="5"/>
      <c r="C152" s="5"/>
      <c r="D152" s="5"/>
      <c r="E152" s="5"/>
      <c r="F152" s="5"/>
      <c r="G152" s="5"/>
      <c r="H152" s="5"/>
      <c r="I152" s="244"/>
      <c r="J152" s="244"/>
      <c r="K152" s="244"/>
      <c r="L152" s="244"/>
      <c r="M152" s="244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>
      <c r="A153" s="5"/>
      <c r="B153" s="5"/>
      <c r="C153" s="5"/>
      <c r="D153" s="5"/>
      <c r="E153" s="5"/>
      <c r="F153" s="5"/>
      <c r="G153" s="5"/>
      <c r="H153" s="5"/>
      <c r="I153" s="244"/>
      <c r="J153" s="244"/>
      <c r="K153" s="244"/>
      <c r="L153" s="244"/>
      <c r="M153" s="244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>
      <c r="A154" s="5"/>
      <c r="B154" s="5"/>
      <c r="C154" s="5"/>
      <c r="D154" s="5"/>
      <c r="E154" s="5"/>
      <c r="F154" s="5"/>
      <c r="G154" s="5"/>
      <c r="H154" s="5"/>
      <c r="I154" s="244"/>
      <c r="J154" s="244"/>
      <c r="K154" s="244"/>
      <c r="L154" s="244"/>
      <c r="M154" s="244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>
      <c r="A155" s="5"/>
      <c r="B155" s="5"/>
      <c r="C155" s="5"/>
      <c r="D155" s="5"/>
      <c r="E155" s="5"/>
      <c r="F155" s="5"/>
      <c r="G155" s="5"/>
      <c r="H155" s="5"/>
      <c r="I155" s="244"/>
      <c r="J155" s="244"/>
      <c r="K155" s="244"/>
      <c r="L155" s="244"/>
      <c r="M155" s="244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>
      <c r="A156" s="5"/>
      <c r="B156" s="5"/>
      <c r="C156" s="5"/>
      <c r="D156" s="5"/>
      <c r="E156" s="5"/>
      <c r="F156" s="5"/>
      <c r="G156" s="5"/>
      <c r="H156" s="5"/>
      <c r="I156" s="244"/>
      <c r="J156" s="244"/>
      <c r="K156" s="244"/>
      <c r="L156" s="244"/>
      <c r="M156" s="244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>
      <c r="A157" s="5"/>
      <c r="B157" s="5"/>
      <c r="C157" s="5"/>
      <c r="D157" s="5"/>
      <c r="E157" s="5"/>
      <c r="F157" s="5"/>
      <c r="G157" s="5"/>
      <c r="H157" s="5"/>
      <c r="I157" s="244"/>
      <c r="J157" s="244"/>
      <c r="K157" s="244"/>
      <c r="L157" s="244"/>
      <c r="M157" s="244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>
      <c r="A158" s="5"/>
      <c r="B158" s="5"/>
      <c r="C158" s="5"/>
      <c r="D158" s="5"/>
      <c r="E158" s="5"/>
      <c r="F158" s="5"/>
      <c r="G158" s="5"/>
      <c r="H158" s="5"/>
      <c r="I158" s="244"/>
      <c r="J158" s="244"/>
      <c r="K158" s="244"/>
      <c r="L158" s="244"/>
      <c r="M158" s="244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>
      <c r="A159" s="5"/>
      <c r="B159" s="5"/>
      <c r="C159" s="5"/>
      <c r="D159" s="5"/>
      <c r="E159" s="5"/>
      <c r="F159" s="5"/>
      <c r="G159" s="5"/>
      <c r="H159" s="5"/>
      <c r="I159" s="244"/>
      <c r="J159" s="244"/>
      <c r="K159" s="244"/>
      <c r="L159" s="244"/>
      <c r="M159" s="244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>
      <c r="A160" s="5"/>
      <c r="B160" s="5"/>
      <c r="C160" s="5"/>
      <c r="D160" s="5"/>
      <c r="E160" s="5"/>
      <c r="F160" s="5"/>
      <c r="G160" s="5"/>
      <c r="H160" s="5"/>
      <c r="I160" s="244"/>
      <c r="J160" s="244"/>
      <c r="K160" s="244"/>
      <c r="L160" s="244"/>
      <c r="M160" s="244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>
      <c r="A161" s="5"/>
      <c r="B161" s="5"/>
      <c r="C161" s="5"/>
      <c r="D161" s="5"/>
      <c r="E161" s="5"/>
      <c r="F161" s="5"/>
      <c r="G161" s="5"/>
      <c r="H161" s="5"/>
      <c r="I161" s="244"/>
      <c r="J161" s="244"/>
      <c r="K161" s="244"/>
      <c r="L161" s="244"/>
      <c r="M161" s="244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>
      <c r="A162" s="5"/>
      <c r="B162" s="5"/>
      <c r="C162" s="5"/>
      <c r="D162" s="5"/>
      <c r="E162" s="5"/>
      <c r="F162" s="5"/>
      <c r="G162" s="5"/>
      <c r="H162" s="5"/>
      <c r="I162" s="244"/>
      <c r="J162" s="244"/>
      <c r="K162" s="244"/>
      <c r="L162" s="244"/>
      <c r="M162" s="244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>
      <c r="A163" s="5"/>
      <c r="B163" s="5"/>
      <c r="C163" s="5"/>
      <c r="D163" s="5"/>
      <c r="E163" s="5"/>
      <c r="F163" s="5"/>
      <c r="G163" s="5"/>
      <c r="H163" s="5"/>
      <c r="I163" s="244"/>
      <c r="J163" s="244"/>
      <c r="K163" s="244"/>
      <c r="L163" s="244"/>
      <c r="M163" s="244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>
      <c r="A164" s="5"/>
      <c r="B164" s="5"/>
      <c r="C164" s="5"/>
      <c r="D164" s="5"/>
      <c r="E164" s="5"/>
      <c r="F164" s="5"/>
      <c r="G164" s="5"/>
      <c r="H164" s="5"/>
      <c r="I164" s="244"/>
      <c r="J164" s="244"/>
      <c r="K164" s="244"/>
      <c r="L164" s="244"/>
      <c r="M164" s="244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6" thickBot="1">
      <c r="A165" s="5"/>
      <c r="B165" s="5"/>
      <c r="C165" s="5"/>
      <c r="D165" s="5"/>
      <c r="E165" s="5"/>
      <c r="F165" s="5"/>
      <c r="G165" s="5"/>
      <c r="H165" s="5"/>
      <c r="I165" s="244"/>
      <c r="J165" s="244"/>
      <c r="K165" s="244"/>
      <c r="L165" s="244"/>
      <c r="M165" s="244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6" thickBot="1">
      <c r="A166" s="180" t="str">
        <f>A14</f>
        <v/>
      </c>
      <c r="B166" s="5"/>
      <c r="C166" s="5"/>
      <c r="D166" s="5"/>
      <c r="E166" s="5"/>
      <c r="F166" s="5"/>
      <c r="G166" s="5"/>
      <c r="H166" s="5"/>
      <c r="I166" s="244"/>
      <c r="J166" s="244"/>
      <c r="K166" s="244"/>
      <c r="L166" s="244"/>
      <c r="M166" s="244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>
      <c r="A167" s="5"/>
      <c r="B167" s="5"/>
      <c r="C167" s="5"/>
      <c r="D167" s="5"/>
      <c r="E167" s="5"/>
      <c r="F167" s="5"/>
      <c r="G167" s="5"/>
      <c r="H167" s="5"/>
      <c r="I167" s="244"/>
      <c r="J167" s="244"/>
      <c r="K167" s="244"/>
      <c r="L167" s="244"/>
      <c r="M167" s="244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>
      <c r="A168" s="5"/>
      <c r="B168" s="5"/>
      <c r="C168" s="5"/>
      <c r="D168" s="5"/>
      <c r="E168" s="5"/>
      <c r="F168" s="5"/>
      <c r="G168" s="5"/>
      <c r="H168" s="5"/>
      <c r="I168" s="244"/>
      <c r="J168" s="244"/>
      <c r="K168" s="244"/>
      <c r="L168" s="244"/>
      <c r="M168" s="244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>
      <c r="A169" s="5"/>
      <c r="B169" s="5"/>
      <c r="C169" s="5"/>
      <c r="D169" s="5"/>
      <c r="E169" s="5"/>
      <c r="F169" s="5"/>
      <c r="G169" s="5"/>
      <c r="H169" s="5"/>
      <c r="I169" s="244"/>
      <c r="J169" s="244"/>
      <c r="K169" s="244"/>
      <c r="L169" s="244"/>
      <c r="M169" s="244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>
      <c r="A170" s="5"/>
      <c r="B170" s="5"/>
      <c r="C170" s="5"/>
      <c r="D170" s="5"/>
      <c r="E170" s="5"/>
      <c r="F170" s="5"/>
      <c r="G170" s="5"/>
      <c r="H170" s="5"/>
      <c r="I170" s="244"/>
      <c r="J170" s="244"/>
      <c r="K170" s="244"/>
      <c r="L170" s="244"/>
      <c r="M170" s="244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>
      <c r="A171" s="5"/>
      <c r="B171" s="5"/>
      <c r="C171" s="5"/>
      <c r="D171" s="5"/>
      <c r="E171" s="5"/>
      <c r="F171" s="5"/>
      <c r="G171" s="5"/>
      <c r="H171" s="5"/>
      <c r="I171" s="244"/>
      <c r="J171" s="244"/>
      <c r="K171" s="244"/>
      <c r="L171" s="244"/>
      <c r="M171" s="244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>
      <c r="A172" s="5"/>
      <c r="B172" s="5"/>
      <c r="C172" s="5"/>
      <c r="D172" s="5"/>
      <c r="E172" s="5"/>
      <c r="F172" s="5"/>
      <c r="G172" s="5"/>
      <c r="H172" s="5"/>
      <c r="I172" s="244"/>
      <c r="J172" s="244"/>
      <c r="K172" s="244"/>
      <c r="L172" s="244"/>
      <c r="M172" s="244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>
      <c r="A173" s="5"/>
      <c r="B173" s="5"/>
      <c r="C173" s="5"/>
      <c r="D173" s="5"/>
      <c r="E173" s="5"/>
      <c r="F173" s="5"/>
      <c r="G173" s="5"/>
      <c r="H173" s="5"/>
      <c r="I173" s="244"/>
      <c r="J173" s="244"/>
      <c r="K173" s="244"/>
      <c r="L173" s="244"/>
      <c r="M173" s="244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>
      <c r="A174" s="5"/>
      <c r="B174" s="5"/>
      <c r="C174" s="5"/>
      <c r="D174" s="5"/>
      <c r="E174" s="5"/>
      <c r="F174" s="5"/>
      <c r="G174" s="5"/>
      <c r="H174" s="5"/>
      <c r="I174" s="244"/>
      <c r="J174" s="244"/>
      <c r="K174" s="244"/>
      <c r="L174" s="244"/>
      <c r="M174" s="244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>
      <c r="A175" s="5"/>
      <c r="B175" s="5"/>
      <c r="C175" s="5"/>
      <c r="D175" s="5"/>
      <c r="E175" s="5"/>
      <c r="F175" s="5"/>
      <c r="G175" s="5"/>
      <c r="H175" s="5"/>
      <c r="I175" s="244"/>
      <c r="J175" s="244"/>
      <c r="K175" s="244"/>
      <c r="L175" s="244"/>
      <c r="M175" s="244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>
      <c r="A176" s="5"/>
      <c r="B176" s="5"/>
      <c r="C176" s="5"/>
      <c r="D176" s="5"/>
      <c r="E176" s="5"/>
      <c r="F176" s="5"/>
      <c r="G176" s="5"/>
      <c r="H176" s="5"/>
      <c r="I176" s="244"/>
      <c r="J176" s="244"/>
      <c r="K176" s="244"/>
      <c r="L176" s="244"/>
      <c r="M176" s="244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>
      <c r="A177" s="5"/>
      <c r="B177" s="5"/>
      <c r="C177" s="5"/>
      <c r="D177" s="5"/>
      <c r="E177" s="5"/>
      <c r="F177" s="5"/>
      <c r="G177" s="5"/>
      <c r="H177" s="5"/>
      <c r="I177" s="244"/>
      <c r="J177" s="244"/>
      <c r="K177" s="244"/>
      <c r="L177" s="244"/>
      <c r="M177" s="244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>
      <c r="A178" s="5"/>
      <c r="B178" s="5"/>
      <c r="C178" s="5"/>
      <c r="D178" s="5"/>
      <c r="E178" s="5"/>
      <c r="F178" s="5"/>
      <c r="G178" s="5"/>
      <c r="H178" s="5"/>
      <c r="I178" s="244"/>
      <c r="J178" s="244"/>
      <c r="K178" s="244"/>
      <c r="L178" s="244"/>
      <c r="M178" s="244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>
      <c r="A179" s="5"/>
      <c r="B179" s="5"/>
      <c r="C179" s="5"/>
      <c r="D179" s="5"/>
      <c r="E179" s="5"/>
      <c r="F179" s="5"/>
      <c r="G179" s="5"/>
      <c r="H179" s="5"/>
      <c r="I179" s="244"/>
      <c r="J179" s="244"/>
      <c r="K179" s="244"/>
      <c r="L179" s="244"/>
      <c r="M179" s="244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>
      <c r="A180" s="5"/>
      <c r="B180" s="5"/>
      <c r="C180" s="5"/>
      <c r="D180" s="5"/>
      <c r="E180" s="5"/>
      <c r="F180" s="5"/>
      <c r="G180" s="5"/>
      <c r="H180" s="5"/>
      <c r="I180" s="244"/>
      <c r="J180" s="244"/>
      <c r="K180" s="244"/>
      <c r="L180" s="244"/>
      <c r="M180" s="244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>
      <c r="A181" s="5"/>
      <c r="B181" s="5"/>
      <c r="C181" s="5"/>
      <c r="D181" s="5"/>
      <c r="E181" s="5"/>
      <c r="F181" s="5"/>
      <c r="G181" s="5"/>
      <c r="H181" s="5"/>
      <c r="I181" s="244"/>
      <c r="J181" s="244"/>
      <c r="K181" s="244"/>
      <c r="L181" s="244"/>
      <c r="M181" s="244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>
      <c r="A182" s="5"/>
      <c r="B182" s="5"/>
      <c r="C182" s="5"/>
      <c r="D182" s="5"/>
      <c r="E182" s="5"/>
      <c r="F182" s="5"/>
      <c r="G182" s="5"/>
      <c r="H182" s="5"/>
      <c r="I182" s="244"/>
      <c r="J182" s="244"/>
      <c r="K182" s="244"/>
      <c r="L182" s="244"/>
      <c r="M182" s="244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6" thickBot="1">
      <c r="A183" s="5"/>
      <c r="B183" s="5"/>
      <c r="C183" s="5"/>
      <c r="D183" s="5"/>
      <c r="E183" s="5"/>
      <c r="F183" s="5"/>
      <c r="G183" s="5"/>
      <c r="H183" s="5"/>
      <c r="I183" s="244"/>
      <c r="J183" s="244"/>
      <c r="K183" s="244"/>
      <c r="L183" s="244"/>
      <c r="M183" s="244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6" thickBot="1">
      <c r="A184" s="180" t="str">
        <f>A15</f>
        <v/>
      </c>
      <c r="B184" s="5"/>
      <c r="C184" s="5"/>
      <c r="D184" s="5"/>
      <c r="E184" s="5"/>
      <c r="F184" s="5"/>
      <c r="G184" s="5"/>
      <c r="H184" s="5"/>
      <c r="I184" s="244"/>
      <c r="J184" s="244"/>
      <c r="K184" s="244"/>
      <c r="L184" s="244"/>
      <c r="M184" s="244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>
      <c r="A185" s="5"/>
      <c r="B185" s="5"/>
      <c r="C185" s="5"/>
      <c r="D185" s="5"/>
      <c r="E185" s="5"/>
      <c r="F185" s="5"/>
      <c r="G185" s="5"/>
      <c r="H185" s="5"/>
      <c r="I185" s="244"/>
      <c r="J185" s="244"/>
      <c r="K185" s="244"/>
      <c r="L185" s="244"/>
      <c r="M185" s="244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>
      <c r="A186" s="5"/>
      <c r="B186" s="5"/>
      <c r="C186" s="5"/>
      <c r="D186" s="5"/>
      <c r="E186" s="5"/>
      <c r="F186" s="5"/>
      <c r="G186" s="5"/>
      <c r="H186" s="5"/>
      <c r="I186" s="244"/>
      <c r="J186" s="244"/>
      <c r="K186" s="244"/>
      <c r="L186" s="244"/>
      <c r="M186" s="244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>
      <c r="A187" s="5"/>
      <c r="B187" s="5"/>
      <c r="C187" s="5"/>
      <c r="D187" s="5"/>
      <c r="E187" s="5"/>
      <c r="F187" s="5"/>
      <c r="G187" s="5"/>
      <c r="H187" s="5"/>
      <c r="I187" s="244"/>
      <c r="J187" s="244"/>
      <c r="K187" s="244"/>
      <c r="L187" s="244"/>
      <c r="M187" s="244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>
      <c r="A188" s="5"/>
      <c r="B188" s="5"/>
      <c r="C188" s="5"/>
      <c r="D188" s="5"/>
      <c r="E188" s="5"/>
      <c r="F188" s="5"/>
      <c r="G188" s="5"/>
      <c r="H188" s="5"/>
      <c r="I188" s="244"/>
      <c r="J188" s="244"/>
      <c r="K188" s="244"/>
      <c r="L188" s="244"/>
      <c r="M188" s="244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>
      <c r="A189" s="5"/>
      <c r="B189" s="5"/>
      <c r="C189" s="5"/>
      <c r="D189" s="5"/>
      <c r="E189" s="5"/>
      <c r="F189" s="5"/>
      <c r="G189" s="5"/>
      <c r="H189" s="5"/>
      <c r="I189" s="244"/>
      <c r="J189" s="244"/>
      <c r="K189" s="244"/>
      <c r="L189" s="244"/>
      <c r="M189" s="244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>
      <c r="A190" s="5"/>
      <c r="B190" s="5"/>
      <c r="C190" s="5"/>
      <c r="D190" s="5"/>
      <c r="E190" s="5"/>
      <c r="F190" s="5"/>
      <c r="G190" s="5"/>
      <c r="H190" s="5"/>
      <c r="I190" s="244"/>
      <c r="J190" s="244"/>
      <c r="K190" s="244"/>
      <c r="L190" s="244"/>
      <c r="M190" s="244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>
      <c r="A191" s="5"/>
      <c r="B191" s="5"/>
      <c r="C191" s="5"/>
      <c r="D191" s="5"/>
      <c r="E191" s="5"/>
      <c r="F191" s="5"/>
      <c r="G191" s="5"/>
      <c r="H191" s="5"/>
      <c r="I191" s="244"/>
      <c r="J191" s="244"/>
      <c r="K191" s="244"/>
      <c r="L191" s="244"/>
      <c r="M191" s="244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>
      <c r="A192" s="5"/>
      <c r="B192" s="5"/>
      <c r="C192" s="5"/>
      <c r="D192" s="5"/>
      <c r="E192" s="5"/>
      <c r="F192" s="5"/>
      <c r="G192" s="5"/>
      <c r="H192" s="5"/>
      <c r="I192" s="244"/>
      <c r="J192" s="244"/>
      <c r="K192" s="244"/>
      <c r="L192" s="244"/>
      <c r="M192" s="244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>
      <c r="A193" s="5"/>
      <c r="B193" s="5"/>
      <c r="C193" s="5"/>
      <c r="D193" s="5"/>
      <c r="E193" s="5"/>
      <c r="F193" s="5"/>
      <c r="G193" s="5"/>
      <c r="H193" s="5"/>
      <c r="I193" s="244"/>
      <c r="J193" s="244"/>
      <c r="K193" s="244"/>
      <c r="L193" s="244"/>
      <c r="M193" s="244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>
      <c r="A194" s="5"/>
      <c r="B194" s="5"/>
      <c r="C194" s="5"/>
      <c r="D194" s="5"/>
      <c r="E194" s="5"/>
      <c r="F194" s="5"/>
      <c r="G194" s="5"/>
      <c r="H194" s="5"/>
      <c r="I194" s="244"/>
      <c r="J194" s="244"/>
      <c r="K194" s="244"/>
      <c r="L194" s="244"/>
      <c r="M194" s="244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>
      <c r="A195" s="5"/>
      <c r="B195" s="5"/>
      <c r="C195" s="5"/>
      <c r="D195" s="5"/>
      <c r="E195" s="5"/>
      <c r="F195" s="5"/>
      <c r="G195" s="5"/>
      <c r="H195" s="5"/>
      <c r="I195" s="244"/>
      <c r="J195" s="244"/>
      <c r="K195" s="244"/>
      <c r="L195" s="244"/>
      <c r="M195" s="244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>
      <c r="A196" s="5"/>
      <c r="B196" s="5"/>
      <c r="C196" s="5"/>
      <c r="D196" s="5"/>
      <c r="E196" s="5"/>
      <c r="F196" s="5"/>
      <c r="G196" s="5"/>
      <c r="H196" s="5"/>
      <c r="I196" s="244"/>
      <c r="J196" s="244"/>
      <c r="K196" s="244"/>
      <c r="L196" s="244"/>
      <c r="M196" s="244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>
      <c r="A197" s="5"/>
      <c r="B197" s="5"/>
      <c r="C197" s="5"/>
      <c r="D197" s="5"/>
      <c r="E197" s="5"/>
      <c r="F197" s="5"/>
      <c r="G197" s="5"/>
      <c r="H197" s="5"/>
      <c r="I197" s="244"/>
      <c r="J197" s="244"/>
      <c r="K197" s="244"/>
      <c r="L197" s="244"/>
      <c r="M197" s="244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>
      <c r="A198" s="5"/>
      <c r="B198" s="5"/>
      <c r="C198" s="5"/>
      <c r="D198" s="5"/>
      <c r="E198" s="5"/>
      <c r="F198" s="5"/>
      <c r="G198" s="5"/>
      <c r="H198" s="5"/>
      <c r="I198" s="244"/>
      <c r="J198" s="244"/>
      <c r="K198" s="244"/>
      <c r="L198" s="244"/>
      <c r="M198" s="244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>
      <c r="A199" s="5"/>
      <c r="B199" s="5"/>
      <c r="C199" s="5"/>
      <c r="D199" s="5"/>
      <c r="E199" s="5"/>
      <c r="F199" s="5"/>
      <c r="G199" s="5"/>
      <c r="H199" s="5"/>
      <c r="I199" s="244"/>
      <c r="J199" s="244"/>
      <c r="K199" s="244"/>
      <c r="L199" s="244"/>
      <c r="M199" s="244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>
      <c r="A200" s="5"/>
      <c r="B200" s="5"/>
      <c r="C200" s="5"/>
      <c r="D200" s="5"/>
      <c r="E200" s="5"/>
      <c r="F200" s="5"/>
      <c r="G200" s="5"/>
      <c r="H200" s="5"/>
      <c r="I200" s="244"/>
      <c r="J200" s="244"/>
      <c r="K200" s="244"/>
      <c r="L200" s="244"/>
      <c r="M200" s="244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>
      <c r="A201" s="5"/>
      <c r="B201" s="5"/>
      <c r="C201" s="5"/>
      <c r="D201" s="5"/>
      <c r="E201" s="5"/>
      <c r="F201" s="5"/>
      <c r="G201" s="5"/>
      <c r="H201" s="5"/>
      <c r="I201" s="244"/>
      <c r="J201" s="244"/>
      <c r="K201" s="244"/>
      <c r="L201" s="244"/>
      <c r="M201" s="244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>
      <c r="A202" s="5"/>
      <c r="B202" s="5"/>
      <c r="C202" s="5"/>
      <c r="D202" s="5"/>
      <c r="E202" s="5"/>
      <c r="F202" s="5"/>
      <c r="G202" s="5"/>
      <c r="H202" s="5"/>
      <c r="I202" s="244"/>
      <c r="J202" s="244"/>
      <c r="K202" s="244"/>
      <c r="L202" s="244"/>
      <c r="M202" s="244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44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>
      <c r="I357" s="3"/>
      <c r="J357" s="3"/>
      <c r="K357" s="3"/>
      <c r="L357" s="3"/>
      <c r="M357" s="3"/>
    </row>
  </sheetData>
  <sheetProtection algorithmName="SHA-512" hashValue="mpF27bePewg94B2eF1gxwc8v85oenEjCRmy2/XJK89cMMyj+8rNdg+67AFL5toKZVIlOE6PMI6HIdT0WDi+RjA==" saltValue="nqXUzVl1FySgJjcuIj9Ivg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P500"/>
  <sheetViews>
    <sheetView tabSelected="1" zoomScale="85" zoomScaleNormal="85" workbookViewId="0">
      <selection activeCell="J13" sqref="J13"/>
    </sheetView>
  </sheetViews>
  <sheetFormatPr baseColWidth="10" defaultColWidth="11.5" defaultRowHeight="15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34" style="3" customWidth="1"/>
    <col min="7" max="7" width="11.5" style="3"/>
    <col min="8" max="8" width="11.5" style="1"/>
    <col min="9" max="9" width="33" style="1" customWidth="1"/>
    <col min="10" max="10" width="37" style="1" customWidth="1"/>
    <col min="11" max="15" width="11.5" style="1"/>
    <col min="16" max="16" width="21" style="1" customWidth="1"/>
    <col min="17" max="16384" width="11.5" style="1"/>
  </cols>
  <sheetData>
    <row r="1" spans="1:46" ht="16" thickBot="1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</row>
    <row r="2" spans="1:46" ht="27" thickBot="1">
      <c r="A2" s="5"/>
      <c r="B2" s="286" t="s">
        <v>273</v>
      </c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8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s="206" customFormat="1">
      <c r="A3" s="100"/>
      <c r="B3" s="100"/>
      <c r="C3" s="100"/>
      <c r="D3" s="100"/>
      <c r="E3" s="100"/>
      <c r="F3" s="181"/>
      <c r="G3" s="181"/>
      <c r="H3" s="100"/>
      <c r="I3" s="182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</row>
    <row r="4" spans="1:46" s="206" customFormat="1">
      <c r="A4" s="100"/>
      <c r="B4" s="100"/>
      <c r="C4" s="100"/>
      <c r="D4" s="100"/>
      <c r="E4" s="100"/>
      <c r="F4" s="181"/>
      <c r="G4" s="181"/>
      <c r="H4" s="100"/>
      <c r="I4" s="275" t="s">
        <v>190</v>
      </c>
      <c r="J4" s="275"/>
      <c r="K4" s="275"/>
      <c r="L4" s="275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</row>
    <row r="5" spans="1:46" s="206" customFormat="1">
      <c r="A5" s="100"/>
      <c r="B5" s="100"/>
      <c r="C5" s="100"/>
      <c r="D5" s="100"/>
      <c r="E5" s="100"/>
      <c r="F5" s="240"/>
      <c r="G5" s="181"/>
      <c r="H5" s="100"/>
      <c r="I5" s="183"/>
      <c r="J5" s="183"/>
      <c r="K5" s="183"/>
      <c r="L5" s="183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</row>
    <row r="6" spans="1:46" s="206" customFormat="1" ht="26">
      <c r="A6" s="100"/>
      <c r="B6" s="303" t="s">
        <v>192</v>
      </c>
      <c r="C6" s="303"/>
      <c r="D6" s="100"/>
      <c r="E6" s="100"/>
      <c r="F6" s="241"/>
      <c r="G6" s="242"/>
      <c r="H6" s="27"/>
      <c r="I6" s="188" t="s">
        <v>253</v>
      </c>
      <c r="J6" s="184">
        <v>4.4999999999999998E-2</v>
      </c>
      <c r="K6" s="27"/>
      <c r="L6" s="27"/>
      <c r="M6" s="27"/>
      <c r="N6" s="185"/>
      <c r="O6" s="303" t="s">
        <v>191</v>
      </c>
      <c r="P6" s="303"/>
      <c r="Q6" s="303"/>
      <c r="R6" s="303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</row>
    <row r="7" spans="1:46">
      <c r="A7" s="25"/>
      <c r="B7" s="25"/>
      <c r="C7" s="25"/>
      <c r="D7" s="25"/>
      <c r="E7" s="25"/>
      <c r="F7" s="218"/>
      <c r="G7" s="230"/>
      <c r="H7" s="25"/>
      <c r="I7" s="5"/>
      <c r="J7" s="5"/>
      <c r="K7" s="222"/>
      <c r="L7" s="222"/>
      <c r="M7" s="25"/>
      <c r="N7" s="236"/>
      <c r="O7" s="25"/>
      <c r="P7" s="25"/>
      <c r="Q7" s="25"/>
      <c r="R7" s="25"/>
      <c r="S7" s="25"/>
      <c r="T7" s="25"/>
      <c r="U7" s="25"/>
      <c r="V7" s="25"/>
      <c r="W7" s="25"/>
      <c r="X7" s="2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</row>
    <row r="8" spans="1:46">
      <c r="A8" s="25"/>
      <c r="B8" s="25"/>
      <c r="C8" s="25"/>
      <c r="D8" s="25"/>
      <c r="E8" s="25"/>
      <c r="F8" s="218"/>
      <c r="G8" s="230"/>
      <c r="H8" s="25"/>
      <c r="I8" s="188" t="s">
        <v>178</v>
      </c>
      <c r="J8" s="188" t="s">
        <v>294</v>
      </c>
      <c r="K8" s="222"/>
      <c r="L8" s="222"/>
      <c r="M8" s="25"/>
      <c r="N8" s="236"/>
      <c r="O8" s="25"/>
      <c r="P8" s="25"/>
      <c r="Q8" s="25"/>
      <c r="R8" s="25"/>
      <c r="S8" s="25"/>
      <c r="T8" s="25"/>
      <c r="U8" s="25"/>
      <c r="V8" s="25"/>
      <c r="W8" s="25"/>
      <c r="X8" s="2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6">
      <c r="A9" s="25"/>
      <c r="B9" s="25"/>
      <c r="C9" s="25"/>
      <c r="D9" s="25"/>
      <c r="E9" s="25"/>
      <c r="F9" s="218"/>
      <c r="G9" s="230"/>
      <c r="H9" s="25"/>
      <c r="I9" s="207"/>
      <c r="J9" s="208"/>
      <c r="K9" s="222"/>
      <c r="L9" s="222"/>
      <c r="M9" s="25"/>
      <c r="N9" s="236"/>
      <c r="O9" s="25"/>
      <c r="P9" s="25"/>
      <c r="Q9" s="25"/>
      <c r="R9" s="25"/>
      <c r="S9" s="25"/>
      <c r="T9" s="25"/>
      <c r="U9" s="25"/>
      <c r="V9" s="25"/>
      <c r="W9" s="25"/>
      <c r="X9" s="2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46">
      <c r="A10" s="25"/>
      <c r="B10" s="25"/>
      <c r="C10" s="25"/>
      <c r="D10" s="25"/>
      <c r="E10" s="25"/>
      <c r="F10" s="218"/>
      <c r="G10" s="230"/>
      <c r="H10" s="25"/>
      <c r="I10" s="5"/>
      <c r="J10" s="5"/>
      <c r="K10" s="222"/>
      <c r="L10" s="222"/>
      <c r="M10" s="25"/>
      <c r="N10" s="236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1:46">
      <c r="A11" s="25"/>
      <c r="B11" s="25"/>
      <c r="C11" s="25"/>
      <c r="D11" s="25"/>
      <c r="E11" s="25"/>
      <c r="F11" s="218"/>
      <c r="G11" s="25"/>
      <c r="H11" s="25"/>
      <c r="I11" s="246" t="s">
        <v>178</v>
      </c>
      <c r="J11" s="246" t="s">
        <v>289</v>
      </c>
      <c r="K11" s="25"/>
      <c r="L11" s="222"/>
      <c r="M11" s="25"/>
      <c r="N11" s="236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46">
      <c r="A12" s="25"/>
      <c r="B12" s="25"/>
      <c r="C12" s="25"/>
      <c r="D12" s="25"/>
      <c r="E12" s="25"/>
      <c r="F12" s="234"/>
      <c r="G12" s="243"/>
      <c r="H12" s="25"/>
      <c r="I12" s="207">
        <v>1</v>
      </c>
      <c r="J12" s="208">
        <f>(245+623.02+400+150)</f>
        <v>1418.02</v>
      </c>
      <c r="K12" s="223"/>
      <c r="L12" s="224"/>
      <c r="M12" s="25"/>
      <c r="N12" s="186"/>
      <c r="O12" s="187" t="s">
        <v>257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</row>
    <row r="13" spans="1:46">
      <c r="A13" s="25"/>
      <c r="B13" s="25"/>
      <c r="C13" s="25"/>
      <c r="D13" s="25"/>
      <c r="E13" s="25"/>
      <c r="F13" s="234"/>
      <c r="G13" s="243"/>
      <c r="H13" s="25"/>
      <c r="I13" s="207">
        <v>2</v>
      </c>
      <c r="J13" s="208">
        <v>400</v>
      </c>
      <c r="K13" s="225"/>
      <c r="L13" s="224"/>
      <c r="M13" s="25"/>
      <c r="N13" s="236"/>
      <c r="O13" s="226"/>
      <c r="P13" s="25"/>
      <c r="Q13" s="25"/>
      <c r="R13" s="25"/>
      <c r="S13" s="25"/>
      <c r="T13" s="25"/>
      <c r="U13" s="25"/>
      <c r="V13" s="25"/>
      <c r="W13" s="2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>
      <c r="A14" s="25"/>
      <c r="B14" s="25"/>
      <c r="C14" s="25"/>
      <c r="D14" s="25"/>
      <c r="E14" s="25"/>
      <c r="F14" s="234"/>
      <c r="G14" s="243"/>
      <c r="H14" s="25"/>
      <c r="I14" s="207">
        <v>3</v>
      </c>
      <c r="J14" s="208">
        <v>400</v>
      </c>
      <c r="K14" s="225"/>
      <c r="L14" s="224"/>
      <c r="M14" s="25"/>
      <c r="N14" s="236"/>
      <c r="O14" s="226"/>
      <c r="P14" s="25"/>
      <c r="Q14" s="25"/>
      <c r="R14" s="25"/>
      <c r="S14" s="25"/>
      <c r="T14" s="25"/>
      <c r="U14" s="25"/>
      <c r="V14" s="25"/>
      <c r="W14" s="2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</row>
    <row r="15" spans="1:46">
      <c r="A15" s="25"/>
      <c r="B15" s="25"/>
      <c r="C15" s="25"/>
      <c r="D15" s="25"/>
      <c r="E15" s="25"/>
      <c r="F15" s="234"/>
      <c r="G15" s="243"/>
      <c r="H15" s="25"/>
      <c r="I15" s="207">
        <v>4</v>
      </c>
      <c r="J15" s="208">
        <v>0</v>
      </c>
      <c r="K15" s="225"/>
      <c r="L15" s="224"/>
      <c r="M15" s="25"/>
      <c r="N15" s="236"/>
      <c r="O15" s="226"/>
      <c r="P15" s="25"/>
      <c r="Q15" s="25"/>
      <c r="R15" s="25"/>
      <c r="S15" s="25"/>
      <c r="T15" s="25"/>
      <c r="U15" s="25"/>
      <c r="V15" s="25"/>
      <c r="W15" s="2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</row>
    <row r="16" spans="1:46">
      <c r="A16" s="25"/>
      <c r="B16" s="25"/>
      <c r="C16" s="25"/>
      <c r="D16" s="25"/>
      <c r="E16" s="25"/>
      <c r="F16" s="234"/>
      <c r="G16" s="243"/>
      <c r="H16" s="25"/>
      <c r="I16" s="207">
        <v>5</v>
      </c>
      <c r="J16" s="208">
        <v>0</v>
      </c>
      <c r="K16" s="225"/>
      <c r="L16" s="224"/>
      <c r="M16" s="25"/>
      <c r="N16" s="236"/>
      <c r="O16" s="226"/>
      <c r="P16" s="25"/>
      <c r="Q16" s="25"/>
      <c r="R16" s="25"/>
      <c r="S16" s="25"/>
      <c r="T16" s="25"/>
      <c r="U16" s="25"/>
      <c r="V16" s="25"/>
      <c r="W16" s="2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</row>
    <row r="17" spans="1:60" ht="31.5" customHeight="1">
      <c r="A17" s="235"/>
      <c r="B17" s="235"/>
      <c r="C17" s="25"/>
      <c r="D17" s="25"/>
      <c r="E17" s="25"/>
      <c r="F17" s="218"/>
      <c r="G17" s="230"/>
      <c r="H17" s="25"/>
      <c r="I17" s="305" t="s">
        <v>292</v>
      </c>
      <c r="J17" s="305"/>
      <c r="K17" s="305"/>
      <c r="L17" s="305"/>
      <c r="M17" s="5"/>
      <c r="N17" s="186"/>
      <c r="O17" s="304" t="s">
        <v>254</v>
      </c>
      <c r="P17" s="304"/>
      <c r="Q17" s="2"/>
      <c r="R17" s="2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</row>
    <row r="18" spans="1:60">
      <c r="A18" s="49" t="s">
        <v>165</v>
      </c>
      <c r="B18" s="189" t="str">
        <f>IF('Données projet'!$B$9="","",'Données projet'!$B$9)</f>
        <v>Pin laricio</v>
      </c>
      <c r="C18" s="5"/>
      <c r="D18" s="5"/>
      <c r="E18" s="5"/>
      <c r="F18" s="218"/>
      <c r="G18" s="230"/>
      <c r="H18" s="25"/>
      <c r="I18" s="5"/>
      <c r="J18" s="5"/>
      <c r="K18" s="5"/>
      <c r="L18" s="5"/>
      <c r="M18" s="5"/>
      <c r="N18" s="186"/>
      <c r="O18" s="271" t="s">
        <v>291</v>
      </c>
      <c r="P18" s="271"/>
      <c r="Q18" s="190">
        <f>VLOOKUP(Q17,Calculateur!$A$2:$H$153,3,0)/VLOOKUP('Scénario référence'!$G$15,Paramètres!A1:I88,3,0)/VLOOKUP('Scénario référence'!$G$15,Paramètres!A1:I88,5,0)</f>
        <v>0</v>
      </c>
      <c r="R18" s="2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</row>
    <row r="19" spans="1:60">
      <c r="A19" s="5"/>
      <c r="B19" s="5"/>
      <c r="C19" s="5"/>
      <c r="D19" s="5"/>
      <c r="E19" s="5"/>
      <c r="F19" s="218"/>
      <c r="G19" s="230"/>
      <c r="H19" s="25"/>
      <c r="I19" s="5"/>
      <c r="J19" s="188" t="s">
        <v>263</v>
      </c>
      <c r="K19" s="191" t="s">
        <v>249</v>
      </c>
      <c r="L19" s="188" t="s">
        <v>264</v>
      </c>
      <c r="M19" s="25"/>
      <c r="N19" s="186"/>
      <c r="O19" s="271" t="s">
        <v>255</v>
      </c>
      <c r="P19" s="271"/>
      <c r="Q19" s="209"/>
      <c r="R19" s="2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</row>
    <row r="20" spans="1:60" ht="15.75" customHeight="1">
      <c r="A20" s="188" t="s">
        <v>180</v>
      </c>
      <c r="B20" s="51" t="s">
        <v>256</v>
      </c>
      <c r="C20" s="51" t="s">
        <v>255</v>
      </c>
      <c r="D20" s="188" t="s">
        <v>252</v>
      </c>
      <c r="E20" s="188" t="s">
        <v>288</v>
      </c>
      <c r="F20" s="218"/>
      <c r="G20" s="231"/>
      <c r="H20" s="25"/>
      <c r="I20" s="188" t="str">
        <f>B18</f>
        <v>Pin laricio</v>
      </c>
      <c r="J20" s="192">
        <f>IF(B18&lt;&gt;"",-E21+(D22-E22)/(1+$J$6)^A22+(D23-E23)/(1+$J$6)^A23+(D24-E24)/(1+$J$6)^A24+(D25-E25)/(1+$J$6)^A25+(D26-E26)/(1+$J$6)^A26+(D27-E27)/(1+$J$6)^A27+(D28-E28)/(1+$J$6)^A28+(D29-E29)/(1+$J$6)^A29+(D30-E30)/(1+$J$6)^A30+(D31-E31)/(1+$J$6)^A31+(D32-E32)/(1+$J$6)^A32+(D33-E33)/(1+$J$6)^A33+(D34-E34)/(1+$J$6)^A34+(D35-E35)/(1+$J$6)^A35+(D36-E36)/(1+$J$6)^A36+(D37-E37)/(1+$J$6)^A37+(D38-E38)/(1+$J$6)^A38+(D39-E39)/(1+$J$6)^A39+(D40-E40)/(1+$J$6)^A40+(D41-E41)/(1+$J$6)^A41,0)</f>
        <v>2062.0411514163666</v>
      </c>
      <c r="K20" s="193">
        <f>'Données projet'!D9</f>
        <v>2.4588449999999997</v>
      </c>
      <c r="L20" s="192">
        <f>K20*J20</f>
        <v>5070.2395749543757</v>
      </c>
      <c r="M20" s="25"/>
      <c r="N20" s="186"/>
      <c r="O20" s="271" t="s">
        <v>290</v>
      </c>
      <c r="P20" s="271"/>
      <c r="Q20" s="194">
        <f>Q18*Q19</f>
        <v>0</v>
      </c>
      <c r="R20" s="2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</row>
    <row r="21" spans="1:60" ht="15.75" customHeight="1">
      <c r="A21" s="214">
        <v>0</v>
      </c>
      <c r="B21" s="217" t="s">
        <v>132</v>
      </c>
      <c r="C21" s="216" t="s">
        <v>132</v>
      </c>
      <c r="D21" s="215" t="s">
        <v>132</v>
      </c>
      <c r="E21" s="210">
        <v>1171.45</v>
      </c>
      <c r="F21" s="218"/>
      <c r="G21" s="231"/>
      <c r="H21" s="25"/>
      <c r="I21" s="188" t="str">
        <f>B44</f>
        <v>Cèdre de l'Atlas</v>
      </c>
      <c r="J21" s="192">
        <f>IF(B44&lt;&gt;"",-E47+(D48-E48)/(1+$J$6)^A48+(D49-D49)/(1+$J$6)^A49+(D50-E50)/(1+$J$6)^A50+(D51-E51)/(1+$J$6)^A51+(D52-E52)/(1+$J$6)^A52+(D53-E53)/(1+$J$6)^A53+(D54-E54)/(1+$J$6)^A54+(D55-E55)/(1+$J$6)^A55+(D56-E56)/(1+$J$6)^A56+(D57-E57)/(1+$J$6)^A57+(D58-E58)/(1+$J$6)^A58+(D59-E59)/(1+$J$6)^A59+(D60-E60)/(1+$J$6)^A60+(D61-E61)/(1+$J$6)^A61+(D62-E62)/(1+$J$6)^A62+(D63-E63)/(1+$J$6)^A63+(D64-E64)/(1+$J$6)^A64+(D65-E65)/(1+$J$6)^A65+(D66-E66)/(1+$J$6)^A66+(D67-E67)/(1+$J$6)^A67,0)</f>
        <v>-972.67463235433161</v>
      </c>
      <c r="K21" s="193">
        <f>'Données projet'!D10</f>
        <v>1.050905</v>
      </c>
      <c r="L21" s="192">
        <f t="shared" ref="L21:L29" si="0">K21*J21</f>
        <v>-1022.1886345143288</v>
      </c>
      <c r="M21" s="25"/>
      <c r="N21" s="236"/>
      <c r="O21" s="237"/>
      <c r="P21" s="237"/>
      <c r="Q21" s="232"/>
      <c r="R21" s="25"/>
      <c r="S21" s="25"/>
      <c r="T21" s="25"/>
      <c r="U21" s="25"/>
      <c r="V21" s="2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:60">
      <c r="A22" s="195">
        <f>'Données projet'!A36</f>
        <v>15</v>
      </c>
      <c r="B22" s="196">
        <f>'Données projet'!D36</f>
        <v>4</v>
      </c>
      <c r="C22" s="210">
        <f>'Données projet'!E36*30+('Données projet'!F36+'Données projet'!G36)*19.4+'Données projet'!H36*10</f>
        <v>19.399999999999999</v>
      </c>
      <c r="D22" s="197">
        <f>B22*C22</f>
        <v>77.599999999999994</v>
      </c>
      <c r="E22" s="210"/>
      <c r="F22" s="218"/>
      <c r="G22" s="227"/>
      <c r="H22" s="25"/>
      <c r="I22" s="188" t="str">
        <f>B70</f>
        <v>Chêne sessile</v>
      </c>
      <c r="J22" s="192">
        <f>IF(B70&lt;&gt;"",-E73+(D74-E74)/(1+$J$6)^A74+(D75-E75)/(1+$J$6)^A75+(D76-E76)/(1+$J$6)^A76+(D77-E77)/(1+$J$6)^A77+(D78-E78)/(1+$J$6)^A78+(D79-E79)/(1+$J$6)^A79+(D80-E80)/(1+$J$6)^A80+(D81-E81)/(1+$J$6)^A81+(D82-E82)/(1+$J$6)^A82+(D83-E83)/(1+$J$6)^A83+(D84-E84)/(1+$J$6)^A84+(D85-E85)/(1+$J$6)^A85+(D86-E86)/(1+$J$6)^A86+(D87-E87)/(1+$J$6)^A87+(D88-E88)/(1+$J$6)^A88+(D89-E89)/(1+$J$6)^A89+(D90-E90)/(1+$J$6)^A90+(D91-E91)/(1+$J$6)^A91+(D92-E92)/(1+$J$6)^A92+(D93-E93)/(1+$J$6)^A93,0)</f>
        <v>-1231.5049717654188</v>
      </c>
      <c r="K22" s="193">
        <f>'Données projet'!D11</f>
        <v>1.0897899999999998</v>
      </c>
      <c r="L22" s="192">
        <f t="shared" si="0"/>
        <v>-1342.0818031802355</v>
      </c>
      <c r="M22" s="25"/>
      <c r="N22" s="236"/>
      <c r="O22" s="25"/>
      <c r="P22" s="25"/>
      <c r="Q22" s="25"/>
      <c r="R22" s="25"/>
      <c r="S22" s="25"/>
      <c r="T22" s="25"/>
      <c r="U22" s="25"/>
      <c r="V22" s="2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:60">
      <c r="A23" s="195">
        <f>'Données projet'!A37</f>
        <v>20</v>
      </c>
      <c r="B23" s="196">
        <f>'Données projet'!D37</f>
        <v>56</v>
      </c>
      <c r="C23" s="210">
        <f>'Données projet'!E37*30+('Données projet'!F37+'Données projet'!G37)*19.4+'Données projet'!H37*10</f>
        <v>19.399999999999999</v>
      </c>
      <c r="D23" s="197">
        <f t="shared" ref="D23:D41" si="1">B23*C23</f>
        <v>1086.3999999999999</v>
      </c>
      <c r="E23" s="210"/>
      <c r="F23" s="219"/>
      <c r="G23" s="227"/>
      <c r="H23" s="25"/>
      <c r="I23" s="188" t="str">
        <f>B96</f>
        <v>Chêne pubescent</v>
      </c>
      <c r="J23" s="192">
        <f>IF(B96&lt;&gt;"",-E99+(D100-E100)/(1+$J$6)^A100+(D101-E101)/(1+$J$6)^A101+(D102-E102)/(1+$J$6)^A102+(D103-E103)/(1+$J$6)^A103+(D104-E104)/(1+$J$6)^A104+(D105-E105)/(1+$J$6)^A105+(D106-E106)/(1+$J$6)^A106+(D107-E107)/(1+$J$6)^A107+(D108-E108)/(1+$J$6)^A108+(D109-E109)/(1+$J$6)^A109+(D110-E110)/(1+$J$6)^A110+(D111-E111)/(1+$J$6)^A111+(D112-E112)/(1+$J$6)^A112+(D113-E113)/(1+$J$6)^A113+(D114-E114)/(1+$J$6)^A114+(D115-E115)/(1+$J$6)^A115+(D116-E116)/(1+$J$6)^A116+(D117-E117)/(1+$J$6)^A117+(D118-E118)/(1+$J$6)^A118+(D119-E119)/(1+$J$6)^A119,0)</f>
        <v>-1790.0749717654189</v>
      </c>
      <c r="K23" s="193">
        <f>'Données projet'!D12</f>
        <v>0.15806500000000001</v>
      </c>
      <c r="L23" s="192">
        <f t="shared" si="0"/>
        <v>-282.94820041210096</v>
      </c>
      <c r="M23" s="226"/>
      <c r="N23" s="198"/>
      <c r="O23" s="308" t="s">
        <v>261</v>
      </c>
      <c r="P23" s="308"/>
      <c r="Q23" s="308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</row>
    <row r="24" spans="1:60">
      <c r="A24" s="195">
        <f>'Données projet'!A38</f>
        <v>25</v>
      </c>
      <c r="B24" s="196">
        <f>'Données projet'!D38</f>
        <v>56</v>
      </c>
      <c r="C24" s="210">
        <f>'Données projet'!E38*30+('Données projet'!F38+'Données projet'!G38)*19.4+'Données projet'!H38*10</f>
        <v>19.399999999999999</v>
      </c>
      <c r="D24" s="197">
        <f t="shared" si="1"/>
        <v>1086.3999999999999</v>
      </c>
      <c r="E24" s="210"/>
      <c r="F24" s="219"/>
      <c r="G24" s="227"/>
      <c r="H24" s="25"/>
      <c r="I24" s="188" t="str">
        <f>B122</f>
        <v>Charme</v>
      </c>
      <c r="J24" s="192">
        <f>IF(B122&lt;&gt;"",-E125+(D126-E126)/(1+$J$6)^A126+(D127-E127)/(1+$J$6)^A127+(D128-E128)/(1+$J$6)^A128+(D129-E129)/(1+$J$6)^A129+(D130-E130)/(1+$J$6)^A130+(D131-E131)/(1+$J$6)^A131+(D132-E132)/(1+$J$6)^A132+(D133-E133)/(1+$J$6)^A133+(D134-E134)/(1+$J$6)^A134+(D135-E135)/(1+$J$6)^A135+(D136-E136)/(1+$J$6)^A136+(D137-E137)/(1+$J$6)^A137+(D138-E138)/(1+$J$6)^A138+(D139-E139)/(1+$J$6)^A139+(D140-E140)/(1+$J$6)^A140+(D141-E141)/(1+$J$6)^A141+(D142-E142)/(1+$J$6)^A142+(D143-E143)/(1+$J$6)^A143+(D144-E144)/(1+$J$6)^A144+(D145-E145)/(1+$J$6)^A145,0)</f>
        <v>-1369.8347054606515</v>
      </c>
      <c r="K24" s="193">
        <f>'Données projet'!D13</f>
        <v>0.133825</v>
      </c>
      <c r="L24" s="192">
        <f t="shared" si="0"/>
        <v>-183.3181294582717</v>
      </c>
      <c r="M24" s="25"/>
      <c r="N24" s="186"/>
      <c r="O24" s="306" t="s">
        <v>286</v>
      </c>
      <c r="P24" s="306"/>
      <c r="Q24" s="306"/>
      <c r="R24" s="306"/>
      <c r="S24" s="306"/>
      <c r="T24" s="209">
        <v>0</v>
      </c>
      <c r="U24" s="25"/>
      <c r="V24" s="25"/>
      <c r="W24" s="2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</row>
    <row r="25" spans="1:60" ht="15" customHeight="1">
      <c r="A25" s="195">
        <f>'Données projet'!A39</f>
        <v>30</v>
      </c>
      <c r="B25" s="196">
        <f>'Données projet'!D39</f>
        <v>56</v>
      </c>
      <c r="C25" s="210">
        <f>'Données projet'!E39*30+('Données projet'!F39+'Données projet'!G39)*19.4+'Données projet'!H39*10</f>
        <v>19.399999999999999</v>
      </c>
      <c r="D25" s="197">
        <f t="shared" si="1"/>
        <v>1086.3999999999999</v>
      </c>
      <c r="E25" s="210"/>
      <c r="F25" s="219"/>
      <c r="G25" s="227"/>
      <c r="H25" s="25"/>
      <c r="I25" s="188" t="str">
        <f>B148</f>
        <v>Alisier torminal</v>
      </c>
      <c r="J25" s="192">
        <f>IF(B148&lt;&gt;"",-E151+(D152-E152)/(1+$J$6)^A152+(D153-E153)/(1+$J$6)^A153+(D154-E154)/(1+$J$6)^A154+(D155-E155)/(1+$J$6)^A155+(D156-E156)/(1+$J$6)^A156+(D157-E157)/(1+$J$6)^A157+(D158-E158)/(1+$J$6)^A158+(D159-E159)/(1+$J$6)^A159+(D160-E160)/(1+$J$6)^A160+(D161-E161)/(1+$J$6)^A161+(D162-E162)/(1+$J$6)^A162+(D163-E163)/(1+$J$6)^A163+(D164-E164)/(1+$J$6)^A164+(D165-E165)/(1+$J$6)^A165+(D166-E166)/(1+$J$6)^A166+(D167-E167)/(1+$J$6)^A167+(D168-E168)/(1+$J$6)^A168+(D169-E169)/(1+$J$6)^A169+(D170-E170)/(1+$J$6)^A170+(D171-E171)/(1+$J$6)^A171,0)</f>
        <v>-1418.48198347732</v>
      </c>
      <c r="K25" s="193">
        <f>'Données projet'!D14</f>
        <v>0.15806500000000001</v>
      </c>
      <c r="L25" s="192">
        <f t="shared" si="0"/>
        <v>-224.2123547183426</v>
      </c>
      <c r="M25" s="25"/>
      <c r="N25" s="186"/>
      <c r="O25" s="307" t="s">
        <v>258</v>
      </c>
      <c r="P25" s="307"/>
      <c r="Q25" s="307"/>
      <c r="R25" s="307"/>
      <c r="S25" s="307"/>
      <c r="T25" s="307"/>
      <c r="U25" s="25"/>
      <c r="V25" s="25"/>
      <c r="W25" s="2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</row>
    <row r="26" spans="1:60">
      <c r="A26" s="195">
        <f>'Données projet'!A40</f>
        <v>35</v>
      </c>
      <c r="B26" s="196">
        <f>'Données projet'!D40</f>
        <v>56</v>
      </c>
      <c r="C26" s="210">
        <f>'Données projet'!E40*30+('Données projet'!F40+'Données projet'!G40)*19.4+'Données projet'!H40*10</f>
        <v>21.52</v>
      </c>
      <c r="D26" s="197">
        <f t="shared" si="1"/>
        <v>1205.1199999999999</v>
      </c>
      <c r="E26" s="210"/>
      <c r="F26" s="219"/>
      <c r="G26" s="227"/>
      <c r="H26" s="25"/>
      <c r="I26" s="188" t="str">
        <f>B174</f>
        <v/>
      </c>
      <c r="J26" s="192">
        <f>IF(B174&lt;&gt;"",-E177+(D178-E178)/(1+$J$6)^A178+(D179-E179)/(1+$J$6)^A179+(D180-E180)/(1+$J$6)^A180+(D181-E181)/(1+$J$6)^A181+(D182-E182)/(1+$J$6)^A182+(D183-E183)/(1+$J$6)^A183+(D184-E184)/(1+$J$6)^A184+(D185-E185)/(1+$J$6)^A185+(D186-E186)/(1+$J$6)^A186+(D187-E187)/(1+$J$6)^A187+(D188-E188)/(1+$J$6)^A188+(D189-E189)/(1+$J$6)^A189+(D190-E190)/(1+$J$6)^A190+(D191-E191)/(1+$J$6)^A191+(D192-E192)/(1+$J$6)^A192+(D193-E193)/(1+$J$6)^A193+(D194-E194)/(1+$J$6)^A194+(D195-E195)/(1+$J$6)^A195+(D196-E196)/(1+$J$6)^A196+(D197-E197)/(1+$J$6)^A197,0)</f>
        <v>0</v>
      </c>
      <c r="K26" s="193">
        <f>'Données projet'!D15</f>
        <v>0</v>
      </c>
      <c r="L26" s="192">
        <f t="shared" si="0"/>
        <v>0</v>
      </c>
      <c r="M26" s="25"/>
      <c r="N26" s="186"/>
      <c r="O26" s="307"/>
      <c r="P26" s="307"/>
      <c r="Q26" s="307"/>
      <c r="R26" s="307"/>
      <c r="S26" s="307"/>
      <c r="T26" s="307"/>
      <c r="U26" s="25"/>
      <c r="V26" s="25"/>
      <c r="W26" s="2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</row>
    <row r="27" spans="1:60">
      <c r="A27" s="195">
        <f>'Données projet'!A41</f>
        <v>40</v>
      </c>
      <c r="B27" s="196">
        <f>'Données projet'!D41</f>
        <v>56</v>
      </c>
      <c r="C27" s="210">
        <f>'Données projet'!E41*30+('Données projet'!F41+'Données projet'!G41)*19.4+'Données projet'!H41*10</f>
        <v>23.64</v>
      </c>
      <c r="D27" s="197">
        <f t="shared" si="1"/>
        <v>1323.8400000000001</v>
      </c>
      <c r="E27" s="210"/>
      <c r="F27" s="219"/>
      <c r="G27" s="227"/>
      <c r="H27" s="25"/>
      <c r="I27" s="188" t="str">
        <f>B200</f>
        <v/>
      </c>
      <c r="J27" s="192">
        <f>IF(B200&lt;&gt;"",-E203+(D204-E204)/(1+$J$6)^A204+(D205-E205)/(1+$J$6)^A205+(D206-E206)/(1+$J$6)^A206+(D207-E207)/(1+$J$6)^A207+(D208-E208)/(1+$J$6)^A208+(D209-E209)/(1+$J$6)^A209+(D210-E210)/(1+$J$6)^A210+(D211-E211)/(1+$J$6)^A211+(D212-E212)/(1+$J$6)^A212+(D213-E213)/(1+$J$6)^A213+(D214-E214)/(1+$J$6)^A214+(D215-E215)/(1+$J$6)^A215+(D216-E216)/(1+$J$6)^A216+(D217-E217)/(1+$J$6)^A217+(D218-E218)/(1+$J$6)^A218+(D219-E219)/(1+$J$6)^A219+(D220-E220)/(1+$J$6)^A220+(D221-E221)/(1+$J$6)^A221+(D222-E222)/(1+$J$6)^A222+(D223-E223)/(1+$J$6)^A223,0)</f>
        <v>0</v>
      </c>
      <c r="K27" s="193">
        <f>'Données projet'!D16</f>
        <v>0</v>
      </c>
      <c r="L27" s="192">
        <f t="shared" si="0"/>
        <v>0</v>
      </c>
      <c r="M27" s="25"/>
      <c r="N27" s="186"/>
      <c r="O27" s="199"/>
      <c r="P27" s="199"/>
      <c r="Q27" s="199"/>
      <c r="R27" s="199"/>
      <c r="S27" s="199"/>
      <c r="T27" s="245"/>
      <c r="U27" s="25"/>
      <c r="V27" s="25"/>
      <c r="W27" s="2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</row>
    <row r="28" spans="1:60">
      <c r="A28" s="195">
        <f>'Données projet'!A42</f>
        <v>45</v>
      </c>
      <c r="B28" s="196">
        <f>'Données projet'!D42</f>
        <v>54</v>
      </c>
      <c r="C28" s="210">
        <f>'Données projet'!E42*30+('Données projet'!F42+'Données projet'!G42)*19.4+'Données projet'!H42*10</f>
        <v>25.759999999999998</v>
      </c>
      <c r="D28" s="197">
        <f t="shared" si="1"/>
        <v>1391.04</v>
      </c>
      <c r="E28" s="210"/>
      <c r="F28" s="219"/>
      <c r="G28" s="227"/>
      <c r="H28" s="25"/>
      <c r="I28" s="188" t="str">
        <f>B226</f>
        <v/>
      </c>
      <c r="J28" s="192">
        <f>IF(B226&lt;&gt;"",-E229+(D230-E230)/(1+$J$6)^A230+(D231-E231)/(1+$J$6)^A231+(D232-E232)/(1+$J$6)^A232+(D233-E233)/(1+$J$6)^A233+(D234-E234)/(1+$J$6)^A234+(D235-E235)/(1+$J$6)^A235+(D236-E236)/(1+$J$6)^A236+(D237-E237)/(1+$J$6)^A237+(D238-E238)/(1+$J$6)^A238+(D239-E239)/(1+$J$6)^A239+(D240-E240)/(1+$J$6)^A240+(D241-E241)/(1+$J$6)^A241+(D242-E242)/(1+$J$6)^A242+(D243-E243)/(1+$J$6)^A243+(D244-E244)/(1+$J$6)^A244+(D245-E245)/(1+$J$6)^A245+(D246-E246)/(1+$J$6)^A246+(D247-E247)/(1+$J$6)^A247+(D248-E248)/(1+$J$6)^A248+(D249-E249)/(1+$J$6)^A249,0)</f>
        <v>0</v>
      </c>
      <c r="K28" s="193">
        <f>'Données projet'!D17</f>
        <v>0</v>
      </c>
      <c r="L28" s="192">
        <f t="shared" si="0"/>
        <v>0</v>
      </c>
      <c r="M28" s="25"/>
      <c r="N28" s="186"/>
      <c r="O28" s="188" t="s">
        <v>259</v>
      </c>
      <c r="P28" s="200">
        <f ca="1">SUM(OFFSET($S$29,0,0,MIN('Données projet'!$E$9:$E$18)+1,1))</f>
        <v>0</v>
      </c>
      <c r="Q28" s="5"/>
      <c r="R28" s="93" t="s">
        <v>178</v>
      </c>
      <c r="S28" s="93" t="s">
        <v>252</v>
      </c>
      <c r="T28" s="25"/>
      <c r="U28" s="25"/>
      <c r="V28" s="25"/>
      <c r="W28" s="2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</row>
    <row r="29" spans="1:60">
      <c r="A29" s="195">
        <f>'Données projet'!A43</f>
        <v>50</v>
      </c>
      <c r="B29" s="196">
        <f>'Données projet'!D43</f>
        <v>458</v>
      </c>
      <c r="C29" s="210">
        <f>'Données projet'!E43*30+('Données projet'!F43+'Données projet'!G43)*19.4+'Données projet'!H43*10</f>
        <v>27.88</v>
      </c>
      <c r="D29" s="197">
        <f t="shared" si="1"/>
        <v>12769.039999999999</v>
      </c>
      <c r="E29" s="210"/>
      <c r="F29" s="219"/>
      <c r="G29" s="227"/>
      <c r="H29" s="25"/>
      <c r="I29" s="188" t="str">
        <f>B252</f>
        <v/>
      </c>
      <c r="J29" s="192">
        <f>IF(B252&lt;&gt;"",-E255+(D256-E256)/(1+$J$6)^A256+(D257-D257)/(1+$J$6)^A257+(D258-E258)/(1+$J$6)^A258+(D259-E259)/(1+$J$6)^A259+(D260-E260)/(1+$J$6)^A260+(D261-E261)/(1+$J$6)^A261+(D262-E262)/(1+$J$6)^A262+(D263-E263)/(1+$J$6)^A263+(D264-E264)/(1+$J$6)^A264+(D265-E265)/(1+$J$6)^A265+(D266-E266)/(1+$J$6)^A266+(D267-E267)/(1+$J$6)^A267+(D268-E268)/(1+$J$6)^A268+(D269-E269)/(1+$J$6)^A269+(D270-E270)/(1+$J$6)^A270+(D271-E271)/(1+$J$6)^A271+(D272-E272)/(1+$J$6)^A272+(D273-E273)/(1+$J$6)^A273+(D274-E274)/(1+$J$6)^A274+(D275-E275)/(1+$J$6)^A275,0)</f>
        <v>0</v>
      </c>
      <c r="K29" s="193">
        <f>'Données projet'!D18</f>
        <v>0</v>
      </c>
      <c r="L29" s="192">
        <f t="shared" si="0"/>
        <v>0</v>
      </c>
      <c r="M29" s="25"/>
      <c r="N29" s="186"/>
      <c r="O29" s="5"/>
      <c r="P29" s="5"/>
      <c r="Q29" s="5"/>
      <c r="R29" s="211">
        <v>0</v>
      </c>
      <c r="S29" s="201">
        <f>$T$24/(1+$J$6)^R29</f>
        <v>0</v>
      </c>
      <c r="T29" s="25"/>
      <c r="U29" s="25"/>
      <c r="V29" s="25"/>
      <c r="W29" s="2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</row>
    <row r="30" spans="1:60">
      <c r="A30" s="195">
        <f>'Données projet'!A44</f>
        <v>0</v>
      </c>
      <c r="B30" s="196">
        <f>'Données projet'!D44</f>
        <v>0</v>
      </c>
      <c r="C30" s="210"/>
      <c r="D30" s="197">
        <f t="shared" si="1"/>
        <v>0</v>
      </c>
      <c r="E30" s="210"/>
      <c r="F30" s="219"/>
      <c r="G30" s="227"/>
      <c r="H30" s="25"/>
      <c r="M30" s="5"/>
      <c r="N30" s="186"/>
      <c r="O30" s="301" t="s">
        <v>260</v>
      </c>
      <c r="P30" s="301"/>
      <c r="Q30" s="302"/>
      <c r="R30" s="211">
        <f>IF(R29+1&lt;=MIN('Données projet'!$E$9:$E$18),R29+1,"STOP")</f>
        <v>1</v>
      </c>
      <c r="S30" s="201">
        <f t="shared" ref="S30:S46" si="2">$T$24/(1+$J$6)^R30</f>
        <v>0</v>
      </c>
      <c r="T30" s="25"/>
      <c r="U30" s="25"/>
      <c r="V30" s="25"/>
      <c r="W30" s="2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</row>
    <row r="31" spans="1:60">
      <c r="A31" s="195">
        <f>'Données projet'!A45</f>
        <v>0</v>
      </c>
      <c r="B31" s="196">
        <f>'Données projet'!D45</f>
        <v>0</v>
      </c>
      <c r="C31" s="210"/>
      <c r="D31" s="197">
        <f t="shared" si="1"/>
        <v>0</v>
      </c>
      <c r="E31" s="210"/>
      <c r="F31" s="219"/>
      <c r="G31" s="227"/>
      <c r="H31" s="25"/>
      <c r="I31" s="25"/>
      <c r="J31" s="25"/>
      <c r="K31" s="25"/>
      <c r="L31" s="25"/>
      <c r="M31" s="5"/>
      <c r="N31" s="186"/>
      <c r="O31" s="301" t="s">
        <v>297</v>
      </c>
      <c r="P31" s="301"/>
      <c r="Q31" s="302"/>
      <c r="R31" s="211">
        <f>IF(R30+1&lt;=MIN('Données projet'!$E$9:$E$18),R30+1,"STOP")</f>
        <v>2</v>
      </c>
      <c r="S31" s="201">
        <f t="shared" si="2"/>
        <v>0</v>
      </c>
      <c r="T31" s="25"/>
      <c r="U31" s="25"/>
      <c r="V31" s="25"/>
      <c r="W31" s="2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</row>
    <row r="32" spans="1:60">
      <c r="A32" s="195">
        <f>'Données projet'!A46</f>
        <v>0</v>
      </c>
      <c r="B32" s="196">
        <f>'Données projet'!D46</f>
        <v>0</v>
      </c>
      <c r="C32" s="210"/>
      <c r="D32" s="197">
        <f t="shared" si="1"/>
        <v>0</v>
      </c>
      <c r="E32" s="210"/>
      <c r="F32" s="219"/>
      <c r="G32" s="227"/>
      <c r="H32" s="25"/>
      <c r="I32" s="25"/>
      <c r="J32" s="25"/>
      <c r="K32" s="25"/>
      <c r="L32" s="25"/>
      <c r="M32" s="5"/>
      <c r="N32" s="236"/>
      <c r="O32" s="25"/>
      <c r="P32" s="25"/>
      <c r="Q32" s="25"/>
      <c r="R32" s="211">
        <f>IF(R31+1&lt;=MIN('Données projet'!$E$9:$E$18),R31+1,"STOP")</f>
        <v>3</v>
      </c>
      <c r="S32" s="201">
        <f t="shared" si="2"/>
        <v>0</v>
      </c>
      <c r="T32" s="25"/>
      <c r="U32" s="25"/>
      <c r="V32" s="25"/>
      <c r="W32" s="2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</row>
    <row r="33" spans="1:60">
      <c r="A33" s="195">
        <f>'Données projet'!A47</f>
        <v>0</v>
      </c>
      <c r="B33" s="196">
        <f>'Données projet'!D47</f>
        <v>0</v>
      </c>
      <c r="C33" s="210"/>
      <c r="D33" s="197">
        <f t="shared" si="1"/>
        <v>0</v>
      </c>
      <c r="E33" s="210"/>
      <c r="F33" s="219"/>
      <c r="G33" s="227"/>
      <c r="H33" s="25"/>
      <c r="I33" s="188" t="s">
        <v>265</v>
      </c>
      <c r="J33" s="311">
        <f>SUM(L20:L29) - (J12/(1+J6)^I12 + J13/(1+J6)^I13 + J14/(1+J6)^I14 + J15/(1+J6)^I15 + J16/(1+J6)^I16 + J9/(1+J6)^I9)*'Données projet'!C5</f>
        <v>-8457.0357249044973</v>
      </c>
      <c r="K33" s="311"/>
      <c r="L33" s="311"/>
      <c r="M33" s="25"/>
      <c r="N33" s="236"/>
      <c r="O33" s="25"/>
      <c r="P33" s="25"/>
      <c r="Q33" s="25"/>
      <c r="R33" s="211">
        <f>IF(R32+1&lt;=MIN('Données projet'!$E$9:$E$18),R32+1,"STOP")</f>
        <v>4</v>
      </c>
      <c r="S33" s="201">
        <f t="shared" si="2"/>
        <v>0</v>
      </c>
      <c r="T33" s="25"/>
      <c r="U33" s="25"/>
      <c r="V33" s="25"/>
      <c r="W33" s="2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</row>
    <row r="34" spans="1:60">
      <c r="A34" s="195">
        <f>'Données projet'!A48</f>
        <v>0</v>
      </c>
      <c r="B34" s="196">
        <f>'Données projet'!D48</f>
        <v>0</v>
      </c>
      <c r="C34" s="210"/>
      <c r="D34" s="197">
        <f t="shared" si="1"/>
        <v>0</v>
      </c>
      <c r="E34" s="210"/>
      <c r="F34" s="219"/>
      <c r="G34" s="227"/>
      <c r="H34" s="25"/>
      <c r="I34" s="188" t="s">
        <v>262</v>
      </c>
      <c r="J34" s="312">
        <f ca="1">'Scénario référence'!$B$8*$P$28*'Données projet'!$C$5+('Scénario référence'!B9+'Scénario référence'!B10+'Scénario référence'!F8+'Scénario référence'!F9)*$Q$20/(1+J6)^Q17*'Données projet'!$C$5</f>
        <v>0</v>
      </c>
      <c r="K34" s="312"/>
      <c r="L34" s="312"/>
      <c r="M34" s="25"/>
      <c r="N34" s="236"/>
      <c r="O34" s="25"/>
      <c r="P34" s="25"/>
      <c r="Q34" s="25"/>
      <c r="R34" s="211">
        <f>IF(R33+1&lt;=MIN('Données projet'!$E$9:$E$18),R33+1,"STOP")</f>
        <v>5</v>
      </c>
      <c r="S34" s="201">
        <f t="shared" si="2"/>
        <v>0</v>
      </c>
      <c r="T34" s="25"/>
      <c r="U34" s="25"/>
      <c r="V34" s="25"/>
      <c r="W34" s="2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</row>
    <row r="35" spans="1:60">
      <c r="A35" s="195">
        <f>'Données projet'!A49</f>
        <v>0</v>
      </c>
      <c r="B35" s="196">
        <f>'Données projet'!D49</f>
        <v>0</v>
      </c>
      <c r="C35" s="210"/>
      <c r="D35" s="197">
        <f t="shared" si="1"/>
        <v>0</v>
      </c>
      <c r="E35" s="210"/>
      <c r="F35" s="219"/>
      <c r="G35" s="227"/>
      <c r="H35" s="25"/>
      <c r="I35" s="202" t="s">
        <v>267</v>
      </c>
      <c r="J35" s="313">
        <f ca="1">J33-J34</f>
        <v>-8457.0357249044973</v>
      </c>
      <c r="K35" s="313"/>
      <c r="L35" s="313"/>
      <c r="M35" s="25"/>
      <c r="N35" s="236"/>
      <c r="O35" s="25"/>
      <c r="P35" s="25"/>
      <c r="Q35" s="25"/>
      <c r="R35" s="211">
        <f>IF(R34+1&lt;=MIN('Données projet'!$E$9:$E$18),R34+1,"STOP")</f>
        <v>6</v>
      </c>
      <c r="S35" s="201">
        <f t="shared" si="2"/>
        <v>0</v>
      </c>
      <c r="T35" s="25"/>
      <c r="U35" s="25"/>
      <c r="V35" s="25"/>
      <c r="W35" s="2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</row>
    <row r="36" spans="1:60">
      <c r="A36" s="195">
        <f>'Données projet'!A50</f>
        <v>0</v>
      </c>
      <c r="B36" s="196">
        <f>'Données projet'!D50</f>
        <v>0</v>
      </c>
      <c r="C36" s="210"/>
      <c r="D36" s="197">
        <f t="shared" si="1"/>
        <v>0</v>
      </c>
      <c r="E36" s="210"/>
      <c r="F36" s="219"/>
      <c r="G36" s="227"/>
      <c r="H36" s="25"/>
      <c r="I36" s="202" t="s">
        <v>266</v>
      </c>
      <c r="J36" s="310" t="str">
        <f ca="1">IF(J35&lt;0,"Votre projet est additionnel","Votre projet n'est pas additionnel")</f>
        <v>Votre projet est additionnel</v>
      </c>
      <c r="K36" s="310"/>
      <c r="L36" s="310"/>
      <c r="M36" s="25"/>
      <c r="N36" s="236"/>
      <c r="O36" s="25"/>
      <c r="P36" s="25"/>
      <c r="Q36" s="25"/>
      <c r="R36" s="211">
        <f>IF(R35+1&lt;=MIN('Données projet'!$E$9:$E$18),R35+1,"STOP")</f>
        <v>7</v>
      </c>
      <c r="S36" s="201">
        <f t="shared" si="2"/>
        <v>0</v>
      </c>
      <c r="T36" s="2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</row>
    <row r="37" spans="1:60">
      <c r="A37" s="195">
        <f>'Données projet'!A51</f>
        <v>0</v>
      </c>
      <c r="B37" s="196">
        <f>'Données projet'!D51</f>
        <v>0</v>
      </c>
      <c r="C37" s="210"/>
      <c r="D37" s="197">
        <f t="shared" si="1"/>
        <v>0</v>
      </c>
      <c r="E37" s="210"/>
      <c r="F37" s="219"/>
      <c r="G37" s="227"/>
      <c r="H37" s="25"/>
      <c r="I37" s="314" t="s">
        <v>268</v>
      </c>
      <c r="J37" s="314"/>
      <c r="K37" s="314"/>
      <c r="L37" s="314"/>
      <c r="M37" s="25"/>
      <c r="N37" s="236"/>
      <c r="O37" s="25"/>
      <c r="P37" s="25"/>
      <c r="Q37" s="25"/>
      <c r="R37" s="211">
        <f>IF(R36+1&lt;=MIN('Données projet'!$E$9:$E$18),R36+1,"STOP")</f>
        <v>8</v>
      </c>
      <c r="S37" s="201">
        <f t="shared" si="2"/>
        <v>0</v>
      </c>
      <c r="T37" s="2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</row>
    <row r="38" spans="1:60">
      <c r="A38" s="195">
        <f>'Données projet'!A52</f>
        <v>0</v>
      </c>
      <c r="B38" s="196">
        <f>'Données projet'!D52</f>
        <v>0</v>
      </c>
      <c r="C38" s="210"/>
      <c r="D38" s="197">
        <f t="shared" si="1"/>
        <v>0</v>
      </c>
      <c r="E38" s="210"/>
      <c r="F38" s="219"/>
      <c r="G38" s="227"/>
      <c r="H38" s="25"/>
      <c r="I38" s="25"/>
      <c r="J38" s="25"/>
      <c r="K38" s="25"/>
      <c r="L38" s="25"/>
      <c r="M38" s="25"/>
      <c r="N38" s="236"/>
      <c r="O38" s="25"/>
      <c r="P38" s="25"/>
      <c r="Q38" s="25"/>
      <c r="R38" s="211">
        <f>IF(R37+1&lt;=MIN('Données projet'!$E$9:$E$18),R37+1,"STOP")</f>
        <v>9</v>
      </c>
      <c r="S38" s="201">
        <f t="shared" si="2"/>
        <v>0</v>
      </c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</row>
    <row r="39" spans="1:60">
      <c r="A39" s="195">
        <f>'Données projet'!A53</f>
        <v>0</v>
      </c>
      <c r="B39" s="196">
        <f>'Données projet'!D53</f>
        <v>0</v>
      </c>
      <c r="C39" s="210"/>
      <c r="D39" s="197">
        <f t="shared" si="1"/>
        <v>0</v>
      </c>
      <c r="E39" s="210"/>
      <c r="F39" s="219"/>
      <c r="G39" s="227"/>
      <c r="H39" s="25"/>
      <c r="I39" s="25"/>
      <c r="J39" s="25"/>
      <c r="K39" s="25"/>
      <c r="L39" s="25"/>
      <c r="M39" s="25"/>
      <c r="N39" s="236"/>
      <c r="O39" s="25"/>
      <c r="P39" s="25"/>
      <c r="Q39" s="25"/>
      <c r="R39" s="211">
        <f>IF(R38+1&lt;=MIN('Données projet'!$E$9:$E$18),R38+1,"STOP")</f>
        <v>10</v>
      </c>
      <c r="S39" s="201">
        <f t="shared" si="2"/>
        <v>0</v>
      </c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</row>
    <row r="40" spans="1:60">
      <c r="A40" s="195">
        <f>'Données projet'!A54</f>
        <v>0</v>
      </c>
      <c r="B40" s="196">
        <f>'Données projet'!D54</f>
        <v>0</v>
      </c>
      <c r="C40" s="210"/>
      <c r="D40" s="197">
        <f t="shared" si="1"/>
        <v>0</v>
      </c>
      <c r="E40" s="210"/>
      <c r="F40" s="219"/>
      <c r="G40" s="227"/>
      <c r="H40" s="25"/>
      <c r="I40" s="25"/>
      <c r="J40" s="25"/>
      <c r="K40" s="25"/>
      <c r="L40" s="25"/>
      <c r="M40" s="25"/>
      <c r="N40" s="236"/>
      <c r="O40" s="25"/>
      <c r="P40" s="25"/>
      <c r="Q40" s="25"/>
      <c r="R40" s="211">
        <f>IF(R39+1&lt;=MIN('Données projet'!$E$9:$E$18),R39+1,"STOP")</f>
        <v>11</v>
      </c>
      <c r="S40" s="201">
        <f t="shared" si="2"/>
        <v>0</v>
      </c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</row>
    <row r="41" spans="1:60">
      <c r="A41" s="195">
        <f>'Données projet'!A55</f>
        <v>0</v>
      </c>
      <c r="B41" s="196">
        <f>'Données projet'!D55</f>
        <v>0</v>
      </c>
      <c r="C41" s="210"/>
      <c r="D41" s="197">
        <f t="shared" si="1"/>
        <v>0</v>
      </c>
      <c r="E41" s="210"/>
      <c r="F41" s="219"/>
      <c r="G41" s="227"/>
      <c r="H41" s="25"/>
      <c r="I41" s="25"/>
      <c r="J41" s="25"/>
      <c r="K41" s="25"/>
      <c r="L41" s="25"/>
      <c r="M41" s="25"/>
      <c r="N41" s="236"/>
      <c r="O41" s="25"/>
      <c r="P41" s="25"/>
      <c r="Q41" s="25"/>
      <c r="R41" s="211">
        <f>IF(R40+1&lt;=MIN('Données projet'!$E$9:$E$18),R40+1,"STOP")</f>
        <v>12</v>
      </c>
      <c r="S41" s="201">
        <f t="shared" si="2"/>
        <v>0</v>
      </c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</row>
    <row r="42" spans="1:60" s="212" customFormat="1" ht="47.25" customHeight="1">
      <c r="A42" s="203"/>
      <c r="B42" s="203"/>
      <c r="C42" s="203"/>
      <c r="D42" s="203"/>
      <c r="E42" s="305" t="s">
        <v>293</v>
      </c>
      <c r="F42" s="309"/>
      <c r="G42" s="228"/>
      <c r="H42" s="229"/>
      <c r="I42" s="229"/>
      <c r="J42" s="229"/>
      <c r="K42" s="229"/>
      <c r="L42" s="229"/>
      <c r="M42" s="229"/>
      <c r="N42" s="238"/>
      <c r="O42" s="229"/>
      <c r="P42" s="229"/>
      <c r="Q42" s="229"/>
      <c r="R42" s="211">
        <f>IF(R41+1&lt;=MIN('Données projet'!$E$9:$E$18),R41+1,"STOP")</f>
        <v>13</v>
      </c>
      <c r="S42" s="204">
        <f t="shared" si="2"/>
        <v>0</v>
      </c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</row>
    <row r="43" spans="1:60">
      <c r="A43" s="5"/>
      <c r="B43" s="5"/>
      <c r="C43" s="5"/>
      <c r="D43" s="5"/>
      <c r="E43" s="5"/>
      <c r="F43" s="218"/>
      <c r="G43" s="230"/>
      <c r="H43" s="25"/>
      <c r="I43" s="25"/>
      <c r="J43" s="25"/>
      <c r="K43" s="25"/>
      <c r="L43" s="25"/>
      <c r="M43" s="25"/>
      <c r="N43" s="186"/>
      <c r="O43" s="5"/>
      <c r="P43" s="5"/>
      <c r="Q43" s="5"/>
      <c r="R43" s="211">
        <f>IF(R42+1&lt;=MIN('Données projet'!$E$9:$E$18),R42+1,"STOP")</f>
        <v>14</v>
      </c>
      <c r="S43" s="201">
        <f t="shared" si="2"/>
        <v>0</v>
      </c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</row>
    <row r="44" spans="1:60">
      <c r="A44" s="49" t="s">
        <v>166</v>
      </c>
      <c r="B44" s="189" t="str">
        <f>IF('Données projet'!$B$10="","",'Données projet'!$B$10)</f>
        <v>Cèdre de l'Atlas</v>
      </c>
      <c r="C44" s="5"/>
      <c r="D44" s="5"/>
      <c r="E44" s="5"/>
      <c r="F44" s="218"/>
      <c r="G44" s="230"/>
      <c r="H44" s="25"/>
      <c r="I44" s="25"/>
      <c r="J44" s="25"/>
      <c r="K44" s="25"/>
      <c r="L44" s="25"/>
      <c r="M44" s="25"/>
      <c r="N44" s="186"/>
      <c r="O44" s="5"/>
      <c r="P44" s="5"/>
      <c r="Q44" s="5"/>
      <c r="R44" s="211">
        <f>IF(R43+1&lt;=MIN('Données projet'!$E$9:$E$18),R43+1,"STOP")</f>
        <v>15</v>
      </c>
      <c r="S44" s="201">
        <f t="shared" si="2"/>
        <v>0</v>
      </c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</row>
    <row r="45" spans="1:60">
      <c r="A45" s="5"/>
      <c r="B45" s="5"/>
      <c r="C45" s="5"/>
      <c r="D45" s="5"/>
      <c r="E45" s="5"/>
      <c r="F45" s="218"/>
      <c r="G45" s="230"/>
      <c r="H45" s="25"/>
      <c r="I45" s="25"/>
      <c r="J45" s="25"/>
      <c r="K45" s="25"/>
      <c r="L45" s="25"/>
      <c r="M45" s="25"/>
      <c r="N45" s="186"/>
      <c r="O45" s="5"/>
      <c r="P45" s="5"/>
      <c r="Q45" s="5"/>
      <c r="R45" s="211">
        <f>IF(R44+1&lt;=MIN('Données projet'!$E$9:$E$18),R44+1,"STOP")</f>
        <v>16</v>
      </c>
      <c r="S45" s="201">
        <f t="shared" si="2"/>
        <v>0</v>
      </c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</row>
    <row r="46" spans="1:60" ht="15" customHeight="1">
      <c r="A46" s="188" t="s">
        <v>180</v>
      </c>
      <c r="B46" s="51" t="s">
        <v>256</v>
      </c>
      <c r="C46" s="51" t="s">
        <v>255</v>
      </c>
      <c r="D46" s="188" t="s">
        <v>252</v>
      </c>
      <c r="E46" s="188" t="s">
        <v>288</v>
      </c>
      <c r="F46" s="220"/>
      <c r="G46" s="231"/>
      <c r="H46" s="25"/>
      <c r="I46" s="25"/>
      <c r="J46" s="25"/>
      <c r="K46" s="25"/>
      <c r="L46" s="25"/>
      <c r="M46" s="25"/>
      <c r="N46" s="186"/>
      <c r="O46" s="5"/>
      <c r="P46" s="5"/>
      <c r="Q46" s="5"/>
      <c r="R46" s="211">
        <f>IF(R45+1&lt;=MIN('Données projet'!$E$9:$E$18),R45+1,"STOP")</f>
        <v>17</v>
      </c>
      <c r="S46" s="201">
        <f t="shared" si="2"/>
        <v>0</v>
      </c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</row>
    <row r="47" spans="1:60" ht="15" customHeight="1">
      <c r="A47" s="214">
        <v>0</v>
      </c>
      <c r="B47" s="217" t="s">
        <v>132</v>
      </c>
      <c r="C47" s="216" t="s">
        <v>132</v>
      </c>
      <c r="D47" s="215" t="s">
        <v>132</v>
      </c>
      <c r="E47" s="210">
        <v>2640.94</v>
      </c>
      <c r="F47" s="220"/>
      <c r="G47" s="231"/>
      <c r="H47" s="25"/>
      <c r="I47" s="25"/>
      <c r="J47" s="25"/>
      <c r="K47" s="25"/>
      <c r="L47" s="25"/>
      <c r="M47" s="25"/>
      <c r="N47" s="186"/>
      <c r="O47" s="5"/>
      <c r="P47" s="5"/>
      <c r="Q47" s="5"/>
      <c r="R47" s="211">
        <f>IF(R46+1&lt;=MIN('Données projet'!$E$9:$E$18),R46+1,"STOP")</f>
        <v>18</v>
      </c>
      <c r="S47" s="201">
        <f t="shared" ref="S47:S60" si="3">$T$24/(1+$J$6)^R47</f>
        <v>0</v>
      </c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</row>
    <row r="48" spans="1:60">
      <c r="A48" s="195">
        <f>'Données projet'!A62</f>
        <v>20</v>
      </c>
      <c r="B48" s="196">
        <f>'Données projet'!D62</f>
        <v>60</v>
      </c>
      <c r="C48" s="210">
        <f>'Données projet'!E62*30+('Données projet'!F62+'Données projet'!G62)*19.4+'Données projet'!H62*10</f>
        <v>19.399999999999999</v>
      </c>
      <c r="D48" s="194">
        <f>B48*C48</f>
        <v>1164</v>
      </c>
      <c r="E48" s="210"/>
      <c r="F48" s="221"/>
      <c r="G48" s="232"/>
      <c r="H48" s="25"/>
      <c r="I48" s="25"/>
      <c r="J48" s="25"/>
      <c r="K48" s="25"/>
      <c r="L48" s="25"/>
      <c r="M48" s="25"/>
      <c r="N48" s="186"/>
      <c r="O48" s="5"/>
      <c r="P48" s="5"/>
      <c r="Q48" s="5"/>
      <c r="R48" s="211">
        <f>IF(R47+1&lt;=MIN('Données projet'!$E$9:$E$18),R47+1,"STOP")</f>
        <v>19</v>
      </c>
      <c r="S48" s="201">
        <f t="shared" si="3"/>
        <v>0</v>
      </c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</row>
    <row r="49" spans="1:60">
      <c r="A49" s="195">
        <f>'Données projet'!A63</f>
        <v>30</v>
      </c>
      <c r="B49" s="196">
        <f>'Données projet'!D63</f>
        <v>70</v>
      </c>
      <c r="C49" s="210">
        <f>'Données projet'!E63*30+('Données projet'!F63+'Données projet'!G63)*19.4+'Données projet'!H63*10</f>
        <v>20.46</v>
      </c>
      <c r="D49" s="194">
        <f t="shared" ref="D49:D67" si="4">B49*C49</f>
        <v>1432.2</v>
      </c>
      <c r="E49" s="210"/>
      <c r="F49" s="221"/>
      <c r="G49" s="232"/>
      <c r="H49" s="25"/>
      <c r="I49" s="25"/>
      <c r="J49" s="25"/>
      <c r="K49" s="25"/>
      <c r="L49" s="25"/>
      <c r="M49" s="25"/>
      <c r="N49" s="186"/>
      <c r="O49" s="5"/>
      <c r="P49" s="5"/>
      <c r="Q49" s="5"/>
      <c r="R49" s="211">
        <f>IF(R48+1&lt;=MIN('Données projet'!$E$9:$E$18),R48+1,"STOP")</f>
        <v>20</v>
      </c>
      <c r="S49" s="201">
        <f t="shared" si="3"/>
        <v>0</v>
      </c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</row>
    <row r="50" spans="1:60">
      <c r="A50" s="195">
        <f>'Données projet'!A64</f>
        <v>40</v>
      </c>
      <c r="B50" s="196">
        <f>'Données projet'!D64</f>
        <v>80</v>
      </c>
      <c r="C50" s="210">
        <f>'Données projet'!E64*30+('Données projet'!F64+'Données projet'!G64)*19.4+'Données projet'!H64*10</f>
        <v>22.58</v>
      </c>
      <c r="D50" s="194">
        <f t="shared" si="4"/>
        <v>1806.3999999999999</v>
      </c>
      <c r="E50" s="210"/>
      <c r="F50" s="221"/>
      <c r="G50" s="232"/>
      <c r="H50" s="25"/>
      <c r="I50" s="25"/>
      <c r="J50" s="25"/>
      <c r="K50" s="25"/>
      <c r="L50" s="25"/>
      <c r="M50" s="25"/>
      <c r="N50" s="186"/>
      <c r="O50" s="5"/>
      <c r="P50" s="5"/>
      <c r="Q50" s="5"/>
      <c r="R50" s="211">
        <f>IF(R49+1&lt;=MIN('Données projet'!$E$9:$E$18),R49+1,"STOP")</f>
        <v>21</v>
      </c>
      <c r="S50" s="201">
        <f t="shared" si="3"/>
        <v>0</v>
      </c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</row>
    <row r="51" spans="1:60">
      <c r="A51" s="195">
        <f>'Données projet'!A65</f>
        <v>50</v>
      </c>
      <c r="B51" s="196">
        <f>'Données projet'!D65</f>
        <v>320</v>
      </c>
      <c r="C51" s="210">
        <f>'Données projet'!E65*30+('Données projet'!F65+'Données projet'!G65)*19.4+'Données projet'!H65*10</f>
        <v>24.7</v>
      </c>
      <c r="D51" s="194">
        <f t="shared" si="4"/>
        <v>7904</v>
      </c>
      <c r="E51" s="210"/>
      <c r="F51" s="221"/>
      <c r="G51" s="232"/>
      <c r="H51" s="25"/>
      <c r="I51" s="25"/>
      <c r="J51" s="25"/>
      <c r="K51" s="25"/>
      <c r="L51" s="25"/>
      <c r="M51" s="25"/>
      <c r="N51" s="186"/>
      <c r="O51" s="5"/>
      <c r="P51" s="5"/>
      <c r="Q51" s="5"/>
      <c r="R51" s="211">
        <f>IF(R50+1&lt;=MIN('Données projet'!$E$9:$E$18),R50+1,"STOP")</f>
        <v>22</v>
      </c>
      <c r="S51" s="201">
        <f t="shared" si="3"/>
        <v>0</v>
      </c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</row>
    <row r="52" spans="1:60">
      <c r="A52" s="195">
        <f>'Données projet'!A66</f>
        <v>0</v>
      </c>
      <c r="B52" s="196">
        <f>'Données projet'!D66</f>
        <v>0</v>
      </c>
      <c r="C52" s="210"/>
      <c r="D52" s="194">
        <f t="shared" si="4"/>
        <v>0</v>
      </c>
      <c r="E52" s="210"/>
      <c r="F52" s="221"/>
      <c r="G52" s="232"/>
      <c r="H52" s="25"/>
      <c r="I52" s="25"/>
      <c r="J52" s="233"/>
      <c r="K52" s="233"/>
      <c r="L52" s="233"/>
      <c r="M52" s="25"/>
      <c r="N52" s="186"/>
      <c r="O52" s="5"/>
      <c r="P52" s="5"/>
      <c r="Q52" s="5"/>
      <c r="R52" s="211">
        <f>IF(R51+1&lt;=MIN('Données projet'!$E$9:$E$18),R51+1,"STOP")</f>
        <v>23</v>
      </c>
      <c r="S52" s="201">
        <f t="shared" si="3"/>
        <v>0</v>
      </c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</row>
    <row r="53" spans="1:60">
      <c r="A53" s="195">
        <f>'Données projet'!A67</f>
        <v>0</v>
      </c>
      <c r="B53" s="196">
        <f>'Données projet'!D67</f>
        <v>0</v>
      </c>
      <c r="C53" s="210"/>
      <c r="D53" s="194">
        <f t="shared" si="4"/>
        <v>0</v>
      </c>
      <c r="E53" s="210"/>
      <c r="F53" s="221"/>
      <c r="G53" s="232"/>
      <c r="H53" s="25"/>
      <c r="I53" s="5"/>
      <c r="J53" s="205"/>
      <c r="K53" s="205"/>
      <c r="L53" s="205"/>
      <c r="M53" s="5"/>
      <c r="N53" s="186"/>
      <c r="O53" s="5"/>
      <c r="P53" s="5"/>
      <c r="Q53" s="5"/>
      <c r="R53" s="211">
        <f>IF(R52+1&lt;=MIN('Données projet'!$E$9:$E$18),R52+1,"STOP")</f>
        <v>24</v>
      </c>
      <c r="S53" s="201">
        <f t="shared" si="3"/>
        <v>0</v>
      </c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</row>
    <row r="54" spans="1:60">
      <c r="A54" s="195">
        <f>'Données projet'!A68</f>
        <v>0</v>
      </c>
      <c r="B54" s="196">
        <f>'Données projet'!D68</f>
        <v>0</v>
      </c>
      <c r="C54" s="210"/>
      <c r="D54" s="194">
        <f t="shared" si="4"/>
        <v>0</v>
      </c>
      <c r="E54" s="210"/>
      <c r="F54" s="221"/>
      <c r="G54" s="232"/>
      <c r="H54" s="25"/>
      <c r="I54" s="5"/>
      <c r="J54" s="205"/>
      <c r="K54" s="205"/>
      <c r="L54" s="205"/>
      <c r="M54" s="5"/>
      <c r="N54" s="186"/>
      <c r="O54" s="5"/>
      <c r="P54" s="5"/>
      <c r="Q54" s="5"/>
      <c r="R54" s="211">
        <f>IF(R53+1&lt;=MIN('Données projet'!$E$9:$E$18),R53+1,"STOP")</f>
        <v>25</v>
      </c>
      <c r="S54" s="201">
        <f t="shared" si="3"/>
        <v>0</v>
      </c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</row>
    <row r="55" spans="1:60">
      <c r="A55" s="195">
        <f>'Données projet'!A69</f>
        <v>0</v>
      </c>
      <c r="B55" s="196">
        <f>'Données projet'!D69</f>
        <v>0</v>
      </c>
      <c r="C55" s="210"/>
      <c r="D55" s="194">
        <f t="shared" si="4"/>
        <v>0</v>
      </c>
      <c r="E55" s="210"/>
      <c r="F55" s="221"/>
      <c r="G55" s="232"/>
      <c r="H55" s="25"/>
      <c r="I55" s="5"/>
      <c r="J55" s="205"/>
      <c r="K55" s="205"/>
      <c r="L55" s="205"/>
      <c r="M55" s="5"/>
      <c r="N55" s="186"/>
      <c r="O55" s="5"/>
      <c r="P55" s="5"/>
      <c r="Q55" s="5"/>
      <c r="R55" s="211">
        <f>IF(R54+1&lt;=MIN('Données projet'!$E$9:$E$18),R54+1,"STOP")</f>
        <v>26</v>
      </c>
      <c r="S55" s="201">
        <f t="shared" si="3"/>
        <v>0</v>
      </c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</row>
    <row r="56" spans="1:60">
      <c r="A56" s="195">
        <f>'Données projet'!A70</f>
        <v>0</v>
      </c>
      <c r="B56" s="196">
        <f>'Données projet'!D70</f>
        <v>0</v>
      </c>
      <c r="C56" s="208"/>
      <c r="D56" s="194">
        <f t="shared" si="4"/>
        <v>0</v>
      </c>
      <c r="E56" s="210"/>
      <c r="F56" s="221"/>
      <c r="G56" s="232"/>
      <c r="H56" s="25"/>
      <c r="I56" s="5"/>
      <c r="J56" s="205"/>
      <c r="K56" s="205"/>
      <c r="L56" s="205"/>
      <c r="M56" s="5"/>
      <c r="N56" s="186"/>
      <c r="O56" s="5"/>
      <c r="P56" s="5"/>
      <c r="Q56" s="5"/>
      <c r="R56" s="211">
        <f>IF(R55+1&lt;=MIN('Données projet'!$E$9:$E$18),R55+1,"STOP")</f>
        <v>27</v>
      </c>
      <c r="S56" s="201">
        <f t="shared" si="3"/>
        <v>0</v>
      </c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</row>
    <row r="57" spans="1:60">
      <c r="A57" s="195">
        <f>'Données projet'!A71</f>
        <v>0</v>
      </c>
      <c r="B57" s="196">
        <f>'Données projet'!D71</f>
        <v>0</v>
      </c>
      <c r="C57" s="208"/>
      <c r="D57" s="194">
        <f t="shared" si="4"/>
        <v>0</v>
      </c>
      <c r="E57" s="210"/>
      <c r="F57" s="221"/>
      <c r="G57" s="232"/>
      <c r="H57" s="25"/>
      <c r="I57" s="5"/>
      <c r="J57" s="205"/>
      <c r="K57" s="205"/>
      <c r="L57" s="205"/>
      <c r="M57" s="5"/>
      <c r="N57" s="186"/>
      <c r="O57" s="5"/>
      <c r="P57" s="5"/>
      <c r="Q57" s="5"/>
      <c r="R57" s="211">
        <f>IF(R56+1&lt;=MIN('Données projet'!$E$9:$E$18),R56+1,"STOP")</f>
        <v>28</v>
      </c>
      <c r="S57" s="201">
        <f t="shared" si="3"/>
        <v>0</v>
      </c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</row>
    <row r="58" spans="1:60">
      <c r="A58" s="195">
        <f>'Données projet'!A72</f>
        <v>0</v>
      </c>
      <c r="B58" s="196">
        <f>'Données projet'!D72</f>
        <v>0</v>
      </c>
      <c r="C58" s="208"/>
      <c r="D58" s="194">
        <f t="shared" si="4"/>
        <v>0</v>
      </c>
      <c r="E58" s="210"/>
      <c r="F58" s="221"/>
      <c r="G58" s="232"/>
      <c r="H58" s="25"/>
      <c r="I58" s="5"/>
      <c r="J58" s="205"/>
      <c r="K58" s="205"/>
      <c r="L58" s="205"/>
      <c r="M58" s="5"/>
      <c r="N58" s="186"/>
      <c r="O58" s="5"/>
      <c r="P58" s="5"/>
      <c r="Q58" s="5"/>
      <c r="R58" s="211">
        <f>IF(R57+1&lt;=MIN('Données projet'!$E$9:$E$18),R57+1,"STOP")</f>
        <v>29</v>
      </c>
      <c r="S58" s="201">
        <f t="shared" si="3"/>
        <v>0</v>
      </c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</row>
    <row r="59" spans="1:60">
      <c r="A59" s="195">
        <f>'Données projet'!A73</f>
        <v>0</v>
      </c>
      <c r="B59" s="196">
        <f>'Données projet'!D73</f>
        <v>0</v>
      </c>
      <c r="C59" s="208"/>
      <c r="D59" s="194">
        <f t="shared" si="4"/>
        <v>0</v>
      </c>
      <c r="E59" s="210"/>
      <c r="F59" s="221"/>
      <c r="G59" s="232"/>
      <c r="H59" s="25"/>
      <c r="I59" s="5"/>
      <c r="J59" s="205"/>
      <c r="K59" s="205"/>
      <c r="L59" s="205"/>
      <c r="M59" s="5"/>
      <c r="N59" s="186"/>
      <c r="O59" s="5"/>
      <c r="P59" s="5"/>
      <c r="Q59" s="5"/>
      <c r="R59" s="211">
        <f>IF(R58+1&lt;=MIN('Données projet'!$E$9:$E$18),R58+1,"STOP")</f>
        <v>30</v>
      </c>
      <c r="S59" s="201">
        <f t="shared" si="3"/>
        <v>0</v>
      </c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</row>
    <row r="60" spans="1:60">
      <c r="A60" s="195">
        <f>'Données projet'!A74</f>
        <v>0</v>
      </c>
      <c r="B60" s="196">
        <f>'Données projet'!D74</f>
        <v>0</v>
      </c>
      <c r="C60" s="208"/>
      <c r="D60" s="194">
        <f t="shared" si="4"/>
        <v>0</v>
      </c>
      <c r="E60" s="210"/>
      <c r="F60" s="221"/>
      <c r="G60" s="232"/>
      <c r="H60" s="25"/>
      <c r="I60" s="5"/>
      <c r="J60" s="5"/>
      <c r="K60" s="5"/>
      <c r="L60" s="5"/>
      <c r="M60" s="5"/>
      <c r="N60" s="186"/>
      <c r="O60" s="5"/>
      <c r="P60" s="5"/>
      <c r="Q60" s="5"/>
      <c r="R60" s="211">
        <f>IF(R59+1&lt;=MIN('Données projet'!$E$9:$E$18),R59+1,"STOP")</f>
        <v>31</v>
      </c>
      <c r="S60" s="201">
        <f t="shared" si="3"/>
        <v>0</v>
      </c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</row>
    <row r="61" spans="1:60">
      <c r="A61" s="195">
        <f>'Données projet'!A75</f>
        <v>0</v>
      </c>
      <c r="B61" s="196">
        <f>'Données projet'!D75</f>
        <v>0</v>
      </c>
      <c r="C61" s="208"/>
      <c r="D61" s="194">
        <f t="shared" si="4"/>
        <v>0</v>
      </c>
      <c r="E61" s="210"/>
      <c r="F61" s="221"/>
      <c r="G61" s="232"/>
      <c r="H61" s="25"/>
      <c r="I61" s="5"/>
      <c r="J61" s="5"/>
      <c r="K61" s="5"/>
      <c r="L61" s="5"/>
      <c r="M61" s="5"/>
      <c r="N61" s="186"/>
      <c r="O61" s="5"/>
      <c r="P61" s="5"/>
      <c r="Q61" s="5"/>
      <c r="R61" s="211">
        <f>IF(R60+1&lt;=MIN('Données projet'!$E$9:$E$18),R60+1,"STOP")</f>
        <v>32</v>
      </c>
      <c r="S61" s="201">
        <f t="shared" ref="S61:S72" si="5">$T$24/(1+$J$6)^R61</f>
        <v>0</v>
      </c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</row>
    <row r="62" spans="1:60">
      <c r="A62" s="195">
        <f>'Données projet'!A76</f>
        <v>0</v>
      </c>
      <c r="B62" s="196">
        <f>'Données projet'!D76</f>
        <v>0</v>
      </c>
      <c r="C62" s="208"/>
      <c r="D62" s="194">
        <f t="shared" si="4"/>
        <v>0</v>
      </c>
      <c r="E62" s="210"/>
      <c r="F62" s="221"/>
      <c r="G62" s="232"/>
      <c r="H62" s="25"/>
      <c r="I62" s="5"/>
      <c r="J62" s="5"/>
      <c r="K62" s="5"/>
      <c r="L62" s="5"/>
      <c r="M62" s="5"/>
      <c r="N62" s="186"/>
      <c r="O62" s="5"/>
      <c r="P62" s="5"/>
      <c r="Q62" s="5"/>
      <c r="R62" s="211">
        <f>IF(R61+1&lt;=MIN('Données projet'!$E$9:$E$18),R61+1,"STOP")</f>
        <v>33</v>
      </c>
      <c r="S62" s="201">
        <f t="shared" si="5"/>
        <v>0</v>
      </c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</row>
    <row r="63" spans="1:60">
      <c r="A63" s="195">
        <f>'Données projet'!A77</f>
        <v>0</v>
      </c>
      <c r="B63" s="196">
        <f>'Données projet'!D77</f>
        <v>0</v>
      </c>
      <c r="C63" s="208"/>
      <c r="D63" s="194">
        <f t="shared" si="4"/>
        <v>0</v>
      </c>
      <c r="E63" s="210"/>
      <c r="F63" s="221"/>
      <c r="G63" s="232"/>
      <c r="H63" s="25"/>
      <c r="I63" s="5"/>
      <c r="J63" s="5"/>
      <c r="K63" s="5"/>
      <c r="L63" s="5"/>
      <c r="M63" s="5"/>
      <c r="N63" s="186"/>
      <c r="O63" s="5"/>
      <c r="P63" s="5"/>
      <c r="Q63" s="5"/>
      <c r="R63" s="211">
        <f>IF(R62+1&lt;=MIN('Données projet'!$E$9:$E$18),R62+1,"STOP")</f>
        <v>34</v>
      </c>
      <c r="S63" s="201">
        <f t="shared" si="5"/>
        <v>0</v>
      </c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</row>
    <row r="64" spans="1:60">
      <c r="A64" s="195">
        <f>'Données projet'!A78</f>
        <v>0</v>
      </c>
      <c r="B64" s="196">
        <f>'Données projet'!D78</f>
        <v>0</v>
      </c>
      <c r="C64" s="208"/>
      <c r="D64" s="194">
        <f t="shared" si="4"/>
        <v>0</v>
      </c>
      <c r="E64" s="210"/>
      <c r="F64" s="221"/>
      <c r="G64" s="232"/>
      <c r="H64" s="25"/>
      <c r="I64" s="5"/>
      <c r="J64" s="5"/>
      <c r="K64" s="5"/>
      <c r="L64" s="5"/>
      <c r="M64" s="5"/>
      <c r="N64" s="186"/>
      <c r="O64" s="5"/>
      <c r="P64" s="5"/>
      <c r="Q64" s="5"/>
      <c r="R64" s="211">
        <f>IF(R63+1&lt;=MIN('Données projet'!$E$9:$E$18),R63+1,"STOP")</f>
        <v>35</v>
      </c>
      <c r="S64" s="201">
        <f t="shared" si="5"/>
        <v>0</v>
      </c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</row>
    <row r="65" spans="1:60">
      <c r="A65" s="195">
        <f>'Données projet'!A79</f>
        <v>0</v>
      </c>
      <c r="B65" s="196">
        <f>'Données projet'!D79</f>
        <v>0</v>
      </c>
      <c r="C65" s="208"/>
      <c r="D65" s="194">
        <f t="shared" si="4"/>
        <v>0</v>
      </c>
      <c r="E65" s="210"/>
      <c r="F65" s="221"/>
      <c r="G65" s="232"/>
      <c r="H65" s="25"/>
      <c r="I65" s="5"/>
      <c r="J65" s="5"/>
      <c r="K65" s="5"/>
      <c r="L65" s="5"/>
      <c r="M65" s="5"/>
      <c r="N65" s="186"/>
      <c r="O65" s="5"/>
      <c r="P65" s="5"/>
      <c r="Q65" s="5"/>
      <c r="R65" s="211">
        <f>IF(R64+1&lt;=MIN('Données projet'!$E$9:$E$18),R64+1,"STOP")</f>
        <v>36</v>
      </c>
      <c r="S65" s="201">
        <f t="shared" si="5"/>
        <v>0</v>
      </c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</row>
    <row r="66" spans="1:60">
      <c r="A66" s="195">
        <f>'Données projet'!A80</f>
        <v>0</v>
      </c>
      <c r="B66" s="196">
        <f>'Données projet'!D80</f>
        <v>0</v>
      </c>
      <c r="C66" s="208"/>
      <c r="D66" s="194">
        <f t="shared" si="4"/>
        <v>0</v>
      </c>
      <c r="E66" s="210"/>
      <c r="F66" s="221"/>
      <c r="G66" s="232"/>
      <c r="H66" s="25"/>
      <c r="I66" s="5"/>
      <c r="J66" s="5"/>
      <c r="K66" s="5"/>
      <c r="L66" s="5"/>
      <c r="M66" s="5"/>
      <c r="N66" s="186"/>
      <c r="O66" s="5"/>
      <c r="P66" s="5"/>
      <c r="Q66" s="5"/>
      <c r="R66" s="211">
        <f>IF(R65+1&lt;=MIN('Données projet'!$E$9:$E$18),R65+1,"STOP")</f>
        <v>37</v>
      </c>
      <c r="S66" s="201">
        <f t="shared" si="5"/>
        <v>0</v>
      </c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</row>
    <row r="67" spans="1:60">
      <c r="A67" s="195">
        <f>'Données projet'!A81</f>
        <v>0</v>
      </c>
      <c r="B67" s="196">
        <f>'Données projet'!D81</f>
        <v>0</v>
      </c>
      <c r="C67" s="208"/>
      <c r="D67" s="194">
        <f t="shared" si="4"/>
        <v>0</v>
      </c>
      <c r="E67" s="210"/>
      <c r="F67" s="221"/>
      <c r="G67" s="232"/>
      <c r="H67" s="25"/>
      <c r="I67" s="5"/>
      <c r="J67" s="5"/>
      <c r="K67" s="5"/>
      <c r="L67" s="5"/>
      <c r="M67" s="5"/>
      <c r="N67" s="186"/>
      <c r="O67" s="5"/>
      <c r="P67" s="5"/>
      <c r="Q67" s="5"/>
      <c r="R67" s="211">
        <f>IF(R66+1&lt;=MIN('Données projet'!$E$9:$E$18),R66+1,"STOP")</f>
        <v>38</v>
      </c>
      <c r="S67" s="201">
        <f t="shared" si="5"/>
        <v>0</v>
      </c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</row>
    <row r="68" spans="1:60">
      <c r="A68" s="5"/>
      <c r="B68" s="5"/>
      <c r="C68" s="5"/>
      <c r="D68" s="5"/>
      <c r="E68" s="5"/>
      <c r="F68" s="218"/>
      <c r="G68" s="230"/>
      <c r="H68" s="25"/>
      <c r="I68" s="5"/>
      <c r="J68" s="5"/>
      <c r="K68" s="5"/>
      <c r="L68" s="5"/>
      <c r="M68" s="5"/>
      <c r="N68" s="186"/>
      <c r="O68" s="5"/>
      <c r="P68" s="5"/>
      <c r="Q68" s="5"/>
      <c r="R68" s="211">
        <f>IF(R67+1&lt;=MIN('Données projet'!$E$9:$E$18),R67+1,"STOP")</f>
        <v>39</v>
      </c>
      <c r="S68" s="201">
        <f t="shared" si="5"/>
        <v>0</v>
      </c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</row>
    <row r="69" spans="1:60">
      <c r="A69" s="5"/>
      <c r="B69" s="5"/>
      <c r="C69" s="5"/>
      <c r="D69" s="5"/>
      <c r="E69" s="5"/>
      <c r="F69" s="218"/>
      <c r="G69" s="230"/>
      <c r="H69" s="25"/>
      <c r="I69" s="5"/>
      <c r="J69" s="5"/>
      <c r="K69" s="5"/>
      <c r="L69" s="5"/>
      <c r="M69" s="5"/>
      <c r="N69" s="186"/>
      <c r="O69" s="5"/>
      <c r="P69" s="5"/>
      <c r="Q69" s="5"/>
      <c r="R69" s="211">
        <f>IF(R68+1&lt;=MIN('Données projet'!$E$9:$E$18),R68+1,"STOP")</f>
        <v>40</v>
      </c>
      <c r="S69" s="201">
        <f t="shared" si="5"/>
        <v>0</v>
      </c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</row>
    <row r="70" spans="1:60">
      <c r="A70" s="49" t="s">
        <v>167</v>
      </c>
      <c r="B70" s="189" t="str">
        <f>IF('Données projet'!B11="","",'Données projet'!B11)</f>
        <v>Chêne sessile</v>
      </c>
      <c r="C70" s="5"/>
      <c r="D70" s="5"/>
      <c r="E70" s="5"/>
      <c r="F70" s="218"/>
      <c r="G70" s="230"/>
      <c r="H70" s="25"/>
      <c r="I70" s="5"/>
      <c r="J70" s="5"/>
      <c r="K70" s="5"/>
      <c r="L70" s="5"/>
      <c r="M70" s="5"/>
      <c r="N70" s="186"/>
      <c r="O70" s="5"/>
      <c r="P70" s="5"/>
      <c r="Q70" s="5"/>
      <c r="R70" s="211">
        <f>IF(R69+1&lt;=MIN('Données projet'!$E$9:$E$18),R69+1,"STOP")</f>
        <v>41</v>
      </c>
      <c r="S70" s="201">
        <f t="shared" si="5"/>
        <v>0</v>
      </c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</row>
    <row r="71" spans="1:60">
      <c r="A71" s="5"/>
      <c r="B71" s="5"/>
      <c r="C71" s="5"/>
      <c r="D71" s="5"/>
      <c r="E71" s="5"/>
      <c r="F71" s="218"/>
      <c r="G71" s="230"/>
      <c r="H71" s="25"/>
      <c r="I71" s="5"/>
      <c r="J71" s="5"/>
      <c r="K71" s="5"/>
      <c r="L71" s="5"/>
      <c r="M71" s="5"/>
      <c r="N71" s="186"/>
      <c r="O71" s="5"/>
      <c r="P71" s="5"/>
      <c r="Q71" s="5"/>
      <c r="R71" s="211">
        <f>IF(R70+1&lt;=MIN('Données projet'!$E$9:$E$18),R70+1,"STOP")</f>
        <v>42</v>
      </c>
      <c r="S71" s="201">
        <f t="shared" si="5"/>
        <v>0</v>
      </c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</row>
    <row r="72" spans="1:60" ht="16.5" customHeight="1">
      <c r="A72" s="188" t="s">
        <v>180</v>
      </c>
      <c r="B72" s="51" t="s">
        <v>256</v>
      </c>
      <c r="C72" s="51" t="s">
        <v>255</v>
      </c>
      <c r="D72" s="188" t="s">
        <v>252</v>
      </c>
      <c r="E72" s="188" t="s">
        <v>288</v>
      </c>
      <c r="F72" s="220"/>
      <c r="G72" s="231"/>
      <c r="H72" s="25"/>
      <c r="I72" s="5"/>
      <c r="J72" s="5"/>
      <c r="K72" s="5"/>
      <c r="L72" s="5"/>
      <c r="M72" s="5"/>
      <c r="N72" s="186"/>
      <c r="O72" s="5"/>
      <c r="P72" s="5"/>
      <c r="Q72" s="5"/>
      <c r="R72" s="211">
        <f>IF(R71+1&lt;=MIN('Données projet'!$E$9:$E$18),R71+1,"STOP")</f>
        <v>43</v>
      </c>
      <c r="S72" s="201">
        <f t="shared" si="5"/>
        <v>0</v>
      </c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</row>
    <row r="73" spans="1:60" ht="16.5" customHeight="1">
      <c r="A73" s="214">
        <v>0</v>
      </c>
      <c r="B73" s="217" t="s">
        <v>132</v>
      </c>
      <c r="C73" s="216" t="s">
        <v>132</v>
      </c>
      <c r="D73" s="215" t="s">
        <v>132</v>
      </c>
      <c r="E73" s="210">
        <v>2746.15</v>
      </c>
      <c r="F73" s="220"/>
      <c r="G73" s="231"/>
      <c r="H73" s="25"/>
      <c r="I73" s="5"/>
      <c r="J73" s="5"/>
      <c r="K73" s="5"/>
      <c r="L73" s="5"/>
      <c r="M73" s="5"/>
      <c r="N73" s="186"/>
      <c r="O73" s="5"/>
      <c r="P73" s="5"/>
      <c r="Q73" s="5"/>
      <c r="R73" s="211">
        <f>IF(R72+1&lt;=MIN('Données projet'!$E$9:$E$18),R72+1,"STOP")</f>
        <v>44</v>
      </c>
      <c r="S73" s="201">
        <f t="shared" ref="S73:S92" si="6">$T$24/(1+$J$6)^R73</f>
        <v>0</v>
      </c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</row>
    <row r="74" spans="1:60">
      <c r="A74" s="195">
        <f>'Données projet'!A88</f>
        <v>20</v>
      </c>
      <c r="B74" s="196">
        <f>'Données projet'!D88</f>
        <v>0</v>
      </c>
      <c r="C74" s="210">
        <f>'Données projet'!E88*150+('Données projet'!F88+'Données projet'!G88)*19.4+'Données projet'!H88*10</f>
        <v>10</v>
      </c>
      <c r="D74" s="194">
        <f>B74*C74</f>
        <v>0</v>
      </c>
      <c r="E74" s="210"/>
      <c r="F74" s="221"/>
      <c r="G74" s="232"/>
      <c r="H74" s="25"/>
      <c r="I74" s="5"/>
      <c r="J74" s="5"/>
      <c r="K74" s="5"/>
      <c r="L74" s="5"/>
      <c r="M74" s="5"/>
      <c r="N74" s="186"/>
      <c r="O74" s="5"/>
      <c r="P74" s="5"/>
      <c r="Q74" s="5"/>
      <c r="R74" s="211">
        <f>IF(R73+1&lt;=MIN('Données projet'!$E$9:$E$18),R73+1,"STOP")</f>
        <v>45</v>
      </c>
      <c r="S74" s="201">
        <f t="shared" si="6"/>
        <v>0</v>
      </c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</row>
    <row r="75" spans="1:60">
      <c r="A75" s="195">
        <f>'Données projet'!A89</f>
        <v>25</v>
      </c>
      <c r="B75" s="196">
        <f>'Données projet'!D89</f>
        <v>8</v>
      </c>
      <c r="C75" s="210">
        <f>'Données projet'!E89*150+('Données projet'!F89+'Données projet'!G89)*19.4+'Données projet'!H89*10</f>
        <v>10</v>
      </c>
      <c r="D75" s="194">
        <f t="shared" ref="D75:D93" si="7">B75*C75</f>
        <v>80</v>
      </c>
      <c r="E75" s="210"/>
      <c r="F75" s="221"/>
      <c r="G75" s="232"/>
      <c r="H75" s="25"/>
      <c r="I75" s="5"/>
      <c r="J75" s="5"/>
      <c r="K75" s="5"/>
      <c r="L75" s="5"/>
      <c r="M75" s="5"/>
      <c r="N75" s="186"/>
      <c r="O75" s="5"/>
      <c r="P75" s="5"/>
      <c r="Q75" s="5"/>
      <c r="R75" s="211">
        <f>IF(R74+1&lt;=MIN('Données projet'!$E$9:$E$18),R74+1,"STOP")</f>
        <v>46</v>
      </c>
      <c r="S75" s="201">
        <f t="shared" si="6"/>
        <v>0</v>
      </c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</row>
    <row r="76" spans="1:60">
      <c r="A76" s="195">
        <f>'Données projet'!A90</f>
        <v>30</v>
      </c>
      <c r="B76" s="196">
        <f>'Données projet'!D90</f>
        <v>21</v>
      </c>
      <c r="C76" s="210">
        <f>'Données projet'!E90*150+('Données projet'!F90+'Données projet'!G90)*19.4+'Données projet'!H90*10</f>
        <v>10</v>
      </c>
      <c r="D76" s="194">
        <f t="shared" si="7"/>
        <v>210</v>
      </c>
      <c r="E76" s="210"/>
      <c r="F76" s="221"/>
      <c r="G76" s="232"/>
      <c r="H76" s="25"/>
      <c r="I76" s="5"/>
      <c r="J76" s="5"/>
      <c r="K76" s="5"/>
      <c r="L76" s="5"/>
      <c r="M76" s="5"/>
      <c r="N76" s="186"/>
      <c r="O76" s="5"/>
      <c r="P76" s="5"/>
      <c r="Q76" s="5"/>
      <c r="R76" s="211">
        <f>IF(R75+1&lt;=MIN('Données projet'!$E$9:$E$18),R75+1,"STOP")</f>
        <v>47</v>
      </c>
      <c r="S76" s="201">
        <f t="shared" si="6"/>
        <v>0</v>
      </c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</row>
    <row r="77" spans="1:60">
      <c r="A77" s="195">
        <f>'Données projet'!A91</f>
        <v>35</v>
      </c>
      <c r="B77" s="196">
        <f>'Données projet'!D91</f>
        <v>21</v>
      </c>
      <c r="C77" s="210">
        <f>'Données projet'!E91*150+('Données projet'!F91+'Données projet'!G91)*19.4+'Données projet'!H91*10</f>
        <v>10</v>
      </c>
      <c r="D77" s="194">
        <f t="shared" si="7"/>
        <v>210</v>
      </c>
      <c r="E77" s="210"/>
      <c r="F77" s="221"/>
      <c r="G77" s="232"/>
      <c r="H77" s="25"/>
      <c r="I77" s="5"/>
      <c r="J77" s="5"/>
      <c r="K77" s="5"/>
      <c r="L77" s="5"/>
      <c r="M77" s="5"/>
      <c r="N77" s="186"/>
      <c r="O77" s="5"/>
      <c r="P77" s="5"/>
      <c r="Q77" s="5"/>
      <c r="R77" s="211">
        <f>IF(R76+1&lt;=MIN('Données projet'!$E$9:$E$18),R76+1,"STOP")</f>
        <v>48</v>
      </c>
      <c r="S77" s="201">
        <f t="shared" si="6"/>
        <v>0</v>
      </c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</row>
    <row r="78" spans="1:60">
      <c r="A78" s="195">
        <f>'Données projet'!A92</f>
        <v>40</v>
      </c>
      <c r="B78" s="196">
        <f>'Données projet'!D92</f>
        <v>21</v>
      </c>
      <c r="C78" s="210">
        <f>'Données projet'!E92*150+('Données projet'!F92+'Données projet'!G92)*19.4+'Données projet'!H92*10</f>
        <v>38</v>
      </c>
      <c r="D78" s="194">
        <f t="shared" si="7"/>
        <v>798</v>
      </c>
      <c r="E78" s="210"/>
      <c r="F78" s="221"/>
      <c r="G78" s="232"/>
      <c r="H78" s="25"/>
      <c r="I78" s="5"/>
      <c r="J78" s="5"/>
      <c r="K78" s="5"/>
      <c r="L78" s="5"/>
      <c r="M78" s="5"/>
      <c r="N78" s="186"/>
      <c r="O78" s="5"/>
      <c r="P78" s="5"/>
      <c r="Q78" s="5"/>
      <c r="R78" s="211">
        <f>IF(R77+1&lt;=MIN('Données projet'!$E$9:$E$18),R77+1,"STOP")</f>
        <v>49</v>
      </c>
      <c r="S78" s="201">
        <f t="shared" si="6"/>
        <v>0</v>
      </c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</row>
    <row r="79" spans="1:60">
      <c r="A79" s="195">
        <f>'Données projet'!A93</f>
        <v>45</v>
      </c>
      <c r="B79" s="196">
        <f>'Données projet'!D93</f>
        <v>21</v>
      </c>
      <c r="C79" s="210">
        <f>'Données projet'!E93*150+('Données projet'!F93+'Données projet'!G93)*19.4+'Données projet'!H93*10</f>
        <v>38</v>
      </c>
      <c r="D79" s="194">
        <f t="shared" si="7"/>
        <v>798</v>
      </c>
      <c r="E79" s="210"/>
      <c r="F79" s="221"/>
      <c r="G79" s="232"/>
      <c r="H79" s="25"/>
      <c r="I79" s="5"/>
      <c r="J79" s="5"/>
      <c r="K79" s="5"/>
      <c r="L79" s="5"/>
      <c r="M79" s="5"/>
      <c r="N79" s="186"/>
      <c r="O79" s="5"/>
      <c r="P79" s="5"/>
      <c r="Q79" s="5"/>
      <c r="R79" s="211">
        <f>IF(R78+1&lt;=MIN('Données projet'!$E$9:$E$18),R78+1,"STOP")</f>
        <v>50</v>
      </c>
      <c r="S79" s="201">
        <f t="shared" si="6"/>
        <v>0</v>
      </c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</row>
    <row r="80" spans="1:60">
      <c r="A80" s="195">
        <f>'Données projet'!A94</f>
        <v>50</v>
      </c>
      <c r="B80" s="196">
        <f>'Données projet'!D94</f>
        <v>21</v>
      </c>
      <c r="C80" s="210">
        <f>'Données projet'!E94*150+('Données projet'!F94+'Données projet'!G94)*19.4+'Données projet'!H94*10</f>
        <v>52</v>
      </c>
      <c r="D80" s="194">
        <f t="shared" si="7"/>
        <v>1092</v>
      </c>
      <c r="E80" s="210"/>
      <c r="F80" s="221"/>
      <c r="G80" s="232"/>
      <c r="H80" s="25"/>
      <c r="I80" s="5"/>
      <c r="J80" s="5"/>
      <c r="K80" s="5"/>
      <c r="L80" s="5"/>
      <c r="M80" s="5"/>
      <c r="N80" s="186"/>
      <c r="O80" s="5"/>
      <c r="P80" s="5"/>
      <c r="Q80" s="5"/>
      <c r="R80" s="211" t="str">
        <f>IF(R79+1&lt;=MIN('Données projet'!$E$9:$E$18),R79+1,"STOP")</f>
        <v>STOP</v>
      </c>
      <c r="S80" s="201" t="e">
        <f t="shared" si="6"/>
        <v>#VALUE!</v>
      </c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</row>
    <row r="81" spans="1:60">
      <c r="A81" s="195">
        <f>'Données projet'!A95</f>
        <v>55</v>
      </c>
      <c r="B81" s="196">
        <f>'Données projet'!D95</f>
        <v>21</v>
      </c>
      <c r="C81" s="210">
        <f>'Données projet'!E95*150+('Données projet'!F95+'Données projet'!G95)*19.4+'Données projet'!H95*10</f>
        <v>52</v>
      </c>
      <c r="D81" s="194">
        <f t="shared" si="7"/>
        <v>1092</v>
      </c>
      <c r="E81" s="210"/>
      <c r="F81" s="221"/>
      <c r="G81" s="232"/>
      <c r="H81" s="25"/>
      <c r="I81" s="5"/>
      <c r="J81" s="5"/>
      <c r="K81" s="5"/>
      <c r="L81" s="5"/>
      <c r="M81" s="5"/>
      <c r="N81" s="186"/>
      <c r="O81" s="5"/>
      <c r="P81" s="5"/>
      <c r="Q81" s="5"/>
      <c r="R81" s="211" t="e">
        <f>IF(R80+1&lt;=MIN('Données projet'!$E$9:$E$18),R80+1,"STOP")</f>
        <v>#VALUE!</v>
      </c>
      <c r="S81" s="201" t="e">
        <f t="shared" si="6"/>
        <v>#VALUE!</v>
      </c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</row>
    <row r="82" spans="1:60">
      <c r="A82" s="195">
        <f>'Données projet'!A96</f>
        <v>60</v>
      </c>
      <c r="B82" s="196">
        <f>'Données projet'!D96</f>
        <v>21</v>
      </c>
      <c r="C82" s="210">
        <f>'Données projet'!E96*150+('Données projet'!F96+'Données projet'!G96)*19.4+'Données projet'!H96*10</f>
        <v>66</v>
      </c>
      <c r="D82" s="194">
        <f t="shared" si="7"/>
        <v>1386</v>
      </c>
      <c r="E82" s="210"/>
      <c r="F82" s="221"/>
      <c r="G82" s="232"/>
      <c r="H82" s="25"/>
      <c r="I82" s="5"/>
      <c r="J82" s="5"/>
      <c r="K82" s="5"/>
      <c r="L82" s="5"/>
      <c r="M82" s="5"/>
      <c r="N82" s="186"/>
      <c r="O82" s="5"/>
      <c r="P82" s="5"/>
      <c r="Q82" s="5"/>
      <c r="R82" s="211" t="e">
        <f>IF(R81+1&lt;=MIN('Données projet'!$E$9:$E$18),R81+1,"STOP")</f>
        <v>#VALUE!</v>
      </c>
      <c r="S82" s="201" t="e">
        <f t="shared" si="6"/>
        <v>#VALUE!</v>
      </c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</row>
    <row r="83" spans="1:60">
      <c r="A83" s="195">
        <f>'Données projet'!A97</f>
        <v>65</v>
      </c>
      <c r="B83" s="196">
        <f>'Données projet'!D97</f>
        <v>21</v>
      </c>
      <c r="C83" s="210">
        <f>'Données projet'!E97*150+('Données projet'!F97+'Données projet'!G97)*19.4+'Données projet'!H97*10</f>
        <v>66</v>
      </c>
      <c r="D83" s="194">
        <f t="shared" si="7"/>
        <v>1386</v>
      </c>
      <c r="E83" s="210"/>
      <c r="F83" s="221"/>
      <c r="G83" s="232"/>
      <c r="H83" s="25"/>
      <c r="I83" s="5"/>
      <c r="J83" s="5"/>
      <c r="K83" s="5"/>
      <c r="L83" s="5"/>
      <c r="M83" s="5"/>
      <c r="N83" s="186"/>
      <c r="O83" s="5"/>
      <c r="P83" s="5"/>
      <c r="Q83" s="5"/>
      <c r="R83" s="211" t="e">
        <f>IF(R82+1&lt;=MIN('Données projet'!$E$9:$E$18),R82+1,"STOP")</f>
        <v>#VALUE!</v>
      </c>
      <c r="S83" s="201" t="e">
        <f t="shared" si="6"/>
        <v>#VALUE!</v>
      </c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</row>
    <row r="84" spans="1:60">
      <c r="A84" s="195">
        <f>'Données projet'!A98</f>
        <v>70</v>
      </c>
      <c r="B84" s="196">
        <f>'Données projet'!D98</f>
        <v>21</v>
      </c>
      <c r="C84" s="210">
        <f>'Données projet'!E98*150+('Données projet'!F98+'Données projet'!G98)*19.4+'Données projet'!H98*10</f>
        <v>80</v>
      </c>
      <c r="D84" s="194">
        <f t="shared" si="7"/>
        <v>1680</v>
      </c>
      <c r="E84" s="210"/>
      <c r="F84" s="221"/>
      <c r="G84" s="232"/>
      <c r="H84" s="25"/>
      <c r="I84" s="5"/>
      <c r="J84" s="5"/>
      <c r="K84" s="5"/>
      <c r="L84" s="5"/>
      <c r="M84" s="5"/>
      <c r="N84" s="186"/>
      <c r="O84" s="5"/>
      <c r="P84" s="5"/>
      <c r="Q84" s="5"/>
      <c r="R84" s="211" t="e">
        <f>IF(R83+1&lt;=MIN('Données projet'!$E$9:$E$18),R83+1,"STOP")</f>
        <v>#VALUE!</v>
      </c>
      <c r="S84" s="201" t="e">
        <f t="shared" si="6"/>
        <v>#VALUE!</v>
      </c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</row>
    <row r="85" spans="1:60">
      <c r="A85" s="195">
        <f>'Données projet'!A99</f>
        <v>75</v>
      </c>
      <c r="B85" s="196">
        <f>'Données projet'!D99</f>
        <v>21</v>
      </c>
      <c r="C85" s="210">
        <f>'Données projet'!E99*150+('Données projet'!F99+'Données projet'!G99)*19.4+'Données projet'!H99*10</f>
        <v>80</v>
      </c>
      <c r="D85" s="194">
        <f t="shared" si="7"/>
        <v>1680</v>
      </c>
      <c r="E85" s="210"/>
      <c r="F85" s="221"/>
      <c r="G85" s="232"/>
      <c r="H85" s="25"/>
      <c r="I85" s="5"/>
      <c r="J85" s="5"/>
      <c r="K85" s="5"/>
      <c r="L85" s="5"/>
      <c r="M85" s="5"/>
      <c r="N85" s="186"/>
      <c r="O85" s="5"/>
      <c r="P85" s="5"/>
      <c r="Q85" s="5"/>
      <c r="R85" s="211" t="e">
        <f>IF(R84+1&lt;=MIN('Données projet'!$E$9:$E$18),R84+1,"STOP")</f>
        <v>#VALUE!</v>
      </c>
      <c r="S85" s="201" t="e">
        <f t="shared" si="6"/>
        <v>#VALUE!</v>
      </c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</row>
    <row r="86" spans="1:60">
      <c r="A86" s="195">
        <f>'Données projet'!A100</f>
        <v>80</v>
      </c>
      <c r="B86" s="196">
        <f>'Données projet'!D100</f>
        <v>21</v>
      </c>
      <c r="C86" s="210">
        <f>'Données projet'!E100*150+('Données projet'!F100+'Données projet'!G100)*19.4+'Données projet'!H100*10</f>
        <v>94</v>
      </c>
      <c r="D86" s="194">
        <f t="shared" si="7"/>
        <v>1974</v>
      </c>
      <c r="E86" s="210"/>
      <c r="F86" s="221"/>
      <c r="G86" s="232"/>
      <c r="H86" s="25"/>
      <c r="I86" s="5"/>
      <c r="J86" s="5"/>
      <c r="K86" s="5"/>
      <c r="L86" s="5"/>
      <c r="M86" s="5"/>
      <c r="N86" s="186"/>
      <c r="O86" s="5"/>
      <c r="P86" s="5"/>
      <c r="Q86" s="5"/>
      <c r="R86" s="211" t="e">
        <f>IF(R85+1&lt;=MIN('Données projet'!$E$9:$E$18),R85+1,"STOP")</f>
        <v>#VALUE!</v>
      </c>
      <c r="S86" s="201" t="e">
        <f t="shared" si="6"/>
        <v>#VALUE!</v>
      </c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</row>
    <row r="87" spans="1:60">
      <c r="A87" s="195">
        <f>'Données projet'!A101</f>
        <v>85</v>
      </c>
      <c r="B87" s="196">
        <f>'Données projet'!D101</f>
        <v>21</v>
      </c>
      <c r="C87" s="210">
        <f>'Données projet'!E101*150+('Données projet'!F101+'Données projet'!G101)*19.4+'Données projet'!H101*10</f>
        <v>94</v>
      </c>
      <c r="D87" s="194">
        <f t="shared" si="7"/>
        <v>1974</v>
      </c>
      <c r="E87" s="210"/>
      <c r="F87" s="221"/>
      <c r="G87" s="232"/>
      <c r="H87" s="25"/>
      <c r="I87" s="5"/>
      <c r="J87" s="5"/>
      <c r="K87" s="5"/>
      <c r="L87" s="5"/>
      <c r="M87" s="5"/>
      <c r="N87" s="186"/>
      <c r="O87" s="5"/>
      <c r="P87" s="5"/>
      <c r="Q87" s="5"/>
      <c r="R87" s="211" t="e">
        <f>IF(R86+1&lt;=MIN('Données projet'!$E$9:$E$18),R86+1,"STOP")</f>
        <v>#VALUE!</v>
      </c>
      <c r="S87" s="201" t="e">
        <f t="shared" si="6"/>
        <v>#VALUE!</v>
      </c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</row>
    <row r="88" spans="1:60">
      <c r="A88" s="195">
        <f>'Données projet'!A102</f>
        <v>90</v>
      </c>
      <c r="B88" s="196">
        <f>'Données projet'!D102</f>
        <v>21</v>
      </c>
      <c r="C88" s="210">
        <f>'Données projet'!E102*150+('Données projet'!F102+'Données projet'!G102)*19.4+'Données projet'!H102*10</f>
        <v>108</v>
      </c>
      <c r="D88" s="194">
        <f t="shared" si="7"/>
        <v>2268</v>
      </c>
      <c r="E88" s="210"/>
      <c r="F88" s="221"/>
      <c r="G88" s="232"/>
      <c r="H88" s="25"/>
      <c r="I88" s="5"/>
      <c r="J88" s="5"/>
      <c r="K88" s="5"/>
      <c r="L88" s="5"/>
      <c r="M88" s="5"/>
      <c r="N88" s="186"/>
      <c r="O88" s="5"/>
      <c r="P88" s="5"/>
      <c r="Q88" s="5"/>
      <c r="R88" s="211" t="e">
        <f>IF(R87+1&lt;=MIN('Données projet'!$E$9:$E$18),R87+1,"STOP")</f>
        <v>#VALUE!</v>
      </c>
      <c r="S88" s="201" t="e">
        <f t="shared" si="6"/>
        <v>#VALUE!</v>
      </c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</row>
    <row r="89" spans="1:60">
      <c r="A89" s="195">
        <f>'Données projet'!A103</f>
        <v>95</v>
      </c>
      <c r="B89" s="196">
        <f>'Données projet'!D103</f>
        <v>21</v>
      </c>
      <c r="C89" s="210">
        <f>'Données projet'!E103*150+('Données projet'!F103+'Données projet'!G103)*19.4+'Données projet'!H103*10</f>
        <v>108</v>
      </c>
      <c r="D89" s="194">
        <f t="shared" si="7"/>
        <v>2268</v>
      </c>
      <c r="E89" s="210"/>
      <c r="F89" s="221"/>
      <c r="G89" s="232"/>
      <c r="H89" s="25"/>
      <c r="I89" s="5"/>
      <c r="J89" s="5"/>
      <c r="K89" s="5"/>
      <c r="L89" s="5"/>
      <c r="M89" s="5"/>
      <c r="N89" s="186"/>
      <c r="O89" s="5"/>
      <c r="P89" s="5"/>
      <c r="Q89" s="5"/>
      <c r="R89" s="211" t="e">
        <f>IF(R88+1&lt;=MIN('Données projet'!$E$9:$E$18),R88+1,"STOP")</f>
        <v>#VALUE!</v>
      </c>
      <c r="S89" s="201" t="e">
        <f t="shared" si="6"/>
        <v>#VALUE!</v>
      </c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</row>
    <row r="90" spans="1:60">
      <c r="A90" s="195">
        <f>'Données projet'!A104</f>
        <v>100</v>
      </c>
      <c r="B90" s="196">
        <f>'Données projet'!D104</f>
        <v>282</v>
      </c>
      <c r="C90" s="210">
        <f>'Données projet'!E104*150+('Données projet'!F104+'Données projet'!G104)*19.4+'Données projet'!H104*10</f>
        <v>122</v>
      </c>
      <c r="D90" s="194">
        <f t="shared" si="7"/>
        <v>34404</v>
      </c>
      <c r="E90" s="210"/>
      <c r="F90" s="221"/>
      <c r="G90" s="232"/>
      <c r="H90" s="25"/>
      <c r="I90" s="5"/>
      <c r="J90" s="5"/>
      <c r="K90" s="5"/>
      <c r="L90" s="5"/>
      <c r="M90" s="5"/>
      <c r="N90" s="186"/>
      <c r="O90" s="5"/>
      <c r="P90" s="5"/>
      <c r="Q90" s="5"/>
      <c r="R90" s="211" t="e">
        <f>IF(R89+1&lt;=MIN('Données projet'!$E$9:$E$18),R89+1,"STOP")</f>
        <v>#VALUE!</v>
      </c>
      <c r="S90" s="201" t="e">
        <f t="shared" si="6"/>
        <v>#VALUE!</v>
      </c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</row>
    <row r="91" spans="1:60">
      <c r="A91" s="195">
        <f>'Données projet'!A105</f>
        <v>0</v>
      </c>
      <c r="B91" s="196">
        <f>'Données projet'!D105</f>
        <v>0</v>
      </c>
      <c r="C91" s="208"/>
      <c r="D91" s="194">
        <f t="shared" si="7"/>
        <v>0</v>
      </c>
      <c r="E91" s="210"/>
      <c r="F91" s="221"/>
      <c r="G91" s="232"/>
      <c r="H91" s="25"/>
      <c r="I91" s="5"/>
      <c r="J91" s="5"/>
      <c r="K91" s="5"/>
      <c r="L91" s="5"/>
      <c r="M91" s="5"/>
      <c r="N91" s="186"/>
      <c r="O91" s="5"/>
      <c r="P91" s="5"/>
      <c r="Q91" s="5"/>
      <c r="R91" s="211" t="e">
        <f>IF(R90+1&lt;=MIN('Données projet'!$E$9:$E$18),R90+1,"STOP")</f>
        <v>#VALUE!</v>
      </c>
      <c r="S91" s="201" t="e">
        <f t="shared" si="6"/>
        <v>#VALUE!</v>
      </c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</row>
    <row r="92" spans="1:60">
      <c r="A92" s="195">
        <f>'Données projet'!A106</f>
        <v>0</v>
      </c>
      <c r="B92" s="196">
        <f>'Données projet'!D106</f>
        <v>0</v>
      </c>
      <c r="C92" s="208"/>
      <c r="D92" s="194">
        <f t="shared" si="7"/>
        <v>0</v>
      </c>
      <c r="E92" s="210"/>
      <c r="F92" s="221"/>
      <c r="G92" s="232"/>
      <c r="H92" s="25"/>
      <c r="I92" s="5"/>
      <c r="J92" s="5"/>
      <c r="K92" s="5"/>
      <c r="L92" s="5"/>
      <c r="M92" s="5"/>
      <c r="N92" s="186"/>
      <c r="O92" s="5"/>
      <c r="P92" s="5"/>
      <c r="Q92" s="5"/>
      <c r="R92" s="211" t="e">
        <f>IF(R91+1&lt;=MIN('Données projet'!$E$9:$E$18),R91+1,"STOP")</f>
        <v>#VALUE!</v>
      </c>
      <c r="S92" s="201" t="e">
        <f t="shared" si="6"/>
        <v>#VALUE!</v>
      </c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</row>
    <row r="93" spans="1:60">
      <c r="A93" s="195">
        <f>'Données projet'!A107</f>
        <v>0</v>
      </c>
      <c r="B93" s="196">
        <f>'Données projet'!D107</f>
        <v>0</v>
      </c>
      <c r="C93" s="208"/>
      <c r="D93" s="194">
        <f t="shared" si="7"/>
        <v>0</v>
      </c>
      <c r="E93" s="210"/>
      <c r="F93" s="221"/>
      <c r="G93" s="232"/>
      <c r="H93" s="25"/>
      <c r="I93" s="5"/>
      <c r="J93" s="5"/>
      <c r="K93" s="5"/>
      <c r="L93" s="5"/>
      <c r="M93" s="5"/>
      <c r="N93" s="186"/>
      <c r="O93" s="5"/>
      <c r="P93" s="5"/>
      <c r="Q93" s="5"/>
      <c r="R93" s="211" t="e">
        <f>IF(R92+1&lt;=MIN('Données projet'!$E$9:$E$18),R92+1,"STOP")</f>
        <v>#VALUE!</v>
      </c>
      <c r="S93" s="201" t="e">
        <f t="shared" ref="S93:S98" si="8">$T$24/(1+$J$6)^R93</f>
        <v>#VALUE!</v>
      </c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</row>
    <row r="94" spans="1:60">
      <c r="A94" s="5"/>
      <c r="B94" s="5"/>
      <c r="C94" s="5"/>
      <c r="D94" s="5"/>
      <c r="E94" s="5"/>
      <c r="F94" s="218"/>
      <c r="G94" s="230"/>
      <c r="H94" s="25"/>
      <c r="I94" s="5"/>
      <c r="J94" s="5"/>
      <c r="K94" s="5"/>
      <c r="L94" s="5"/>
      <c r="M94" s="5"/>
      <c r="N94" s="186"/>
      <c r="O94" s="5"/>
      <c r="P94" s="5"/>
      <c r="Q94" s="5"/>
      <c r="R94" s="211" t="e">
        <f>IF(R93+1&lt;=MIN('Données projet'!$E$9:$E$18),R93+1,"STOP")</f>
        <v>#VALUE!</v>
      </c>
      <c r="S94" s="201" t="e">
        <f t="shared" si="8"/>
        <v>#VALUE!</v>
      </c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</row>
    <row r="95" spans="1:60">
      <c r="A95" s="5"/>
      <c r="B95" s="5"/>
      <c r="C95" s="5"/>
      <c r="D95" s="5"/>
      <c r="E95" s="5"/>
      <c r="F95" s="218"/>
      <c r="G95" s="230"/>
      <c r="H95" s="25"/>
      <c r="I95" s="5"/>
      <c r="J95" s="5"/>
      <c r="K95" s="5"/>
      <c r="L95" s="5"/>
      <c r="M95" s="5"/>
      <c r="N95" s="186"/>
      <c r="O95" s="5"/>
      <c r="P95" s="5"/>
      <c r="Q95" s="5"/>
      <c r="R95" s="211" t="e">
        <f>IF(R94+1&lt;=MIN('Données projet'!$E$9:$E$18),R94+1,"STOP")</f>
        <v>#VALUE!</v>
      </c>
      <c r="S95" s="201" t="e">
        <f t="shared" si="8"/>
        <v>#VALUE!</v>
      </c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</row>
    <row r="96" spans="1:60">
      <c r="A96" s="49" t="s">
        <v>168</v>
      </c>
      <c r="B96" s="189" t="str">
        <f>IF('Données projet'!B12="","",'Données projet'!B12)</f>
        <v>Chêne pubescent</v>
      </c>
      <c r="C96" s="5"/>
      <c r="D96" s="5"/>
      <c r="E96" s="5"/>
      <c r="F96" s="218"/>
      <c r="G96" s="230"/>
      <c r="H96" s="25"/>
      <c r="I96" s="5"/>
      <c r="J96" s="5"/>
      <c r="K96" s="5"/>
      <c r="L96" s="5"/>
      <c r="M96" s="5"/>
      <c r="N96" s="186"/>
      <c r="O96" s="5"/>
      <c r="P96" s="5"/>
      <c r="Q96" s="5"/>
      <c r="R96" s="211" t="e">
        <f>IF(R95+1&lt;=MIN('Données projet'!$E$9:$E$18),R95+1,"STOP")</f>
        <v>#VALUE!</v>
      </c>
      <c r="S96" s="201" t="e">
        <f t="shared" si="8"/>
        <v>#VALUE!</v>
      </c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</row>
    <row r="97" spans="1:60">
      <c r="A97" s="5"/>
      <c r="B97" s="5"/>
      <c r="C97" s="5"/>
      <c r="D97" s="5"/>
      <c r="E97" s="5"/>
      <c r="F97" s="218"/>
      <c r="G97" s="230"/>
      <c r="H97" s="25"/>
      <c r="I97" s="5"/>
      <c r="J97" s="5"/>
      <c r="K97" s="5"/>
      <c r="L97" s="5"/>
      <c r="M97" s="5"/>
      <c r="N97" s="186"/>
      <c r="O97" s="5"/>
      <c r="P97" s="5"/>
      <c r="Q97" s="5"/>
      <c r="R97" s="211" t="e">
        <f>IF(R96+1&lt;=MIN('Données projet'!$E$9:$E$18),R96+1,"STOP")</f>
        <v>#VALUE!</v>
      </c>
      <c r="S97" s="201" t="e">
        <f t="shared" si="8"/>
        <v>#VALUE!</v>
      </c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</row>
    <row r="98" spans="1:60" ht="16.5" customHeight="1">
      <c r="A98" s="188" t="s">
        <v>180</v>
      </c>
      <c r="B98" s="51" t="s">
        <v>256</v>
      </c>
      <c r="C98" s="51" t="s">
        <v>255</v>
      </c>
      <c r="D98" s="188" t="s">
        <v>252</v>
      </c>
      <c r="E98" s="188" t="s">
        <v>288</v>
      </c>
      <c r="F98" s="220"/>
      <c r="G98" s="231"/>
      <c r="H98" s="25"/>
      <c r="I98" s="5"/>
      <c r="J98" s="5"/>
      <c r="K98" s="5"/>
      <c r="L98" s="5"/>
      <c r="M98" s="5"/>
      <c r="N98" s="186"/>
      <c r="O98" s="5"/>
      <c r="P98" s="5"/>
      <c r="Q98" s="5"/>
      <c r="R98" s="211" t="e">
        <f>IF(R97+1&lt;=MIN('Données projet'!$E$9:$E$18),R97+1,"STOP")</f>
        <v>#VALUE!</v>
      </c>
      <c r="S98" s="201" t="e">
        <f t="shared" si="8"/>
        <v>#VALUE!</v>
      </c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</row>
    <row r="99" spans="1:60" ht="16.5" customHeight="1">
      <c r="A99" s="214">
        <v>0</v>
      </c>
      <c r="B99" s="217" t="s">
        <v>132</v>
      </c>
      <c r="C99" s="216" t="s">
        <v>132</v>
      </c>
      <c r="D99" s="215" t="s">
        <v>132</v>
      </c>
      <c r="E99" s="210">
        <v>3304.72</v>
      </c>
      <c r="F99" s="220"/>
      <c r="G99" s="231"/>
      <c r="H99" s="25"/>
      <c r="I99" s="5"/>
      <c r="J99" s="5"/>
      <c r="K99" s="5"/>
      <c r="L99" s="5"/>
      <c r="M99" s="5"/>
      <c r="N99" s="186"/>
      <c r="O99" s="5"/>
      <c r="P99" s="5"/>
      <c r="Q99" s="5"/>
      <c r="R99" s="211" t="e">
        <f>IF(R98+1&lt;=MIN('Données projet'!$E$9:$E$18),R98+1,"STOP")</f>
        <v>#VALUE!</v>
      </c>
      <c r="S99" s="201" t="e">
        <f t="shared" ref="S99:S128" si="9">$T$24/(1+$J$6)^R99</f>
        <v>#VALUE!</v>
      </c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</row>
    <row r="100" spans="1:60">
      <c r="A100" s="195">
        <f>'Données projet'!A114</f>
        <v>20</v>
      </c>
      <c r="B100" s="196">
        <f>'Données projet'!D114</f>
        <v>0</v>
      </c>
      <c r="C100" s="210">
        <f>'Données projet'!E114*150+('Données projet'!F114+'Données projet'!G114)*19.4+'Données projet'!H114*10</f>
        <v>10</v>
      </c>
      <c r="D100" s="194">
        <f>B100*C100</f>
        <v>0</v>
      </c>
      <c r="E100" s="210"/>
      <c r="F100" s="221"/>
      <c r="G100" s="232"/>
      <c r="H100" s="25"/>
      <c r="I100" s="5"/>
      <c r="J100" s="5"/>
      <c r="K100" s="5"/>
      <c r="L100" s="5"/>
      <c r="M100" s="5"/>
      <c r="N100" s="186"/>
      <c r="O100" s="5"/>
      <c r="P100" s="5"/>
      <c r="Q100" s="5"/>
      <c r="R100" s="211" t="e">
        <f>IF(R99+1&lt;=MIN('Données projet'!$E$9:$E$18),R99+1,"STOP")</f>
        <v>#VALUE!</v>
      </c>
      <c r="S100" s="201" t="e">
        <f t="shared" si="9"/>
        <v>#VALUE!</v>
      </c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</row>
    <row r="101" spans="1:60">
      <c r="A101" s="195">
        <f>'Données projet'!A115</f>
        <v>25</v>
      </c>
      <c r="B101" s="196">
        <f>'Données projet'!D115</f>
        <v>8</v>
      </c>
      <c r="C101" s="210">
        <f>'Données projet'!E115*150+('Données projet'!F115+'Données projet'!G115)*19.4+'Données projet'!H115*10</f>
        <v>10</v>
      </c>
      <c r="D101" s="194">
        <f t="shared" ref="D101:D119" si="10">B101*C101</f>
        <v>80</v>
      </c>
      <c r="E101" s="210"/>
      <c r="F101" s="221"/>
      <c r="G101" s="232"/>
      <c r="H101" s="25"/>
      <c r="I101" s="5"/>
      <c r="J101" s="5"/>
      <c r="K101" s="5"/>
      <c r="L101" s="5"/>
      <c r="M101" s="5"/>
      <c r="N101" s="186"/>
      <c r="O101" s="5"/>
      <c r="P101" s="5"/>
      <c r="Q101" s="5"/>
      <c r="R101" s="211" t="e">
        <f>IF(R100+1&lt;=MIN('Données projet'!$E$9:$E$18),R100+1,"STOP")</f>
        <v>#VALUE!</v>
      </c>
      <c r="S101" s="201" t="e">
        <f t="shared" si="9"/>
        <v>#VALUE!</v>
      </c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</row>
    <row r="102" spans="1:60">
      <c r="A102" s="195">
        <f>'Données projet'!A116</f>
        <v>30</v>
      </c>
      <c r="B102" s="196">
        <f>'Données projet'!D116</f>
        <v>21</v>
      </c>
      <c r="C102" s="210">
        <f>'Données projet'!E116*150+('Données projet'!F116+'Données projet'!G116)*19.4+'Données projet'!H116*10</f>
        <v>10</v>
      </c>
      <c r="D102" s="194">
        <f t="shared" si="10"/>
        <v>210</v>
      </c>
      <c r="E102" s="210"/>
      <c r="F102" s="221"/>
      <c r="G102" s="232"/>
      <c r="H102" s="25"/>
      <c r="I102" s="5"/>
      <c r="J102" s="5"/>
      <c r="K102" s="5"/>
      <c r="L102" s="5"/>
      <c r="M102" s="5"/>
      <c r="N102" s="186"/>
      <c r="O102" s="5"/>
      <c r="P102" s="5"/>
      <c r="Q102" s="5"/>
      <c r="R102" s="211" t="e">
        <f>IF(R101+1&lt;=MIN('Données projet'!$E$9:$E$18),R101+1,"STOP")</f>
        <v>#VALUE!</v>
      </c>
      <c r="S102" s="201" t="e">
        <f t="shared" si="9"/>
        <v>#VALUE!</v>
      </c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</row>
    <row r="103" spans="1:60">
      <c r="A103" s="195">
        <f>'Données projet'!A117</f>
        <v>35</v>
      </c>
      <c r="B103" s="196">
        <f>'Données projet'!D117</f>
        <v>21</v>
      </c>
      <c r="C103" s="210">
        <f>'Données projet'!E117*150+('Données projet'!F117+'Données projet'!G117)*19.4+'Données projet'!H117*10</f>
        <v>10</v>
      </c>
      <c r="D103" s="194">
        <f t="shared" si="10"/>
        <v>210</v>
      </c>
      <c r="E103" s="210"/>
      <c r="F103" s="221"/>
      <c r="G103" s="232"/>
      <c r="H103" s="25"/>
      <c r="I103" s="5"/>
      <c r="J103" s="5"/>
      <c r="K103" s="5"/>
      <c r="L103" s="5"/>
      <c r="M103" s="5"/>
      <c r="N103" s="186"/>
      <c r="O103" s="5"/>
      <c r="P103" s="5"/>
      <c r="Q103" s="5"/>
      <c r="R103" s="211" t="e">
        <f>IF(R102+1&lt;=MIN('Données projet'!$E$9:$E$18),R102+1,"STOP")</f>
        <v>#VALUE!</v>
      </c>
      <c r="S103" s="201" t="e">
        <f t="shared" si="9"/>
        <v>#VALUE!</v>
      </c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</row>
    <row r="104" spans="1:60">
      <c r="A104" s="195">
        <f>'Données projet'!A118</f>
        <v>40</v>
      </c>
      <c r="B104" s="196">
        <f>'Données projet'!D118</f>
        <v>21</v>
      </c>
      <c r="C104" s="210">
        <f>'Données projet'!E118*150+('Données projet'!F118+'Données projet'!G118)*19.4+'Données projet'!H118*10</f>
        <v>38</v>
      </c>
      <c r="D104" s="194">
        <f t="shared" si="10"/>
        <v>798</v>
      </c>
      <c r="E104" s="210"/>
      <c r="F104" s="221"/>
      <c r="G104" s="232"/>
      <c r="H104" s="25"/>
      <c r="I104" s="5"/>
      <c r="J104" s="5"/>
      <c r="K104" s="5"/>
      <c r="L104" s="5"/>
      <c r="M104" s="5"/>
      <c r="N104" s="186"/>
      <c r="O104" s="5"/>
      <c r="P104" s="5"/>
      <c r="Q104" s="5"/>
      <c r="R104" s="211" t="e">
        <f>IF(R103+1&lt;=MIN('Données projet'!$E$9:$E$18),R103+1,"STOP")</f>
        <v>#VALUE!</v>
      </c>
      <c r="S104" s="201" t="e">
        <f t="shared" si="9"/>
        <v>#VALUE!</v>
      </c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</row>
    <row r="105" spans="1:60">
      <c r="A105" s="195">
        <f>'Données projet'!A119</f>
        <v>45</v>
      </c>
      <c r="B105" s="196">
        <f>'Données projet'!D119</f>
        <v>21</v>
      </c>
      <c r="C105" s="210">
        <f>'Données projet'!E119*150+('Données projet'!F119+'Données projet'!G119)*19.4+'Données projet'!H119*10</f>
        <v>38</v>
      </c>
      <c r="D105" s="194">
        <f t="shared" si="10"/>
        <v>798</v>
      </c>
      <c r="E105" s="210"/>
      <c r="F105" s="221"/>
      <c r="G105" s="232"/>
      <c r="H105" s="25"/>
      <c r="I105" s="5"/>
      <c r="J105" s="5"/>
      <c r="K105" s="5"/>
      <c r="L105" s="5"/>
      <c r="M105" s="5"/>
      <c r="N105" s="186"/>
      <c r="O105" s="5"/>
      <c r="P105" s="5"/>
      <c r="Q105" s="5"/>
      <c r="R105" s="211" t="e">
        <f>IF(R104+1&lt;=MIN('Données projet'!$E$9:$E$18),R104+1,"STOP")</f>
        <v>#VALUE!</v>
      </c>
      <c r="S105" s="201" t="e">
        <f t="shared" si="9"/>
        <v>#VALUE!</v>
      </c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</row>
    <row r="106" spans="1:60">
      <c r="A106" s="195">
        <f>'Données projet'!A120</f>
        <v>50</v>
      </c>
      <c r="B106" s="196">
        <f>'Données projet'!D120</f>
        <v>21</v>
      </c>
      <c r="C106" s="210">
        <f>'Données projet'!E120*150+('Données projet'!F120+'Données projet'!G120)*19.4+'Données projet'!H120*10</f>
        <v>52</v>
      </c>
      <c r="D106" s="194">
        <f t="shared" si="10"/>
        <v>1092</v>
      </c>
      <c r="E106" s="210"/>
      <c r="F106" s="221"/>
      <c r="G106" s="232"/>
      <c r="H106" s="25"/>
      <c r="I106" s="5"/>
      <c r="J106" s="5"/>
      <c r="K106" s="5"/>
      <c r="L106" s="5"/>
      <c r="M106" s="5"/>
      <c r="N106" s="186"/>
      <c r="O106" s="5"/>
      <c r="P106" s="5"/>
      <c r="Q106" s="5"/>
      <c r="R106" s="211" t="e">
        <f>IF(R105+1&lt;=MIN('Données projet'!$E$9:$E$18),R105+1,"STOP")</f>
        <v>#VALUE!</v>
      </c>
      <c r="S106" s="201" t="e">
        <f t="shared" si="9"/>
        <v>#VALUE!</v>
      </c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</row>
    <row r="107" spans="1:60">
      <c r="A107" s="195">
        <f>'Données projet'!A121</f>
        <v>55</v>
      </c>
      <c r="B107" s="196">
        <f>'Données projet'!D121</f>
        <v>21</v>
      </c>
      <c r="C107" s="210">
        <f>'Données projet'!E121*150+('Données projet'!F121+'Données projet'!G121)*19.4+'Données projet'!H121*10</f>
        <v>52</v>
      </c>
      <c r="D107" s="194">
        <f t="shared" si="10"/>
        <v>1092</v>
      </c>
      <c r="E107" s="210"/>
      <c r="F107" s="221"/>
      <c r="G107" s="232"/>
      <c r="H107" s="25"/>
      <c r="I107" s="5"/>
      <c r="J107" s="5"/>
      <c r="K107" s="5"/>
      <c r="L107" s="5"/>
      <c r="M107" s="5"/>
      <c r="N107" s="186"/>
      <c r="O107" s="5"/>
      <c r="P107" s="5"/>
      <c r="Q107" s="5"/>
      <c r="R107" s="211" t="e">
        <f>IF(R106+1&lt;=MIN('Données projet'!$E$9:$E$18),R106+1,"STOP")</f>
        <v>#VALUE!</v>
      </c>
      <c r="S107" s="201" t="e">
        <f t="shared" si="9"/>
        <v>#VALUE!</v>
      </c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</row>
    <row r="108" spans="1:60">
      <c r="A108" s="195">
        <f>'Données projet'!A122</f>
        <v>60</v>
      </c>
      <c r="B108" s="196">
        <f>'Données projet'!D122</f>
        <v>21</v>
      </c>
      <c r="C108" s="210">
        <f>'Données projet'!E122*150+('Données projet'!F122+'Données projet'!G122)*19.4+'Données projet'!H122*10</f>
        <v>66</v>
      </c>
      <c r="D108" s="194">
        <f t="shared" si="10"/>
        <v>1386</v>
      </c>
      <c r="E108" s="210"/>
      <c r="F108" s="221"/>
      <c r="G108" s="232"/>
      <c r="H108" s="25"/>
      <c r="I108" s="5"/>
      <c r="J108" s="5"/>
      <c r="K108" s="5"/>
      <c r="L108" s="5"/>
      <c r="M108" s="5"/>
      <c r="N108" s="186"/>
      <c r="O108" s="5"/>
      <c r="P108" s="5"/>
      <c r="Q108" s="5"/>
      <c r="R108" s="211" t="e">
        <f>IF(R107+1&lt;=MIN('Données projet'!$E$9:$E$18),R107+1,"STOP")</f>
        <v>#VALUE!</v>
      </c>
      <c r="S108" s="201" t="e">
        <f t="shared" si="9"/>
        <v>#VALUE!</v>
      </c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</row>
    <row r="109" spans="1:60">
      <c r="A109" s="195">
        <f>'Données projet'!A123</f>
        <v>65</v>
      </c>
      <c r="B109" s="196">
        <f>'Données projet'!D123</f>
        <v>21</v>
      </c>
      <c r="C109" s="210">
        <f>'Données projet'!E123*150+('Données projet'!F123+'Données projet'!G123)*19.4+'Données projet'!H123*10</f>
        <v>66</v>
      </c>
      <c r="D109" s="194">
        <f t="shared" si="10"/>
        <v>1386</v>
      </c>
      <c r="E109" s="210"/>
      <c r="F109" s="221"/>
      <c r="G109" s="232"/>
      <c r="H109" s="25"/>
      <c r="I109" s="5"/>
      <c r="J109" s="5"/>
      <c r="K109" s="5"/>
      <c r="L109" s="5"/>
      <c r="M109" s="5"/>
      <c r="N109" s="186"/>
      <c r="O109" s="5"/>
      <c r="P109" s="5"/>
      <c r="Q109" s="5"/>
      <c r="R109" s="211" t="e">
        <f>IF(R108+1&lt;=MIN('Données projet'!$E$9:$E$18),R108+1,"STOP")</f>
        <v>#VALUE!</v>
      </c>
      <c r="S109" s="201" t="e">
        <f t="shared" si="9"/>
        <v>#VALUE!</v>
      </c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</row>
    <row r="110" spans="1:60">
      <c r="A110" s="195">
        <f>'Données projet'!A124</f>
        <v>70</v>
      </c>
      <c r="B110" s="196">
        <f>'Données projet'!D124</f>
        <v>21</v>
      </c>
      <c r="C110" s="210">
        <f>'Données projet'!E124*150+('Données projet'!F124+'Données projet'!G124)*19.4+'Données projet'!H124*10</f>
        <v>80</v>
      </c>
      <c r="D110" s="194">
        <f t="shared" si="10"/>
        <v>1680</v>
      </c>
      <c r="E110" s="210"/>
      <c r="F110" s="221"/>
      <c r="G110" s="232"/>
      <c r="H110" s="25"/>
      <c r="I110" s="5"/>
      <c r="J110" s="5"/>
      <c r="K110" s="5"/>
      <c r="L110" s="5"/>
      <c r="M110" s="5"/>
      <c r="N110" s="186"/>
      <c r="O110" s="5"/>
      <c r="P110" s="5"/>
      <c r="Q110" s="5"/>
      <c r="R110" s="211" t="e">
        <f>IF(R109+1&lt;=MIN('Données projet'!$E$9:$E$18),R109+1,"STOP")</f>
        <v>#VALUE!</v>
      </c>
      <c r="S110" s="201" t="e">
        <f t="shared" si="9"/>
        <v>#VALUE!</v>
      </c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</row>
    <row r="111" spans="1:60">
      <c r="A111" s="195">
        <f>'Données projet'!A125</f>
        <v>75</v>
      </c>
      <c r="B111" s="196">
        <f>'Données projet'!D125</f>
        <v>21</v>
      </c>
      <c r="C111" s="210">
        <f>'Données projet'!E125*150+('Données projet'!F125+'Données projet'!G125)*19.4+'Données projet'!H125*10</f>
        <v>80</v>
      </c>
      <c r="D111" s="194">
        <f t="shared" si="10"/>
        <v>1680</v>
      </c>
      <c r="E111" s="210"/>
      <c r="F111" s="221"/>
      <c r="G111" s="232"/>
      <c r="H111" s="25"/>
      <c r="I111" s="5"/>
      <c r="J111" s="5"/>
      <c r="K111" s="5"/>
      <c r="L111" s="5"/>
      <c r="M111" s="5"/>
      <c r="N111" s="186"/>
      <c r="O111" s="5"/>
      <c r="P111" s="5"/>
      <c r="Q111" s="5"/>
      <c r="R111" s="211" t="e">
        <f>IF(R110+1&lt;=MIN('Données projet'!$E$9:$E$18),R110+1,"STOP")</f>
        <v>#VALUE!</v>
      </c>
      <c r="S111" s="201" t="e">
        <f t="shared" si="9"/>
        <v>#VALUE!</v>
      </c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</row>
    <row r="112" spans="1:60">
      <c r="A112" s="195">
        <f>'Données projet'!A126</f>
        <v>80</v>
      </c>
      <c r="B112" s="196">
        <f>'Données projet'!D126</f>
        <v>21</v>
      </c>
      <c r="C112" s="210">
        <f>'Données projet'!E126*150+('Données projet'!F126+'Données projet'!G126)*19.4+'Données projet'!H126*10</f>
        <v>94</v>
      </c>
      <c r="D112" s="194">
        <f t="shared" si="10"/>
        <v>1974</v>
      </c>
      <c r="E112" s="210"/>
      <c r="F112" s="221"/>
      <c r="G112" s="232"/>
      <c r="H112" s="25"/>
      <c r="I112" s="5"/>
      <c r="J112" s="5"/>
      <c r="K112" s="5"/>
      <c r="L112" s="5"/>
      <c r="M112" s="5"/>
      <c r="N112" s="186"/>
      <c r="O112" s="5"/>
      <c r="P112" s="5"/>
      <c r="Q112" s="5"/>
      <c r="R112" s="211" t="e">
        <f>IF(R111+1&lt;=MIN('Données projet'!$E$9:$E$18),R111+1,"STOP")</f>
        <v>#VALUE!</v>
      </c>
      <c r="S112" s="201" t="e">
        <f t="shared" si="9"/>
        <v>#VALUE!</v>
      </c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</row>
    <row r="113" spans="1:60">
      <c r="A113" s="195">
        <f>'Données projet'!A127</f>
        <v>85</v>
      </c>
      <c r="B113" s="196">
        <f>'Données projet'!D127</f>
        <v>21</v>
      </c>
      <c r="C113" s="210">
        <f>'Données projet'!E127*150+('Données projet'!F127+'Données projet'!G127)*19.4+'Données projet'!H127*10</f>
        <v>94</v>
      </c>
      <c r="D113" s="194">
        <f t="shared" si="10"/>
        <v>1974</v>
      </c>
      <c r="E113" s="210"/>
      <c r="F113" s="221"/>
      <c r="G113" s="232"/>
      <c r="H113" s="25"/>
      <c r="I113" s="5"/>
      <c r="J113" s="5"/>
      <c r="K113" s="5"/>
      <c r="L113" s="5"/>
      <c r="M113" s="5"/>
      <c r="N113" s="186"/>
      <c r="O113" s="5"/>
      <c r="P113" s="5"/>
      <c r="Q113" s="5"/>
      <c r="R113" s="211"/>
      <c r="S113" s="201">
        <f t="shared" si="9"/>
        <v>0</v>
      </c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</row>
    <row r="114" spans="1:60">
      <c r="A114" s="195">
        <f>'Données projet'!A128</f>
        <v>90</v>
      </c>
      <c r="B114" s="196">
        <f>'Données projet'!D128</f>
        <v>21</v>
      </c>
      <c r="C114" s="210">
        <f>'Données projet'!E128*150+('Données projet'!F128+'Données projet'!G128)*19.4+'Données projet'!H128*10</f>
        <v>108</v>
      </c>
      <c r="D114" s="194">
        <f t="shared" si="10"/>
        <v>2268</v>
      </c>
      <c r="E114" s="210"/>
      <c r="F114" s="221"/>
      <c r="G114" s="232"/>
      <c r="H114" s="25"/>
      <c r="I114" s="5"/>
      <c r="J114" s="5"/>
      <c r="K114" s="5"/>
      <c r="L114" s="5"/>
      <c r="M114" s="5"/>
      <c r="N114" s="186"/>
      <c r="O114" s="5"/>
      <c r="P114" s="5"/>
      <c r="Q114" s="5"/>
      <c r="R114" s="211"/>
      <c r="S114" s="201">
        <f t="shared" si="9"/>
        <v>0</v>
      </c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</row>
    <row r="115" spans="1:60">
      <c r="A115" s="195">
        <f>'Données projet'!A129</f>
        <v>95</v>
      </c>
      <c r="B115" s="196">
        <f>'Données projet'!D129</f>
        <v>21</v>
      </c>
      <c r="C115" s="210">
        <f>'Données projet'!E129*150+('Données projet'!F129+'Données projet'!G129)*19.4+'Données projet'!H129*10</f>
        <v>108</v>
      </c>
      <c r="D115" s="194">
        <f t="shared" si="10"/>
        <v>2268</v>
      </c>
      <c r="E115" s="210"/>
      <c r="F115" s="221"/>
      <c r="G115" s="232"/>
      <c r="H115" s="25"/>
      <c r="I115" s="5"/>
      <c r="J115" s="5"/>
      <c r="K115" s="5"/>
      <c r="L115" s="5"/>
      <c r="M115" s="5"/>
      <c r="N115" s="186"/>
      <c r="O115" s="5"/>
      <c r="P115" s="5"/>
      <c r="Q115" s="5"/>
      <c r="R115" s="211"/>
      <c r="S115" s="201">
        <f t="shared" si="9"/>
        <v>0</v>
      </c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</row>
    <row r="116" spans="1:60">
      <c r="A116" s="195">
        <f>'Données projet'!A130</f>
        <v>100</v>
      </c>
      <c r="B116" s="196">
        <f>'Données projet'!D130</f>
        <v>282</v>
      </c>
      <c r="C116" s="210">
        <f>'Données projet'!E130*150+('Données projet'!F130+'Données projet'!G130)*19.4+'Données projet'!H130*10</f>
        <v>122</v>
      </c>
      <c r="D116" s="194">
        <f t="shared" si="10"/>
        <v>34404</v>
      </c>
      <c r="E116" s="210"/>
      <c r="F116" s="221"/>
      <c r="G116" s="232"/>
      <c r="H116" s="25"/>
      <c r="I116" s="5"/>
      <c r="J116" s="5"/>
      <c r="K116" s="5"/>
      <c r="L116" s="5"/>
      <c r="M116" s="5"/>
      <c r="N116" s="186"/>
      <c r="O116" s="5"/>
      <c r="P116" s="5"/>
      <c r="Q116" s="5"/>
      <c r="R116" s="211"/>
      <c r="S116" s="201">
        <f t="shared" si="9"/>
        <v>0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</row>
    <row r="117" spans="1:60">
      <c r="A117" s="195">
        <f>'Données projet'!A131</f>
        <v>0</v>
      </c>
      <c r="B117" s="196">
        <f>'Données projet'!D131</f>
        <v>0</v>
      </c>
      <c r="C117" s="208"/>
      <c r="D117" s="194">
        <f t="shared" si="10"/>
        <v>0</v>
      </c>
      <c r="E117" s="210"/>
      <c r="F117" s="221"/>
      <c r="G117" s="232"/>
      <c r="H117" s="25"/>
      <c r="I117" s="5"/>
      <c r="J117" s="5"/>
      <c r="K117" s="5"/>
      <c r="L117" s="5"/>
      <c r="M117" s="5"/>
      <c r="N117" s="186"/>
      <c r="O117" s="5"/>
      <c r="P117" s="5"/>
      <c r="Q117" s="5"/>
      <c r="R117" s="211"/>
      <c r="S117" s="201">
        <f t="shared" si="9"/>
        <v>0</v>
      </c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</row>
    <row r="118" spans="1:60">
      <c r="A118" s="195">
        <f>'Données projet'!A132</f>
        <v>0</v>
      </c>
      <c r="B118" s="196">
        <f>'Données projet'!D132</f>
        <v>0</v>
      </c>
      <c r="C118" s="208"/>
      <c r="D118" s="194">
        <f t="shared" si="10"/>
        <v>0</v>
      </c>
      <c r="E118" s="210"/>
      <c r="F118" s="221"/>
      <c r="G118" s="232"/>
      <c r="H118" s="25"/>
      <c r="I118" s="5"/>
      <c r="J118" s="5"/>
      <c r="K118" s="5"/>
      <c r="L118" s="5"/>
      <c r="M118" s="5"/>
      <c r="N118" s="186"/>
      <c r="O118" s="5"/>
      <c r="P118" s="5"/>
      <c r="Q118" s="5"/>
      <c r="R118" s="211"/>
      <c r="S118" s="201">
        <f t="shared" si="9"/>
        <v>0</v>
      </c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</row>
    <row r="119" spans="1:60">
      <c r="A119" s="195">
        <f>'Données projet'!A133</f>
        <v>0</v>
      </c>
      <c r="B119" s="196">
        <f>'Données projet'!D133</f>
        <v>0</v>
      </c>
      <c r="C119" s="208"/>
      <c r="D119" s="194">
        <f t="shared" si="10"/>
        <v>0</v>
      </c>
      <c r="E119" s="210"/>
      <c r="F119" s="221"/>
      <c r="G119" s="232"/>
      <c r="H119" s="25"/>
      <c r="I119" s="5"/>
      <c r="J119" s="5"/>
      <c r="K119" s="5"/>
      <c r="L119" s="5"/>
      <c r="M119" s="5"/>
      <c r="N119" s="186"/>
      <c r="O119" s="5"/>
      <c r="P119" s="5"/>
      <c r="Q119" s="5"/>
      <c r="R119" s="211"/>
      <c r="S119" s="201">
        <f t="shared" si="9"/>
        <v>0</v>
      </c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</row>
    <row r="120" spans="1:60">
      <c r="A120" s="5"/>
      <c r="B120" s="5"/>
      <c r="C120" s="5"/>
      <c r="D120" s="5"/>
      <c r="E120" s="5"/>
      <c r="F120" s="218"/>
      <c r="G120" s="230"/>
      <c r="H120" s="25"/>
      <c r="I120" s="5"/>
      <c r="J120" s="5"/>
      <c r="K120" s="5"/>
      <c r="L120" s="5"/>
      <c r="M120" s="5"/>
      <c r="N120" s="186"/>
      <c r="O120" s="5"/>
      <c r="P120" s="5"/>
      <c r="Q120" s="5"/>
      <c r="R120" s="211"/>
      <c r="S120" s="201">
        <f t="shared" si="9"/>
        <v>0</v>
      </c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</row>
    <row r="121" spans="1:60">
      <c r="A121" s="5"/>
      <c r="B121" s="5"/>
      <c r="C121" s="5"/>
      <c r="D121" s="5"/>
      <c r="E121" s="5"/>
      <c r="F121" s="218"/>
      <c r="G121" s="230"/>
      <c r="H121" s="25"/>
      <c r="I121" s="5"/>
      <c r="J121" s="5"/>
      <c r="K121" s="5"/>
      <c r="L121" s="5"/>
      <c r="M121" s="5"/>
      <c r="N121" s="186"/>
      <c r="O121" s="5"/>
      <c r="P121" s="5"/>
      <c r="Q121" s="5"/>
      <c r="R121" s="211"/>
      <c r="S121" s="201">
        <f t="shared" si="9"/>
        <v>0</v>
      </c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</row>
    <row r="122" spans="1:60">
      <c r="A122" s="49" t="s">
        <v>169</v>
      </c>
      <c r="B122" s="189" t="str">
        <f>IF('Données projet'!B13="","",'Données projet'!B13)</f>
        <v>Charme</v>
      </c>
      <c r="C122" s="5"/>
      <c r="D122" s="5"/>
      <c r="E122" s="5"/>
      <c r="F122" s="218"/>
      <c r="G122" s="230"/>
      <c r="H122" s="25"/>
      <c r="I122" s="5"/>
      <c r="J122" s="5"/>
      <c r="K122" s="5"/>
      <c r="L122" s="5"/>
      <c r="M122" s="5"/>
      <c r="N122" s="186"/>
      <c r="O122" s="5"/>
      <c r="P122" s="5"/>
      <c r="Q122" s="5"/>
      <c r="R122" s="211"/>
      <c r="S122" s="201">
        <f t="shared" si="9"/>
        <v>0</v>
      </c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</row>
    <row r="123" spans="1:60">
      <c r="A123" s="5"/>
      <c r="B123" s="5"/>
      <c r="C123" s="5"/>
      <c r="D123" s="5"/>
      <c r="E123" s="5"/>
      <c r="F123" s="218"/>
      <c r="G123" s="230"/>
      <c r="H123" s="25"/>
      <c r="I123" s="5"/>
      <c r="J123" s="5"/>
      <c r="K123" s="5"/>
      <c r="L123" s="5"/>
      <c r="M123" s="5"/>
      <c r="N123" s="186"/>
      <c r="O123" s="5"/>
      <c r="P123" s="5"/>
      <c r="Q123" s="5"/>
      <c r="R123" s="211"/>
      <c r="S123" s="201">
        <f t="shared" si="9"/>
        <v>0</v>
      </c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</row>
    <row r="124" spans="1:60" ht="15.75" customHeight="1">
      <c r="A124" s="188" t="s">
        <v>180</v>
      </c>
      <c r="B124" s="51" t="s">
        <v>256</v>
      </c>
      <c r="C124" s="51" t="s">
        <v>255</v>
      </c>
      <c r="D124" s="188" t="s">
        <v>252</v>
      </c>
      <c r="E124" s="188" t="s">
        <v>288</v>
      </c>
      <c r="F124" s="220"/>
      <c r="G124" s="231"/>
      <c r="H124" s="25"/>
      <c r="I124" s="5"/>
      <c r="J124" s="5"/>
      <c r="K124" s="5"/>
      <c r="L124" s="5"/>
      <c r="M124" s="5"/>
      <c r="N124" s="186"/>
      <c r="O124" s="5"/>
      <c r="P124" s="5"/>
      <c r="Q124" s="5"/>
      <c r="R124" s="211"/>
      <c r="S124" s="201">
        <f t="shared" si="9"/>
        <v>0</v>
      </c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</row>
    <row r="125" spans="1:60" ht="15.75" customHeight="1">
      <c r="A125" s="214">
        <v>0</v>
      </c>
      <c r="B125" s="217" t="s">
        <v>132</v>
      </c>
      <c r="C125" s="216" t="s">
        <v>132</v>
      </c>
      <c r="D125" s="215" t="s">
        <v>132</v>
      </c>
      <c r="E125" s="210">
        <v>2039.72</v>
      </c>
      <c r="F125" s="220"/>
      <c r="G125" s="231"/>
      <c r="H125" s="25"/>
      <c r="I125" s="5"/>
      <c r="J125" s="5"/>
      <c r="K125" s="5"/>
      <c r="L125" s="5"/>
      <c r="M125" s="5"/>
      <c r="N125" s="186"/>
      <c r="O125" s="5"/>
      <c r="P125" s="5"/>
      <c r="Q125" s="5"/>
      <c r="R125" s="211"/>
      <c r="S125" s="201">
        <f t="shared" si="9"/>
        <v>0</v>
      </c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</row>
    <row r="126" spans="1:60">
      <c r="A126" s="45">
        <f>'Données projet'!A140</f>
        <v>20</v>
      </c>
      <c r="B126" s="190">
        <f>'Données projet'!D140</f>
        <v>0</v>
      </c>
      <c r="C126" s="210">
        <f>'Données projet'!E140*50+('Données projet'!F140+'Données projet'!G140)*19.4+'Données projet'!H140*10</f>
        <v>10</v>
      </c>
      <c r="D126" s="197">
        <f>B126*C126</f>
        <v>0</v>
      </c>
      <c r="E126" s="210"/>
      <c r="F126" s="219"/>
      <c r="G126" s="227"/>
      <c r="H126" s="25"/>
      <c r="I126" s="5"/>
      <c r="J126" s="5"/>
      <c r="K126" s="5"/>
      <c r="L126" s="5"/>
      <c r="M126" s="5"/>
      <c r="N126" s="186"/>
      <c r="O126" s="5"/>
      <c r="P126" s="5"/>
      <c r="Q126" s="5"/>
      <c r="R126" s="211"/>
      <c r="S126" s="201">
        <f t="shared" si="9"/>
        <v>0</v>
      </c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</row>
    <row r="127" spans="1:60">
      <c r="A127" s="45">
        <f>'Données projet'!A141</f>
        <v>25</v>
      </c>
      <c r="B127" s="190">
        <f>'Données projet'!D141</f>
        <v>8</v>
      </c>
      <c r="C127" s="210">
        <f>'Données projet'!E141*50+('Données projet'!F141+'Données projet'!G141)*19.4+'Données projet'!H141*10</f>
        <v>10</v>
      </c>
      <c r="D127" s="197">
        <f t="shared" ref="D127:D145" si="11">B127*C127</f>
        <v>80</v>
      </c>
      <c r="E127" s="210"/>
      <c r="F127" s="219"/>
      <c r="G127" s="227"/>
      <c r="H127" s="25"/>
      <c r="I127" s="5"/>
      <c r="J127" s="5"/>
      <c r="K127" s="5"/>
      <c r="L127" s="5"/>
      <c r="M127" s="5"/>
      <c r="N127" s="186"/>
      <c r="O127" s="5"/>
      <c r="P127" s="5"/>
      <c r="Q127" s="5"/>
      <c r="R127" s="211"/>
      <c r="S127" s="201">
        <f t="shared" si="9"/>
        <v>0</v>
      </c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</row>
    <row r="128" spans="1:60">
      <c r="A128" s="45">
        <f>'Données projet'!A142</f>
        <v>30</v>
      </c>
      <c r="B128" s="190">
        <f>'Données projet'!D142</f>
        <v>21</v>
      </c>
      <c r="C128" s="210">
        <f>'Données projet'!E142*50+('Données projet'!F142+'Données projet'!G142)*19.4+'Données projet'!H142*10</f>
        <v>10</v>
      </c>
      <c r="D128" s="197">
        <f t="shared" si="11"/>
        <v>210</v>
      </c>
      <c r="E128" s="210"/>
      <c r="F128" s="219"/>
      <c r="G128" s="227"/>
      <c r="H128" s="25"/>
      <c r="I128" s="5"/>
      <c r="J128" s="5"/>
      <c r="K128" s="5"/>
      <c r="L128" s="5"/>
      <c r="M128" s="5"/>
      <c r="N128" s="186"/>
      <c r="O128" s="5"/>
      <c r="P128" s="5"/>
      <c r="Q128" s="5"/>
      <c r="R128" s="211"/>
      <c r="S128" s="201">
        <f t="shared" si="9"/>
        <v>0</v>
      </c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</row>
    <row r="129" spans="1:68">
      <c r="A129" s="45">
        <f>'Données projet'!A143</f>
        <v>35</v>
      </c>
      <c r="B129" s="190">
        <f>'Données projet'!D143</f>
        <v>21</v>
      </c>
      <c r="C129" s="210">
        <f>'Données projet'!E143*50+('Données projet'!F143+'Données projet'!G143)*19.4+'Données projet'!H143*10</f>
        <v>10</v>
      </c>
      <c r="D129" s="197">
        <f t="shared" si="11"/>
        <v>210</v>
      </c>
      <c r="E129" s="210"/>
      <c r="F129" s="219"/>
      <c r="G129" s="227"/>
      <c r="H129" s="25"/>
      <c r="I129" s="5"/>
      <c r="J129" s="5"/>
      <c r="K129" s="5"/>
      <c r="L129" s="5"/>
      <c r="M129" s="5"/>
      <c r="N129" s="186"/>
      <c r="O129" s="5"/>
      <c r="P129" s="5"/>
      <c r="Q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</row>
    <row r="130" spans="1:68">
      <c r="A130" s="45">
        <f>'Données projet'!A144</f>
        <v>40</v>
      </c>
      <c r="B130" s="190">
        <f>'Données projet'!D144</f>
        <v>21</v>
      </c>
      <c r="C130" s="210">
        <f>'Données projet'!E144*50+('Données projet'!F144+'Données projet'!G144)*19.4+'Données projet'!H144*10</f>
        <v>18</v>
      </c>
      <c r="D130" s="197">
        <f t="shared" si="11"/>
        <v>378</v>
      </c>
      <c r="E130" s="210"/>
      <c r="F130" s="219"/>
      <c r="G130" s="227"/>
      <c r="H130" s="25"/>
      <c r="I130" s="5"/>
      <c r="J130" s="5"/>
      <c r="K130" s="5"/>
      <c r="L130" s="5"/>
      <c r="M130" s="5"/>
      <c r="N130" s="186"/>
      <c r="O130" s="5"/>
      <c r="P130" s="5"/>
      <c r="Q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</row>
    <row r="131" spans="1:68">
      <c r="A131" s="45">
        <f>'Données projet'!A145</f>
        <v>45</v>
      </c>
      <c r="B131" s="190">
        <f>'Données projet'!D145</f>
        <v>21</v>
      </c>
      <c r="C131" s="210">
        <f>'Données projet'!E145*50+('Données projet'!F145+'Données projet'!G145)*19.4+'Données projet'!H145*10</f>
        <v>18</v>
      </c>
      <c r="D131" s="197">
        <f t="shared" si="11"/>
        <v>378</v>
      </c>
      <c r="E131" s="210"/>
      <c r="F131" s="219"/>
      <c r="G131" s="227"/>
      <c r="H131" s="25"/>
      <c r="I131" s="5"/>
      <c r="J131" s="5"/>
      <c r="K131" s="5"/>
      <c r="L131" s="5"/>
      <c r="M131" s="5"/>
      <c r="N131" s="186"/>
      <c r="O131" s="5"/>
      <c r="P131" s="5"/>
      <c r="Q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</row>
    <row r="132" spans="1:68">
      <c r="A132" s="45">
        <f>'Données projet'!A146</f>
        <v>50</v>
      </c>
      <c r="B132" s="190">
        <f>'Données projet'!D146</f>
        <v>21</v>
      </c>
      <c r="C132" s="210">
        <f>'Données projet'!E146*50+('Données projet'!F146+'Données projet'!G146)*19.4+'Données projet'!H146*10</f>
        <v>22</v>
      </c>
      <c r="D132" s="197">
        <f t="shared" si="11"/>
        <v>462</v>
      </c>
      <c r="E132" s="210"/>
      <c r="F132" s="219"/>
      <c r="G132" s="227"/>
      <c r="H132" s="25"/>
      <c r="I132" s="5"/>
      <c r="J132" s="5"/>
      <c r="K132" s="5"/>
      <c r="L132" s="5"/>
      <c r="M132" s="5"/>
      <c r="N132" s="186"/>
      <c r="O132" s="5"/>
      <c r="P132" s="5"/>
      <c r="Q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</row>
    <row r="133" spans="1:68">
      <c r="A133" s="45">
        <f>'Données projet'!A147</f>
        <v>55</v>
      </c>
      <c r="B133" s="190">
        <f>'Données projet'!D147</f>
        <v>21</v>
      </c>
      <c r="C133" s="210">
        <f>'Données projet'!E147*50+('Données projet'!F147+'Données projet'!G147)*19.4+'Données projet'!H147*10</f>
        <v>22</v>
      </c>
      <c r="D133" s="197">
        <f t="shared" si="11"/>
        <v>462</v>
      </c>
      <c r="E133" s="210"/>
      <c r="F133" s="219"/>
      <c r="G133" s="227"/>
      <c r="H133" s="25"/>
      <c r="I133" s="5"/>
      <c r="J133" s="5"/>
      <c r="K133" s="5"/>
      <c r="L133" s="5"/>
      <c r="M133" s="5"/>
      <c r="N133" s="186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</row>
    <row r="134" spans="1:68">
      <c r="A134" s="45">
        <f>'Données projet'!A148</f>
        <v>60</v>
      </c>
      <c r="B134" s="190">
        <f>'Données projet'!D148</f>
        <v>21</v>
      </c>
      <c r="C134" s="210">
        <f>'Données projet'!E148*50+('Données projet'!F148+'Données projet'!G148)*19.4+'Données projet'!H148*10</f>
        <v>26</v>
      </c>
      <c r="D134" s="197">
        <f t="shared" si="11"/>
        <v>546</v>
      </c>
      <c r="E134" s="210"/>
      <c r="F134" s="219"/>
      <c r="G134" s="227"/>
      <c r="H134" s="25"/>
      <c r="I134" s="5"/>
      <c r="J134" s="5"/>
      <c r="K134" s="5"/>
      <c r="L134" s="5"/>
      <c r="M134" s="5"/>
      <c r="N134" s="186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</row>
    <row r="135" spans="1:68">
      <c r="A135" s="45">
        <f>'Données projet'!A149</f>
        <v>65</v>
      </c>
      <c r="B135" s="190">
        <f>'Données projet'!D149</f>
        <v>21</v>
      </c>
      <c r="C135" s="210">
        <f>'Données projet'!E149*50+('Données projet'!F149+'Données projet'!G149)*19.4+'Données projet'!H149*10</f>
        <v>26</v>
      </c>
      <c r="D135" s="197">
        <f t="shared" si="11"/>
        <v>546</v>
      </c>
      <c r="E135" s="210"/>
      <c r="F135" s="219"/>
      <c r="G135" s="227"/>
      <c r="H135" s="25"/>
      <c r="I135" s="5"/>
      <c r="J135" s="5"/>
      <c r="K135" s="5"/>
      <c r="L135" s="5"/>
      <c r="M135" s="5"/>
      <c r="N135" s="186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</row>
    <row r="136" spans="1:68">
      <c r="A136" s="45">
        <f>'Données projet'!A150</f>
        <v>70</v>
      </c>
      <c r="B136" s="190">
        <f>'Données projet'!D150</f>
        <v>21</v>
      </c>
      <c r="C136" s="210">
        <f>'Données projet'!E150*50+('Données projet'!F150+'Données projet'!G150)*19.4+'Données projet'!H150*10</f>
        <v>30</v>
      </c>
      <c r="D136" s="197">
        <f t="shared" si="11"/>
        <v>630</v>
      </c>
      <c r="E136" s="210"/>
      <c r="F136" s="219"/>
      <c r="G136" s="227"/>
      <c r="H136" s="25"/>
      <c r="I136" s="5"/>
      <c r="J136" s="5"/>
      <c r="K136" s="5"/>
      <c r="L136" s="5"/>
      <c r="M136" s="5"/>
      <c r="N136" s="186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</row>
    <row r="137" spans="1:68">
      <c r="A137" s="45">
        <f>'Données projet'!A151</f>
        <v>75</v>
      </c>
      <c r="B137" s="190">
        <f>'Données projet'!D151</f>
        <v>21</v>
      </c>
      <c r="C137" s="210">
        <f>'Données projet'!E151*50+('Données projet'!F151+'Données projet'!G151)*19.4+'Données projet'!H151*10</f>
        <v>30</v>
      </c>
      <c r="D137" s="197">
        <f t="shared" si="11"/>
        <v>630</v>
      </c>
      <c r="E137" s="210"/>
      <c r="F137" s="219"/>
      <c r="G137" s="227"/>
      <c r="H137" s="25"/>
      <c r="I137" s="5"/>
      <c r="J137" s="5"/>
      <c r="K137" s="5"/>
      <c r="L137" s="5"/>
      <c r="M137" s="5"/>
      <c r="N137" s="186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</row>
    <row r="138" spans="1:68">
      <c r="A138" s="45">
        <f>'Données projet'!A152</f>
        <v>80</v>
      </c>
      <c r="B138" s="190">
        <f>'Données projet'!D152</f>
        <v>21</v>
      </c>
      <c r="C138" s="210">
        <f>'Données projet'!E152*50+('Données projet'!F152+'Données projet'!G152)*19.4+'Données projet'!H152*10</f>
        <v>34</v>
      </c>
      <c r="D138" s="197">
        <f t="shared" si="11"/>
        <v>714</v>
      </c>
      <c r="E138" s="210"/>
      <c r="F138" s="219"/>
      <c r="G138" s="227"/>
      <c r="H138" s="25"/>
      <c r="I138" s="5"/>
      <c r="J138" s="5"/>
      <c r="K138" s="5"/>
      <c r="L138" s="5"/>
      <c r="M138" s="5"/>
      <c r="N138" s="186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</row>
    <row r="139" spans="1:68">
      <c r="A139" s="45">
        <f>'Données projet'!A153</f>
        <v>85</v>
      </c>
      <c r="B139" s="190">
        <f>'Données projet'!D153</f>
        <v>21</v>
      </c>
      <c r="C139" s="210">
        <f>'Données projet'!E153*50+('Données projet'!F153+'Données projet'!G153)*19.4+'Données projet'!H153*10</f>
        <v>34</v>
      </c>
      <c r="D139" s="197">
        <f t="shared" si="11"/>
        <v>714</v>
      </c>
      <c r="E139" s="210"/>
      <c r="F139" s="219"/>
      <c r="G139" s="227"/>
      <c r="H139" s="25"/>
      <c r="I139" s="5"/>
      <c r="J139" s="5"/>
      <c r="K139" s="5"/>
      <c r="L139" s="5"/>
      <c r="M139" s="5"/>
      <c r="N139" s="186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</row>
    <row r="140" spans="1:68">
      <c r="A140" s="45">
        <f>'Données projet'!A154</f>
        <v>90</v>
      </c>
      <c r="B140" s="190">
        <f>'Données projet'!D154</f>
        <v>21</v>
      </c>
      <c r="C140" s="210">
        <f>'Données projet'!E154*50+('Données projet'!F154+'Données projet'!G154)*19.4+'Données projet'!H154*10</f>
        <v>38</v>
      </c>
      <c r="D140" s="197">
        <f t="shared" si="11"/>
        <v>798</v>
      </c>
      <c r="E140" s="210"/>
      <c r="F140" s="219"/>
      <c r="G140" s="227"/>
      <c r="H140" s="25"/>
      <c r="I140" s="5"/>
      <c r="J140" s="5"/>
      <c r="K140" s="5"/>
      <c r="L140" s="5"/>
      <c r="M140" s="5"/>
      <c r="N140" s="186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</row>
    <row r="141" spans="1:68">
      <c r="A141" s="45">
        <f>'Données projet'!A155</f>
        <v>95</v>
      </c>
      <c r="B141" s="190">
        <f>'Données projet'!D155</f>
        <v>21</v>
      </c>
      <c r="C141" s="210">
        <f>'Données projet'!E155*50+('Données projet'!F155+'Données projet'!G155)*19.4+'Données projet'!H155*10</f>
        <v>38</v>
      </c>
      <c r="D141" s="197">
        <f t="shared" si="11"/>
        <v>798</v>
      </c>
      <c r="E141" s="210"/>
      <c r="F141" s="219"/>
      <c r="G141" s="227"/>
      <c r="H141" s="25"/>
      <c r="I141" s="5"/>
      <c r="J141" s="5"/>
      <c r="K141" s="5"/>
      <c r="L141" s="5"/>
      <c r="M141" s="5"/>
      <c r="N141" s="186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</row>
    <row r="142" spans="1:68">
      <c r="A142" s="45">
        <f>'Données projet'!A156</f>
        <v>100</v>
      </c>
      <c r="B142" s="190">
        <f>'Données projet'!D156</f>
        <v>282</v>
      </c>
      <c r="C142" s="210">
        <f>'Données projet'!E156*50+('Données projet'!F156+'Données projet'!G156)*19.4+'Données projet'!H156*10</f>
        <v>42</v>
      </c>
      <c r="D142" s="197">
        <f t="shared" si="11"/>
        <v>11844</v>
      </c>
      <c r="E142" s="210"/>
      <c r="F142" s="219"/>
      <c r="G142" s="227"/>
      <c r="H142" s="25"/>
      <c r="I142" s="5"/>
      <c r="J142" s="5"/>
      <c r="K142" s="5"/>
      <c r="L142" s="5"/>
      <c r="M142" s="5"/>
      <c r="N142" s="186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</row>
    <row r="143" spans="1:68">
      <c r="A143" s="45">
        <f>'Données projet'!A157</f>
        <v>0</v>
      </c>
      <c r="B143" s="190">
        <f>'Données projet'!D157</f>
        <v>0</v>
      </c>
      <c r="C143" s="208"/>
      <c r="D143" s="197">
        <f t="shared" si="11"/>
        <v>0</v>
      </c>
      <c r="E143" s="210"/>
      <c r="F143" s="219"/>
      <c r="G143" s="227"/>
      <c r="H143" s="25"/>
      <c r="I143" s="5"/>
      <c r="J143" s="5"/>
      <c r="K143" s="5"/>
      <c r="L143" s="5"/>
      <c r="M143" s="5"/>
      <c r="N143" s="186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</row>
    <row r="144" spans="1:68">
      <c r="A144" s="45">
        <f>'Données projet'!A158</f>
        <v>0</v>
      </c>
      <c r="B144" s="190">
        <f>'Données projet'!D158</f>
        <v>0</v>
      </c>
      <c r="C144" s="208"/>
      <c r="D144" s="197">
        <f t="shared" si="11"/>
        <v>0</v>
      </c>
      <c r="E144" s="210"/>
      <c r="F144" s="219"/>
      <c r="G144" s="227"/>
      <c r="H144" s="25"/>
      <c r="I144" s="5"/>
      <c r="J144" s="5"/>
      <c r="K144" s="5"/>
      <c r="L144" s="5"/>
      <c r="M144" s="5"/>
      <c r="N144" s="186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</row>
    <row r="145" spans="1:68">
      <c r="A145" s="45">
        <f>'Données projet'!A159</f>
        <v>0</v>
      </c>
      <c r="B145" s="190">
        <f>'Données projet'!D159</f>
        <v>0</v>
      </c>
      <c r="C145" s="208"/>
      <c r="D145" s="197">
        <f t="shared" si="11"/>
        <v>0</v>
      </c>
      <c r="E145" s="210"/>
      <c r="F145" s="219"/>
      <c r="G145" s="227"/>
      <c r="H145" s="25"/>
      <c r="I145" s="5"/>
      <c r="J145" s="5"/>
      <c r="K145" s="5"/>
      <c r="L145" s="5"/>
      <c r="M145" s="5"/>
      <c r="N145" s="186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</row>
    <row r="146" spans="1:68">
      <c r="A146" s="5"/>
      <c r="B146" s="5"/>
      <c r="C146" s="5"/>
      <c r="D146" s="5"/>
      <c r="E146" s="5"/>
      <c r="F146" s="218"/>
      <c r="G146" s="230"/>
      <c r="H146" s="25"/>
      <c r="I146" s="5"/>
      <c r="J146" s="5"/>
      <c r="K146" s="5"/>
      <c r="L146" s="5"/>
      <c r="M146" s="5"/>
      <c r="N146" s="186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</row>
    <row r="147" spans="1:68">
      <c r="A147" s="5"/>
      <c r="B147" s="5"/>
      <c r="C147" s="5"/>
      <c r="D147" s="5"/>
      <c r="E147" s="5"/>
      <c r="F147" s="218"/>
      <c r="G147" s="230"/>
      <c r="H147" s="25"/>
      <c r="I147" s="5"/>
      <c r="J147" s="5"/>
      <c r="K147" s="5"/>
      <c r="L147" s="5"/>
      <c r="M147" s="5"/>
      <c r="N147" s="186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</row>
    <row r="148" spans="1:68">
      <c r="A148" s="49" t="s">
        <v>170</v>
      </c>
      <c r="B148" s="189" t="str">
        <f>IF('Données projet'!B14="","",'Données projet'!B14)</f>
        <v>Alisier torminal</v>
      </c>
      <c r="C148" s="5"/>
      <c r="D148" s="5"/>
      <c r="E148" s="5"/>
      <c r="F148" s="218"/>
      <c r="G148" s="230"/>
      <c r="H148" s="25"/>
      <c r="I148" s="5"/>
      <c r="J148" s="5"/>
      <c r="K148" s="5"/>
      <c r="L148" s="5"/>
      <c r="M148" s="5"/>
      <c r="N148" s="186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</row>
    <row r="149" spans="1:68">
      <c r="A149" s="5"/>
      <c r="B149" s="5"/>
      <c r="C149" s="5"/>
      <c r="D149" s="5"/>
      <c r="E149" s="5"/>
      <c r="F149" s="218"/>
      <c r="G149" s="230"/>
      <c r="H149" s="25"/>
      <c r="I149" s="5"/>
      <c r="J149" s="5"/>
      <c r="K149" s="5"/>
      <c r="L149" s="5"/>
      <c r="M149" s="5"/>
      <c r="N149" s="186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</row>
    <row r="150" spans="1:68" ht="16">
      <c r="A150" s="188" t="s">
        <v>180</v>
      </c>
      <c r="B150" s="51" t="s">
        <v>256</v>
      </c>
      <c r="C150" s="51" t="s">
        <v>255</v>
      </c>
      <c r="D150" s="188" t="s">
        <v>252</v>
      </c>
      <c r="E150" s="188" t="s">
        <v>288</v>
      </c>
      <c r="F150" s="220"/>
      <c r="G150" s="231"/>
      <c r="H150" s="25"/>
      <c r="I150" s="5"/>
      <c r="J150" s="5"/>
      <c r="K150" s="5"/>
      <c r="L150" s="5"/>
      <c r="M150" s="5"/>
      <c r="N150" s="186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</row>
    <row r="151" spans="1:68" ht="16">
      <c r="A151" s="214">
        <v>0</v>
      </c>
      <c r="B151" s="217" t="s">
        <v>132</v>
      </c>
      <c r="C151" s="216" t="s">
        <v>132</v>
      </c>
      <c r="D151" s="215" t="s">
        <v>132</v>
      </c>
      <c r="E151" s="210">
        <v>3304.72</v>
      </c>
      <c r="F151" s="220"/>
      <c r="G151" s="231"/>
      <c r="H151" s="25"/>
      <c r="I151" s="5"/>
      <c r="J151" s="5"/>
      <c r="K151" s="5"/>
      <c r="L151" s="5"/>
      <c r="M151" s="5"/>
      <c r="N151" s="186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</row>
    <row r="152" spans="1:68">
      <c r="A152" s="195">
        <f>'Données projet'!A166</f>
        <v>25</v>
      </c>
      <c r="B152" s="196">
        <f>'Données projet'!D166</f>
        <v>0</v>
      </c>
      <c r="C152" s="210">
        <f>'Données projet'!E166*300+('Données projet'!F166+'Données projet'!G166)*19.4+'Données projet'!H166*10</f>
        <v>10</v>
      </c>
      <c r="D152" s="194">
        <f>B152*C152</f>
        <v>0</v>
      </c>
      <c r="E152" s="210"/>
      <c r="F152" s="221"/>
      <c r="G152" s="232"/>
      <c r="H152" s="25"/>
      <c r="I152" s="5"/>
      <c r="J152" s="5"/>
      <c r="K152" s="5"/>
      <c r="L152" s="5"/>
      <c r="M152" s="5"/>
      <c r="N152" s="186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</row>
    <row r="153" spans="1:68">
      <c r="A153" s="195">
        <f>'Données projet'!A167</f>
        <v>30</v>
      </c>
      <c r="B153" s="196">
        <f>'Données projet'!D167</f>
        <v>0</v>
      </c>
      <c r="C153" s="210">
        <f>'Données projet'!E167*300+('Données projet'!F167+'Données projet'!G167)*19.4+'Données projet'!H167*10</f>
        <v>10</v>
      </c>
      <c r="D153" s="194">
        <f t="shared" ref="D153:D171" si="12">B153*C153</f>
        <v>0</v>
      </c>
      <c r="E153" s="210"/>
      <c r="F153" s="221"/>
      <c r="G153" s="232"/>
      <c r="H153" s="25"/>
      <c r="I153" s="5"/>
      <c r="J153" s="5"/>
      <c r="K153" s="5"/>
      <c r="L153" s="5"/>
      <c r="M153" s="5"/>
      <c r="N153" s="186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</row>
    <row r="154" spans="1:68">
      <c r="A154" s="195">
        <f>'Données projet'!A168</f>
        <v>35</v>
      </c>
      <c r="B154" s="196">
        <f>'Données projet'!D168</f>
        <v>13</v>
      </c>
      <c r="C154" s="210">
        <f>'Données projet'!E168*300+('Données projet'!F168+'Données projet'!G168)*19.4+'Données projet'!H168*10</f>
        <v>10</v>
      </c>
      <c r="D154" s="194">
        <f t="shared" si="12"/>
        <v>130</v>
      </c>
      <c r="E154" s="210"/>
      <c r="F154" s="221"/>
      <c r="G154" s="232"/>
      <c r="H154" s="25"/>
      <c r="I154" s="5"/>
      <c r="J154" s="5"/>
      <c r="K154" s="5"/>
      <c r="L154" s="5"/>
      <c r="M154" s="5"/>
      <c r="N154" s="186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</row>
    <row r="155" spans="1:68">
      <c r="A155" s="195">
        <f>'Données projet'!A169</f>
        <v>40</v>
      </c>
      <c r="B155" s="196">
        <f>'Données projet'!D169</f>
        <v>14</v>
      </c>
      <c r="C155" s="210">
        <f>'Données projet'!E169*300+('Données projet'!F169+'Données projet'!G169)*19.4+'Données projet'!H169*10</f>
        <v>68</v>
      </c>
      <c r="D155" s="194">
        <f t="shared" si="12"/>
        <v>952</v>
      </c>
      <c r="E155" s="210"/>
      <c r="F155" s="221"/>
      <c r="G155" s="232"/>
      <c r="H155" s="25"/>
      <c r="I155" s="5"/>
      <c r="J155" s="5"/>
      <c r="K155" s="5"/>
      <c r="L155" s="5"/>
      <c r="M155" s="5"/>
      <c r="N155" s="186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</row>
    <row r="156" spans="1:68">
      <c r="A156" s="195">
        <f>'Données projet'!A170</f>
        <v>45</v>
      </c>
      <c r="B156" s="196">
        <f>'Données projet'!D170</f>
        <v>14</v>
      </c>
      <c r="C156" s="210">
        <f>'Données projet'!E170*300+('Données projet'!F170+'Données projet'!G170)*19.4+'Données projet'!H170*10</f>
        <v>68</v>
      </c>
      <c r="D156" s="194">
        <f t="shared" si="12"/>
        <v>952</v>
      </c>
      <c r="E156" s="210"/>
      <c r="F156" s="221"/>
      <c r="G156" s="232"/>
      <c r="H156" s="25"/>
      <c r="I156" s="5"/>
      <c r="J156" s="5"/>
      <c r="K156" s="5"/>
      <c r="L156" s="5"/>
      <c r="M156" s="5"/>
      <c r="N156" s="186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</row>
    <row r="157" spans="1:68">
      <c r="A157" s="195">
        <f>'Données projet'!A171</f>
        <v>50</v>
      </c>
      <c r="B157" s="196">
        <f>'Données projet'!D171</f>
        <v>14</v>
      </c>
      <c r="C157" s="210">
        <f>'Données projet'!E171*300+('Données projet'!F171+'Données projet'!G171)*19.4+'Données projet'!H171*10</f>
        <v>97</v>
      </c>
      <c r="D157" s="194">
        <f t="shared" si="12"/>
        <v>1358</v>
      </c>
      <c r="E157" s="210"/>
      <c r="F157" s="221"/>
      <c r="G157" s="232"/>
      <c r="H157" s="25"/>
      <c r="I157" s="5"/>
      <c r="J157" s="5"/>
      <c r="K157" s="5"/>
      <c r="L157" s="5"/>
      <c r="M157" s="5"/>
      <c r="N157" s="186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</row>
    <row r="158" spans="1:68">
      <c r="A158" s="195">
        <f>'Données projet'!A172</f>
        <v>55</v>
      </c>
      <c r="B158" s="196">
        <f>'Données projet'!D172</f>
        <v>14</v>
      </c>
      <c r="C158" s="210">
        <f>'Données projet'!E172*300+('Données projet'!F172+'Données projet'!G172)*19.4+'Données projet'!H172*10</f>
        <v>97</v>
      </c>
      <c r="D158" s="194">
        <f t="shared" si="12"/>
        <v>1358</v>
      </c>
      <c r="E158" s="210"/>
      <c r="F158" s="221"/>
      <c r="G158" s="232"/>
      <c r="H158" s="25"/>
      <c r="I158" s="5"/>
      <c r="J158" s="5"/>
      <c r="K158" s="5"/>
      <c r="L158" s="5"/>
      <c r="M158" s="5"/>
      <c r="N158" s="186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</row>
    <row r="159" spans="1:68">
      <c r="A159" s="195">
        <f>'Données projet'!A173</f>
        <v>60</v>
      </c>
      <c r="B159" s="196">
        <f>'Données projet'!D173</f>
        <v>14</v>
      </c>
      <c r="C159" s="210">
        <f>'Données projet'!E173*300+('Données projet'!F173+'Données projet'!G173)*19.4+'Données projet'!H173*10</f>
        <v>126</v>
      </c>
      <c r="D159" s="194">
        <f t="shared" si="12"/>
        <v>1764</v>
      </c>
      <c r="E159" s="210"/>
      <c r="F159" s="221"/>
      <c r="G159" s="232"/>
      <c r="H159" s="25"/>
      <c r="I159" s="5"/>
      <c r="J159" s="5"/>
      <c r="K159" s="5"/>
      <c r="L159" s="5"/>
      <c r="M159" s="5"/>
      <c r="N159" s="186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</row>
    <row r="160" spans="1:68">
      <c r="A160" s="195">
        <f>'Données projet'!A174</f>
        <v>65</v>
      </c>
      <c r="B160" s="196">
        <f>'Données projet'!D174</f>
        <v>14</v>
      </c>
      <c r="C160" s="210">
        <f>'Données projet'!E174*300+('Données projet'!F174+'Données projet'!G174)*19.4+'Données projet'!H174*10</f>
        <v>126</v>
      </c>
      <c r="D160" s="194">
        <f t="shared" si="12"/>
        <v>1764</v>
      </c>
      <c r="E160" s="210"/>
      <c r="F160" s="221"/>
      <c r="G160" s="232"/>
      <c r="H160" s="25"/>
      <c r="I160" s="5"/>
      <c r="J160" s="5"/>
      <c r="K160" s="5"/>
      <c r="L160" s="5"/>
      <c r="M160" s="5"/>
      <c r="N160" s="186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</row>
    <row r="161" spans="1:68">
      <c r="A161" s="195">
        <f>'Données projet'!A175</f>
        <v>70</v>
      </c>
      <c r="B161" s="196">
        <f>'Données projet'!D175</f>
        <v>14</v>
      </c>
      <c r="C161" s="210">
        <f>'Données projet'!E175*300+('Données projet'!F175+'Données projet'!G175)*19.4+'Données projet'!H175*10</f>
        <v>155</v>
      </c>
      <c r="D161" s="194">
        <f t="shared" si="12"/>
        <v>2170</v>
      </c>
      <c r="E161" s="210"/>
      <c r="F161" s="221"/>
      <c r="G161" s="232"/>
      <c r="H161" s="25"/>
      <c r="I161" s="5"/>
      <c r="J161" s="5"/>
      <c r="K161" s="5"/>
      <c r="L161" s="5"/>
      <c r="M161" s="5"/>
      <c r="N161" s="186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</row>
    <row r="162" spans="1:68">
      <c r="A162" s="195">
        <f>'Données projet'!A176</f>
        <v>75</v>
      </c>
      <c r="B162" s="196">
        <f>'Données projet'!D176</f>
        <v>14</v>
      </c>
      <c r="C162" s="210">
        <f>'Données projet'!E176*300+('Données projet'!F176+'Données projet'!G176)*19.4+'Données projet'!H176*10</f>
        <v>155</v>
      </c>
      <c r="D162" s="194">
        <f t="shared" si="12"/>
        <v>2170</v>
      </c>
      <c r="E162" s="210"/>
      <c r="F162" s="221"/>
      <c r="G162" s="232"/>
      <c r="H162" s="25"/>
      <c r="I162" s="5"/>
      <c r="J162" s="5"/>
      <c r="K162" s="5"/>
      <c r="L162" s="5"/>
      <c r="M162" s="5"/>
      <c r="N162" s="186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</row>
    <row r="163" spans="1:68">
      <c r="A163" s="195">
        <f>'Données projet'!A177</f>
        <v>80</v>
      </c>
      <c r="B163" s="196">
        <f>'Données projet'!D177</f>
        <v>14</v>
      </c>
      <c r="C163" s="210">
        <f>'Données projet'!E177*300+('Données projet'!F177+'Données projet'!G177)*19.4+'Données projet'!H177*10</f>
        <v>184</v>
      </c>
      <c r="D163" s="194">
        <f t="shared" si="12"/>
        <v>2576</v>
      </c>
      <c r="E163" s="210"/>
      <c r="F163" s="221"/>
      <c r="G163" s="232"/>
      <c r="H163" s="25"/>
      <c r="I163" s="5"/>
      <c r="J163" s="5"/>
      <c r="K163" s="5"/>
      <c r="L163" s="5"/>
      <c r="M163" s="5"/>
      <c r="N163" s="186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</row>
    <row r="164" spans="1:68">
      <c r="A164" s="195">
        <f>'Données projet'!A178</f>
        <v>85</v>
      </c>
      <c r="B164" s="196">
        <f>'Données projet'!D178</f>
        <v>14</v>
      </c>
      <c r="C164" s="210">
        <f>'Données projet'!E178*300+('Données projet'!F178+'Données projet'!G178)*19.4+'Données projet'!H178*10</f>
        <v>184</v>
      </c>
      <c r="D164" s="194">
        <f t="shared" si="12"/>
        <v>2576</v>
      </c>
      <c r="E164" s="210"/>
      <c r="F164" s="221"/>
      <c r="G164" s="232"/>
      <c r="H164" s="25"/>
      <c r="I164" s="5"/>
      <c r="J164" s="5"/>
      <c r="K164" s="5"/>
      <c r="L164" s="5"/>
      <c r="M164" s="5"/>
      <c r="N164" s="186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</row>
    <row r="165" spans="1:68">
      <c r="A165" s="195">
        <f>'Données projet'!A179</f>
        <v>90</v>
      </c>
      <c r="B165" s="196">
        <f>'Données projet'!D179</f>
        <v>14</v>
      </c>
      <c r="C165" s="210">
        <f>'Données projet'!E179*300+('Données projet'!F179+'Données projet'!G179)*19.4+'Données projet'!H179*10</f>
        <v>213</v>
      </c>
      <c r="D165" s="194">
        <f t="shared" si="12"/>
        <v>2982</v>
      </c>
      <c r="E165" s="210"/>
      <c r="F165" s="221"/>
      <c r="G165" s="232"/>
      <c r="H165" s="25"/>
      <c r="I165" s="5"/>
      <c r="J165" s="5"/>
      <c r="K165" s="5"/>
      <c r="L165" s="5"/>
      <c r="M165" s="5"/>
      <c r="N165" s="186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</row>
    <row r="166" spans="1:68">
      <c r="A166" s="195">
        <f>'Données projet'!A180</f>
        <v>95</v>
      </c>
      <c r="B166" s="196">
        <f>'Données projet'!D180</f>
        <v>14</v>
      </c>
      <c r="C166" s="210">
        <f>'Données projet'!E180*300+('Données projet'!F180+'Données projet'!G180)*19.4+'Données projet'!H180*10</f>
        <v>213</v>
      </c>
      <c r="D166" s="194">
        <f t="shared" si="12"/>
        <v>2982</v>
      </c>
      <c r="E166" s="210"/>
      <c r="F166" s="221"/>
      <c r="G166" s="232"/>
      <c r="H166" s="25"/>
      <c r="I166" s="5"/>
      <c r="J166" s="5"/>
      <c r="K166" s="5"/>
      <c r="L166" s="5"/>
      <c r="M166" s="5"/>
      <c r="N166" s="186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</row>
    <row r="167" spans="1:68">
      <c r="A167" s="195">
        <f>'Données projet'!A181</f>
        <v>100</v>
      </c>
      <c r="B167" s="196">
        <f>'Données projet'!D181</f>
        <v>218</v>
      </c>
      <c r="C167" s="210">
        <f>'Données projet'!E181*300+('Données projet'!F181+'Données projet'!G181)*19.4+'Données projet'!H181*10</f>
        <v>242</v>
      </c>
      <c r="D167" s="194">
        <f t="shared" si="12"/>
        <v>52756</v>
      </c>
      <c r="E167" s="210"/>
      <c r="F167" s="221"/>
      <c r="G167" s="232"/>
      <c r="H167" s="25"/>
      <c r="I167" s="5"/>
      <c r="J167" s="5"/>
      <c r="K167" s="5"/>
      <c r="L167" s="5"/>
      <c r="M167" s="5"/>
      <c r="N167" s="186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</row>
    <row r="168" spans="1:68">
      <c r="A168" s="195">
        <f>'Données projet'!A182</f>
        <v>0</v>
      </c>
      <c r="B168" s="196">
        <f>'Données projet'!D182</f>
        <v>0</v>
      </c>
      <c r="C168" s="210"/>
      <c r="D168" s="194">
        <f t="shared" si="12"/>
        <v>0</v>
      </c>
      <c r="E168" s="210"/>
      <c r="F168" s="221"/>
      <c r="G168" s="232"/>
      <c r="H168" s="25"/>
      <c r="I168" s="5"/>
      <c r="J168" s="5"/>
      <c r="K168" s="5"/>
      <c r="L168" s="5"/>
      <c r="M168" s="5"/>
      <c r="N168" s="186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</row>
    <row r="169" spans="1:68">
      <c r="A169" s="195">
        <f>'Données projet'!A183</f>
        <v>0</v>
      </c>
      <c r="B169" s="196">
        <f>'Données projet'!D183</f>
        <v>0</v>
      </c>
      <c r="C169" s="210"/>
      <c r="D169" s="194">
        <f t="shared" si="12"/>
        <v>0</v>
      </c>
      <c r="E169" s="210"/>
      <c r="F169" s="221"/>
      <c r="G169" s="232"/>
      <c r="H169" s="25"/>
      <c r="I169" s="5"/>
      <c r="J169" s="5"/>
      <c r="K169" s="5"/>
      <c r="L169" s="5"/>
      <c r="M169" s="5"/>
      <c r="N169" s="186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</row>
    <row r="170" spans="1:68">
      <c r="A170" s="195">
        <f>'Données projet'!A184</f>
        <v>0</v>
      </c>
      <c r="B170" s="196">
        <f>'Données projet'!D184</f>
        <v>0</v>
      </c>
      <c r="C170" s="210"/>
      <c r="D170" s="194">
        <f t="shared" si="12"/>
        <v>0</v>
      </c>
      <c r="E170" s="210"/>
      <c r="F170" s="221"/>
      <c r="G170" s="232"/>
      <c r="H170" s="25"/>
      <c r="I170" s="5"/>
      <c r="J170" s="5"/>
      <c r="K170" s="5"/>
      <c r="L170" s="5"/>
      <c r="M170" s="5"/>
      <c r="N170" s="186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</row>
    <row r="171" spans="1:68">
      <c r="A171" s="195">
        <f>'Données projet'!A185</f>
        <v>0</v>
      </c>
      <c r="B171" s="196">
        <f>'Données projet'!D185</f>
        <v>0</v>
      </c>
      <c r="C171" s="210"/>
      <c r="D171" s="194">
        <f t="shared" si="12"/>
        <v>0</v>
      </c>
      <c r="E171" s="210"/>
      <c r="F171" s="221"/>
      <c r="G171" s="232"/>
      <c r="H171" s="25"/>
      <c r="I171" s="5"/>
      <c r="J171" s="5"/>
      <c r="K171" s="5"/>
      <c r="L171" s="5"/>
      <c r="M171" s="5"/>
      <c r="N171" s="186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</row>
    <row r="172" spans="1:68">
      <c r="A172" s="5"/>
      <c r="B172" s="5"/>
      <c r="C172" s="5"/>
      <c r="D172" s="5"/>
      <c r="E172" s="5"/>
      <c r="F172" s="218"/>
      <c r="G172" s="230"/>
      <c r="H172" s="25"/>
      <c r="I172" s="5"/>
      <c r="J172" s="5"/>
      <c r="K172" s="5"/>
      <c r="L172" s="5"/>
      <c r="M172" s="5"/>
      <c r="N172" s="186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</row>
    <row r="173" spans="1:68">
      <c r="A173" s="5"/>
      <c r="B173" s="5"/>
      <c r="C173" s="5"/>
      <c r="D173" s="5"/>
      <c r="E173" s="5"/>
      <c r="F173" s="218"/>
      <c r="G173" s="230"/>
      <c r="H173" s="25"/>
      <c r="I173" s="5"/>
      <c r="J173" s="5"/>
      <c r="K173" s="5"/>
      <c r="L173" s="5"/>
      <c r="M173" s="5"/>
      <c r="N173" s="186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</row>
    <row r="174" spans="1:68">
      <c r="A174" s="49" t="s">
        <v>171</v>
      </c>
      <c r="B174" s="189" t="str">
        <f>IF('Données projet'!$B$15="","",'Données projet'!$B$15)</f>
        <v/>
      </c>
      <c r="C174" s="5"/>
      <c r="D174" s="5"/>
      <c r="E174" s="5"/>
      <c r="F174" s="218"/>
      <c r="G174" s="230"/>
      <c r="H174" s="25"/>
      <c r="I174" s="5"/>
      <c r="J174" s="5"/>
      <c r="K174" s="5"/>
      <c r="L174" s="5"/>
      <c r="M174" s="5"/>
      <c r="N174" s="186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</row>
    <row r="175" spans="1:68">
      <c r="A175" s="49"/>
      <c r="B175" s="5"/>
      <c r="C175" s="5"/>
      <c r="D175" s="5"/>
      <c r="E175" s="5"/>
      <c r="F175" s="218"/>
      <c r="G175" s="230"/>
      <c r="H175" s="25"/>
      <c r="I175" s="5"/>
      <c r="J175" s="5"/>
      <c r="K175" s="5"/>
      <c r="L175" s="5"/>
      <c r="M175" s="5"/>
      <c r="N175" s="186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</row>
    <row r="176" spans="1:68" ht="16">
      <c r="A176" s="188" t="s">
        <v>180</v>
      </c>
      <c r="B176" s="51" t="s">
        <v>256</v>
      </c>
      <c r="C176" s="51" t="s">
        <v>255</v>
      </c>
      <c r="D176" s="188" t="s">
        <v>252</v>
      </c>
      <c r="E176" s="188" t="s">
        <v>288</v>
      </c>
      <c r="F176" s="220"/>
      <c r="G176" s="231"/>
      <c r="H176" s="25"/>
      <c r="I176" s="5"/>
      <c r="J176" s="5"/>
      <c r="K176" s="5"/>
      <c r="L176" s="5"/>
      <c r="M176" s="5"/>
      <c r="N176" s="186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</row>
    <row r="177" spans="1:68" ht="16">
      <c r="A177" s="214">
        <v>0</v>
      </c>
      <c r="B177" s="217" t="s">
        <v>132</v>
      </c>
      <c r="C177" s="216" t="s">
        <v>132</v>
      </c>
      <c r="D177" s="215" t="s">
        <v>132</v>
      </c>
      <c r="E177" s="210"/>
      <c r="F177" s="220"/>
      <c r="G177" s="231"/>
      <c r="H177" s="25"/>
      <c r="I177" s="5"/>
      <c r="J177" s="5"/>
      <c r="K177" s="5"/>
      <c r="L177" s="5"/>
      <c r="M177" s="5"/>
      <c r="N177" s="186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</row>
    <row r="178" spans="1:68">
      <c r="A178" s="195">
        <f>'Données projet'!A192</f>
        <v>0</v>
      </c>
      <c r="B178" s="196">
        <f>'Données projet'!D192</f>
        <v>0</v>
      </c>
      <c r="C178" s="210"/>
      <c r="D178" s="194">
        <f>B178*C178</f>
        <v>0</v>
      </c>
      <c r="E178" s="210"/>
      <c r="F178" s="221"/>
      <c r="G178" s="232"/>
      <c r="H178" s="25"/>
      <c r="I178" s="5"/>
      <c r="J178" s="5"/>
      <c r="K178" s="5"/>
      <c r="L178" s="5"/>
      <c r="M178" s="5"/>
      <c r="N178" s="186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</row>
    <row r="179" spans="1:68">
      <c r="A179" s="195">
        <f>'Données projet'!A193</f>
        <v>0</v>
      </c>
      <c r="B179" s="196">
        <f>'Données projet'!D193</f>
        <v>0</v>
      </c>
      <c r="C179" s="210"/>
      <c r="D179" s="194">
        <f t="shared" ref="D179:D197" si="13">B179*C179</f>
        <v>0</v>
      </c>
      <c r="E179" s="210"/>
      <c r="F179" s="221"/>
      <c r="G179" s="232"/>
      <c r="H179" s="25"/>
      <c r="I179" s="5"/>
      <c r="J179" s="5"/>
      <c r="K179" s="5"/>
      <c r="L179" s="5"/>
      <c r="M179" s="5"/>
      <c r="N179" s="186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</row>
    <row r="180" spans="1:68">
      <c r="A180" s="195">
        <f>'Données projet'!A194</f>
        <v>0</v>
      </c>
      <c r="B180" s="196">
        <f>'Données projet'!D194</f>
        <v>0</v>
      </c>
      <c r="C180" s="210"/>
      <c r="D180" s="194">
        <f t="shared" si="13"/>
        <v>0</v>
      </c>
      <c r="E180" s="210"/>
      <c r="F180" s="221"/>
      <c r="G180" s="232"/>
      <c r="H180" s="25"/>
      <c r="I180" s="5"/>
      <c r="J180" s="5"/>
      <c r="K180" s="5"/>
      <c r="L180" s="5"/>
      <c r="M180" s="5"/>
      <c r="N180" s="186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</row>
    <row r="181" spans="1:68">
      <c r="A181" s="195">
        <f>'Données projet'!A195</f>
        <v>0</v>
      </c>
      <c r="B181" s="196">
        <f>'Données projet'!D195</f>
        <v>0</v>
      </c>
      <c r="C181" s="210"/>
      <c r="D181" s="194">
        <f t="shared" si="13"/>
        <v>0</v>
      </c>
      <c r="E181" s="210"/>
      <c r="F181" s="221"/>
      <c r="G181" s="232"/>
      <c r="H181" s="25"/>
      <c r="I181" s="5"/>
      <c r="J181" s="5"/>
      <c r="K181" s="5"/>
      <c r="L181" s="5"/>
      <c r="M181" s="5"/>
      <c r="N181" s="186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</row>
    <row r="182" spans="1:68">
      <c r="A182" s="195">
        <f>'Données projet'!A196</f>
        <v>0</v>
      </c>
      <c r="B182" s="196">
        <f>'Données projet'!D196</f>
        <v>0</v>
      </c>
      <c r="C182" s="210"/>
      <c r="D182" s="194">
        <f t="shared" si="13"/>
        <v>0</v>
      </c>
      <c r="E182" s="210"/>
      <c r="F182" s="221"/>
      <c r="G182" s="232"/>
      <c r="H182" s="25"/>
      <c r="I182" s="5"/>
      <c r="J182" s="5"/>
      <c r="K182" s="5"/>
      <c r="L182" s="5"/>
      <c r="M182" s="5"/>
      <c r="N182" s="186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</row>
    <row r="183" spans="1:68">
      <c r="A183" s="195">
        <f>'Données projet'!A197</f>
        <v>0</v>
      </c>
      <c r="B183" s="196">
        <f>'Données projet'!D197</f>
        <v>0</v>
      </c>
      <c r="C183" s="210"/>
      <c r="D183" s="194">
        <f t="shared" si="13"/>
        <v>0</v>
      </c>
      <c r="E183" s="210"/>
      <c r="F183" s="221"/>
      <c r="G183" s="232"/>
      <c r="H183" s="25"/>
      <c r="I183" s="5"/>
      <c r="J183" s="5"/>
      <c r="K183" s="5"/>
      <c r="L183" s="5"/>
      <c r="M183" s="5"/>
      <c r="N183" s="186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</row>
    <row r="184" spans="1:68">
      <c r="A184" s="195">
        <f>'Données projet'!A198</f>
        <v>0</v>
      </c>
      <c r="B184" s="196">
        <f>'Données projet'!D198</f>
        <v>0</v>
      </c>
      <c r="C184" s="210"/>
      <c r="D184" s="194">
        <f t="shared" si="13"/>
        <v>0</v>
      </c>
      <c r="E184" s="210"/>
      <c r="F184" s="221"/>
      <c r="G184" s="232"/>
      <c r="H184" s="25"/>
      <c r="I184" s="5"/>
      <c r="J184" s="5"/>
      <c r="K184" s="5"/>
      <c r="L184" s="5"/>
      <c r="M184" s="5"/>
      <c r="N184" s="186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</row>
    <row r="185" spans="1:68">
      <c r="A185" s="195">
        <f>'Données projet'!A199</f>
        <v>0</v>
      </c>
      <c r="B185" s="196">
        <f>'Données projet'!D199</f>
        <v>0</v>
      </c>
      <c r="C185" s="210"/>
      <c r="D185" s="194">
        <f t="shared" si="13"/>
        <v>0</v>
      </c>
      <c r="E185" s="210"/>
      <c r="F185" s="221"/>
      <c r="G185" s="232"/>
      <c r="H185" s="25"/>
      <c r="I185" s="5"/>
      <c r="J185" s="5"/>
      <c r="K185" s="5"/>
      <c r="L185" s="5"/>
      <c r="M185" s="5"/>
      <c r="N185" s="186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</row>
    <row r="186" spans="1:68">
      <c r="A186" s="195">
        <f>'Données projet'!A200</f>
        <v>0</v>
      </c>
      <c r="B186" s="196">
        <f>'Données projet'!D200</f>
        <v>0</v>
      </c>
      <c r="C186" s="210"/>
      <c r="D186" s="194">
        <f t="shared" si="13"/>
        <v>0</v>
      </c>
      <c r="E186" s="210"/>
      <c r="F186" s="221"/>
      <c r="G186" s="232"/>
      <c r="H186" s="25"/>
      <c r="I186" s="5"/>
      <c r="J186" s="5"/>
      <c r="K186" s="5"/>
      <c r="L186" s="5"/>
      <c r="M186" s="5"/>
      <c r="N186" s="186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</row>
    <row r="187" spans="1:68">
      <c r="A187" s="195">
        <f>'Données projet'!A201</f>
        <v>0</v>
      </c>
      <c r="B187" s="196">
        <f>'Données projet'!D201</f>
        <v>0</v>
      </c>
      <c r="C187" s="210"/>
      <c r="D187" s="194">
        <f t="shared" si="13"/>
        <v>0</v>
      </c>
      <c r="E187" s="210"/>
      <c r="F187" s="221"/>
      <c r="G187" s="232"/>
      <c r="H187" s="25"/>
      <c r="I187" s="5"/>
      <c r="J187" s="5"/>
      <c r="K187" s="5"/>
      <c r="L187" s="5"/>
      <c r="M187" s="5"/>
      <c r="N187" s="186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</row>
    <row r="188" spans="1:68">
      <c r="A188" s="195">
        <f>'Données projet'!A202</f>
        <v>0</v>
      </c>
      <c r="B188" s="196">
        <f>'Données projet'!D202</f>
        <v>0</v>
      </c>
      <c r="C188" s="210"/>
      <c r="D188" s="194">
        <f t="shared" si="13"/>
        <v>0</v>
      </c>
      <c r="E188" s="210"/>
      <c r="F188" s="221"/>
      <c r="G188" s="232"/>
      <c r="H188" s="25"/>
      <c r="I188" s="5"/>
      <c r="J188" s="5"/>
      <c r="K188" s="5"/>
      <c r="L188" s="5"/>
      <c r="M188" s="5"/>
      <c r="N188" s="186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</row>
    <row r="189" spans="1:68">
      <c r="A189" s="195">
        <f>'Données projet'!A203</f>
        <v>0</v>
      </c>
      <c r="B189" s="196">
        <f>'Données projet'!D203</f>
        <v>0</v>
      </c>
      <c r="C189" s="210"/>
      <c r="D189" s="194">
        <f t="shared" si="13"/>
        <v>0</v>
      </c>
      <c r="E189" s="210"/>
      <c r="F189" s="221"/>
      <c r="G189" s="232"/>
      <c r="H189" s="25"/>
      <c r="I189" s="5"/>
      <c r="J189" s="5"/>
      <c r="K189" s="5"/>
      <c r="L189" s="5"/>
      <c r="M189" s="5"/>
      <c r="N189" s="186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</row>
    <row r="190" spans="1:68">
      <c r="A190" s="195">
        <f>'Données projet'!A204</f>
        <v>0</v>
      </c>
      <c r="B190" s="196">
        <f>'Données projet'!D204</f>
        <v>0</v>
      </c>
      <c r="C190" s="210"/>
      <c r="D190" s="194">
        <f t="shared" si="13"/>
        <v>0</v>
      </c>
      <c r="E190" s="210"/>
      <c r="F190" s="221"/>
      <c r="G190" s="232"/>
      <c r="H190" s="25"/>
      <c r="I190" s="5"/>
      <c r="J190" s="5"/>
      <c r="K190" s="5"/>
      <c r="L190" s="5"/>
      <c r="M190" s="5"/>
      <c r="N190" s="186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</row>
    <row r="191" spans="1:68">
      <c r="A191" s="195">
        <f>'Données projet'!A205</f>
        <v>0</v>
      </c>
      <c r="B191" s="196">
        <f>'Données projet'!D205</f>
        <v>0</v>
      </c>
      <c r="C191" s="210"/>
      <c r="D191" s="194">
        <f t="shared" si="13"/>
        <v>0</v>
      </c>
      <c r="E191" s="210"/>
      <c r="F191" s="221"/>
      <c r="G191" s="232"/>
      <c r="H191" s="25"/>
      <c r="I191" s="5"/>
      <c r="J191" s="5"/>
      <c r="K191" s="5"/>
      <c r="L191" s="5"/>
      <c r="M191" s="5"/>
      <c r="N191" s="186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</row>
    <row r="192" spans="1:68">
      <c r="A192" s="195">
        <f>'Données projet'!A206</f>
        <v>0</v>
      </c>
      <c r="B192" s="196">
        <f>'Données projet'!D206</f>
        <v>0</v>
      </c>
      <c r="C192" s="210"/>
      <c r="D192" s="194">
        <f t="shared" si="13"/>
        <v>0</v>
      </c>
      <c r="E192" s="210"/>
      <c r="F192" s="221"/>
      <c r="G192" s="232"/>
      <c r="H192" s="25"/>
      <c r="I192" s="5"/>
      <c r="J192" s="5"/>
      <c r="K192" s="5"/>
      <c r="L192" s="5"/>
      <c r="M192" s="5"/>
      <c r="N192" s="186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</row>
    <row r="193" spans="1:68">
      <c r="A193" s="195">
        <f>'Données projet'!A207</f>
        <v>0</v>
      </c>
      <c r="B193" s="196">
        <f>'Données projet'!D207</f>
        <v>0</v>
      </c>
      <c r="C193" s="210"/>
      <c r="D193" s="194">
        <f t="shared" si="13"/>
        <v>0</v>
      </c>
      <c r="E193" s="210"/>
      <c r="F193" s="221"/>
      <c r="G193" s="232"/>
      <c r="H193" s="25"/>
      <c r="I193" s="5"/>
      <c r="J193" s="5"/>
      <c r="K193" s="5"/>
      <c r="L193" s="5"/>
      <c r="M193" s="5"/>
      <c r="N193" s="186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</row>
    <row r="194" spans="1:68">
      <c r="A194" s="195">
        <f>'Données projet'!A208</f>
        <v>0</v>
      </c>
      <c r="B194" s="196">
        <f>'Données projet'!D208</f>
        <v>0</v>
      </c>
      <c r="C194" s="210"/>
      <c r="D194" s="194">
        <f t="shared" si="13"/>
        <v>0</v>
      </c>
      <c r="E194" s="210"/>
      <c r="F194" s="221"/>
      <c r="G194" s="232"/>
      <c r="H194" s="25"/>
      <c r="I194" s="5"/>
      <c r="J194" s="5"/>
      <c r="K194" s="5"/>
      <c r="L194" s="5"/>
      <c r="M194" s="5"/>
      <c r="N194" s="186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</row>
    <row r="195" spans="1:68">
      <c r="A195" s="195">
        <f>'Données projet'!A209</f>
        <v>0</v>
      </c>
      <c r="B195" s="196">
        <f>'Données projet'!D209</f>
        <v>0</v>
      </c>
      <c r="C195" s="210"/>
      <c r="D195" s="194">
        <f t="shared" si="13"/>
        <v>0</v>
      </c>
      <c r="E195" s="210"/>
      <c r="F195" s="221"/>
      <c r="G195" s="232"/>
      <c r="H195" s="25"/>
      <c r="I195" s="5"/>
      <c r="J195" s="5"/>
      <c r="K195" s="5"/>
      <c r="L195" s="5"/>
      <c r="M195" s="5"/>
      <c r="N195" s="186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</row>
    <row r="196" spans="1:68">
      <c r="A196" s="195">
        <f>'Données projet'!A210</f>
        <v>0</v>
      </c>
      <c r="B196" s="196">
        <f>'Données projet'!D210</f>
        <v>0</v>
      </c>
      <c r="C196" s="210"/>
      <c r="D196" s="194">
        <f t="shared" si="13"/>
        <v>0</v>
      </c>
      <c r="E196" s="210"/>
      <c r="F196" s="221"/>
      <c r="G196" s="232"/>
      <c r="H196" s="25"/>
      <c r="I196" s="5"/>
      <c r="J196" s="5"/>
      <c r="K196" s="5"/>
      <c r="L196" s="5"/>
      <c r="M196" s="5"/>
      <c r="N196" s="186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</row>
    <row r="197" spans="1:68">
      <c r="A197" s="195">
        <f>'Données projet'!A211</f>
        <v>0</v>
      </c>
      <c r="B197" s="196">
        <f>'Données projet'!D211</f>
        <v>0</v>
      </c>
      <c r="C197" s="210"/>
      <c r="D197" s="194">
        <f t="shared" si="13"/>
        <v>0</v>
      </c>
      <c r="E197" s="210"/>
      <c r="F197" s="221"/>
      <c r="G197" s="232"/>
      <c r="H197" s="25"/>
      <c r="I197" s="5"/>
      <c r="J197" s="5"/>
      <c r="K197" s="5"/>
      <c r="L197" s="5"/>
      <c r="M197" s="5"/>
      <c r="N197" s="186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</row>
    <row r="198" spans="1:68">
      <c r="A198" s="5"/>
      <c r="B198" s="5"/>
      <c r="C198" s="5"/>
      <c r="D198" s="5"/>
      <c r="E198" s="5"/>
      <c r="F198" s="218"/>
      <c r="G198" s="230"/>
      <c r="H198" s="25"/>
      <c r="I198" s="5"/>
      <c r="J198" s="5"/>
      <c r="K198" s="5"/>
      <c r="L198" s="5"/>
      <c r="M198" s="5"/>
      <c r="N198" s="186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</row>
    <row r="199" spans="1:68">
      <c r="A199" s="5"/>
      <c r="B199" s="5"/>
      <c r="C199" s="5"/>
      <c r="D199" s="5"/>
      <c r="E199" s="5"/>
      <c r="F199" s="218"/>
      <c r="G199" s="230"/>
      <c r="H199" s="25"/>
      <c r="I199" s="5"/>
      <c r="J199" s="5"/>
      <c r="K199" s="5"/>
      <c r="L199" s="5"/>
      <c r="M199" s="5"/>
      <c r="N199" s="186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</row>
    <row r="200" spans="1:68">
      <c r="A200" s="49" t="s">
        <v>172</v>
      </c>
      <c r="B200" s="189" t="str">
        <f>IF('Données projet'!$B$16="","",'Données projet'!$B$16)</f>
        <v/>
      </c>
      <c r="C200" s="5"/>
      <c r="D200" s="5"/>
      <c r="E200" s="5"/>
      <c r="F200" s="218"/>
      <c r="G200" s="230"/>
      <c r="H200" s="25"/>
      <c r="I200" s="5"/>
      <c r="J200" s="5"/>
      <c r="K200" s="5"/>
      <c r="L200" s="5"/>
      <c r="M200" s="5"/>
      <c r="N200" s="186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</row>
    <row r="201" spans="1:68">
      <c r="A201" s="49"/>
      <c r="B201" s="5"/>
      <c r="C201" s="5"/>
      <c r="D201" s="5"/>
      <c r="E201" s="5"/>
      <c r="F201" s="218"/>
      <c r="G201" s="230"/>
      <c r="H201" s="25"/>
      <c r="I201" s="5"/>
      <c r="J201" s="5"/>
      <c r="K201" s="5"/>
      <c r="L201" s="5"/>
      <c r="M201" s="5"/>
      <c r="N201" s="186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</row>
    <row r="202" spans="1:68" ht="16">
      <c r="A202" s="188" t="s">
        <v>180</v>
      </c>
      <c r="B202" s="51" t="s">
        <v>256</v>
      </c>
      <c r="C202" s="51" t="s">
        <v>255</v>
      </c>
      <c r="D202" s="188" t="s">
        <v>252</v>
      </c>
      <c r="E202" s="188" t="s">
        <v>288</v>
      </c>
      <c r="F202" s="220"/>
      <c r="G202" s="231"/>
      <c r="H202" s="25"/>
      <c r="I202" s="5"/>
      <c r="J202" s="5"/>
      <c r="K202" s="5"/>
      <c r="L202" s="5"/>
      <c r="M202" s="5"/>
      <c r="N202" s="186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</row>
    <row r="203" spans="1:68" ht="16">
      <c r="A203" s="214">
        <v>0</v>
      </c>
      <c r="B203" s="217" t="s">
        <v>132</v>
      </c>
      <c r="C203" s="216" t="s">
        <v>132</v>
      </c>
      <c r="D203" s="215" t="s">
        <v>132</v>
      </c>
      <c r="E203" s="210"/>
      <c r="F203" s="220"/>
      <c r="G203" s="231"/>
      <c r="H203" s="25"/>
      <c r="I203" s="5"/>
      <c r="J203" s="5"/>
      <c r="K203" s="5"/>
      <c r="L203" s="5"/>
      <c r="M203" s="5"/>
      <c r="N203" s="186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</row>
    <row r="204" spans="1:68">
      <c r="A204" s="195">
        <f>'Données projet'!A218</f>
        <v>0</v>
      </c>
      <c r="B204" s="196">
        <f>'Données projet'!D218</f>
        <v>0</v>
      </c>
      <c r="C204" s="210"/>
      <c r="D204" s="194">
        <f>B204*C204</f>
        <v>0</v>
      </c>
      <c r="E204" s="210"/>
      <c r="F204" s="221"/>
      <c r="G204" s="232"/>
      <c r="H204" s="25"/>
      <c r="I204" s="5"/>
      <c r="J204" s="5"/>
      <c r="K204" s="5"/>
      <c r="L204" s="5"/>
      <c r="M204" s="5"/>
      <c r="N204" s="186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</row>
    <row r="205" spans="1:68">
      <c r="A205" s="195">
        <f>'Données projet'!A219</f>
        <v>0</v>
      </c>
      <c r="B205" s="196">
        <f>'Données projet'!D219</f>
        <v>0</v>
      </c>
      <c r="C205" s="210"/>
      <c r="D205" s="194">
        <f t="shared" ref="D205:D223" si="14">B205*C205</f>
        <v>0</v>
      </c>
      <c r="E205" s="210"/>
      <c r="F205" s="221"/>
      <c r="G205" s="232"/>
      <c r="H205" s="25"/>
      <c r="I205" s="5"/>
      <c r="J205" s="5"/>
      <c r="K205" s="5"/>
      <c r="L205" s="5"/>
      <c r="M205" s="5"/>
      <c r="N205" s="186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</row>
    <row r="206" spans="1:68">
      <c r="A206" s="195">
        <f>'Données projet'!A220</f>
        <v>0</v>
      </c>
      <c r="B206" s="196">
        <f>'Données projet'!D220</f>
        <v>0</v>
      </c>
      <c r="C206" s="210"/>
      <c r="D206" s="194">
        <f t="shared" si="14"/>
        <v>0</v>
      </c>
      <c r="E206" s="210"/>
      <c r="F206" s="221"/>
      <c r="G206" s="232"/>
      <c r="H206" s="25"/>
      <c r="I206" s="5"/>
      <c r="J206" s="5"/>
      <c r="K206" s="5"/>
      <c r="L206" s="5"/>
      <c r="M206" s="5"/>
      <c r="N206" s="186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</row>
    <row r="207" spans="1:68">
      <c r="A207" s="195">
        <f>'Données projet'!A221</f>
        <v>0</v>
      </c>
      <c r="B207" s="196">
        <f>'Données projet'!D221</f>
        <v>0</v>
      </c>
      <c r="C207" s="210"/>
      <c r="D207" s="194">
        <f t="shared" si="14"/>
        <v>0</v>
      </c>
      <c r="E207" s="210"/>
      <c r="F207" s="221"/>
      <c r="G207" s="232"/>
      <c r="H207" s="25"/>
      <c r="I207" s="5"/>
      <c r="J207" s="5"/>
      <c r="K207" s="5"/>
      <c r="L207" s="5"/>
      <c r="M207" s="5"/>
      <c r="N207" s="186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</row>
    <row r="208" spans="1:68">
      <c r="A208" s="195">
        <f>'Données projet'!A222</f>
        <v>0</v>
      </c>
      <c r="B208" s="196">
        <f>'Données projet'!D222</f>
        <v>0</v>
      </c>
      <c r="C208" s="210"/>
      <c r="D208" s="194">
        <f t="shared" si="14"/>
        <v>0</v>
      </c>
      <c r="E208" s="210"/>
      <c r="F208" s="221"/>
      <c r="G208" s="232"/>
      <c r="H208" s="25"/>
      <c r="I208" s="5"/>
      <c r="J208" s="5"/>
      <c r="K208" s="5"/>
      <c r="L208" s="5"/>
      <c r="M208" s="5"/>
      <c r="N208" s="186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</row>
    <row r="209" spans="1:68">
      <c r="A209" s="195">
        <f>'Données projet'!A223</f>
        <v>0</v>
      </c>
      <c r="B209" s="196">
        <f>'Données projet'!D223</f>
        <v>0</v>
      </c>
      <c r="C209" s="210"/>
      <c r="D209" s="194">
        <f t="shared" si="14"/>
        <v>0</v>
      </c>
      <c r="E209" s="210"/>
      <c r="F209" s="221"/>
      <c r="G209" s="232"/>
      <c r="H209" s="25"/>
      <c r="I209" s="5"/>
      <c r="J209" s="5"/>
      <c r="K209" s="5"/>
      <c r="L209" s="5"/>
      <c r="M209" s="5"/>
      <c r="N209" s="186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</row>
    <row r="210" spans="1:68">
      <c r="A210" s="195">
        <f>'Données projet'!A224</f>
        <v>0</v>
      </c>
      <c r="B210" s="196">
        <f>'Données projet'!D224</f>
        <v>0</v>
      </c>
      <c r="C210" s="210"/>
      <c r="D210" s="194">
        <f t="shared" si="14"/>
        <v>0</v>
      </c>
      <c r="E210" s="210"/>
      <c r="F210" s="221"/>
      <c r="G210" s="232"/>
      <c r="H210" s="25"/>
      <c r="I210" s="5"/>
      <c r="J210" s="5"/>
      <c r="K210" s="5"/>
      <c r="L210" s="5"/>
      <c r="M210" s="5"/>
      <c r="N210" s="186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</row>
    <row r="211" spans="1:68">
      <c r="A211" s="195">
        <f>'Données projet'!A225</f>
        <v>0</v>
      </c>
      <c r="B211" s="196">
        <f>'Données projet'!D225</f>
        <v>0</v>
      </c>
      <c r="C211" s="210"/>
      <c r="D211" s="194">
        <f t="shared" si="14"/>
        <v>0</v>
      </c>
      <c r="E211" s="210"/>
      <c r="F211" s="221"/>
      <c r="G211" s="232"/>
      <c r="H211" s="25"/>
      <c r="I211" s="5"/>
      <c r="J211" s="5"/>
      <c r="K211" s="5"/>
      <c r="L211" s="5"/>
      <c r="M211" s="5"/>
      <c r="N211" s="186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</row>
    <row r="212" spans="1:68">
      <c r="A212" s="195">
        <f>'Données projet'!A226</f>
        <v>0</v>
      </c>
      <c r="B212" s="196">
        <f>'Données projet'!D226</f>
        <v>0</v>
      </c>
      <c r="C212" s="210"/>
      <c r="D212" s="194">
        <f t="shared" si="14"/>
        <v>0</v>
      </c>
      <c r="E212" s="210"/>
      <c r="F212" s="221"/>
      <c r="G212" s="232"/>
      <c r="H212" s="25"/>
      <c r="I212" s="5"/>
      <c r="J212" s="5"/>
      <c r="K212" s="5"/>
      <c r="L212" s="5"/>
      <c r="M212" s="5"/>
      <c r="N212" s="186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</row>
    <row r="213" spans="1:68">
      <c r="A213" s="195">
        <f>'Données projet'!A227</f>
        <v>0</v>
      </c>
      <c r="B213" s="196">
        <f>'Données projet'!D227</f>
        <v>0</v>
      </c>
      <c r="C213" s="210"/>
      <c r="D213" s="194">
        <f t="shared" si="14"/>
        <v>0</v>
      </c>
      <c r="E213" s="210"/>
      <c r="F213" s="221"/>
      <c r="G213" s="232"/>
      <c r="H213" s="25"/>
      <c r="I213" s="5"/>
      <c r="J213" s="5"/>
      <c r="K213" s="5"/>
      <c r="L213" s="5"/>
      <c r="M213" s="5"/>
      <c r="N213" s="186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</row>
    <row r="214" spans="1:68">
      <c r="A214" s="195">
        <f>'Données projet'!A228</f>
        <v>0</v>
      </c>
      <c r="B214" s="196">
        <f>'Données projet'!D228</f>
        <v>0</v>
      </c>
      <c r="C214" s="210"/>
      <c r="D214" s="194">
        <f t="shared" si="14"/>
        <v>0</v>
      </c>
      <c r="E214" s="210"/>
      <c r="F214" s="221"/>
      <c r="G214" s="232"/>
      <c r="H214" s="25"/>
      <c r="I214" s="5"/>
      <c r="J214" s="5"/>
      <c r="K214" s="5"/>
      <c r="L214" s="5"/>
      <c r="M214" s="5"/>
      <c r="N214" s="186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</row>
    <row r="215" spans="1:68">
      <c r="A215" s="195">
        <f>'Données projet'!A229</f>
        <v>0</v>
      </c>
      <c r="B215" s="196">
        <f>'Données projet'!D229</f>
        <v>0</v>
      </c>
      <c r="C215" s="210"/>
      <c r="D215" s="194">
        <f t="shared" si="14"/>
        <v>0</v>
      </c>
      <c r="E215" s="210"/>
      <c r="F215" s="221"/>
      <c r="G215" s="232"/>
      <c r="H215" s="25"/>
      <c r="I215" s="5"/>
      <c r="J215" s="5"/>
      <c r="K215" s="5"/>
      <c r="L215" s="5"/>
      <c r="M215" s="5"/>
      <c r="N215" s="186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</row>
    <row r="216" spans="1:68">
      <c r="A216" s="195">
        <f>'Données projet'!A230</f>
        <v>0</v>
      </c>
      <c r="B216" s="196">
        <f>'Données projet'!D230</f>
        <v>0</v>
      </c>
      <c r="C216" s="210"/>
      <c r="D216" s="194">
        <f t="shared" si="14"/>
        <v>0</v>
      </c>
      <c r="E216" s="210"/>
      <c r="F216" s="221"/>
      <c r="G216" s="232"/>
      <c r="H216" s="25"/>
      <c r="I216" s="5"/>
      <c r="J216" s="5"/>
      <c r="K216" s="5"/>
      <c r="L216" s="5"/>
      <c r="M216" s="5"/>
      <c r="N216" s="186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</row>
    <row r="217" spans="1:68">
      <c r="A217" s="195">
        <f>'Données projet'!A231</f>
        <v>0</v>
      </c>
      <c r="B217" s="196">
        <f>'Données projet'!D231</f>
        <v>0</v>
      </c>
      <c r="C217" s="210"/>
      <c r="D217" s="194">
        <f t="shared" si="14"/>
        <v>0</v>
      </c>
      <c r="E217" s="210"/>
      <c r="F217" s="221"/>
      <c r="G217" s="232"/>
      <c r="H217" s="25"/>
      <c r="I217" s="5"/>
      <c r="J217" s="5"/>
      <c r="K217" s="5"/>
      <c r="L217" s="5"/>
      <c r="M217" s="5"/>
      <c r="N217" s="186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</row>
    <row r="218" spans="1:68">
      <c r="A218" s="195">
        <f>'Données projet'!A232</f>
        <v>0</v>
      </c>
      <c r="B218" s="196">
        <f>'Données projet'!D232</f>
        <v>0</v>
      </c>
      <c r="C218" s="210"/>
      <c r="D218" s="194">
        <f t="shared" si="14"/>
        <v>0</v>
      </c>
      <c r="E218" s="210"/>
      <c r="F218" s="221"/>
      <c r="G218" s="232"/>
      <c r="H218" s="25"/>
      <c r="I218" s="5"/>
      <c r="J218" s="5"/>
      <c r="K218" s="5"/>
      <c r="L218" s="5"/>
      <c r="M218" s="5"/>
      <c r="N218" s="186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</row>
    <row r="219" spans="1:68">
      <c r="A219" s="195">
        <f>'Données projet'!A233</f>
        <v>0</v>
      </c>
      <c r="B219" s="196">
        <f>'Données projet'!D233</f>
        <v>0</v>
      </c>
      <c r="C219" s="210"/>
      <c r="D219" s="194">
        <f t="shared" si="14"/>
        <v>0</v>
      </c>
      <c r="E219" s="210"/>
      <c r="F219" s="221"/>
      <c r="G219" s="232"/>
      <c r="H219" s="25"/>
      <c r="I219" s="5"/>
      <c r="J219" s="5"/>
      <c r="K219" s="5"/>
      <c r="L219" s="5"/>
      <c r="M219" s="5"/>
      <c r="N219" s="186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</row>
    <row r="220" spans="1:68">
      <c r="A220" s="195">
        <f>'Données projet'!A234</f>
        <v>0</v>
      </c>
      <c r="B220" s="196">
        <f>'Données projet'!D234</f>
        <v>0</v>
      </c>
      <c r="C220" s="210"/>
      <c r="D220" s="194">
        <f t="shared" si="14"/>
        <v>0</v>
      </c>
      <c r="E220" s="210"/>
      <c r="F220" s="221"/>
      <c r="G220" s="232"/>
      <c r="H220" s="25"/>
      <c r="I220" s="5"/>
      <c r="J220" s="5"/>
      <c r="K220" s="5"/>
      <c r="L220" s="5"/>
      <c r="M220" s="5"/>
      <c r="N220" s="186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</row>
    <row r="221" spans="1:68">
      <c r="A221" s="195">
        <f>'Données projet'!A235</f>
        <v>0</v>
      </c>
      <c r="B221" s="196">
        <f>'Données projet'!D235</f>
        <v>0</v>
      </c>
      <c r="C221" s="210"/>
      <c r="D221" s="194">
        <f t="shared" si="14"/>
        <v>0</v>
      </c>
      <c r="E221" s="210"/>
      <c r="F221" s="221"/>
      <c r="G221" s="232"/>
      <c r="H221" s="25"/>
      <c r="I221" s="5"/>
      <c r="J221" s="5"/>
      <c r="K221" s="5"/>
      <c r="L221" s="5"/>
      <c r="M221" s="5"/>
      <c r="N221" s="186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</row>
    <row r="222" spans="1:68">
      <c r="A222" s="195">
        <f>'Données projet'!A236</f>
        <v>0</v>
      </c>
      <c r="B222" s="196">
        <f>'Données projet'!D236</f>
        <v>0</v>
      </c>
      <c r="C222" s="210"/>
      <c r="D222" s="194">
        <f t="shared" si="14"/>
        <v>0</v>
      </c>
      <c r="E222" s="210"/>
      <c r="F222" s="221"/>
      <c r="G222" s="232"/>
      <c r="H222" s="25"/>
      <c r="I222" s="5"/>
      <c r="J222" s="5"/>
      <c r="K222" s="5"/>
      <c r="L222" s="5"/>
      <c r="M222" s="5"/>
      <c r="N222" s="186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</row>
    <row r="223" spans="1:68">
      <c r="A223" s="195">
        <f>'Données projet'!A237</f>
        <v>0</v>
      </c>
      <c r="B223" s="196">
        <f>'Données projet'!D237</f>
        <v>0</v>
      </c>
      <c r="C223" s="210"/>
      <c r="D223" s="194">
        <f t="shared" si="14"/>
        <v>0</v>
      </c>
      <c r="E223" s="210"/>
      <c r="F223" s="221"/>
      <c r="G223" s="232"/>
      <c r="H223" s="25"/>
      <c r="I223" s="5"/>
      <c r="J223" s="5"/>
      <c r="K223" s="5"/>
      <c r="L223" s="5"/>
      <c r="M223" s="5"/>
      <c r="N223" s="186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</row>
    <row r="224" spans="1:68">
      <c r="A224" s="5"/>
      <c r="B224" s="5"/>
      <c r="C224" s="5"/>
      <c r="D224" s="5"/>
      <c r="E224" s="5"/>
      <c r="F224" s="218"/>
      <c r="G224" s="230"/>
      <c r="H224" s="25"/>
      <c r="I224" s="5"/>
      <c r="J224" s="5"/>
      <c r="K224" s="5"/>
      <c r="L224" s="5"/>
      <c r="M224" s="5"/>
      <c r="N224" s="186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</row>
    <row r="225" spans="1:68">
      <c r="A225" s="5"/>
      <c r="B225" s="5"/>
      <c r="C225" s="5"/>
      <c r="D225" s="5"/>
      <c r="E225" s="5"/>
      <c r="F225" s="218"/>
      <c r="G225" s="230"/>
      <c r="H225" s="25"/>
      <c r="I225" s="5"/>
      <c r="J225" s="5"/>
      <c r="K225" s="5"/>
      <c r="L225" s="5"/>
      <c r="M225" s="5"/>
      <c r="N225" s="186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</row>
    <row r="226" spans="1:68">
      <c r="A226" s="49" t="s">
        <v>173</v>
      </c>
      <c r="B226" s="189" t="str">
        <f>IF('Données projet'!$B$17="","",'Données projet'!$B$17)</f>
        <v/>
      </c>
      <c r="C226" s="5"/>
      <c r="D226" s="5"/>
      <c r="E226" s="5"/>
      <c r="F226" s="218"/>
      <c r="G226" s="230"/>
      <c r="H226" s="25"/>
      <c r="I226" s="5"/>
      <c r="J226" s="5"/>
      <c r="K226" s="5"/>
      <c r="L226" s="5"/>
      <c r="M226" s="5"/>
      <c r="N226" s="186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</row>
    <row r="227" spans="1:68">
      <c r="A227" s="49"/>
      <c r="B227" s="5"/>
      <c r="C227" s="5"/>
      <c r="D227" s="5"/>
      <c r="E227" s="5"/>
      <c r="F227" s="218"/>
      <c r="G227" s="230"/>
      <c r="H227" s="25"/>
      <c r="I227" s="5"/>
      <c r="J227" s="5"/>
      <c r="K227" s="5"/>
      <c r="L227" s="5"/>
      <c r="M227" s="5"/>
      <c r="N227" s="186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</row>
    <row r="228" spans="1:68" ht="16">
      <c r="A228" s="188" t="s">
        <v>180</v>
      </c>
      <c r="B228" s="51" t="s">
        <v>256</v>
      </c>
      <c r="C228" s="51" t="s">
        <v>255</v>
      </c>
      <c r="D228" s="188" t="s">
        <v>252</v>
      </c>
      <c r="E228" s="188" t="s">
        <v>288</v>
      </c>
      <c r="F228" s="220"/>
      <c r="G228" s="231"/>
      <c r="H228" s="25"/>
      <c r="I228" s="5"/>
      <c r="J228" s="5"/>
      <c r="K228" s="5"/>
      <c r="L228" s="5"/>
      <c r="M228" s="5"/>
      <c r="N228" s="186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</row>
    <row r="229" spans="1:68" ht="16">
      <c r="A229" s="214">
        <v>0</v>
      </c>
      <c r="B229" s="217" t="s">
        <v>132</v>
      </c>
      <c r="C229" s="216" t="s">
        <v>132</v>
      </c>
      <c r="D229" s="215" t="s">
        <v>132</v>
      </c>
      <c r="E229" s="210"/>
      <c r="F229" s="220"/>
      <c r="G229" s="231"/>
      <c r="H229" s="25"/>
      <c r="I229" s="5"/>
      <c r="J229" s="5"/>
      <c r="K229" s="5"/>
      <c r="L229" s="5"/>
      <c r="M229" s="5"/>
      <c r="N229" s="186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</row>
    <row r="230" spans="1:68">
      <c r="A230" s="195">
        <f>'Données projet'!A244</f>
        <v>0</v>
      </c>
      <c r="B230" s="196">
        <f>'Données projet'!D244</f>
        <v>0</v>
      </c>
      <c r="C230" s="210"/>
      <c r="D230" s="194">
        <f>B230*C230</f>
        <v>0</v>
      </c>
      <c r="E230" s="210"/>
      <c r="F230" s="221"/>
      <c r="G230" s="232"/>
      <c r="H230" s="25"/>
      <c r="I230" s="5"/>
      <c r="J230" s="5"/>
      <c r="K230" s="5"/>
      <c r="L230" s="5"/>
      <c r="M230" s="5"/>
      <c r="N230" s="186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</row>
    <row r="231" spans="1:68">
      <c r="A231" s="195">
        <f>'Données projet'!A245</f>
        <v>0</v>
      </c>
      <c r="B231" s="196">
        <f>'Données projet'!D245</f>
        <v>0</v>
      </c>
      <c r="C231" s="210"/>
      <c r="D231" s="194">
        <f t="shared" ref="D231:D249" si="15">B231*C231</f>
        <v>0</v>
      </c>
      <c r="E231" s="210"/>
      <c r="F231" s="221"/>
      <c r="G231" s="232"/>
      <c r="H231" s="25"/>
      <c r="I231" s="5"/>
      <c r="J231" s="5"/>
      <c r="K231" s="5"/>
      <c r="L231" s="5"/>
      <c r="M231" s="5"/>
      <c r="N231" s="186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</row>
    <row r="232" spans="1:68">
      <c r="A232" s="195">
        <f>'Données projet'!A246</f>
        <v>0</v>
      </c>
      <c r="B232" s="196">
        <f>'Données projet'!D246</f>
        <v>0</v>
      </c>
      <c r="C232" s="210"/>
      <c r="D232" s="194">
        <f t="shared" si="15"/>
        <v>0</v>
      </c>
      <c r="E232" s="210"/>
      <c r="F232" s="221"/>
      <c r="G232" s="232"/>
      <c r="H232" s="25"/>
      <c r="I232" s="5"/>
      <c r="J232" s="5"/>
      <c r="K232" s="5"/>
      <c r="L232" s="5"/>
      <c r="M232" s="5"/>
      <c r="N232" s="186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</row>
    <row r="233" spans="1:68">
      <c r="A233" s="195">
        <f>'Données projet'!A247</f>
        <v>0</v>
      </c>
      <c r="B233" s="196">
        <f>'Données projet'!D247</f>
        <v>0</v>
      </c>
      <c r="C233" s="210"/>
      <c r="D233" s="194">
        <f t="shared" si="15"/>
        <v>0</v>
      </c>
      <c r="E233" s="210"/>
      <c r="F233" s="221"/>
      <c r="G233" s="232"/>
      <c r="H233" s="25"/>
      <c r="I233" s="5"/>
      <c r="J233" s="5"/>
      <c r="K233" s="5"/>
      <c r="L233" s="5"/>
      <c r="M233" s="5"/>
      <c r="N233" s="186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</row>
    <row r="234" spans="1:68">
      <c r="A234" s="195">
        <f>'Données projet'!A248</f>
        <v>0</v>
      </c>
      <c r="B234" s="196">
        <f>'Données projet'!D248</f>
        <v>0</v>
      </c>
      <c r="C234" s="210"/>
      <c r="D234" s="194">
        <f t="shared" si="15"/>
        <v>0</v>
      </c>
      <c r="E234" s="210"/>
      <c r="F234" s="221"/>
      <c r="G234" s="232"/>
      <c r="H234" s="25"/>
      <c r="I234" s="5"/>
      <c r="J234" s="5"/>
      <c r="K234" s="5"/>
      <c r="L234" s="5"/>
      <c r="M234" s="5"/>
      <c r="N234" s="186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</row>
    <row r="235" spans="1:68">
      <c r="A235" s="195">
        <f>'Données projet'!A249</f>
        <v>0</v>
      </c>
      <c r="B235" s="196">
        <f>'Données projet'!D249</f>
        <v>0</v>
      </c>
      <c r="C235" s="210"/>
      <c r="D235" s="194">
        <f t="shared" si="15"/>
        <v>0</v>
      </c>
      <c r="E235" s="210"/>
      <c r="F235" s="221"/>
      <c r="G235" s="232"/>
      <c r="H235" s="25"/>
      <c r="I235" s="5"/>
      <c r="J235" s="5"/>
      <c r="K235" s="5"/>
      <c r="L235" s="5"/>
      <c r="M235" s="5"/>
      <c r="N235" s="186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</row>
    <row r="236" spans="1:68">
      <c r="A236" s="195">
        <f>'Données projet'!A250</f>
        <v>0</v>
      </c>
      <c r="B236" s="196">
        <f>'Données projet'!D250</f>
        <v>0</v>
      </c>
      <c r="C236" s="210"/>
      <c r="D236" s="194">
        <f t="shared" si="15"/>
        <v>0</v>
      </c>
      <c r="E236" s="210"/>
      <c r="F236" s="221"/>
      <c r="G236" s="232"/>
      <c r="H236" s="25"/>
      <c r="I236" s="5"/>
      <c r="J236" s="5"/>
      <c r="K236" s="5"/>
      <c r="L236" s="5"/>
      <c r="M236" s="5"/>
      <c r="N236" s="186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</row>
    <row r="237" spans="1:68">
      <c r="A237" s="195">
        <f>'Données projet'!A251</f>
        <v>0</v>
      </c>
      <c r="B237" s="196">
        <f>'Données projet'!D251</f>
        <v>0</v>
      </c>
      <c r="C237" s="210"/>
      <c r="D237" s="194">
        <f t="shared" si="15"/>
        <v>0</v>
      </c>
      <c r="E237" s="210"/>
      <c r="F237" s="221"/>
      <c r="G237" s="232"/>
      <c r="H237" s="25"/>
      <c r="I237" s="5"/>
      <c r="J237" s="5"/>
      <c r="K237" s="5"/>
      <c r="L237" s="5"/>
      <c r="M237" s="5"/>
      <c r="N237" s="186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</row>
    <row r="238" spans="1:68">
      <c r="A238" s="195">
        <f>'Données projet'!A252</f>
        <v>0</v>
      </c>
      <c r="B238" s="196">
        <f>'Données projet'!D252</f>
        <v>0</v>
      </c>
      <c r="C238" s="210"/>
      <c r="D238" s="194">
        <f t="shared" si="15"/>
        <v>0</v>
      </c>
      <c r="E238" s="210"/>
      <c r="F238" s="221"/>
      <c r="G238" s="232"/>
      <c r="H238" s="25"/>
      <c r="I238" s="5"/>
      <c r="J238" s="5"/>
      <c r="K238" s="5"/>
      <c r="L238" s="5"/>
      <c r="M238" s="5"/>
      <c r="N238" s="186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</row>
    <row r="239" spans="1:68">
      <c r="A239" s="195">
        <f>'Données projet'!A253</f>
        <v>0</v>
      </c>
      <c r="B239" s="196">
        <f>'Données projet'!D253</f>
        <v>0</v>
      </c>
      <c r="C239" s="210"/>
      <c r="D239" s="194">
        <f t="shared" si="15"/>
        <v>0</v>
      </c>
      <c r="E239" s="210"/>
      <c r="F239" s="221"/>
      <c r="G239" s="232"/>
      <c r="H239" s="25"/>
      <c r="I239" s="5"/>
      <c r="J239" s="5"/>
      <c r="K239" s="5"/>
      <c r="L239" s="5"/>
      <c r="M239" s="5"/>
      <c r="N239" s="186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</row>
    <row r="240" spans="1:68">
      <c r="A240" s="195">
        <f>'Données projet'!A254</f>
        <v>0</v>
      </c>
      <c r="B240" s="196">
        <f>'Données projet'!D254</f>
        <v>0</v>
      </c>
      <c r="C240" s="210"/>
      <c r="D240" s="194">
        <f t="shared" si="15"/>
        <v>0</v>
      </c>
      <c r="E240" s="210"/>
      <c r="F240" s="221"/>
      <c r="G240" s="232"/>
      <c r="H240" s="25"/>
      <c r="I240" s="5"/>
      <c r="J240" s="5"/>
      <c r="K240" s="5"/>
      <c r="L240" s="5"/>
      <c r="M240" s="5"/>
      <c r="N240" s="186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</row>
    <row r="241" spans="1:68">
      <c r="A241" s="195">
        <f>'Données projet'!A255</f>
        <v>0</v>
      </c>
      <c r="B241" s="196">
        <f>'Données projet'!D255</f>
        <v>0</v>
      </c>
      <c r="C241" s="210"/>
      <c r="D241" s="194">
        <f t="shared" si="15"/>
        <v>0</v>
      </c>
      <c r="E241" s="210"/>
      <c r="F241" s="221"/>
      <c r="G241" s="232"/>
      <c r="H241" s="25"/>
      <c r="I241" s="5"/>
      <c r="J241" s="5"/>
      <c r="K241" s="5"/>
      <c r="L241" s="5"/>
      <c r="M241" s="5"/>
      <c r="N241" s="186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</row>
    <row r="242" spans="1:68">
      <c r="A242" s="195">
        <f>'Données projet'!A256</f>
        <v>0</v>
      </c>
      <c r="B242" s="196">
        <f>'Données projet'!D256</f>
        <v>0</v>
      </c>
      <c r="C242" s="210"/>
      <c r="D242" s="194">
        <f t="shared" si="15"/>
        <v>0</v>
      </c>
      <c r="E242" s="210"/>
      <c r="F242" s="221"/>
      <c r="G242" s="232"/>
      <c r="H242" s="25"/>
      <c r="I242" s="5"/>
      <c r="J242" s="5"/>
      <c r="K242" s="5"/>
      <c r="L242" s="5"/>
      <c r="M242" s="5"/>
      <c r="N242" s="186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</row>
    <row r="243" spans="1:68">
      <c r="A243" s="195">
        <f>'Données projet'!A257</f>
        <v>0</v>
      </c>
      <c r="B243" s="196">
        <f>'Données projet'!D257</f>
        <v>0</v>
      </c>
      <c r="C243" s="210"/>
      <c r="D243" s="194">
        <f t="shared" si="15"/>
        <v>0</v>
      </c>
      <c r="E243" s="210"/>
      <c r="F243" s="221"/>
      <c r="G243" s="232"/>
      <c r="H243" s="25"/>
      <c r="I243" s="5"/>
      <c r="J243" s="5"/>
      <c r="K243" s="5"/>
      <c r="L243" s="5"/>
      <c r="M243" s="5"/>
      <c r="N243" s="186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</row>
    <row r="244" spans="1:68">
      <c r="A244" s="195">
        <f>'Données projet'!A258</f>
        <v>0</v>
      </c>
      <c r="B244" s="196">
        <f>'Données projet'!D258</f>
        <v>0</v>
      </c>
      <c r="C244" s="210"/>
      <c r="D244" s="194">
        <f t="shared" si="15"/>
        <v>0</v>
      </c>
      <c r="E244" s="210"/>
      <c r="F244" s="221"/>
      <c r="G244" s="232"/>
      <c r="H244" s="25"/>
      <c r="I244" s="5"/>
      <c r="J244" s="5"/>
      <c r="K244" s="5"/>
      <c r="L244" s="5"/>
      <c r="M244" s="5"/>
      <c r="N244" s="186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</row>
    <row r="245" spans="1:68">
      <c r="A245" s="195">
        <f>'Données projet'!A259</f>
        <v>0</v>
      </c>
      <c r="B245" s="196">
        <f>'Données projet'!D259</f>
        <v>0</v>
      </c>
      <c r="C245" s="210"/>
      <c r="D245" s="194">
        <f t="shared" si="15"/>
        <v>0</v>
      </c>
      <c r="E245" s="210"/>
      <c r="F245" s="221"/>
      <c r="G245" s="232"/>
      <c r="H245" s="25"/>
      <c r="I245" s="5"/>
      <c r="J245" s="5"/>
      <c r="K245" s="5"/>
      <c r="L245" s="5"/>
      <c r="M245" s="5"/>
      <c r="N245" s="186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</row>
    <row r="246" spans="1:68">
      <c r="A246" s="195">
        <f>'Données projet'!A260</f>
        <v>0</v>
      </c>
      <c r="B246" s="196">
        <f>'Données projet'!D260</f>
        <v>0</v>
      </c>
      <c r="C246" s="210"/>
      <c r="D246" s="194">
        <f t="shared" si="15"/>
        <v>0</v>
      </c>
      <c r="E246" s="210"/>
      <c r="F246" s="221"/>
      <c r="G246" s="232"/>
      <c r="H246" s="25"/>
      <c r="I246" s="5"/>
      <c r="J246" s="5"/>
      <c r="K246" s="5"/>
      <c r="L246" s="5"/>
      <c r="M246" s="5"/>
      <c r="N246" s="186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</row>
    <row r="247" spans="1:68">
      <c r="A247" s="195">
        <f>'Données projet'!A261</f>
        <v>0</v>
      </c>
      <c r="B247" s="196">
        <f>'Données projet'!D261</f>
        <v>0</v>
      </c>
      <c r="C247" s="210"/>
      <c r="D247" s="194">
        <f t="shared" si="15"/>
        <v>0</v>
      </c>
      <c r="E247" s="210"/>
      <c r="F247" s="221"/>
      <c r="G247" s="232"/>
      <c r="H247" s="25"/>
      <c r="I247" s="5"/>
      <c r="J247" s="5"/>
      <c r="K247" s="5"/>
      <c r="L247" s="5"/>
      <c r="M247" s="5"/>
      <c r="N247" s="186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</row>
    <row r="248" spans="1:68">
      <c r="A248" s="195">
        <f>'Données projet'!A262</f>
        <v>0</v>
      </c>
      <c r="B248" s="196">
        <f>'Données projet'!D262</f>
        <v>0</v>
      </c>
      <c r="C248" s="210"/>
      <c r="D248" s="194">
        <f t="shared" si="15"/>
        <v>0</v>
      </c>
      <c r="E248" s="210"/>
      <c r="F248" s="221"/>
      <c r="G248" s="232"/>
      <c r="H248" s="25"/>
      <c r="I248" s="5"/>
      <c r="J248" s="5"/>
      <c r="K248" s="5"/>
      <c r="L248" s="5"/>
      <c r="M248" s="5"/>
      <c r="N248" s="186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</row>
    <row r="249" spans="1:68">
      <c r="A249" s="195">
        <f>'Données projet'!A263</f>
        <v>0</v>
      </c>
      <c r="B249" s="196">
        <f>'Données projet'!D263</f>
        <v>0</v>
      </c>
      <c r="C249" s="210"/>
      <c r="D249" s="194">
        <f t="shared" si="15"/>
        <v>0</v>
      </c>
      <c r="E249" s="210"/>
      <c r="F249" s="221"/>
      <c r="G249" s="232"/>
      <c r="H249" s="25"/>
      <c r="I249" s="5"/>
      <c r="J249" s="5"/>
      <c r="K249" s="5"/>
      <c r="L249" s="5"/>
      <c r="M249" s="5"/>
      <c r="N249" s="186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</row>
    <row r="250" spans="1:68">
      <c r="A250" s="5"/>
      <c r="B250" s="5"/>
      <c r="C250" s="5"/>
      <c r="D250" s="5"/>
      <c r="E250" s="5"/>
      <c r="F250" s="218"/>
      <c r="G250" s="230"/>
      <c r="H250" s="25"/>
      <c r="I250" s="5"/>
      <c r="J250" s="5"/>
      <c r="K250" s="5"/>
      <c r="L250" s="5"/>
      <c r="M250" s="5"/>
      <c r="N250" s="186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</row>
    <row r="251" spans="1:68">
      <c r="A251" s="5"/>
      <c r="B251" s="5"/>
      <c r="C251" s="5"/>
      <c r="D251" s="5"/>
      <c r="E251" s="5"/>
      <c r="F251" s="218"/>
      <c r="G251" s="230"/>
      <c r="H251" s="25"/>
      <c r="I251" s="5"/>
      <c r="J251" s="5"/>
      <c r="K251" s="5"/>
      <c r="L251" s="5"/>
      <c r="M251" s="5"/>
      <c r="N251" s="186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</row>
    <row r="252" spans="1:68">
      <c r="A252" s="49" t="s">
        <v>174</v>
      </c>
      <c r="B252" s="189" t="str">
        <f>IF('Données projet'!$B$18="","",'Données projet'!$B$18)</f>
        <v/>
      </c>
      <c r="C252" s="5"/>
      <c r="D252" s="5"/>
      <c r="E252" s="5"/>
      <c r="F252" s="218"/>
      <c r="G252" s="230"/>
      <c r="H252" s="25"/>
      <c r="I252" s="5"/>
      <c r="J252" s="5"/>
      <c r="K252" s="5"/>
      <c r="L252" s="5"/>
      <c r="M252" s="5"/>
      <c r="N252" s="186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</row>
    <row r="253" spans="1:68">
      <c r="A253" s="49"/>
      <c r="B253" s="5"/>
      <c r="C253" s="5"/>
      <c r="D253" s="5"/>
      <c r="E253" s="5"/>
      <c r="F253" s="218"/>
      <c r="G253" s="230"/>
      <c r="H253" s="25"/>
      <c r="I253" s="5"/>
      <c r="J253" s="5"/>
      <c r="K253" s="5"/>
      <c r="L253" s="5"/>
      <c r="M253" s="5"/>
      <c r="N253" s="186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</row>
    <row r="254" spans="1:68" ht="16">
      <c r="A254" s="188" t="s">
        <v>180</v>
      </c>
      <c r="B254" s="51" t="s">
        <v>256</v>
      </c>
      <c r="C254" s="51" t="s">
        <v>255</v>
      </c>
      <c r="D254" s="188" t="s">
        <v>252</v>
      </c>
      <c r="E254" s="188" t="s">
        <v>288</v>
      </c>
      <c r="F254" s="220"/>
      <c r="G254" s="231"/>
      <c r="H254" s="25"/>
      <c r="I254" s="5"/>
      <c r="J254" s="5"/>
      <c r="K254" s="5"/>
      <c r="L254" s="5"/>
      <c r="M254" s="5"/>
      <c r="N254" s="186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</row>
    <row r="255" spans="1:68" ht="16">
      <c r="A255" s="214">
        <v>0</v>
      </c>
      <c r="B255" s="217" t="s">
        <v>132</v>
      </c>
      <c r="C255" s="216" t="s">
        <v>132</v>
      </c>
      <c r="D255" s="215" t="s">
        <v>132</v>
      </c>
      <c r="E255" s="210"/>
      <c r="F255" s="220"/>
      <c r="G255" s="231"/>
      <c r="H255" s="25"/>
      <c r="I255" s="5"/>
      <c r="J255" s="5"/>
      <c r="K255" s="5"/>
      <c r="L255" s="5"/>
      <c r="M255" s="5"/>
      <c r="N255" s="186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</row>
    <row r="256" spans="1:68">
      <c r="A256" s="195">
        <f>'Données projet'!A270</f>
        <v>0</v>
      </c>
      <c r="B256" s="196">
        <f>'Données projet'!D270</f>
        <v>0</v>
      </c>
      <c r="C256" s="208"/>
      <c r="D256" s="197">
        <f>B256*C256</f>
        <v>0</v>
      </c>
      <c r="E256" s="210"/>
      <c r="F256" s="219"/>
      <c r="G256" s="227"/>
      <c r="H256" s="25"/>
      <c r="I256" s="5"/>
      <c r="J256" s="5"/>
      <c r="K256" s="5"/>
      <c r="L256" s="5"/>
      <c r="M256" s="5"/>
      <c r="N256" s="186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</row>
    <row r="257" spans="1:68">
      <c r="A257" s="195">
        <f>'Données projet'!A271</f>
        <v>0</v>
      </c>
      <c r="B257" s="196">
        <f>'Données projet'!D271</f>
        <v>0</v>
      </c>
      <c r="C257" s="208"/>
      <c r="D257" s="197">
        <f t="shared" ref="D257:D275" si="16">B257*C257</f>
        <v>0</v>
      </c>
      <c r="E257" s="210"/>
      <c r="F257" s="219"/>
      <c r="G257" s="227"/>
      <c r="H257" s="25"/>
      <c r="I257" s="5"/>
      <c r="J257" s="5"/>
      <c r="K257" s="5"/>
      <c r="L257" s="5"/>
      <c r="M257" s="5"/>
      <c r="N257" s="186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</row>
    <row r="258" spans="1:68">
      <c r="A258" s="195">
        <f>'Données projet'!A272</f>
        <v>0</v>
      </c>
      <c r="B258" s="196">
        <f>'Données projet'!D272</f>
        <v>0</v>
      </c>
      <c r="C258" s="208"/>
      <c r="D258" s="197">
        <f t="shared" si="16"/>
        <v>0</v>
      </c>
      <c r="E258" s="210"/>
      <c r="F258" s="219"/>
      <c r="G258" s="227"/>
      <c r="H258" s="25"/>
      <c r="I258" s="5"/>
      <c r="J258" s="5"/>
      <c r="K258" s="5"/>
      <c r="L258" s="5"/>
      <c r="M258" s="5"/>
      <c r="N258" s="186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</row>
    <row r="259" spans="1:68">
      <c r="A259" s="195">
        <f>'Données projet'!A273</f>
        <v>0</v>
      </c>
      <c r="B259" s="196">
        <f>'Données projet'!D273</f>
        <v>0</v>
      </c>
      <c r="C259" s="208"/>
      <c r="D259" s="197">
        <f t="shared" si="16"/>
        <v>0</v>
      </c>
      <c r="E259" s="210"/>
      <c r="F259" s="219"/>
      <c r="G259" s="227"/>
      <c r="H259" s="25"/>
      <c r="I259" s="5"/>
      <c r="J259" s="5"/>
      <c r="K259" s="5"/>
      <c r="L259" s="5"/>
      <c r="M259" s="5"/>
      <c r="N259" s="186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</row>
    <row r="260" spans="1:68">
      <c r="A260" s="195">
        <f>'Données projet'!A274</f>
        <v>0</v>
      </c>
      <c r="B260" s="196">
        <f>'Données projet'!D274</f>
        <v>0</v>
      </c>
      <c r="C260" s="208"/>
      <c r="D260" s="197">
        <f t="shared" si="16"/>
        <v>0</v>
      </c>
      <c r="E260" s="210"/>
      <c r="F260" s="219"/>
      <c r="G260" s="227"/>
      <c r="H260" s="25"/>
      <c r="I260" s="5"/>
      <c r="J260" s="5"/>
      <c r="K260" s="5"/>
      <c r="L260" s="5"/>
      <c r="M260" s="5"/>
      <c r="N260" s="186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</row>
    <row r="261" spans="1:68">
      <c r="A261" s="195">
        <f>'Données projet'!A275</f>
        <v>0</v>
      </c>
      <c r="B261" s="196">
        <f>'Données projet'!D275</f>
        <v>0</v>
      </c>
      <c r="C261" s="208"/>
      <c r="D261" s="197">
        <f t="shared" si="16"/>
        <v>0</v>
      </c>
      <c r="E261" s="210"/>
      <c r="F261" s="219"/>
      <c r="G261" s="227"/>
      <c r="H261" s="25"/>
      <c r="I261" s="5"/>
      <c r="J261" s="5"/>
      <c r="K261" s="5"/>
      <c r="L261" s="5"/>
      <c r="M261" s="5"/>
      <c r="N261" s="186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</row>
    <row r="262" spans="1:68">
      <c r="A262" s="195">
        <f>'Données projet'!A276</f>
        <v>0</v>
      </c>
      <c r="B262" s="196">
        <f>'Données projet'!D276</f>
        <v>0</v>
      </c>
      <c r="C262" s="208"/>
      <c r="D262" s="197">
        <f t="shared" si="16"/>
        <v>0</v>
      </c>
      <c r="E262" s="210"/>
      <c r="F262" s="219"/>
      <c r="G262" s="227"/>
      <c r="H262" s="25"/>
      <c r="I262" s="5"/>
      <c r="J262" s="5"/>
      <c r="K262" s="5"/>
      <c r="L262" s="5"/>
      <c r="M262" s="5"/>
      <c r="N262" s="186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</row>
    <row r="263" spans="1:68">
      <c r="A263" s="195">
        <f>'Données projet'!A277</f>
        <v>0</v>
      </c>
      <c r="B263" s="196">
        <f>'Données projet'!D277</f>
        <v>0</v>
      </c>
      <c r="C263" s="208"/>
      <c r="D263" s="197">
        <f t="shared" si="16"/>
        <v>0</v>
      </c>
      <c r="E263" s="210"/>
      <c r="F263" s="219"/>
      <c r="G263" s="227"/>
      <c r="H263" s="25"/>
      <c r="I263" s="5"/>
      <c r="J263" s="5"/>
      <c r="K263" s="5"/>
      <c r="L263" s="5"/>
      <c r="M263" s="5"/>
      <c r="N263" s="186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</row>
    <row r="264" spans="1:68">
      <c r="A264" s="195">
        <f>'Données projet'!A278</f>
        <v>0</v>
      </c>
      <c r="B264" s="196">
        <f>'Données projet'!D278</f>
        <v>0</v>
      </c>
      <c r="C264" s="208"/>
      <c r="D264" s="197">
        <f t="shared" si="16"/>
        <v>0</v>
      </c>
      <c r="E264" s="210"/>
      <c r="F264" s="219"/>
      <c r="G264" s="227"/>
      <c r="H264" s="25"/>
      <c r="I264" s="5"/>
      <c r="J264" s="5"/>
      <c r="K264" s="5"/>
      <c r="L264" s="5"/>
      <c r="M264" s="5"/>
      <c r="N264" s="186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</row>
    <row r="265" spans="1:68">
      <c r="A265" s="195">
        <f>'Données projet'!A279</f>
        <v>0</v>
      </c>
      <c r="B265" s="196">
        <f>'Données projet'!D279</f>
        <v>0</v>
      </c>
      <c r="C265" s="208"/>
      <c r="D265" s="197">
        <f t="shared" si="16"/>
        <v>0</v>
      </c>
      <c r="E265" s="210"/>
      <c r="F265" s="219"/>
      <c r="G265" s="227"/>
      <c r="H265" s="25"/>
      <c r="I265" s="5"/>
      <c r="J265" s="5"/>
      <c r="K265" s="5"/>
      <c r="L265" s="5"/>
      <c r="M265" s="5"/>
      <c r="N265" s="186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</row>
    <row r="266" spans="1:68">
      <c r="A266" s="195">
        <f>'Données projet'!A280</f>
        <v>0</v>
      </c>
      <c r="B266" s="196">
        <f>'Données projet'!D280</f>
        <v>0</v>
      </c>
      <c r="C266" s="208"/>
      <c r="D266" s="197">
        <f t="shared" si="16"/>
        <v>0</v>
      </c>
      <c r="E266" s="210"/>
      <c r="F266" s="219"/>
      <c r="G266" s="227"/>
      <c r="H266" s="25"/>
      <c r="I266" s="5"/>
      <c r="J266" s="5"/>
      <c r="K266" s="5"/>
      <c r="L266" s="5"/>
      <c r="M266" s="5"/>
      <c r="N266" s="186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</row>
    <row r="267" spans="1:68">
      <c r="A267" s="195">
        <f>'Données projet'!A281</f>
        <v>0</v>
      </c>
      <c r="B267" s="196">
        <f>'Données projet'!D281</f>
        <v>0</v>
      </c>
      <c r="C267" s="208"/>
      <c r="D267" s="197">
        <f t="shared" si="16"/>
        <v>0</v>
      </c>
      <c r="E267" s="210"/>
      <c r="F267" s="219"/>
      <c r="G267" s="227"/>
      <c r="H267" s="25"/>
      <c r="I267" s="5"/>
      <c r="J267" s="5"/>
      <c r="K267" s="5"/>
      <c r="L267" s="5"/>
      <c r="M267" s="5"/>
      <c r="N267" s="186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</row>
    <row r="268" spans="1:68">
      <c r="A268" s="195">
        <f>'Données projet'!A282</f>
        <v>0</v>
      </c>
      <c r="B268" s="196">
        <f>'Données projet'!D282</f>
        <v>0</v>
      </c>
      <c r="C268" s="208"/>
      <c r="D268" s="197">
        <f t="shared" si="16"/>
        <v>0</v>
      </c>
      <c r="E268" s="210"/>
      <c r="F268" s="219"/>
      <c r="G268" s="227"/>
      <c r="H268" s="25"/>
      <c r="I268" s="5"/>
      <c r="J268" s="5"/>
      <c r="K268" s="5"/>
      <c r="L268" s="5"/>
      <c r="M268" s="5"/>
      <c r="N268" s="186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</row>
    <row r="269" spans="1:68">
      <c r="A269" s="195">
        <f>'Données projet'!A283</f>
        <v>0</v>
      </c>
      <c r="B269" s="196">
        <f>'Données projet'!D283</f>
        <v>0</v>
      </c>
      <c r="C269" s="208"/>
      <c r="D269" s="197">
        <f t="shared" si="16"/>
        <v>0</v>
      </c>
      <c r="E269" s="210"/>
      <c r="F269" s="219"/>
      <c r="G269" s="227"/>
      <c r="H269" s="25"/>
      <c r="I269" s="5"/>
      <c r="J269" s="5"/>
      <c r="K269" s="5"/>
      <c r="L269" s="5"/>
      <c r="M269" s="5"/>
      <c r="N269" s="186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</row>
    <row r="270" spans="1:68">
      <c r="A270" s="195">
        <f>'Données projet'!A284</f>
        <v>0</v>
      </c>
      <c r="B270" s="196">
        <f>'Données projet'!D284</f>
        <v>0</v>
      </c>
      <c r="C270" s="208"/>
      <c r="D270" s="197">
        <f t="shared" si="16"/>
        <v>0</v>
      </c>
      <c r="E270" s="210"/>
      <c r="F270" s="219"/>
      <c r="G270" s="227"/>
      <c r="H270" s="25"/>
      <c r="I270" s="5"/>
      <c r="J270" s="5"/>
      <c r="K270" s="5"/>
      <c r="L270" s="5"/>
      <c r="M270" s="5"/>
      <c r="N270" s="186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</row>
    <row r="271" spans="1:68">
      <c r="A271" s="195">
        <f>'Données projet'!A285</f>
        <v>0</v>
      </c>
      <c r="B271" s="196">
        <f>'Données projet'!D285</f>
        <v>0</v>
      </c>
      <c r="C271" s="208"/>
      <c r="D271" s="197">
        <f t="shared" si="16"/>
        <v>0</v>
      </c>
      <c r="E271" s="210"/>
      <c r="F271" s="219"/>
      <c r="G271" s="227"/>
      <c r="H271" s="25"/>
      <c r="I271" s="5"/>
      <c r="J271" s="5"/>
      <c r="K271" s="5"/>
      <c r="L271" s="5"/>
      <c r="M271" s="5"/>
      <c r="N271" s="186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</row>
    <row r="272" spans="1:68">
      <c r="A272" s="195">
        <f>'Données projet'!A286</f>
        <v>0</v>
      </c>
      <c r="B272" s="196">
        <f>'Données projet'!D286</f>
        <v>0</v>
      </c>
      <c r="C272" s="208"/>
      <c r="D272" s="197">
        <f t="shared" si="16"/>
        <v>0</v>
      </c>
      <c r="E272" s="210"/>
      <c r="F272" s="219"/>
      <c r="G272" s="227"/>
      <c r="H272" s="25"/>
      <c r="I272" s="5"/>
      <c r="J272" s="5"/>
      <c r="K272" s="5"/>
      <c r="L272" s="5"/>
      <c r="M272" s="5"/>
      <c r="N272" s="186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</row>
    <row r="273" spans="1:60">
      <c r="A273" s="195">
        <f>'Données projet'!A287</f>
        <v>0</v>
      </c>
      <c r="B273" s="196">
        <f>'Données projet'!D287</f>
        <v>0</v>
      </c>
      <c r="C273" s="208"/>
      <c r="D273" s="197">
        <f t="shared" si="16"/>
        <v>0</v>
      </c>
      <c r="E273" s="210"/>
      <c r="F273" s="219"/>
      <c r="G273" s="227"/>
      <c r="H273" s="25"/>
      <c r="I273" s="5"/>
      <c r="J273" s="5"/>
      <c r="K273" s="5"/>
      <c r="L273" s="5"/>
      <c r="M273" s="5"/>
      <c r="N273" s="186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</row>
    <row r="274" spans="1:60">
      <c r="A274" s="195">
        <f>'Données projet'!A288</f>
        <v>0</v>
      </c>
      <c r="B274" s="196">
        <f>'Données projet'!D288</f>
        <v>0</v>
      </c>
      <c r="C274" s="208"/>
      <c r="D274" s="197">
        <f t="shared" si="16"/>
        <v>0</v>
      </c>
      <c r="E274" s="210"/>
      <c r="F274" s="219"/>
      <c r="G274" s="227"/>
      <c r="H274" s="25"/>
      <c r="I274" s="5"/>
      <c r="J274" s="5"/>
      <c r="K274" s="5"/>
      <c r="L274" s="5"/>
      <c r="M274" s="5"/>
      <c r="N274" s="186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</row>
    <row r="275" spans="1:60">
      <c r="A275" s="195">
        <f>'Données projet'!A289</f>
        <v>0</v>
      </c>
      <c r="B275" s="196">
        <f>'Données projet'!D289</f>
        <v>0</v>
      </c>
      <c r="C275" s="213"/>
      <c r="D275" s="197">
        <f t="shared" si="16"/>
        <v>0</v>
      </c>
      <c r="E275" s="210"/>
      <c r="F275" s="219"/>
      <c r="G275" s="227"/>
      <c r="H275" s="25"/>
      <c r="I275" s="5"/>
      <c r="J275" s="5"/>
      <c r="K275" s="5"/>
      <c r="L275" s="5"/>
      <c r="M275" s="5"/>
      <c r="N275" s="186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</row>
    <row r="276" spans="1:60">
      <c r="A276" s="5"/>
      <c r="B276" s="5"/>
      <c r="C276" s="5"/>
      <c r="D276" s="5"/>
      <c r="E276" s="5"/>
      <c r="F276" s="244"/>
      <c r="G276" s="244"/>
      <c r="H276" s="2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</row>
    <row r="277" spans="1:60">
      <c r="A277" s="5"/>
      <c r="B277" s="5"/>
      <c r="C277" s="5"/>
      <c r="D277" s="5"/>
      <c r="E277" s="5"/>
      <c r="F277" s="244"/>
      <c r="G277" s="244"/>
      <c r="H277" s="2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</row>
    <row r="278" spans="1:60">
      <c r="A278" s="5"/>
      <c r="B278" s="5"/>
      <c r="C278" s="5"/>
      <c r="D278" s="5"/>
      <c r="E278" s="5"/>
      <c r="F278" s="244"/>
      <c r="G278" s="244"/>
      <c r="H278" s="2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</row>
    <row r="279" spans="1:60">
      <c r="A279" s="5"/>
      <c r="B279" s="5"/>
      <c r="C279" s="5"/>
      <c r="D279" s="5"/>
      <c r="E279" s="5"/>
      <c r="F279" s="244"/>
      <c r="G279" s="244"/>
      <c r="H279" s="2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</row>
    <row r="280" spans="1:60">
      <c r="A280" s="5"/>
      <c r="B280" s="5"/>
      <c r="C280" s="5"/>
      <c r="D280" s="5"/>
      <c r="E280" s="5"/>
      <c r="F280" s="244"/>
      <c r="G280" s="244"/>
      <c r="H280" s="2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</row>
    <row r="281" spans="1:60">
      <c r="A281" s="5"/>
      <c r="B281" s="5"/>
      <c r="C281" s="5"/>
      <c r="D281" s="5"/>
      <c r="E281" s="5"/>
      <c r="F281" s="244"/>
      <c r="G281" s="244"/>
      <c r="H281" s="2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</row>
    <row r="282" spans="1:60">
      <c r="A282" s="5"/>
      <c r="B282" s="5"/>
      <c r="C282" s="5"/>
      <c r="D282" s="5"/>
      <c r="E282" s="5"/>
      <c r="F282" s="244"/>
      <c r="G282" s="244"/>
      <c r="H282" s="2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</row>
    <row r="283" spans="1:60">
      <c r="A283" s="5"/>
      <c r="B283" s="5"/>
      <c r="C283" s="5"/>
      <c r="D283" s="5"/>
      <c r="E283" s="5"/>
      <c r="F283" s="244"/>
      <c r="G283" s="244"/>
      <c r="H283" s="2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</row>
    <row r="284" spans="1:60">
      <c r="A284" s="5"/>
      <c r="B284" s="5"/>
      <c r="C284" s="5"/>
      <c r="D284" s="5"/>
      <c r="E284" s="5"/>
      <c r="F284" s="244"/>
      <c r="G284" s="244"/>
      <c r="H284" s="2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</row>
    <row r="285" spans="1:60">
      <c r="A285" s="5"/>
      <c r="B285" s="5"/>
      <c r="C285" s="5"/>
      <c r="D285" s="5"/>
      <c r="E285" s="5"/>
      <c r="F285" s="244"/>
      <c r="G285" s="244"/>
      <c r="H285" s="2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</row>
    <row r="286" spans="1:60">
      <c r="A286" s="5"/>
      <c r="B286" s="5"/>
      <c r="C286" s="5"/>
      <c r="D286" s="5"/>
      <c r="E286" s="5"/>
      <c r="F286" s="244"/>
      <c r="G286" s="244"/>
      <c r="H286" s="2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</row>
    <row r="287" spans="1:60">
      <c r="A287" s="5"/>
      <c r="B287" s="5"/>
      <c r="C287" s="5"/>
      <c r="D287" s="5"/>
      <c r="E287" s="5"/>
      <c r="F287" s="244"/>
      <c r="G287" s="244"/>
      <c r="H287" s="2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</row>
    <row r="288" spans="1:60">
      <c r="A288" s="5"/>
      <c r="B288" s="5"/>
      <c r="C288" s="5"/>
      <c r="D288" s="5"/>
      <c r="E288" s="5"/>
      <c r="F288" s="244"/>
      <c r="G288" s="244"/>
      <c r="H288" s="2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</row>
    <row r="289" spans="1:60">
      <c r="A289" s="5"/>
      <c r="B289" s="5"/>
      <c r="C289" s="5"/>
      <c r="D289" s="5"/>
      <c r="E289" s="5"/>
      <c r="F289" s="244"/>
      <c r="G289" s="244"/>
      <c r="H289" s="2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</row>
    <row r="290" spans="1:60">
      <c r="A290" s="5"/>
      <c r="B290" s="5"/>
      <c r="C290" s="5"/>
      <c r="D290" s="5"/>
      <c r="E290" s="5"/>
      <c r="F290" s="244"/>
      <c r="G290" s="244"/>
      <c r="H290" s="2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</row>
    <row r="291" spans="1:60">
      <c r="A291" s="5"/>
      <c r="B291" s="5"/>
      <c r="C291" s="5"/>
      <c r="D291" s="5"/>
      <c r="E291" s="5"/>
      <c r="F291" s="244"/>
      <c r="G291" s="244"/>
      <c r="H291" s="2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</row>
    <row r="292" spans="1:60">
      <c r="A292" s="5"/>
      <c r="B292" s="5"/>
      <c r="C292" s="5"/>
      <c r="D292" s="5"/>
      <c r="E292" s="5"/>
      <c r="F292" s="244"/>
      <c r="G292" s="244"/>
      <c r="H292" s="2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</row>
    <row r="293" spans="1:60">
      <c r="A293" s="5"/>
      <c r="B293" s="5"/>
      <c r="C293" s="5"/>
      <c r="D293" s="5"/>
      <c r="E293" s="5"/>
      <c r="F293" s="244"/>
      <c r="G293" s="244"/>
      <c r="H293" s="2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</row>
    <row r="294" spans="1:60">
      <c r="A294" s="5"/>
      <c r="B294" s="5"/>
      <c r="C294" s="5"/>
      <c r="D294" s="5"/>
      <c r="E294" s="5"/>
      <c r="F294" s="244"/>
      <c r="G294" s="244"/>
      <c r="H294" s="2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</row>
    <row r="295" spans="1:60">
      <c r="A295" s="5"/>
      <c r="B295" s="5"/>
      <c r="C295" s="5"/>
      <c r="D295" s="5"/>
      <c r="E295" s="5"/>
      <c r="F295" s="244"/>
      <c r="G295" s="244"/>
      <c r="H295" s="2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</row>
    <row r="296" spans="1:60">
      <c r="A296" s="5"/>
      <c r="B296" s="5"/>
      <c r="C296" s="5"/>
      <c r="D296" s="5"/>
      <c r="E296" s="5"/>
      <c r="F296" s="244"/>
      <c r="G296" s="244"/>
      <c r="H296" s="2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</row>
    <row r="297" spans="1:60">
      <c r="A297" s="5"/>
      <c r="B297" s="5"/>
      <c r="C297" s="5"/>
      <c r="D297" s="5"/>
      <c r="E297" s="5"/>
      <c r="F297" s="244"/>
      <c r="G297" s="244"/>
      <c r="H297" s="2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</row>
    <row r="298" spans="1:60">
      <c r="A298" s="5"/>
      <c r="B298" s="5"/>
      <c r="C298" s="5"/>
      <c r="D298" s="5"/>
      <c r="E298" s="5"/>
      <c r="F298" s="244"/>
      <c r="G298" s="244"/>
      <c r="H298" s="2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</row>
    <row r="299" spans="1:60">
      <c r="A299" s="5"/>
      <c r="B299" s="5"/>
      <c r="C299" s="5"/>
      <c r="D299" s="5"/>
      <c r="E299" s="5"/>
      <c r="F299" s="244"/>
      <c r="G299" s="244"/>
      <c r="H299" s="2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</row>
    <row r="300" spans="1:60">
      <c r="A300" s="5"/>
      <c r="B300" s="5"/>
      <c r="C300" s="5"/>
      <c r="D300" s="5"/>
      <c r="E300" s="5"/>
      <c r="F300" s="244"/>
      <c r="G300" s="244"/>
      <c r="H300" s="2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</row>
    <row r="301" spans="1:60">
      <c r="A301" s="5"/>
      <c r="B301" s="5"/>
      <c r="C301" s="5"/>
      <c r="D301" s="5"/>
      <c r="E301" s="5"/>
      <c r="F301" s="244"/>
      <c r="G301" s="244"/>
      <c r="H301" s="2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</row>
    <row r="302" spans="1:60">
      <c r="A302" s="5"/>
      <c r="B302" s="5"/>
      <c r="C302" s="5"/>
      <c r="D302" s="5"/>
      <c r="E302" s="5"/>
      <c r="F302" s="244"/>
      <c r="G302" s="244"/>
      <c r="H302" s="2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</row>
    <row r="303" spans="1:60">
      <c r="A303" s="5"/>
      <c r="B303" s="5"/>
      <c r="C303" s="5"/>
      <c r="D303" s="5"/>
      <c r="E303" s="5"/>
      <c r="F303" s="244"/>
      <c r="G303" s="244"/>
      <c r="H303" s="2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</row>
    <row r="304" spans="1:60">
      <c r="A304" s="5"/>
      <c r="B304" s="5"/>
      <c r="C304" s="5"/>
      <c r="D304" s="5"/>
      <c r="E304" s="5"/>
      <c r="F304" s="244"/>
      <c r="G304" s="244"/>
      <c r="H304" s="2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</row>
    <row r="305" spans="1:60">
      <c r="A305" s="5"/>
      <c r="B305" s="5"/>
      <c r="C305" s="5"/>
      <c r="D305" s="5"/>
      <c r="E305" s="5"/>
      <c r="F305" s="244"/>
      <c r="G305" s="244"/>
      <c r="H305" s="2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</row>
    <row r="306" spans="1:60">
      <c r="A306" s="5"/>
      <c r="B306" s="5"/>
      <c r="C306" s="5"/>
      <c r="D306" s="5"/>
      <c r="E306" s="5"/>
      <c r="F306" s="244"/>
      <c r="G306" s="244"/>
      <c r="H306" s="2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</row>
    <row r="307" spans="1:60">
      <c r="A307" s="5"/>
      <c r="B307" s="5"/>
      <c r="C307" s="5"/>
      <c r="D307" s="5"/>
      <c r="E307" s="5"/>
      <c r="F307" s="244"/>
      <c r="G307" s="244"/>
      <c r="H307" s="2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</row>
    <row r="308" spans="1:60">
      <c r="A308" s="5"/>
      <c r="B308" s="5"/>
      <c r="C308" s="5"/>
      <c r="D308" s="5"/>
      <c r="E308" s="5"/>
      <c r="F308" s="244"/>
      <c r="G308" s="244"/>
      <c r="H308" s="2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</row>
    <row r="309" spans="1:60">
      <c r="A309" s="5"/>
      <c r="B309" s="5"/>
      <c r="C309" s="5"/>
      <c r="D309" s="5"/>
      <c r="E309" s="5"/>
      <c r="F309" s="244"/>
      <c r="G309" s="244"/>
      <c r="H309" s="2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</row>
    <row r="310" spans="1:60">
      <c r="A310" s="5"/>
      <c r="B310" s="5"/>
      <c r="C310" s="5"/>
      <c r="D310" s="5"/>
      <c r="E310" s="5"/>
      <c r="F310" s="244"/>
      <c r="G310" s="244"/>
      <c r="H310" s="2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</row>
    <row r="311" spans="1:60">
      <c r="A311" s="5"/>
      <c r="B311" s="5"/>
      <c r="C311" s="5"/>
      <c r="D311" s="5"/>
      <c r="E311" s="5"/>
      <c r="F311" s="244"/>
      <c r="G311" s="244"/>
      <c r="H311" s="2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</row>
    <row r="312" spans="1:60">
      <c r="A312" s="5"/>
      <c r="B312" s="5"/>
      <c r="C312" s="5"/>
      <c r="D312" s="5"/>
      <c r="E312" s="5"/>
      <c r="F312" s="244"/>
      <c r="G312" s="244"/>
      <c r="H312" s="2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</row>
    <row r="313" spans="1:60">
      <c r="A313" s="5"/>
      <c r="B313" s="5"/>
      <c r="C313" s="5"/>
      <c r="D313" s="5"/>
      <c r="E313" s="5"/>
      <c r="F313" s="244"/>
      <c r="G313" s="244"/>
      <c r="H313" s="2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</row>
    <row r="314" spans="1:60">
      <c r="A314" s="5"/>
      <c r="B314" s="5"/>
      <c r="C314" s="5"/>
      <c r="D314" s="5"/>
      <c r="E314" s="5"/>
      <c r="F314" s="244"/>
      <c r="G314" s="244"/>
      <c r="H314" s="2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</row>
    <row r="315" spans="1:60">
      <c r="A315" s="5"/>
      <c r="B315" s="5"/>
      <c r="C315" s="5"/>
      <c r="D315" s="5"/>
      <c r="E315" s="5"/>
      <c r="F315" s="244"/>
      <c r="G315" s="244"/>
      <c r="H315" s="2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</row>
    <row r="316" spans="1:60">
      <c r="A316" s="5"/>
      <c r="B316" s="5"/>
      <c r="C316" s="5"/>
      <c r="D316" s="5"/>
      <c r="E316" s="5"/>
      <c r="F316" s="244"/>
      <c r="G316" s="244"/>
      <c r="H316" s="2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</row>
    <row r="317" spans="1:60">
      <c r="A317" s="5"/>
      <c r="B317" s="5"/>
      <c r="C317" s="5"/>
      <c r="D317" s="5"/>
      <c r="E317" s="5"/>
      <c r="F317" s="244"/>
      <c r="G317" s="244"/>
      <c r="H317" s="2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</row>
    <row r="318" spans="1:60">
      <c r="A318" s="5"/>
      <c r="B318" s="5"/>
      <c r="C318" s="5"/>
      <c r="D318" s="5"/>
      <c r="E318" s="5"/>
      <c r="F318" s="244"/>
      <c r="G318" s="7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</row>
    <row r="319" spans="1:60">
      <c r="A319" s="5"/>
      <c r="B319" s="5"/>
      <c r="C319" s="5"/>
      <c r="D319" s="5"/>
      <c r="E319" s="5"/>
      <c r="F319" s="244"/>
      <c r="G319" s="7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</row>
    <row r="320" spans="1:60">
      <c r="A320" s="5"/>
      <c r="B320" s="5"/>
      <c r="C320" s="5"/>
      <c r="D320" s="5"/>
      <c r="E320" s="5"/>
      <c r="F320" s="244"/>
      <c r="G320" s="7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</row>
    <row r="321" spans="1:60">
      <c r="A321" s="5"/>
      <c r="B321" s="5"/>
      <c r="C321" s="5"/>
      <c r="D321" s="5"/>
      <c r="E321" s="5"/>
      <c r="F321" s="244"/>
      <c r="G321" s="7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</row>
    <row r="322" spans="1:60">
      <c r="A322" s="5"/>
      <c r="B322" s="5"/>
      <c r="C322" s="5"/>
      <c r="D322" s="5"/>
      <c r="E322" s="5"/>
      <c r="F322" s="244"/>
      <c r="G322" s="7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</row>
    <row r="323" spans="1:60">
      <c r="A323" s="5"/>
      <c r="B323" s="5"/>
      <c r="C323" s="5"/>
      <c r="D323" s="5"/>
      <c r="E323" s="5"/>
      <c r="F323" s="244"/>
      <c r="G323" s="7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</row>
    <row r="324" spans="1:60">
      <c r="A324" s="5"/>
      <c r="B324" s="5"/>
      <c r="C324" s="5"/>
      <c r="D324" s="5"/>
      <c r="E324" s="5"/>
      <c r="F324" s="244"/>
      <c r="G324" s="7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</row>
    <row r="325" spans="1:60">
      <c r="A325" s="5"/>
      <c r="B325" s="5"/>
      <c r="C325" s="5"/>
      <c r="D325" s="5"/>
      <c r="E325" s="5"/>
      <c r="F325" s="244"/>
      <c r="G325" s="7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</row>
    <row r="326" spans="1:60">
      <c r="A326" s="5"/>
      <c r="B326" s="5"/>
      <c r="C326" s="5"/>
      <c r="D326" s="5"/>
      <c r="E326" s="5"/>
      <c r="F326" s="244"/>
      <c r="G326" s="7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</row>
    <row r="327" spans="1:60">
      <c r="A327" s="5"/>
      <c r="B327" s="5"/>
      <c r="C327" s="5"/>
      <c r="D327" s="5"/>
      <c r="E327" s="5"/>
      <c r="F327" s="244"/>
      <c r="G327" s="7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</row>
    <row r="328" spans="1:60">
      <c r="A328" s="5"/>
      <c r="B328" s="5"/>
      <c r="C328" s="5"/>
      <c r="D328" s="5"/>
      <c r="E328" s="5"/>
      <c r="F328" s="244"/>
      <c r="G328" s="7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</row>
    <row r="329" spans="1:60">
      <c r="A329" s="5"/>
      <c r="B329" s="5"/>
      <c r="C329" s="5"/>
      <c r="D329" s="5"/>
      <c r="E329" s="5"/>
      <c r="F329" s="244"/>
      <c r="G329" s="7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</row>
    <row r="330" spans="1:60">
      <c r="A330" s="5"/>
      <c r="B330" s="5"/>
      <c r="C330" s="5"/>
      <c r="D330" s="5"/>
      <c r="E330" s="5"/>
      <c r="F330" s="244"/>
      <c r="G330" s="7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</row>
    <row r="331" spans="1:60">
      <c r="A331" s="5"/>
      <c r="B331" s="5"/>
      <c r="C331" s="5"/>
      <c r="D331" s="5"/>
      <c r="E331" s="5"/>
      <c r="F331" s="244"/>
      <c r="G331" s="7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</row>
    <row r="332" spans="1:60">
      <c r="A332" s="5"/>
      <c r="B332" s="5"/>
      <c r="C332" s="5"/>
      <c r="D332" s="5"/>
      <c r="E332" s="5"/>
      <c r="F332" s="244"/>
      <c r="G332" s="7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</row>
    <row r="333" spans="1:60">
      <c r="A333" s="5"/>
      <c r="B333" s="5"/>
      <c r="C333" s="5"/>
      <c r="D333" s="5"/>
      <c r="E333" s="5"/>
      <c r="F333" s="244"/>
      <c r="G333" s="7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</row>
    <row r="334" spans="1:60">
      <c r="A334" s="5"/>
      <c r="B334" s="5"/>
      <c r="C334" s="5"/>
      <c r="D334" s="5"/>
      <c r="E334" s="5"/>
      <c r="F334" s="244"/>
      <c r="G334" s="7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</row>
    <row r="335" spans="1:60">
      <c r="A335" s="5"/>
      <c r="B335" s="5"/>
      <c r="C335" s="5"/>
      <c r="D335" s="5"/>
      <c r="E335" s="5"/>
      <c r="F335" s="244"/>
      <c r="G335" s="7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</row>
    <row r="336" spans="1:60">
      <c r="A336" s="5"/>
      <c r="B336" s="5"/>
      <c r="C336" s="5"/>
      <c r="D336" s="5"/>
      <c r="E336" s="5"/>
      <c r="F336" s="244"/>
      <c r="G336" s="7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</row>
    <row r="337" spans="1:60">
      <c r="A337" s="5"/>
      <c r="B337" s="5"/>
      <c r="C337" s="5"/>
      <c r="D337" s="5"/>
      <c r="E337" s="5"/>
      <c r="F337" s="244"/>
      <c r="G337" s="7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</row>
    <row r="338" spans="1:60">
      <c r="A338" s="5"/>
      <c r="B338" s="5"/>
      <c r="C338" s="5"/>
      <c r="D338" s="5"/>
      <c r="E338" s="5"/>
      <c r="F338" s="244"/>
      <c r="G338" s="7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</row>
    <row r="339" spans="1:60">
      <c r="A339" s="5"/>
      <c r="B339" s="5"/>
      <c r="C339" s="5"/>
      <c r="D339" s="5"/>
      <c r="E339" s="5"/>
      <c r="F339" s="244"/>
      <c r="G339" s="7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</row>
    <row r="340" spans="1:60">
      <c r="A340" s="5"/>
      <c r="B340" s="5"/>
      <c r="C340" s="5"/>
      <c r="D340" s="5"/>
      <c r="E340" s="5"/>
      <c r="F340" s="244"/>
      <c r="G340" s="7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</row>
    <row r="341" spans="1:60">
      <c r="A341" s="5"/>
      <c r="B341" s="5"/>
      <c r="C341" s="5"/>
      <c r="D341" s="5"/>
      <c r="E341" s="5"/>
      <c r="F341" s="244"/>
      <c r="G341" s="7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</row>
    <row r="342" spans="1:60">
      <c r="A342" s="5"/>
      <c r="B342" s="5"/>
      <c r="C342" s="5"/>
      <c r="D342" s="5"/>
      <c r="E342" s="5"/>
      <c r="F342" s="244"/>
      <c r="G342" s="7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</row>
    <row r="343" spans="1:60">
      <c r="A343" s="5"/>
      <c r="B343" s="5"/>
      <c r="C343" s="5"/>
      <c r="D343" s="5"/>
      <c r="E343" s="5"/>
      <c r="F343" s="244"/>
      <c r="G343" s="7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</row>
    <row r="344" spans="1:60">
      <c r="A344" s="5"/>
      <c r="B344" s="5"/>
      <c r="C344" s="5"/>
      <c r="D344" s="5"/>
      <c r="E344" s="5"/>
      <c r="F344" s="71"/>
      <c r="G344" s="7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</row>
    <row r="345" spans="1:60">
      <c r="A345" s="5"/>
      <c r="B345" s="5"/>
      <c r="C345" s="5"/>
      <c r="D345" s="5"/>
      <c r="E345" s="5"/>
      <c r="F345" s="71"/>
      <c r="G345" s="7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</row>
    <row r="346" spans="1:60">
      <c r="A346" s="5"/>
      <c r="B346" s="5"/>
      <c r="C346" s="5"/>
      <c r="D346" s="5"/>
      <c r="E346" s="5"/>
      <c r="F346" s="71"/>
      <c r="G346" s="7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</row>
    <row r="347" spans="1:60">
      <c r="A347" s="5"/>
      <c r="B347" s="5"/>
      <c r="C347" s="5"/>
      <c r="D347" s="5"/>
      <c r="E347" s="5"/>
      <c r="F347" s="71"/>
      <c r="G347" s="7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</row>
    <row r="348" spans="1:60">
      <c r="A348" s="5"/>
      <c r="B348" s="5"/>
      <c r="C348" s="5"/>
      <c r="D348" s="5"/>
      <c r="E348" s="5"/>
      <c r="F348" s="71"/>
      <c r="G348" s="7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</row>
    <row r="349" spans="1:60">
      <c r="A349" s="5"/>
      <c r="B349" s="5"/>
      <c r="C349" s="5"/>
      <c r="D349" s="5"/>
      <c r="E349" s="5"/>
      <c r="F349" s="71"/>
      <c r="G349" s="7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</row>
    <row r="350" spans="1:60">
      <c r="A350" s="5"/>
      <c r="B350" s="5"/>
      <c r="C350" s="5"/>
      <c r="D350" s="5"/>
      <c r="E350" s="5"/>
      <c r="F350" s="71"/>
      <c r="G350" s="7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</row>
    <row r="351" spans="1:60">
      <c r="A351" s="5"/>
      <c r="B351" s="5"/>
      <c r="C351" s="5"/>
      <c r="D351" s="5"/>
      <c r="E351" s="5"/>
      <c r="F351" s="71"/>
      <c r="G351" s="7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</row>
    <row r="352" spans="1:60">
      <c r="A352" s="5"/>
      <c r="B352" s="5"/>
      <c r="C352" s="5"/>
      <c r="D352" s="5"/>
      <c r="E352" s="5"/>
      <c r="F352" s="71"/>
      <c r="G352" s="7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</row>
    <row r="353" spans="1:60">
      <c r="A353" s="5"/>
      <c r="B353" s="5"/>
      <c r="C353" s="5"/>
      <c r="D353" s="5"/>
      <c r="E353" s="5"/>
      <c r="F353" s="71"/>
      <c r="G353" s="7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</row>
    <row r="354" spans="1:60">
      <c r="A354" s="5"/>
      <c r="B354" s="5"/>
      <c r="C354" s="5"/>
      <c r="D354" s="5"/>
      <c r="E354" s="5"/>
      <c r="F354" s="71"/>
      <c r="G354" s="7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</row>
    <row r="355" spans="1:60">
      <c r="A355" s="5"/>
      <c r="B355" s="5"/>
      <c r="C355" s="5"/>
      <c r="D355" s="5"/>
      <c r="E355" s="5"/>
      <c r="F355" s="71"/>
      <c r="G355" s="7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</row>
    <row r="356" spans="1:60">
      <c r="A356" s="5"/>
      <c r="B356" s="5"/>
      <c r="C356" s="5"/>
      <c r="D356" s="5"/>
      <c r="E356" s="5"/>
      <c r="F356" s="71"/>
      <c r="G356" s="7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</row>
    <row r="357" spans="1:60">
      <c r="A357" s="5"/>
      <c r="B357" s="5"/>
      <c r="C357" s="5"/>
      <c r="D357" s="5"/>
      <c r="E357" s="5"/>
      <c r="F357" s="71"/>
      <c r="G357" s="7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</row>
    <row r="358" spans="1:60">
      <c r="A358" s="5"/>
      <c r="B358" s="5"/>
      <c r="C358" s="5"/>
      <c r="D358" s="5"/>
      <c r="E358" s="5"/>
      <c r="F358" s="71"/>
      <c r="G358" s="7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</row>
    <row r="359" spans="1:60">
      <c r="A359" s="5"/>
      <c r="B359" s="5"/>
      <c r="C359" s="5"/>
      <c r="D359" s="5"/>
      <c r="E359" s="5"/>
      <c r="F359" s="71"/>
      <c r="G359" s="7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</row>
    <row r="360" spans="1:60">
      <c r="A360" s="5"/>
      <c r="B360" s="5"/>
      <c r="C360" s="5"/>
      <c r="D360" s="5"/>
      <c r="E360" s="5"/>
      <c r="F360" s="71"/>
      <c r="G360" s="7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</row>
    <row r="361" spans="1:60">
      <c r="A361" s="5"/>
      <c r="B361" s="5"/>
      <c r="C361" s="5"/>
      <c r="D361" s="5"/>
      <c r="E361" s="5"/>
      <c r="F361" s="71"/>
      <c r="G361" s="7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</row>
    <row r="362" spans="1:60">
      <c r="A362" s="5"/>
      <c r="B362" s="5"/>
      <c r="C362" s="5"/>
      <c r="D362" s="5"/>
      <c r="E362" s="5"/>
      <c r="F362" s="71"/>
      <c r="G362" s="7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</row>
    <row r="363" spans="1:60">
      <c r="A363" s="5"/>
      <c r="B363" s="5"/>
      <c r="C363" s="5"/>
      <c r="D363" s="5"/>
      <c r="E363" s="5"/>
      <c r="F363" s="71"/>
      <c r="G363" s="7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</row>
    <row r="364" spans="1:60">
      <c r="A364" s="5"/>
      <c r="B364" s="5"/>
      <c r="C364" s="5"/>
      <c r="D364" s="5"/>
      <c r="E364" s="5"/>
      <c r="F364" s="71"/>
      <c r="G364" s="7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</row>
    <row r="365" spans="1:60">
      <c r="A365" s="5"/>
      <c r="B365" s="5"/>
      <c r="C365" s="5"/>
      <c r="D365" s="5"/>
      <c r="E365" s="5"/>
      <c r="F365" s="71"/>
      <c r="G365" s="7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</row>
    <row r="366" spans="1:60">
      <c r="A366" s="5"/>
      <c r="B366" s="5"/>
      <c r="C366" s="5"/>
      <c r="D366" s="5"/>
      <c r="E366" s="5"/>
      <c r="F366" s="71"/>
      <c r="G366" s="7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</row>
    <row r="367" spans="1:60">
      <c r="A367" s="5"/>
      <c r="B367" s="5"/>
      <c r="C367" s="5"/>
      <c r="D367" s="5"/>
      <c r="E367" s="5"/>
      <c r="F367" s="71"/>
      <c r="G367" s="7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</row>
    <row r="368" spans="1:60">
      <c r="A368" s="5"/>
      <c r="B368" s="5"/>
      <c r="C368" s="5"/>
      <c r="D368" s="5"/>
      <c r="E368" s="5"/>
      <c r="F368" s="71"/>
      <c r="G368" s="7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</row>
    <row r="369" spans="1:60">
      <c r="A369" s="5"/>
      <c r="B369" s="5"/>
      <c r="C369" s="5"/>
      <c r="D369" s="5"/>
      <c r="E369" s="5"/>
      <c r="F369" s="71"/>
      <c r="G369" s="7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</row>
    <row r="370" spans="1:60">
      <c r="A370" s="5"/>
      <c r="B370" s="5"/>
      <c r="C370" s="5"/>
      <c r="D370" s="5"/>
      <c r="E370" s="5"/>
      <c r="F370" s="7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</row>
    <row r="371" spans="1:60">
      <c r="A371" s="5"/>
      <c r="B371" s="5"/>
      <c r="C371" s="5"/>
      <c r="D371" s="5"/>
      <c r="E371" s="5"/>
      <c r="F371" s="7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</row>
    <row r="372" spans="1:60">
      <c r="A372" s="5"/>
      <c r="B372" s="5"/>
      <c r="C372" s="5"/>
      <c r="D372" s="5"/>
      <c r="E372" s="5"/>
      <c r="F372" s="7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</row>
    <row r="373" spans="1:60">
      <c r="A373" s="5"/>
      <c r="B373" s="5"/>
      <c r="C373" s="5"/>
      <c r="D373" s="5"/>
      <c r="E373" s="5"/>
      <c r="F373" s="7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</row>
    <row r="374" spans="1:60">
      <c r="A374" s="5"/>
      <c r="B374" s="5"/>
      <c r="C374" s="5"/>
      <c r="D374" s="5"/>
      <c r="E374" s="5"/>
      <c r="F374" s="7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</row>
    <row r="375" spans="1:60">
      <c r="A375" s="5"/>
      <c r="B375" s="5"/>
      <c r="C375" s="5"/>
      <c r="D375" s="5"/>
      <c r="E375" s="5"/>
      <c r="F375" s="7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</row>
    <row r="376" spans="1:60">
      <c r="A376" s="5"/>
      <c r="B376" s="5"/>
      <c r="C376" s="5"/>
      <c r="D376" s="5"/>
      <c r="E376" s="5"/>
      <c r="F376" s="7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</row>
    <row r="377" spans="1:60">
      <c r="A377" s="5"/>
      <c r="B377" s="5"/>
      <c r="C377" s="5"/>
      <c r="D377" s="5"/>
      <c r="E377" s="5"/>
      <c r="F377" s="7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</row>
    <row r="378" spans="1:60">
      <c r="A378" s="5"/>
      <c r="B378" s="5"/>
      <c r="C378" s="5"/>
      <c r="D378" s="5"/>
      <c r="E378" s="5"/>
      <c r="F378" s="7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</row>
    <row r="379" spans="1:60">
      <c r="A379" s="5"/>
      <c r="B379" s="5"/>
      <c r="C379" s="5"/>
      <c r="D379" s="5"/>
      <c r="E379" s="5"/>
      <c r="F379" s="7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</row>
    <row r="380" spans="1:60">
      <c r="A380" s="5"/>
      <c r="B380" s="5"/>
      <c r="C380" s="5"/>
      <c r="D380" s="5"/>
      <c r="E380" s="5"/>
      <c r="F380" s="7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</row>
    <row r="381" spans="1:60">
      <c r="A381" s="5"/>
      <c r="B381" s="5"/>
      <c r="C381" s="5"/>
      <c r="D381" s="5"/>
      <c r="E381" s="5"/>
      <c r="F381" s="7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</row>
    <row r="382" spans="1:60">
      <c r="A382" s="5"/>
      <c r="B382" s="5"/>
      <c r="C382" s="5"/>
      <c r="D382" s="5"/>
      <c r="E382" s="5"/>
      <c r="F382" s="7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</row>
    <row r="383" spans="1:60">
      <c r="A383" s="5"/>
      <c r="B383" s="5"/>
      <c r="C383" s="5"/>
      <c r="D383" s="5"/>
      <c r="E383" s="5"/>
      <c r="F383" s="7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</row>
    <row r="384" spans="1:60">
      <c r="A384" s="5"/>
      <c r="B384" s="5"/>
      <c r="C384" s="5"/>
      <c r="D384" s="5"/>
      <c r="E384" s="5"/>
      <c r="F384" s="7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</row>
    <row r="385" spans="1:60">
      <c r="A385" s="5"/>
      <c r="B385" s="5"/>
      <c r="C385" s="5"/>
      <c r="D385" s="5"/>
      <c r="E385" s="5"/>
      <c r="F385" s="7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</row>
    <row r="386" spans="1:60">
      <c r="A386" s="5"/>
      <c r="B386" s="5"/>
      <c r="C386" s="5"/>
      <c r="D386" s="5"/>
      <c r="E386" s="5"/>
      <c r="F386" s="7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</row>
    <row r="387" spans="1:60">
      <c r="A387" s="5"/>
      <c r="B387" s="5"/>
      <c r="C387" s="5"/>
      <c r="D387" s="5"/>
      <c r="E387" s="5"/>
      <c r="F387" s="7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</row>
    <row r="388" spans="1:60">
      <c r="A388" s="5"/>
      <c r="B388" s="5"/>
      <c r="C388" s="5"/>
      <c r="D388" s="5"/>
      <c r="E388" s="5"/>
      <c r="F388" s="7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</row>
    <row r="389" spans="1:60">
      <c r="A389" s="5"/>
      <c r="B389" s="5"/>
      <c r="C389" s="5"/>
      <c r="D389" s="5"/>
      <c r="E389" s="5"/>
      <c r="F389" s="7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</row>
    <row r="390" spans="1:60"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</row>
    <row r="391" spans="1:60"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</row>
    <row r="392" spans="1:60"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</row>
    <row r="393" spans="1:60"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</row>
    <row r="394" spans="1:60"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</row>
    <row r="395" spans="1:60"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</row>
    <row r="396" spans="1:60"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</row>
    <row r="397" spans="1:60"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</row>
    <row r="398" spans="1:60"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</row>
    <row r="399" spans="1:60"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</row>
    <row r="400" spans="1:60"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</row>
    <row r="401" spans="15:60"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</row>
    <row r="402" spans="15:60"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</row>
    <row r="403" spans="15:60"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</row>
    <row r="404" spans="15:60"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</row>
    <row r="405" spans="15:60"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</row>
    <row r="406" spans="15:60"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</row>
    <row r="407" spans="15:60"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</row>
    <row r="408" spans="15:60"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</row>
    <row r="409" spans="15:60"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</row>
    <row r="410" spans="15:60"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</row>
    <row r="411" spans="15:60"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</row>
    <row r="412" spans="15:60"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</row>
    <row r="413" spans="15:60"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</row>
    <row r="414" spans="15:60"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</row>
    <row r="415" spans="15:60"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</row>
    <row r="416" spans="15:60"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</row>
    <row r="417" spans="15:60"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</row>
    <row r="418" spans="15:60"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</row>
    <row r="419" spans="15:60"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</row>
    <row r="420" spans="15:60"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</row>
    <row r="421" spans="15:60"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</row>
    <row r="422" spans="15:60"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</row>
    <row r="423" spans="15:60"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</row>
    <row r="424" spans="15:60"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</row>
    <row r="425" spans="15:60"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</row>
    <row r="426" spans="15:60"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</row>
    <row r="427" spans="15:60"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</row>
    <row r="428" spans="15:60"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</row>
    <row r="429" spans="15:60"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</row>
    <row r="430" spans="15:60"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</row>
    <row r="431" spans="15:60"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</row>
    <row r="432" spans="15:60"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</row>
    <row r="433" spans="15:60"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</row>
    <row r="434" spans="15:60"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</row>
    <row r="435" spans="15:60"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</row>
    <row r="436" spans="15:60"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</row>
    <row r="437" spans="15:60"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</row>
    <row r="438" spans="15:60"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</row>
    <row r="439" spans="15:60"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</row>
    <row r="440" spans="15:60"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</row>
    <row r="441" spans="15:60"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</row>
    <row r="442" spans="15:60"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</row>
    <row r="443" spans="15:60"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</row>
    <row r="444" spans="15:60"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</row>
    <row r="445" spans="15:60"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</row>
    <row r="446" spans="15:60"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</row>
    <row r="447" spans="15:60"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</row>
    <row r="448" spans="15:60"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</row>
    <row r="449" spans="15:60"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</row>
    <row r="450" spans="15:60"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</row>
    <row r="451" spans="15:60"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</row>
    <row r="452" spans="15:60"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</row>
    <row r="453" spans="15:60"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</row>
    <row r="454" spans="15:60"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</row>
    <row r="455" spans="15:60"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</row>
    <row r="456" spans="15:60"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</row>
    <row r="457" spans="15:60"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</row>
    <row r="458" spans="15:60"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</row>
    <row r="459" spans="15:60"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</row>
    <row r="460" spans="15:60"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</row>
    <row r="461" spans="15:60"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</row>
    <row r="462" spans="15:60"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</row>
    <row r="463" spans="15:60"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</row>
    <row r="464" spans="15:60"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</row>
    <row r="465" spans="15:60"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</row>
    <row r="466" spans="15:60"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</row>
    <row r="467" spans="15:60"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</row>
    <row r="468" spans="15:60"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</row>
    <row r="469" spans="15:60"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</row>
    <row r="470" spans="15:60"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</row>
    <row r="471" spans="15:60"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</row>
    <row r="472" spans="15:60"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</row>
    <row r="473" spans="15:60"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</row>
    <row r="474" spans="15:60"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</row>
    <row r="475" spans="15:60"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</row>
    <row r="476" spans="15:60"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</row>
    <row r="477" spans="15:60"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</row>
    <row r="478" spans="15:60"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</row>
    <row r="479" spans="15:60"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</row>
    <row r="480" spans="15:60"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</row>
    <row r="481" spans="15:60"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</row>
    <row r="482" spans="15:60"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</row>
    <row r="483" spans="15:60"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</row>
    <row r="484" spans="15:60"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</row>
    <row r="485" spans="15:60"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</row>
    <row r="486" spans="15:60"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</row>
    <row r="487" spans="15:60"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</row>
    <row r="488" spans="15:60"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</row>
    <row r="489" spans="15:60"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</row>
    <row r="490" spans="15:60"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</row>
    <row r="491" spans="15:60"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</row>
    <row r="492" spans="15:60"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</row>
    <row r="493" spans="15:60"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</row>
    <row r="494" spans="15:60"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</row>
    <row r="495" spans="15:60"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</row>
    <row r="496" spans="15:60"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</row>
    <row r="497" spans="15:60"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</row>
    <row r="498" spans="15:60"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</row>
    <row r="499" spans="15:60"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</row>
    <row r="500" spans="15:60"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</row>
  </sheetData>
  <sheetProtection algorithmName="SHA-512" hashValue="Skt2x5ArRO+DUfHz+yUhuKwjJj4NfSPPhP1vnoJKHVAOSRwauegOKb64oM555xzG4/B5BlQpk6VfNBN8XiUnzQ==" saltValue="hrh7tFj0jNEq+y73+Tro4g==" spinCount="100000" sheet="1" objects="1" scenarios="1"/>
  <mergeCells count="20">
    <mergeCell ref="E42:F42"/>
    <mergeCell ref="J36:L36"/>
    <mergeCell ref="J33:L33"/>
    <mergeCell ref="J34:L34"/>
    <mergeCell ref="J35:L35"/>
    <mergeCell ref="I37:L37"/>
    <mergeCell ref="O31:Q31"/>
    <mergeCell ref="O18:P18"/>
    <mergeCell ref="B2:S2"/>
    <mergeCell ref="I4:L4"/>
    <mergeCell ref="B6:C6"/>
    <mergeCell ref="O6:R6"/>
    <mergeCell ref="O17:P17"/>
    <mergeCell ref="I17:L17"/>
    <mergeCell ref="O19:P19"/>
    <mergeCell ref="O20:P20"/>
    <mergeCell ref="O30:Q30"/>
    <mergeCell ref="O24:S24"/>
    <mergeCell ref="O25:T26"/>
    <mergeCell ref="O23:Q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2021-10-04T16:35:39Z</dcterms:modified>
</cp:coreProperties>
</file>