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oma\Documents\URBAN ODYSSEY\OUTILS EXCEL\"/>
    </mc:Choice>
  </mc:AlternateContent>
  <bookViews>
    <workbookView xWindow="0" yWindow="0" windowWidth="23040" windowHeight="9192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6" l="1"/>
  <c r="J12" i="6"/>
  <c r="E47" i="6"/>
  <c r="E21" i="6"/>
  <c r="C55" i="6"/>
  <c r="C56" i="6"/>
  <c r="C57" i="6"/>
  <c r="C58" i="6"/>
  <c r="C59" i="6"/>
  <c r="C60" i="6"/>
  <c r="C61" i="6"/>
  <c r="C30" i="6"/>
  <c r="G72" i="1"/>
  <c r="F72" i="1"/>
  <c r="G38" i="1"/>
  <c r="F38" i="1"/>
  <c r="C10" i="1" l="1"/>
  <c r="C9" i="1"/>
  <c r="C49" i="6" l="1"/>
  <c r="C50" i="6"/>
  <c r="C51" i="6"/>
  <c r="C52" i="6"/>
  <c r="C53" i="6"/>
  <c r="C54" i="6"/>
  <c r="C48" i="6"/>
  <c r="G37" i="1"/>
  <c r="F37" i="1"/>
  <c r="C23" i="6" l="1"/>
  <c r="C24" i="6"/>
  <c r="C25" i="6"/>
  <c r="C26" i="6"/>
  <c r="C27" i="6"/>
  <c r="C28" i="6"/>
  <c r="C29" i="6"/>
  <c r="C22" i="6"/>
  <c r="AF205" i="2" l="1"/>
  <c r="O3" i="2" l="1"/>
  <c r="R30" i="6" l="1"/>
  <c r="R31" i="6" s="1"/>
  <c r="R32" i="6" s="1"/>
  <c r="R33" i="6" s="1"/>
  <c r="R34" i="6" s="1"/>
  <c r="R35" i="6" s="1"/>
  <c r="R36" i="6" s="1"/>
  <c r="R37" i="6" s="1"/>
  <c r="R38" i="6" s="1"/>
  <c r="R39" i="6" l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F14" i="1" a="1"/>
  <c r="F14" i="1" s="1"/>
  <c r="AD3" i="2" l="1"/>
  <c r="C19" i="7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56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30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04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52" i="6"/>
  <c r="B127" i="6"/>
  <c r="B128" i="6"/>
  <c r="B129" i="6"/>
  <c r="B130" i="6"/>
  <c r="B131" i="6"/>
  <c r="B132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26" i="6"/>
  <c r="B101" i="6"/>
  <c r="B103" i="6"/>
  <c r="B105" i="6"/>
  <c r="B107" i="6"/>
  <c r="B109" i="6"/>
  <c r="B111" i="6"/>
  <c r="B112" i="6"/>
  <c r="B114" i="6"/>
  <c r="B115" i="6"/>
  <c r="B116" i="6"/>
  <c r="B117" i="6"/>
  <c r="B118" i="6"/>
  <c r="B119" i="6"/>
  <c r="B100" i="6"/>
  <c r="B75" i="6"/>
  <c r="B77" i="6"/>
  <c r="B79" i="6"/>
  <c r="B81" i="6"/>
  <c r="B83" i="6"/>
  <c r="B85" i="6"/>
  <c r="B86" i="6"/>
  <c r="B88" i="6"/>
  <c r="B89" i="6"/>
  <c r="B90" i="6"/>
  <c r="B91" i="6"/>
  <c r="B92" i="6"/>
  <c r="B93" i="6"/>
  <c r="B74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48" i="6"/>
  <c r="B23" i="6"/>
  <c r="B24" i="6"/>
  <c r="B25" i="6"/>
  <c r="B26" i="6"/>
  <c r="B27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B133" i="6"/>
  <c r="I147" i="1" l="1"/>
  <c r="B113" i="6"/>
  <c r="B110" i="6"/>
  <c r="B108" i="6"/>
  <c r="B106" i="6"/>
  <c r="B104" i="6"/>
  <c r="B102" i="6"/>
  <c r="B87" i="6"/>
  <c r="B84" i="6"/>
  <c r="B82" i="6"/>
  <c r="B80" i="6"/>
  <c r="B78" i="6"/>
  <c r="B76" i="6"/>
  <c r="B28" i="6" l="1"/>
  <c r="K205" i="2"/>
  <c r="B22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9" i="6" l="1"/>
  <c r="CQ205" i="2"/>
  <c r="BV205" i="2"/>
  <c r="BA205" i="2"/>
  <c r="A6" i="4" l="1"/>
  <c r="A7" i="4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L3" i="2" s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257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56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30" i="6"/>
  <c r="D205" i="6"/>
  <c r="D206" i="6"/>
  <c r="D207" i="6"/>
  <c r="D208" i="6"/>
  <c r="D209" i="6"/>
  <c r="D210" i="6"/>
  <c r="D211" i="6"/>
  <c r="D212" i="6"/>
  <c r="D213" i="6"/>
  <c r="D215" i="6"/>
  <c r="D216" i="6"/>
  <c r="D217" i="6"/>
  <c r="D218" i="6"/>
  <c r="D219" i="6"/>
  <c r="D220" i="6"/>
  <c r="D221" i="6"/>
  <c r="D222" i="6"/>
  <c r="D223" i="6"/>
  <c r="D204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52" i="6"/>
  <c r="D127" i="6"/>
  <c r="D128" i="6"/>
  <c r="D129" i="6"/>
  <c r="D130" i="6"/>
  <c r="D131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26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00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74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48" i="6"/>
  <c r="B44" i="6"/>
  <c r="B18" i="6"/>
  <c r="A8" i="4"/>
  <c r="A9" i="4"/>
  <c r="A10" i="4"/>
  <c r="A11" i="4"/>
  <c r="A12" i="4"/>
  <c r="B174" i="6"/>
  <c r="A13" i="4"/>
  <c r="B200" i="6"/>
  <c r="A14" i="4"/>
  <c r="B226" i="6"/>
  <c r="B252" i="6"/>
  <c r="A15" i="4"/>
  <c r="B148" i="6"/>
  <c r="B122" i="6"/>
  <c r="B96" i="6"/>
  <c r="B70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22" i="6"/>
  <c r="D258" i="6"/>
  <c r="D214" i="6"/>
  <c r="D132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56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30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04" i="6"/>
  <c r="A190" i="6"/>
  <c r="A191" i="6"/>
  <c r="A192" i="6"/>
  <c r="A193" i="6"/>
  <c r="A194" i="6"/>
  <c r="A195" i="6"/>
  <c r="A196" i="6"/>
  <c r="A197" i="6"/>
  <c r="A179" i="6"/>
  <c r="A180" i="6"/>
  <c r="A181" i="6"/>
  <c r="A182" i="6"/>
  <c r="A183" i="6"/>
  <c r="A184" i="6"/>
  <c r="A185" i="6"/>
  <c r="A186" i="6"/>
  <c r="A187" i="6"/>
  <c r="A188" i="6"/>
  <c r="A189" i="6"/>
  <c r="A178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52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26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00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74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48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2" i="6"/>
  <c r="J29" i="6" l="1"/>
  <c r="J28" i="6"/>
  <c r="J25" i="6"/>
  <c r="J22" i="6"/>
  <c r="J27" i="6"/>
  <c r="J23" i="6"/>
  <c r="J21" i="6"/>
  <c r="J24" i="6"/>
  <c r="J26" i="6"/>
  <c r="J20" i="6"/>
  <c r="S30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I26" i="6"/>
  <c r="I28" i="6"/>
  <c r="I27" i="6"/>
  <c r="I24" i="6"/>
  <c r="I29" i="6"/>
  <c r="I23" i="6"/>
  <c r="I21" i="6"/>
  <c r="I22" i="6"/>
  <c r="I20" i="6"/>
  <c r="S58" i="6" l="1"/>
  <c r="H14" i="2"/>
  <c r="D15" i="2"/>
  <c r="G15" i="2" s="1"/>
  <c r="S31" i="6"/>
  <c r="I141" i="1"/>
  <c r="I167" i="1"/>
  <c r="S59" i="6" l="1"/>
  <c r="H15" i="2"/>
  <c r="D16" i="2"/>
  <c r="G16" i="2" s="1"/>
  <c r="S32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S60" i="6" l="1"/>
  <c r="H16" i="2"/>
  <c r="D17" i="2"/>
  <c r="G17" i="2" s="1"/>
  <c r="S33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GF3" i="2" s="1"/>
  <c r="FX3" i="2"/>
  <c r="FU1" i="2"/>
  <c r="GO3" i="2"/>
  <c r="FP3" i="2"/>
  <c r="FM3" i="2"/>
  <c r="FL3" i="2"/>
  <c r="FF3" i="2"/>
  <c r="FH3" i="2" s="1"/>
  <c r="FI3" i="2" s="1"/>
  <c r="FK3" i="2" s="1"/>
  <c r="FC3" i="2"/>
  <c r="EZ1" i="2"/>
  <c r="FT3" i="2"/>
  <c r="EU3" i="2"/>
  <c r="ER3" i="2"/>
  <c r="EQ3" i="2"/>
  <c r="EK3" i="2"/>
  <c r="EM3" i="2" s="1"/>
  <c r="EN3" i="2" s="1"/>
  <c r="EP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Z8" i="2" l="1"/>
  <c r="HA3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E9" i="2"/>
  <c r="GE28" i="2"/>
  <c r="GE50" i="2"/>
  <c r="GE73" i="2"/>
  <c r="GE92" i="2"/>
  <c r="GE114" i="2"/>
  <c r="GE137" i="2"/>
  <c r="GE156" i="2"/>
  <c r="GE178" i="2"/>
  <c r="GE201" i="2"/>
  <c r="GE10" i="2"/>
  <c r="GE33" i="2"/>
  <c r="GE52" i="2"/>
  <c r="GE74" i="2"/>
  <c r="GE97" i="2"/>
  <c r="GE116" i="2"/>
  <c r="GE138" i="2"/>
  <c r="GE161" i="2"/>
  <c r="GE180" i="2"/>
  <c r="GE202" i="2"/>
  <c r="GE12" i="2"/>
  <c r="GE34" i="2"/>
  <c r="GE57" i="2"/>
  <c r="GE76" i="2"/>
  <c r="GE98" i="2"/>
  <c r="GE121" i="2"/>
  <c r="GE140" i="2"/>
  <c r="GE162" i="2"/>
  <c r="GE185" i="2"/>
  <c r="GE17" i="2"/>
  <c r="GE36" i="2"/>
  <c r="GE58" i="2"/>
  <c r="GE81" i="2"/>
  <c r="GE100" i="2"/>
  <c r="GE122" i="2"/>
  <c r="GE145" i="2"/>
  <c r="GE164" i="2"/>
  <c r="GE186" i="2"/>
  <c r="GE18" i="2"/>
  <c r="GE41" i="2"/>
  <c r="GE60" i="2"/>
  <c r="GE82" i="2"/>
  <c r="GE105" i="2"/>
  <c r="GE124" i="2"/>
  <c r="GE146" i="2"/>
  <c r="GE169" i="2"/>
  <c r="GE188" i="2"/>
  <c r="GE20" i="2"/>
  <c r="GE68" i="2"/>
  <c r="GE130" i="2"/>
  <c r="GE193" i="2"/>
  <c r="GE25" i="2"/>
  <c r="GE84" i="2"/>
  <c r="GE132" i="2"/>
  <c r="GE194" i="2"/>
  <c r="GE26" i="2"/>
  <c r="GE89" i="2"/>
  <c r="GE148" i="2"/>
  <c r="GE196" i="2"/>
  <c r="GE42" i="2"/>
  <c r="GE90" i="2"/>
  <c r="GE153" i="2"/>
  <c r="GE44" i="2"/>
  <c r="GE106" i="2"/>
  <c r="GE154" i="2"/>
  <c r="GE65" i="2"/>
  <c r="GE113" i="2"/>
  <c r="GE172" i="2"/>
  <c r="GE4" i="2"/>
  <c r="GE49" i="2"/>
  <c r="GE66" i="2"/>
  <c r="GE108" i="2"/>
  <c r="GE129" i="2"/>
  <c r="GE170" i="2"/>
  <c r="GE177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67" i="2"/>
  <c r="GZ131" i="2"/>
  <c r="GZ195" i="2"/>
  <c r="GZ11" i="2"/>
  <c r="GZ75" i="2"/>
  <c r="GZ139" i="2"/>
  <c r="GZ203" i="2"/>
  <c r="GZ19" i="2"/>
  <c r="GZ83" i="2"/>
  <c r="GZ147" i="2"/>
  <c r="GZ27" i="2"/>
  <c r="GZ91" i="2"/>
  <c r="GZ155" i="2"/>
  <c r="GZ51" i="2"/>
  <c r="GZ115" i="2"/>
  <c r="GZ179" i="2"/>
  <c r="GZ171" i="2"/>
  <c r="GZ35" i="2"/>
  <c r="GZ187" i="2"/>
  <c r="GZ43" i="2"/>
  <c r="GZ59" i="2"/>
  <c r="GZ99" i="2"/>
  <c r="GZ107" i="2"/>
  <c r="GZ123" i="2"/>
  <c r="GZ163" i="2"/>
  <c r="S61" i="6"/>
  <c r="H17" i="2"/>
  <c r="D18" i="2"/>
  <c r="G18" i="2" s="1"/>
  <c r="S34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S62" i="6" l="1"/>
  <c r="H18" i="2"/>
  <c r="D19" i="2"/>
  <c r="G19" i="2" s="1"/>
  <c r="S35" i="6"/>
  <c r="B13" i="4"/>
  <c r="B15" i="4"/>
  <c r="K29" i="6"/>
  <c r="L29" i="6" s="1"/>
  <c r="B6" i="4"/>
  <c r="K20" i="6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L20" i="6" l="1"/>
  <c r="S63" i="6"/>
  <c r="H19" i="2"/>
  <c r="D20" i="2"/>
  <c r="G20" i="2" s="1"/>
  <c r="S36" i="6"/>
  <c r="J33" i="6" l="1"/>
  <c r="S64" i="6"/>
  <c r="H20" i="2"/>
  <c r="D21" i="2"/>
  <c r="G21" i="2" s="1"/>
  <c r="S37" i="6"/>
  <c r="S65" i="6" l="1"/>
  <c r="H21" i="2"/>
  <c r="D22" i="2"/>
  <c r="G22" i="2" s="1"/>
  <c r="S38" i="6"/>
  <c r="S66" i="6" l="1"/>
  <c r="H22" i="2"/>
  <c r="D23" i="2"/>
  <c r="G23" i="2" s="1"/>
  <c r="S39" i="6"/>
  <c r="S67" i="6" l="1"/>
  <c r="H23" i="2"/>
  <c r="D24" i="2"/>
  <c r="G24" i="2" s="1"/>
  <c r="S40" i="6"/>
  <c r="S68" i="6" l="1"/>
  <c r="H24" i="2"/>
  <c r="D25" i="2"/>
  <c r="G25" i="2" s="1"/>
  <c r="S41" i="6"/>
  <c r="S69" i="6" l="1"/>
  <c r="H25" i="2"/>
  <c r="D26" i="2"/>
  <c r="G26" i="2" s="1"/>
  <c r="S42" i="6"/>
  <c r="S70" i="6" l="1"/>
  <c r="H26" i="2"/>
  <c r="D27" i="2"/>
  <c r="G27" i="2" s="1"/>
  <c r="S43" i="6"/>
  <c r="S71" i="6" l="1"/>
  <c r="H27" i="2"/>
  <c r="D28" i="2"/>
  <c r="G28" i="2" s="1"/>
  <c r="S44" i="6"/>
  <c r="S72" i="6" l="1"/>
  <c r="H28" i="2"/>
  <c r="D29" i="2"/>
  <c r="G29" i="2" s="1"/>
  <c r="S45" i="6"/>
  <c r="S73" i="6" l="1"/>
  <c r="H29" i="2"/>
  <c r="D30" i="2"/>
  <c r="G30" i="2" s="1"/>
  <c r="S46" i="6"/>
  <c r="S74" i="6" l="1"/>
  <c r="H30" i="2"/>
  <c r="D31" i="2"/>
  <c r="G31" i="2" s="1"/>
  <c r="S47" i="6"/>
  <c r="S75" i="6" l="1"/>
  <c r="H31" i="2"/>
  <c r="D32" i="2"/>
  <c r="G32" i="2" s="1"/>
  <c r="S48" i="6"/>
  <c r="S76" i="6" l="1"/>
  <c r="H32" i="2"/>
  <c r="D33" i="2"/>
  <c r="G33" i="2" s="1"/>
  <c r="S49" i="6"/>
  <c r="S77" i="6" l="1"/>
  <c r="H33" i="2"/>
  <c r="D34" i="2"/>
  <c r="G34" i="2" s="1"/>
  <c r="S50" i="6"/>
  <c r="S78" i="6" l="1"/>
  <c r="H34" i="2"/>
  <c r="D35" i="2"/>
  <c r="G35" i="2" s="1"/>
  <c r="S51" i="6"/>
  <c r="S79" i="6" l="1"/>
  <c r="H35" i="2"/>
  <c r="D36" i="2"/>
  <c r="G36" i="2" s="1"/>
  <c r="S52" i="6"/>
  <c r="S80" i="6" l="1"/>
  <c r="H36" i="2"/>
  <c r="D37" i="2"/>
  <c r="G37" i="2" s="1"/>
  <c r="S53" i="6"/>
  <c r="Y3" i="2"/>
  <c r="AC3" i="2"/>
  <c r="S81" i="6" l="1"/>
  <c r="H37" i="2"/>
  <c r="D38" i="2"/>
  <c r="G38" i="2" s="1"/>
  <c r="S54" i="6"/>
  <c r="V3" i="2"/>
  <c r="U3" i="2"/>
  <c r="S82" i="6" l="1"/>
  <c r="H38" i="2"/>
  <c r="D39" i="2"/>
  <c r="G39" i="2" s="1"/>
  <c r="S55" i="6"/>
  <c r="I39" i="1"/>
  <c r="I38" i="1"/>
  <c r="S84" i="6" l="1"/>
  <c r="S83" i="6"/>
  <c r="H39" i="2"/>
  <c r="D40" i="2"/>
  <c r="G40" i="2" s="1"/>
  <c r="S57" i="6"/>
  <c r="S56" i="6"/>
  <c r="H40" i="2" l="1"/>
  <c r="D41" i="2"/>
  <c r="G41" i="2" s="1"/>
  <c r="P28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N4" i="2" s="1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HI4" i="2"/>
  <c r="EV4" i="2"/>
  <c r="DG4" i="2"/>
  <c r="FR4" i="2"/>
  <c r="DF4" i="2"/>
  <c r="GM4" i="2"/>
  <c r="EX4" i="2"/>
  <c r="FQ4" i="2"/>
  <c r="EW4" i="2"/>
  <c r="HH4" i="2"/>
  <c r="FS4" i="2"/>
  <c r="HG4" i="2"/>
  <c r="EC4" i="2"/>
  <c r="CM4" i="2"/>
  <c r="BR4" i="2"/>
  <c r="BQ4" i="2"/>
  <c r="DH4" i="2"/>
  <c r="EA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GN5" i="2" s="1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GL5" i="2" l="1"/>
  <c r="GM5" i="2"/>
  <c r="HG5" i="2"/>
  <c r="EV5" i="2"/>
  <c r="HH5" i="2"/>
  <c r="EW5" i="2"/>
  <c r="FS5" i="2"/>
  <c r="FQ5" i="2"/>
  <c r="HI5" i="2"/>
  <c r="FR5" i="2"/>
  <c r="EX5" i="2"/>
  <c r="DH5" i="2"/>
  <c r="DF5" i="2"/>
  <c r="EA5" i="2"/>
  <c r="EC5" i="2"/>
  <c r="EB5" i="2"/>
  <c r="DG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GM6" i="2" s="1"/>
  <c r="ET6" i="2"/>
  <c r="EW6" i="2" s="1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G6" i="2" s="1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GN6" i="2" l="1"/>
  <c r="EV6" i="2"/>
  <c r="HI6" i="2"/>
  <c r="FQ6" i="2"/>
  <c r="FR6" i="2"/>
  <c r="FS6" i="2"/>
  <c r="GL6" i="2"/>
  <c r="HH6" i="2"/>
  <c r="EX6" i="2"/>
  <c r="EC6" i="2"/>
  <c r="EB6" i="2"/>
  <c r="DH6" i="2"/>
  <c r="DF6" i="2"/>
  <c r="EA6" i="2"/>
  <c r="DG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G7" i="2" s="1"/>
  <c r="HF7" i="2"/>
  <c r="GK7" i="2"/>
  <c r="GS7" i="2"/>
  <c r="GG7" i="2"/>
  <c r="FX7" i="2"/>
  <c r="GR7" i="2"/>
  <c r="FL7" i="2"/>
  <c r="FC7" i="2"/>
  <c r="GH7" i="2"/>
  <c r="GN7" i="2" s="1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H7" i="2" l="1"/>
  <c r="EV7" i="2"/>
  <c r="GL7" i="2"/>
  <c r="GM7" i="2"/>
  <c r="FQ7" i="2"/>
  <c r="FR7" i="2"/>
  <c r="FS7" i="2"/>
  <c r="EW7" i="2"/>
  <c r="HI7" i="2"/>
  <c r="EX7" i="2"/>
  <c r="EA7" i="2"/>
  <c r="DH7" i="2"/>
  <c r="EB7" i="2"/>
  <c r="EC7" i="2"/>
  <c r="DF7" i="2"/>
  <c r="DG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N8" i="2" s="1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H8" i="2" l="1"/>
  <c r="EX8" i="2"/>
  <c r="FR8" i="2"/>
  <c r="HI8" i="2"/>
  <c r="EW8" i="2"/>
  <c r="GM8" i="2"/>
  <c r="FQ8" i="2"/>
  <c r="HG8" i="2"/>
  <c r="FS8" i="2"/>
  <c r="EV8" i="2"/>
  <c r="GL8" i="2"/>
  <c r="EB8" i="2"/>
  <c r="DH8" i="2"/>
  <c r="EC8" i="2"/>
  <c r="EA8" i="2"/>
  <c r="DF8" i="2"/>
  <c r="DG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EW9" i="2" s="1"/>
  <c r="DC9" i="2"/>
  <c r="W9" i="2"/>
  <c r="HF9" i="2"/>
  <c r="HB9" i="2"/>
  <c r="GR9" i="2"/>
  <c r="GH9" i="2"/>
  <c r="GN9" i="2" s="1"/>
  <c r="GK9" i="2"/>
  <c r="FW9" i="2"/>
  <c r="FM9" i="2"/>
  <c r="FP9" i="2"/>
  <c r="FB9" i="2"/>
  <c r="HC9" i="2"/>
  <c r="HH9" i="2" s="1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Q9" i="2"/>
  <c r="FR9" i="2"/>
  <c r="GM9" i="2"/>
  <c r="HI9" i="2"/>
  <c r="EV9" i="2"/>
  <c r="GL9" i="2"/>
  <c r="EX9" i="2"/>
  <c r="FS9" i="2"/>
  <c r="DH9" i="2"/>
  <c r="EC9" i="2"/>
  <c r="EA9" i="2"/>
  <c r="EB9" i="2"/>
  <c r="DF9" i="2"/>
  <c r="DG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GN10" i="2" s="1"/>
  <c r="FL10" i="2"/>
  <c r="FC10" i="2"/>
  <c r="GK10" i="2"/>
  <c r="FW10" i="2"/>
  <c r="FM10" i="2"/>
  <c r="FR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GM10" i="2" l="1"/>
  <c r="EX10" i="2"/>
  <c r="FQ10" i="2"/>
  <c r="EW10" i="2"/>
  <c r="HI10" i="2"/>
  <c r="GL10" i="2"/>
  <c r="HH10" i="2"/>
  <c r="EV10" i="2"/>
  <c r="HG10" i="2"/>
  <c r="FS10" i="2"/>
  <c r="DH10" i="2"/>
  <c r="EA10" i="2"/>
  <c r="EB10" i="2"/>
  <c r="EC10" i="2"/>
  <c r="DF10" i="2"/>
  <c r="DG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FR11" i="2" s="1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GN11" i="2" l="1"/>
  <c r="HH11" i="2"/>
  <c r="HG11" i="2"/>
  <c r="GM11" i="2"/>
  <c r="FQ11" i="2"/>
  <c r="HI11" i="2"/>
  <c r="EW11" i="2"/>
  <c r="EV11" i="2"/>
  <c r="FS11" i="2"/>
  <c r="EX11" i="2"/>
  <c r="GL11" i="2"/>
  <c r="AU11" i="2"/>
  <c r="EC11" i="2"/>
  <c r="EB11" i="2"/>
  <c r="EA11" i="2"/>
  <c r="DH11" i="2"/>
  <c r="DF11" i="2"/>
  <c r="DG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FQ12" i="2" s="1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GN12" i="2" l="1"/>
  <c r="HH12" i="2"/>
  <c r="EW12" i="2"/>
  <c r="GM12" i="2"/>
  <c r="GL12" i="2"/>
  <c r="FR12" i="2"/>
  <c r="HI12" i="2"/>
  <c r="HG12" i="2"/>
  <c r="EX12" i="2"/>
  <c r="EV12" i="2"/>
  <c r="FS12" i="2"/>
  <c r="DH12" i="2"/>
  <c r="AW12" i="2"/>
  <c r="EB12" i="2"/>
  <c r="EC12" i="2"/>
  <c r="EA12" i="2"/>
  <c r="AU12" i="2"/>
  <c r="DF12" i="2"/>
  <c r="DG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N13" i="2" s="1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V13" i="2" l="1"/>
  <c r="HH13" i="2"/>
  <c r="EX13" i="2"/>
  <c r="EW13" i="2"/>
  <c r="HI13" i="2"/>
  <c r="HG13" i="2"/>
  <c r="FQ13" i="2"/>
  <c r="FR13" i="2"/>
  <c r="GL13" i="2"/>
  <c r="FS13" i="2"/>
  <c r="GM13" i="2"/>
  <c r="DH13" i="2"/>
  <c r="AU13" i="2"/>
  <c r="DG13" i="2"/>
  <c r="DF13" i="2"/>
  <c r="EC13" i="2"/>
  <c r="EA13" i="2"/>
  <c r="EB13" i="2"/>
  <c r="CM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W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GN14" i="2" l="1"/>
  <c r="FR14" i="2"/>
  <c r="GL14" i="2"/>
  <c r="HI14" i="2"/>
  <c r="HH14" i="2"/>
  <c r="EV14" i="2"/>
  <c r="HG14" i="2"/>
  <c r="EX14" i="2"/>
  <c r="FS14" i="2"/>
  <c r="GM14" i="2"/>
  <c r="FQ14" i="2"/>
  <c r="AW14" i="2"/>
  <c r="DH14" i="2"/>
  <c r="EC14" i="2"/>
  <c r="EB14" i="2"/>
  <c r="EA14" i="2"/>
  <c r="CM14" i="2"/>
  <c r="DG14" i="2"/>
  <c r="DF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N15" i="2" s="1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H15" i="2" l="1"/>
  <c r="HG15" i="2"/>
  <c r="EW15" i="2"/>
  <c r="EX15" i="2"/>
  <c r="EV15" i="2"/>
  <c r="GL15" i="2"/>
  <c r="HI15" i="2"/>
  <c r="FR15" i="2"/>
  <c r="GM15" i="2"/>
  <c r="FQ15" i="2"/>
  <c r="FS15" i="2"/>
  <c r="CM15" i="2"/>
  <c r="EC15" i="2"/>
  <c r="EA15" i="2"/>
  <c r="EB15" i="2"/>
  <c r="DH15" i="2"/>
  <c r="DG15" i="2"/>
  <c r="DF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N16" i="2" s="1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V16" i="2" l="1"/>
  <c r="HI16" i="2"/>
  <c r="GL16" i="2"/>
  <c r="FR16" i="2"/>
  <c r="HH16" i="2"/>
  <c r="EX16" i="2"/>
  <c r="EW16" i="2"/>
  <c r="GM16" i="2"/>
  <c r="FS16" i="2"/>
  <c r="FQ16" i="2"/>
  <c r="HG16" i="2"/>
  <c r="EC16" i="2"/>
  <c r="EA16" i="2"/>
  <c r="EB16" i="2"/>
  <c r="DG16" i="2"/>
  <c r="DH16" i="2"/>
  <c r="DF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GL17" i="2" s="1"/>
  <c r="DY17" i="2"/>
  <c r="DD17" i="2"/>
  <c r="ET17" i="2"/>
  <c r="CH17" i="2"/>
  <c r="AS17" i="2"/>
  <c r="CI17" i="2"/>
  <c r="X17" i="2"/>
  <c r="AR17" i="2"/>
  <c r="ES17" i="2"/>
  <c r="EV17" i="2" s="1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GN17" i="2" l="1"/>
  <c r="EX17" i="2"/>
  <c r="FQ17" i="2"/>
  <c r="FR17" i="2"/>
  <c r="HG17" i="2"/>
  <c r="HI17" i="2"/>
  <c r="GM17" i="2"/>
  <c r="FS17" i="2"/>
  <c r="EW17" i="2"/>
  <c r="HH17" i="2"/>
  <c r="DG17" i="2"/>
  <c r="EC17" i="2"/>
  <c r="EA17" i="2"/>
  <c r="EB17" i="2"/>
  <c r="DH17" i="2"/>
  <c r="DF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GN18" i="2"/>
  <c r="HI18" i="2"/>
  <c r="FQ18" i="2"/>
  <c r="EV18" i="2"/>
  <c r="EW18" i="2"/>
  <c r="GM18" i="2"/>
  <c r="GL18" i="2"/>
  <c r="EX18" i="2"/>
  <c r="FR18" i="2"/>
  <c r="HH18" i="2"/>
  <c r="EC18" i="2"/>
  <c r="DG18" i="2"/>
  <c r="EB18" i="2"/>
  <c r="EA18" i="2"/>
  <c r="CM18" i="2"/>
  <c r="DH18" i="2"/>
  <c r="DF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HH19" i="2" s="1"/>
  <c r="GI19" i="2"/>
  <c r="FO19" i="2"/>
  <c r="FR19" i="2" s="1"/>
  <c r="ES19" i="2"/>
  <c r="ET19" i="2"/>
  <c r="DX19" i="2"/>
  <c r="DC19" i="2"/>
  <c r="DY19" i="2"/>
  <c r="DD19" i="2"/>
  <c r="BN19" i="2"/>
  <c r="FN19" i="2"/>
  <c r="FQ19" i="2" s="1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GN19" i="2" s="1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GM19" i="2" l="1"/>
  <c r="FS19" i="2"/>
  <c r="GL19" i="2"/>
  <c r="HG19" i="2"/>
  <c r="EW19" i="2"/>
  <c r="HI19" i="2"/>
  <c r="EV19" i="2"/>
  <c r="EX19" i="2"/>
  <c r="EC19" i="2"/>
  <c r="EB19" i="2"/>
  <c r="DG19" i="2"/>
  <c r="EA19" i="2"/>
  <c r="DH19" i="2"/>
  <c r="DF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FR20" i="2" s="1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N20" i="2" s="1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X20" i="2"/>
  <c r="EV20" i="2"/>
  <c r="HI20" i="2"/>
  <c r="GM20" i="2"/>
  <c r="EW20" i="2"/>
  <c r="HH20" i="2"/>
  <c r="GL20" i="2"/>
  <c r="HG20" i="2"/>
  <c r="FQ20" i="2"/>
  <c r="AV20" i="2"/>
  <c r="DG20" i="2"/>
  <c r="EC20" i="2"/>
  <c r="EA20" i="2"/>
  <c r="EB20" i="2"/>
  <c r="AW20" i="2"/>
  <c r="CM20" i="2"/>
  <c r="DH20" i="2"/>
  <c r="DF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G21" i="2" s="1"/>
  <c r="GK21" i="2"/>
  <c r="FW21" i="2"/>
  <c r="FM21" i="2"/>
  <c r="FS21" i="2" s="1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GN21" i="2" l="1"/>
  <c r="EW21" i="2"/>
  <c r="FQ21" i="2"/>
  <c r="GM21" i="2"/>
  <c r="FR21" i="2"/>
  <c r="GL21" i="2"/>
  <c r="HI21" i="2"/>
  <c r="HH21" i="2"/>
  <c r="EX21" i="2"/>
  <c r="EC21" i="2"/>
  <c r="DG21" i="2"/>
  <c r="EA21" i="2"/>
  <c r="EB21" i="2"/>
  <c r="DH21" i="2"/>
  <c r="DF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N22" i="2" s="1"/>
  <c r="GK22" i="2"/>
  <c r="FL22" i="2"/>
  <c r="FC22" i="2"/>
  <c r="FW22" i="2"/>
  <c r="FM22" i="2"/>
  <c r="FS22" i="2" s="1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FR22" i="2" l="1"/>
  <c r="EW22" i="2"/>
  <c r="EX22" i="2"/>
  <c r="GM22" i="2"/>
  <c r="GL22" i="2"/>
  <c r="HI22" i="2"/>
  <c r="HH22" i="2"/>
  <c r="EV22" i="2"/>
  <c r="HG22" i="2"/>
  <c r="FQ22" i="2"/>
  <c r="EC22" i="2"/>
  <c r="EA22" i="2"/>
  <c r="EB22" i="2"/>
  <c r="DH22" i="2"/>
  <c r="DG22" i="2"/>
  <c r="DF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G23" i="2" s="1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GN23" i="2" s="1"/>
  <c r="FW23" i="2"/>
  <c r="FM23" i="2"/>
  <c r="FS23" i="2" s="1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GL23" i="2" l="1"/>
  <c r="HI23" i="2"/>
  <c r="HH23" i="2"/>
  <c r="GM23" i="2"/>
  <c r="EX23" i="2"/>
  <c r="FQ23" i="2"/>
  <c r="FR23" i="2"/>
  <c r="EW23" i="2"/>
  <c r="EV23" i="2"/>
  <c r="DH23" i="2"/>
  <c r="DF23" i="2"/>
  <c r="DG23" i="2"/>
  <c r="EC23" i="2"/>
  <c r="EA23" i="2"/>
  <c r="EB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EV24" i="2" s="1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N24" i="2" s="1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FS24" i="2" s="1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X24" i="2"/>
  <c r="GL24" i="2"/>
  <c r="FR24" i="2"/>
  <c r="HI24" i="2"/>
  <c r="GM24" i="2"/>
  <c r="EW24" i="2"/>
  <c r="HG24" i="2"/>
  <c r="FQ24" i="2"/>
  <c r="CM24" i="2"/>
  <c r="DH24" i="2"/>
  <c r="EC24" i="2"/>
  <c r="EA24" i="2"/>
  <c r="EB24" i="2"/>
  <c r="DF24" i="2"/>
  <c r="DG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N25" i="2" s="1"/>
  <c r="GK25" i="2"/>
  <c r="FW25" i="2"/>
  <c r="FM25" i="2"/>
  <c r="FS25" i="2" s="1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H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GL25" i="2" l="1"/>
  <c r="FQ25" i="2"/>
  <c r="HI25" i="2"/>
  <c r="FR25" i="2"/>
  <c r="GM25" i="2"/>
  <c r="EV25" i="2"/>
  <c r="EX25" i="2"/>
  <c r="EW25" i="2"/>
  <c r="HG25" i="2"/>
  <c r="EC25" i="2"/>
  <c r="CM25" i="2"/>
  <c r="EB25" i="2"/>
  <c r="EA25" i="2"/>
  <c r="DH25" i="2"/>
  <c r="DG25" i="2"/>
  <c r="DF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H26" i="2" s="1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GN26" i="2"/>
  <c r="EV26" i="2"/>
  <c r="HG26" i="2"/>
  <c r="GM26" i="2"/>
  <c r="GL26" i="2"/>
  <c r="FR26" i="2"/>
  <c r="HI26" i="2"/>
  <c r="FQ26" i="2"/>
  <c r="EW26" i="2"/>
  <c r="EX26" i="2"/>
  <c r="EB26" i="2"/>
  <c r="CM26" i="2"/>
  <c r="EA26" i="2"/>
  <c r="EC26" i="2"/>
  <c r="DG26" i="2"/>
  <c r="DH26" i="2"/>
  <c r="DF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GN27" i="2" s="1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H27" i="2" l="1"/>
  <c r="FS27" i="2"/>
  <c r="FQ27" i="2"/>
  <c r="EW27" i="2"/>
  <c r="EV27" i="2"/>
  <c r="HI27" i="2"/>
  <c r="FR27" i="2"/>
  <c r="GL27" i="2"/>
  <c r="HG27" i="2"/>
  <c r="GM27" i="2"/>
  <c r="EX27" i="2"/>
  <c r="EC27" i="2"/>
  <c r="CM27" i="2"/>
  <c r="EA27" i="2"/>
  <c r="EB27" i="2"/>
  <c r="AW27" i="2"/>
  <c r="DG27" i="2"/>
  <c r="DH27" i="2"/>
  <c r="DF27" i="2"/>
  <c r="AV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EW28" i="2" s="1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GN28" i="2" l="1"/>
  <c r="FQ28" i="2"/>
  <c r="FR28" i="2"/>
  <c r="GL28" i="2"/>
  <c r="HI28" i="2"/>
  <c r="HH28" i="2"/>
  <c r="HG28" i="2"/>
  <c r="GM28" i="2"/>
  <c r="EX28" i="2"/>
  <c r="EV28" i="2"/>
  <c r="EC28" i="2"/>
  <c r="EB28" i="2"/>
  <c r="DG28" i="2"/>
  <c r="CM28" i="2"/>
  <c r="DF28" i="2"/>
  <c r="EA28" i="2"/>
  <c r="DH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HG29" i="2" s="1"/>
  <c r="GI29" i="2"/>
  <c r="GL29" i="2" s="1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N29" i="2" s="1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R29" i="2" l="1"/>
  <c r="HI29" i="2"/>
  <c r="GM29" i="2"/>
  <c r="EV29" i="2"/>
  <c r="HH29" i="2"/>
  <c r="EW29" i="2"/>
  <c r="EX29" i="2"/>
  <c r="FQ29" i="2"/>
  <c r="EC29" i="2"/>
  <c r="CM29" i="2"/>
  <c r="EA29" i="2"/>
  <c r="EB29" i="2"/>
  <c r="DH29" i="2"/>
  <c r="DG29" i="2"/>
  <c r="DF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GM30" i="2" s="1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FS30" i="2" s="1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GN30" i="2" l="1"/>
  <c r="EW30" i="2"/>
  <c r="FQ30" i="2"/>
  <c r="FR30" i="2"/>
  <c r="GL30" i="2"/>
  <c r="HI30" i="2"/>
  <c r="HH30" i="2"/>
  <c r="EV30" i="2"/>
  <c r="HG30" i="2"/>
  <c r="EX30" i="2"/>
  <c r="CM30" i="2"/>
  <c r="EA30" i="2"/>
  <c r="EB30" i="2"/>
  <c r="EC30" i="2"/>
  <c r="DH30" i="2"/>
  <c r="DG30" i="2"/>
  <c r="DF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GM31" i="2" s="1"/>
  <c r="HD31" i="2"/>
  <c r="HG31" i="2" s="1"/>
  <c r="HE31" i="2"/>
  <c r="HH31" i="2" s="1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GN31" i="2" s="1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FS31" i="2" l="1"/>
  <c r="EW31" i="2"/>
  <c r="EV31" i="2"/>
  <c r="GL31" i="2"/>
  <c r="HI31" i="2"/>
  <c r="FR31" i="2"/>
  <c r="EX31" i="2"/>
  <c r="FQ31" i="2"/>
  <c r="EB31" i="2"/>
  <c r="EC31" i="2"/>
  <c r="EA31" i="2"/>
  <c r="CM31" i="2"/>
  <c r="DH31" i="2"/>
  <c r="DF31" i="2"/>
  <c r="DG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GM32" i="2" s="1"/>
  <c r="HE32" i="2"/>
  <c r="FO32" i="2"/>
  <c r="GI32" i="2"/>
  <c r="DY32" i="2"/>
  <c r="ES32" i="2"/>
  <c r="DX32" i="2"/>
  <c r="FN32" i="2"/>
  <c r="FQ32" i="2" s="1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FS32" i="2" s="1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GN32" i="2" l="1"/>
  <c r="HG32" i="2"/>
  <c r="HH32" i="2"/>
  <c r="FR32" i="2"/>
  <c r="EX32" i="2"/>
  <c r="EW32" i="2"/>
  <c r="HI32" i="2"/>
  <c r="EV32" i="2"/>
  <c r="GL32" i="2"/>
  <c r="CM32" i="2"/>
  <c r="EC32" i="2"/>
  <c r="EB32" i="2"/>
  <c r="EA32" i="2"/>
  <c r="DH32" i="2"/>
  <c r="DF32" i="2"/>
  <c r="DG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GL33" i="2"/>
  <c r="FQ33" i="2"/>
  <c r="HI33" i="2"/>
  <c r="FR33" i="2"/>
  <c r="EX33" i="2"/>
  <c r="GM33" i="2"/>
  <c r="EW33" i="2"/>
  <c r="HH33" i="2"/>
  <c r="HG33" i="2"/>
  <c r="GN33" i="2"/>
  <c r="FS33" i="2"/>
  <c r="EB33" i="2"/>
  <c r="EA33" i="2"/>
  <c r="EC33" i="2"/>
  <c r="DF33" i="2"/>
  <c r="DG33" i="2"/>
  <c r="DH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FR34" i="2" s="1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GL34" i="2" l="1"/>
  <c r="HG34" i="2"/>
  <c r="EW34" i="2"/>
  <c r="GM34" i="2"/>
  <c r="EX34" i="2"/>
  <c r="HH34" i="2"/>
  <c r="FS34" i="2"/>
  <c r="HI34" i="2"/>
  <c r="DH34" i="2"/>
  <c r="GN34" i="2"/>
  <c r="EV34" i="2"/>
  <c r="FQ34" i="2"/>
  <c r="CM34" i="2"/>
  <c r="EB34" i="2"/>
  <c r="EA34" i="2"/>
  <c r="EC34" i="2"/>
  <c r="DF34" i="2"/>
  <c r="DG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G35" i="2" s="1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GN35" i="2"/>
  <c r="GM35" i="2"/>
  <c r="HI35" i="2"/>
  <c r="FS35" i="2"/>
  <c r="FQ35" i="2"/>
  <c r="EW35" i="2"/>
  <c r="EV35" i="2"/>
  <c r="EX35" i="2"/>
  <c r="FR35" i="2"/>
  <c r="GL35" i="2"/>
  <c r="DH35" i="2"/>
  <c r="EB35" i="2"/>
  <c r="EA35" i="2"/>
  <c r="CM35" i="2"/>
  <c r="EC35" i="2"/>
  <c r="DG35" i="2"/>
  <c r="DF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G36" i="2" l="1"/>
  <c r="FQ36" i="2"/>
  <c r="GL36" i="2"/>
  <c r="EV36" i="2"/>
  <c r="FS36" i="2"/>
  <c r="FR36" i="2"/>
  <c r="HI36" i="2"/>
  <c r="EW36" i="2"/>
  <c r="GM36" i="2"/>
  <c r="HH36" i="2"/>
  <c r="GN36" i="2"/>
  <c r="EX36" i="2"/>
  <c r="EA36" i="2"/>
  <c r="DH36" i="2"/>
  <c r="EB36" i="2"/>
  <c r="EC36" i="2"/>
  <c r="DF36" i="2"/>
  <c r="DG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FQ37" i="2" l="1"/>
  <c r="FR37" i="2"/>
  <c r="GL37" i="2"/>
  <c r="HI37" i="2"/>
  <c r="GM37" i="2"/>
  <c r="FS37" i="2"/>
  <c r="EV37" i="2"/>
  <c r="HH37" i="2"/>
  <c r="EX37" i="2"/>
  <c r="EW37" i="2"/>
  <c r="GN37" i="2"/>
  <c r="DH37" i="2"/>
  <c r="EB37" i="2"/>
  <c r="EA37" i="2"/>
  <c r="EC37" i="2"/>
  <c r="DG37" i="2"/>
  <c r="DF37" i="2"/>
  <c r="AV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HG38" i="2"/>
  <c r="FQ38" i="2"/>
  <c r="FS38" i="2"/>
  <c r="FR38" i="2"/>
  <c r="EW38" i="2"/>
  <c r="HI38" i="2"/>
  <c r="GM38" i="2"/>
  <c r="GN38" i="2"/>
  <c r="GL38" i="2"/>
  <c r="HH38" i="2"/>
  <c r="EX38" i="2"/>
  <c r="EB38" i="2"/>
  <c r="EA38" i="2"/>
  <c r="EC38" i="2"/>
  <c r="CM38" i="2"/>
  <c r="DH38" i="2"/>
  <c r="DG38" i="2"/>
  <c r="DF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R39" i="2" s="1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FQ39" i="2" l="1"/>
  <c r="HI39" i="2"/>
  <c r="EW39" i="2"/>
  <c r="EV39" i="2"/>
  <c r="GL39" i="2"/>
  <c r="EX39" i="2"/>
  <c r="FS39" i="2"/>
  <c r="HH39" i="2"/>
  <c r="HG39" i="2"/>
  <c r="GM39" i="2"/>
  <c r="GN39" i="2"/>
  <c r="AW39" i="2"/>
  <c r="CM39" i="2"/>
  <c r="EB39" i="2"/>
  <c r="EA39" i="2"/>
  <c r="EC39" i="2"/>
  <c r="DH39" i="2"/>
  <c r="DF39" i="2"/>
  <c r="DG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EV40" i="2" s="1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FQ40" i="2" l="1"/>
  <c r="HG40" i="2"/>
  <c r="GL40" i="2"/>
  <c r="HH40" i="2"/>
  <c r="FS40" i="2"/>
  <c r="FR40" i="2"/>
  <c r="EX40" i="2"/>
  <c r="EW40" i="2"/>
  <c r="GM40" i="2"/>
  <c r="GN40" i="2"/>
  <c r="HI40" i="2"/>
  <c r="CM40" i="2"/>
  <c r="EA40" i="2"/>
  <c r="EB40" i="2"/>
  <c r="EC40" i="2"/>
  <c r="DH40" i="2"/>
  <c r="DF40" i="2"/>
  <c r="DG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EV41" i="2" l="1"/>
  <c r="GN41" i="2"/>
  <c r="GL41" i="2"/>
  <c r="FQ41" i="2"/>
  <c r="EX41" i="2"/>
  <c r="EW41" i="2"/>
  <c r="FR41" i="2"/>
  <c r="HG41" i="2"/>
  <c r="FS41" i="2"/>
  <c r="GM41" i="2"/>
  <c r="HH41" i="2"/>
  <c r="HI41" i="2"/>
  <c r="CM41" i="2"/>
  <c r="AW41" i="2"/>
  <c r="EA41" i="2"/>
  <c r="EB41" i="2"/>
  <c r="EC41" i="2"/>
  <c r="DH41" i="2"/>
  <c r="DG41" i="2"/>
  <c r="DF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HH42" i="2" s="1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W42" i="2" l="1"/>
  <c r="GM42" i="2"/>
  <c r="GL42" i="2"/>
  <c r="EX42" i="2"/>
  <c r="HG42" i="2"/>
  <c r="HI42" i="2"/>
  <c r="FR42" i="2"/>
  <c r="GN42" i="2"/>
  <c r="FQ42" i="2"/>
  <c r="FS42" i="2"/>
  <c r="CM42" i="2"/>
  <c r="EA42" i="2"/>
  <c r="EB42" i="2"/>
  <c r="EC42" i="2"/>
  <c r="DH42" i="2"/>
  <c r="DF42" i="2"/>
  <c r="DG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R43" i="2" l="1"/>
  <c r="GN43" i="2"/>
  <c r="GL43" i="2"/>
  <c r="HH43" i="2"/>
  <c r="HI43" i="2"/>
  <c r="HG43" i="2"/>
  <c r="FQ43" i="2"/>
  <c r="EX43" i="2"/>
  <c r="EW43" i="2"/>
  <c r="GM43" i="2"/>
  <c r="FS43" i="2"/>
  <c r="EV43" i="2"/>
  <c r="EA43" i="2"/>
  <c r="EB43" i="2"/>
  <c r="CM43" i="2"/>
  <c r="EC43" i="2"/>
  <c r="AW43" i="2"/>
  <c r="DH43" i="2"/>
  <c r="DF43" i="2"/>
  <c r="DG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EV44" i="2" s="1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X44" i="2" l="1"/>
  <c r="GL44" i="2"/>
  <c r="HI44" i="2"/>
  <c r="FQ44" i="2"/>
  <c r="FR44" i="2"/>
  <c r="GM44" i="2"/>
  <c r="HH44" i="2"/>
  <c r="FS44" i="2"/>
  <c r="HG44" i="2"/>
  <c r="GN44" i="2"/>
  <c r="AU44" i="2"/>
  <c r="CM44" i="2"/>
  <c r="DH44" i="2"/>
  <c r="EB44" i="2"/>
  <c r="EA44" i="2"/>
  <c r="EC44" i="2"/>
  <c r="DG44" i="2"/>
  <c r="DF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H45" i="2" l="1"/>
  <c r="HG45" i="2"/>
  <c r="FS45" i="2"/>
  <c r="FQ45" i="2"/>
  <c r="FR45" i="2"/>
  <c r="GL45" i="2"/>
  <c r="GM45" i="2"/>
  <c r="HI45" i="2"/>
  <c r="EV45" i="2"/>
  <c r="GN45" i="2"/>
  <c r="EW45" i="2"/>
  <c r="EX45" i="2"/>
  <c r="CM45" i="2"/>
  <c r="DH45" i="2"/>
  <c r="EB45" i="2"/>
  <c r="EA45" i="2"/>
  <c r="EC45" i="2"/>
  <c r="DF45" i="2"/>
  <c r="DG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H46" i="2" l="1"/>
  <c r="GN46" i="2"/>
  <c r="EV46" i="2"/>
  <c r="HG46" i="2"/>
  <c r="HI46" i="2"/>
  <c r="FQ46" i="2"/>
  <c r="FR46" i="2"/>
  <c r="EW46" i="2"/>
  <c r="GM46" i="2"/>
  <c r="EX46" i="2"/>
  <c r="GL46" i="2"/>
  <c r="FS46" i="2"/>
  <c r="CM46" i="2"/>
  <c r="EB46" i="2"/>
  <c r="EA46" i="2"/>
  <c r="EC46" i="2"/>
  <c r="DH46" i="2"/>
  <c r="DF46" i="2"/>
  <c r="DG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R47" i="2" l="1"/>
  <c r="GL47" i="2"/>
  <c r="HH47" i="2"/>
  <c r="HG47" i="2"/>
  <c r="HI47" i="2"/>
  <c r="FQ47" i="2"/>
  <c r="FS47" i="2"/>
  <c r="EW47" i="2"/>
  <c r="EV47" i="2"/>
  <c r="EX47" i="2"/>
  <c r="GN47" i="2"/>
  <c r="GM47" i="2"/>
  <c r="CM47" i="2"/>
  <c r="EA47" i="2"/>
  <c r="EB47" i="2"/>
  <c r="EC47" i="2"/>
  <c r="DH47" i="2"/>
  <c r="DF47" i="2"/>
  <c r="DG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FR48" i="2" s="1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GM48" i="2" l="1"/>
  <c r="EW48" i="2"/>
  <c r="FS48" i="2"/>
  <c r="FQ48" i="2"/>
  <c r="HG48" i="2"/>
  <c r="HI48" i="2"/>
  <c r="EV48" i="2"/>
  <c r="GN48" i="2"/>
  <c r="GL48" i="2"/>
  <c r="EX48" i="2"/>
  <c r="CM48" i="2"/>
  <c r="EA48" i="2"/>
  <c r="EB48" i="2"/>
  <c r="EC48" i="2"/>
  <c r="DH48" i="2"/>
  <c r="DG48" i="2"/>
  <c r="DF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HG49" i="2" s="1"/>
  <c r="GJ49" i="2"/>
  <c r="FO49" i="2"/>
  <c r="FN49" i="2"/>
  <c r="GI49" i="2"/>
  <c r="DY49" i="2"/>
  <c r="DD49" i="2"/>
  <c r="ET49" i="2"/>
  <c r="EW49" i="2" s="1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GM49" i="2" s="1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H49" i="2" l="1"/>
  <c r="GN49" i="2"/>
  <c r="HI49" i="2"/>
  <c r="EV49" i="2"/>
  <c r="GL49" i="2"/>
  <c r="FS49" i="2"/>
  <c r="FQ49" i="2"/>
  <c r="EX49" i="2"/>
  <c r="FR49" i="2"/>
  <c r="CM49" i="2"/>
  <c r="DH49" i="2"/>
  <c r="EB49" i="2"/>
  <c r="EC49" i="2"/>
  <c r="EA49" i="2"/>
  <c r="DG49" i="2"/>
  <c r="DF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R50" i="2" l="1"/>
  <c r="HG50" i="2"/>
  <c r="EX50" i="2"/>
  <c r="FQ50" i="2"/>
  <c r="FS50" i="2"/>
  <c r="EW50" i="2"/>
  <c r="EV50" i="2"/>
  <c r="GM50" i="2"/>
  <c r="GL50" i="2"/>
  <c r="HI50" i="2"/>
  <c r="HH50" i="2"/>
  <c r="GN50" i="2"/>
  <c r="DH50" i="2"/>
  <c r="EA50" i="2"/>
  <c r="EB50" i="2"/>
  <c r="EC50" i="2"/>
  <c r="DG50" i="2"/>
  <c r="DF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GM51" i="2" l="1"/>
  <c r="HH51" i="2"/>
  <c r="HG51" i="2"/>
  <c r="FS51" i="2"/>
  <c r="EW51" i="2"/>
  <c r="GN51" i="2"/>
  <c r="FQ51" i="2"/>
  <c r="EV51" i="2"/>
  <c r="EX51" i="2"/>
  <c r="FR51" i="2"/>
  <c r="HI51" i="2"/>
  <c r="GL51" i="2"/>
  <c r="AW51" i="2"/>
  <c r="DH51" i="2"/>
  <c r="EB51" i="2"/>
  <c r="EA51" i="2"/>
  <c r="EC51" i="2"/>
  <c r="DF51" i="2"/>
  <c r="DG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HH52" i="2" s="1"/>
  <c r="GJ52" i="2"/>
  <c r="GM52" i="2" s="1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X52" i="2"/>
  <c r="GN52" i="2"/>
  <c r="EW52" i="2"/>
  <c r="FR52" i="2"/>
  <c r="FQ52" i="2"/>
  <c r="HG52" i="2"/>
  <c r="FS52" i="2"/>
  <c r="GL52" i="2"/>
  <c r="HI52" i="2"/>
  <c r="DH52" i="2"/>
  <c r="AU52" i="2"/>
  <c r="EB52" i="2"/>
  <c r="EA52" i="2"/>
  <c r="EC52" i="2"/>
  <c r="DF52" i="2"/>
  <c r="DG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Q53" i="2" s="1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GM53" i="2" s="1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FR53" i="2" l="1"/>
  <c r="FS53" i="2"/>
  <c r="GL53" i="2"/>
  <c r="HG53" i="2"/>
  <c r="EV53" i="2"/>
  <c r="HH53" i="2"/>
  <c r="EW53" i="2"/>
  <c r="GN53" i="2"/>
  <c r="HI53" i="2"/>
  <c r="EX53" i="2"/>
  <c r="EB53" i="2"/>
  <c r="EC53" i="2"/>
  <c r="EA53" i="2"/>
  <c r="AW53" i="2"/>
  <c r="DH53" i="2"/>
  <c r="DG53" i="2"/>
  <c r="DF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GM54" i="2" s="1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H54" i="2" l="1"/>
  <c r="HG54" i="2"/>
  <c r="FR54" i="2"/>
  <c r="GN54" i="2"/>
  <c r="GL54" i="2"/>
  <c r="EV54" i="2"/>
  <c r="FQ54" i="2"/>
  <c r="EX54" i="2"/>
  <c r="FS54" i="2"/>
  <c r="EW54" i="2"/>
  <c r="HI54" i="2"/>
  <c r="EA54" i="2"/>
  <c r="EB54" i="2"/>
  <c r="EC54" i="2"/>
  <c r="DH54" i="2"/>
  <c r="DF54" i="2"/>
  <c r="DG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G55" i="2" s="1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V55" i="2" l="1"/>
  <c r="HI55" i="2"/>
  <c r="GM55" i="2"/>
  <c r="GL55" i="2"/>
  <c r="FS55" i="2"/>
  <c r="HH55" i="2"/>
  <c r="EX55" i="2"/>
  <c r="FQ55" i="2"/>
  <c r="FR55" i="2"/>
  <c r="EW55" i="2"/>
  <c r="GN55" i="2"/>
  <c r="EB55" i="2"/>
  <c r="EA55" i="2"/>
  <c r="EC55" i="2"/>
  <c r="DH55" i="2"/>
  <c r="DG55" i="2"/>
  <c r="DF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R56" i="2" l="1"/>
  <c r="FQ56" i="2"/>
  <c r="HG56" i="2"/>
  <c r="EV56" i="2"/>
  <c r="EX56" i="2"/>
  <c r="HH56" i="2"/>
  <c r="FS56" i="2"/>
  <c r="GL56" i="2"/>
  <c r="GM56" i="2"/>
  <c r="GN56" i="2"/>
  <c r="EW56" i="2"/>
  <c r="HI56" i="2"/>
  <c r="EB56" i="2"/>
  <c r="EA56" i="2"/>
  <c r="EC56" i="2"/>
  <c r="DH56" i="2"/>
  <c r="DF56" i="2"/>
  <c r="DG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H57" i="2"/>
  <c r="EW57" i="2"/>
  <c r="GL57" i="2"/>
  <c r="FS57" i="2"/>
  <c r="FQ57" i="2"/>
  <c r="EX57" i="2"/>
  <c r="HG57" i="2"/>
  <c r="HI57" i="2"/>
  <c r="FR57" i="2"/>
  <c r="GM57" i="2"/>
  <c r="GN57" i="2"/>
  <c r="EA57" i="2"/>
  <c r="EC57" i="2"/>
  <c r="EB57" i="2"/>
  <c r="DH57" i="2"/>
  <c r="DF57" i="2"/>
  <c r="DG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GL58" i="2" s="1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GM58" i="2" l="1"/>
  <c r="EX58" i="2"/>
  <c r="HH58" i="2"/>
  <c r="EV58" i="2"/>
  <c r="HG58" i="2"/>
  <c r="FS58" i="2"/>
  <c r="GN58" i="2"/>
  <c r="FR58" i="2"/>
  <c r="FQ58" i="2"/>
  <c r="EW58" i="2"/>
  <c r="HI58" i="2"/>
  <c r="EB58" i="2"/>
  <c r="EA58" i="2"/>
  <c r="EC58" i="2"/>
  <c r="DH58" i="2"/>
  <c r="DF58" i="2"/>
  <c r="DG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FQ59" i="2" s="1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HG59" i="2"/>
  <c r="GN59" i="2"/>
  <c r="EW59" i="2"/>
  <c r="FS59" i="2"/>
  <c r="GM59" i="2"/>
  <c r="EV59" i="2"/>
  <c r="FR59" i="2"/>
  <c r="HI59" i="2"/>
  <c r="GL59" i="2"/>
  <c r="EX59" i="2"/>
  <c r="DH59" i="2"/>
  <c r="EB59" i="2"/>
  <c r="EA59" i="2"/>
  <c r="EC59" i="2"/>
  <c r="DG59" i="2"/>
  <c r="DF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GM60" i="2" s="1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FR60" i="2"/>
  <c r="HI60" i="2"/>
  <c r="EW60" i="2"/>
  <c r="HG60" i="2"/>
  <c r="FS60" i="2"/>
  <c r="EV60" i="2"/>
  <c r="EX60" i="2"/>
  <c r="GN60" i="2"/>
  <c r="FQ60" i="2"/>
  <c r="GL60" i="2"/>
  <c r="DH60" i="2"/>
  <c r="EA60" i="2"/>
  <c r="EB60" i="2"/>
  <c r="EC60" i="2"/>
  <c r="DG60" i="2"/>
  <c r="DF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HH61" i="2" s="1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G61" i="2" l="1"/>
  <c r="GN61" i="2"/>
  <c r="GM61" i="2"/>
  <c r="EX61" i="2"/>
  <c r="EV61" i="2"/>
  <c r="EW61" i="2"/>
  <c r="FS61" i="2"/>
  <c r="FQ61" i="2"/>
  <c r="FR61" i="2"/>
  <c r="HI61" i="2"/>
  <c r="GL61" i="2"/>
  <c r="EA61" i="2"/>
  <c r="DH61" i="2"/>
  <c r="EB61" i="2"/>
  <c r="EC61" i="2"/>
  <c r="DF61" i="2"/>
  <c r="DG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GM62" i="2" s="1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V62" i="2"/>
  <c r="HG62" i="2"/>
  <c r="FS62" i="2"/>
  <c r="FQ62" i="2"/>
  <c r="FR62" i="2"/>
  <c r="EX62" i="2"/>
  <c r="EW62" i="2"/>
  <c r="HI62" i="2"/>
  <c r="GN62" i="2"/>
  <c r="GL62" i="2"/>
  <c r="EB62" i="2"/>
  <c r="EC62" i="2"/>
  <c r="EA62" i="2"/>
  <c r="DH62" i="2"/>
  <c r="DF62" i="2"/>
  <c r="DG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H63" i="2" l="1"/>
  <c r="HG63" i="2"/>
  <c r="EX63" i="2"/>
  <c r="FQ63" i="2"/>
  <c r="EW63" i="2"/>
  <c r="FS63" i="2"/>
  <c r="EV63" i="2"/>
  <c r="FR63" i="2"/>
  <c r="GM63" i="2"/>
  <c r="GN63" i="2"/>
  <c r="GL63" i="2"/>
  <c r="HI63" i="2"/>
  <c r="EC63" i="2"/>
  <c r="EA63" i="2"/>
  <c r="EB63" i="2"/>
  <c r="DH63" i="2"/>
  <c r="DG63" i="2"/>
  <c r="DF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FQ64" i="2" s="1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GL64" i="2" l="1"/>
  <c r="GM64" i="2"/>
  <c r="FS64" i="2"/>
  <c r="FR64" i="2"/>
  <c r="EW64" i="2"/>
  <c r="HH64" i="2"/>
  <c r="HI64" i="2"/>
  <c r="HG64" i="2"/>
  <c r="EX64" i="2"/>
  <c r="GN64" i="2"/>
  <c r="EV64" i="2"/>
  <c r="EC64" i="2"/>
  <c r="EA64" i="2"/>
  <c r="EB64" i="2"/>
  <c r="DH64" i="2"/>
  <c r="DG64" i="2"/>
  <c r="DF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GM65" i="2" s="1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FQ65" i="2" s="1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HG65" i="2" l="1"/>
  <c r="FR65" i="2"/>
  <c r="HI65" i="2"/>
  <c r="HH65" i="2"/>
  <c r="EW65" i="2"/>
  <c r="FS65" i="2"/>
  <c r="EV65" i="2"/>
  <c r="GN65" i="2"/>
  <c r="GL65" i="2"/>
  <c r="EX65" i="2"/>
  <c r="EC65" i="2"/>
  <c r="DH65" i="2"/>
  <c r="EB65" i="2"/>
  <c r="EA65" i="2"/>
  <c r="DG65" i="2"/>
  <c r="DF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Q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R66" i="2" l="1"/>
  <c r="GN66" i="2"/>
  <c r="EW66" i="2"/>
  <c r="GM66" i="2"/>
  <c r="FS66" i="2"/>
  <c r="GL66" i="2"/>
  <c r="HH66" i="2"/>
  <c r="HG66" i="2"/>
  <c r="HI66" i="2"/>
  <c r="EV66" i="2"/>
  <c r="EX66" i="2"/>
  <c r="EA66" i="2"/>
  <c r="EB66" i="2"/>
  <c r="DH66" i="2"/>
  <c r="EC66" i="2"/>
  <c r="DG66" i="2"/>
  <c r="DF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FQ67" i="2" s="1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G67" i="2" l="1"/>
  <c r="GM67" i="2"/>
  <c r="FR67" i="2"/>
  <c r="GL67" i="2"/>
  <c r="HH67" i="2"/>
  <c r="FS67" i="2"/>
  <c r="EX67" i="2"/>
  <c r="EW67" i="2"/>
  <c r="GN67" i="2"/>
  <c r="EV67" i="2"/>
  <c r="HI67" i="2"/>
  <c r="EA67" i="2"/>
  <c r="DH67" i="2"/>
  <c r="EC67" i="2"/>
  <c r="EB67" i="2"/>
  <c r="DG67" i="2"/>
  <c r="DF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Q68" i="2" s="1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HG68" i="2" l="1"/>
  <c r="GN68" i="2"/>
  <c r="GL68" i="2"/>
  <c r="EX68" i="2"/>
  <c r="EV68" i="2"/>
  <c r="FS68" i="2"/>
  <c r="GM68" i="2"/>
  <c r="FR68" i="2"/>
  <c r="EW68" i="2"/>
  <c r="HH68" i="2"/>
  <c r="HI68" i="2"/>
  <c r="EC68" i="2"/>
  <c r="EB68" i="2"/>
  <c r="DH68" i="2"/>
  <c r="EA68" i="2"/>
  <c r="DG68" i="2"/>
  <c r="DF68" i="2"/>
  <c r="AU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GM69" i="2" s="1"/>
  <c r="HD69" i="2"/>
  <c r="GI69" i="2"/>
  <c r="FO69" i="2"/>
  <c r="FN69" i="2"/>
  <c r="ET69" i="2"/>
  <c r="EW69" i="2" s="1"/>
  <c r="ES69" i="2"/>
  <c r="EV69" i="2" s="1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Q69" i="2" l="1"/>
  <c r="FS69" i="2"/>
  <c r="FR69" i="2"/>
  <c r="GL69" i="2"/>
  <c r="EX69" i="2"/>
  <c r="HG69" i="2"/>
  <c r="HI69" i="2"/>
  <c r="GN69" i="2"/>
  <c r="HH69" i="2"/>
  <c r="EA69" i="2"/>
  <c r="EC69" i="2"/>
  <c r="EB69" i="2"/>
  <c r="DH69" i="2"/>
  <c r="DG69" i="2"/>
  <c r="DF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HH70" i="2" s="1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Q70" i="2" s="1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GN70" i="2"/>
  <c r="GM70" i="2"/>
  <c r="HI70" i="2"/>
  <c r="GL70" i="2"/>
  <c r="EX70" i="2"/>
  <c r="HG70" i="2"/>
  <c r="EV70" i="2"/>
  <c r="FS70" i="2"/>
  <c r="FR70" i="2"/>
  <c r="EC70" i="2"/>
  <c r="EA70" i="2"/>
  <c r="EB70" i="2"/>
  <c r="DH70" i="2"/>
  <c r="DF70" i="2"/>
  <c r="DG70" i="2"/>
  <c r="AU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G71" i="2" l="1"/>
  <c r="FQ71" i="2"/>
  <c r="FR71" i="2"/>
  <c r="EX71" i="2"/>
  <c r="EW71" i="2"/>
  <c r="EV71" i="2"/>
  <c r="HI71" i="2"/>
  <c r="GM71" i="2"/>
  <c r="GL71" i="2"/>
  <c r="GN71" i="2"/>
  <c r="HH71" i="2"/>
  <c r="FS71" i="2"/>
  <c r="EC71" i="2"/>
  <c r="EB71" i="2"/>
  <c r="EA71" i="2"/>
  <c r="DH71" i="2"/>
  <c r="DF71" i="2"/>
  <c r="DG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EW72" i="2" s="1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V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G72" i="2" l="1"/>
  <c r="FR72" i="2"/>
  <c r="HI72" i="2"/>
  <c r="FQ72" i="2"/>
  <c r="FS72" i="2"/>
  <c r="EX72" i="2"/>
  <c r="GL72" i="2"/>
  <c r="GM72" i="2"/>
  <c r="GN72" i="2"/>
  <c r="HH72" i="2"/>
  <c r="EC72" i="2"/>
  <c r="EB72" i="2"/>
  <c r="EA72" i="2"/>
  <c r="DH72" i="2"/>
  <c r="DF72" i="2"/>
  <c r="DG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EV73" i="2" s="1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G73" i="2" l="1"/>
  <c r="GN73" i="2"/>
  <c r="GM73" i="2"/>
  <c r="HH73" i="2"/>
  <c r="EW73" i="2"/>
  <c r="EX73" i="2"/>
  <c r="GL73" i="2"/>
  <c r="FS73" i="2"/>
  <c r="FQ73" i="2"/>
  <c r="HI73" i="2"/>
  <c r="FR73" i="2"/>
  <c r="EB73" i="2"/>
  <c r="EC73" i="2"/>
  <c r="EA73" i="2"/>
  <c r="DH73" i="2"/>
  <c r="DF73" i="2"/>
  <c r="DG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Q74" i="2" s="1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EV74" i="2" s="1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EW74" i="2"/>
  <c r="EX74" i="2"/>
  <c r="GM74" i="2"/>
  <c r="GL74" i="2"/>
  <c r="HH74" i="2"/>
  <c r="HG74" i="2"/>
  <c r="HI74" i="2"/>
  <c r="GN74" i="2"/>
  <c r="DH74" i="2"/>
  <c r="EA74" i="2"/>
  <c r="EC74" i="2"/>
  <c r="EB74" i="2"/>
  <c r="DF74" i="2"/>
  <c r="DG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V75" i="2"/>
  <c r="FR75" i="2"/>
  <c r="GL75" i="2"/>
  <c r="HH75" i="2"/>
  <c r="FQ75" i="2"/>
  <c r="EX75" i="2"/>
  <c r="EW75" i="2"/>
  <c r="GM75" i="2"/>
  <c r="GN75" i="2"/>
  <c r="FS75" i="2"/>
  <c r="DH75" i="2"/>
  <c r="HI75" i="2"/>
  <c r="EA75" i="2"/>
  <c r="EB75" i="2"/>
  <c r="EC75" i="2"/>
  <c r="DF75" i="2"/>
  <c r="DG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EV76" i="2" s="1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GM76" i="2" l="1"/>
  <c r="HH76" i="2"/>
  <c r="GN76" i="2"/>
  <c r="HG76" i="2"/>
  <c r="EX76" i="2"/>
  <c r="EW76" i="2"/>
  <c r="HI76" i="2"/>
  <c r="GL76" i="2"/>
  <c r="FQ76" i="2"/>
  <c r="FR76" i="2"/>
  <c r="FS76" i="2"/>
  <c r="EB76" i="2"/>
  <c r="EA76" i="2"/>
  <c r="DH76" i="2"/>
  <c r="EC76" i="2"/>
  <c r="DG76" i="2"/>
  <c r="DF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H77" i="2" l="1"/>
  <c r="GL77" i="2"/>
  <c r="GM77" i="2"/>
  <c r="HI77" i="2"/>
  <c r="EV77" i="2"/>
  <c r="EX77" i="2"/>
  <c r="EW77" i="2"/>
  <c r="HG77" i="2"/>
  <c r="FS77" i="2"/>
  <c r="GN77" i="2"/>
  <c r="FQ77" i="2"/>
  <c r="FR77" i="2"/>
  <c r="EB77" i="2"/>
  <c r="EA77" i="2"/>
  <c r="EC77" i="2"/>
  <c r="DH77" i="2"/>
  <c r="DG77" i="2"/>
  <c r="DF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H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FS78" i="2"/>
  <c r="FQ78" i="2"/>
  <c r="FR78" i="2"/>
  <c r="EW78" i="2"/>
  <c r="EX78" i="2"/>
  <c r="GM78" i="2"/>
  <c r="GL78" i="2"/>
  <c r="HI78" i="2"/>
  <c r="HG78" i="2"/>
  <c r="GN78" i="2"/>
  <c r="EC78" i="2"/>
  <c r="EB78" i="2"/>
  <c r="EA78" i="2"/>
  <c r="DH78" i="2"/>
  <c r="DF78" i="2"/>
  <c r="DG78" i="2"/>
  <c r="AU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FO79" i="2"/>
  <c r="FR79" i="2" s="1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X79" i="2"/>
  <c r="FQ79" i="2"/>
  <c r="EW79" i="2"/>
  <c r="EV79" i="2"/>
  <c r="GN79" i="2"/>
  <c r="GM79" i="2"/>
  <c r="FS79" i="2"/>
  <c r="GL79" i="2"/>
  <c r="HI79" i="2"/>
  <c r="EC79" i="2"/>
  <c r="EA79" i="2"/>
  <c r="EB79" i="2"/>
  <c r="DH79" i="2"/>
  <c r="DF79" i="2"/>
  <c r="DG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GM80" i="2" l="1"/>
  <c r="FS80" i="2"/>
  <c r="FR80" i="2"/>
  <c r="HH80" i="2"/>
  <c r="GN80" i="2"/>
  <c r="EW80" i="2"/>
  <c r="HG80" i="2"/>
  <c r="FQ80" i="2"/>
  <c r="EV80" i="2"/>
  <c r="HI80" i="2"/>
  <c r="EX80" i="2"/>
  <c r="GL80" i="2"/>
  <c r="EC80" i="2"/>
  <c r="EA80" i="2"/>
  <c r="EB80" i="2"/>
  <c r="DH80" i="2"/>
  <c r="DG80" i="2"/>
  <c r="DF80" i="2"/>
  <c r="AU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H81" i="2" s="1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GL81" i="2" l="1"/>
  <c r="FQ81" i="2"/>
  <c r="FR81" i="2"/>
  <c r="GM81" i="2"/>
  <c r="GN81" i="2"/>
  <c r="EV81" i="2"/>
  <c r="HG81" i="2"/>
  <c r="EX81" i="2"/>
  <c r="EW81" i="2"/>
  <c r="HI81" i="2"/>
  <c r="FS81" i="2"/>
  <c r="EC81" i="2"/>
  <c r="EB81" i="2"/>
  <c r="EA81" i="2"/>
  <c r="AW81" i="2"/>
  <c r="DH81" i="2"/>
  <c r="DG81" i="2"/>
  <c r="DF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R82" i="2" s="1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W82" i="2" l="1"/>
  <c r="EX82" i="2"/>
  <c r="EV82" i="2"/>
  <c r="GM82" i="2"/>
  <c r="GL82" i="2"/>
  <c r="HH82" i="2"/>
  <c r="GN82" i="2"/>
  <c r="HG82" i="2"/>
  <c r="FS82" i="2"/>
  <c r="HI82" i="2"/>
  <c r="FQ82" i="2"/>
  <c r="EC82" i="2"/>
  <c r="EB82" i="2"/>
  <c r="EA82" i="2"/>
  <c r="DH82" i="2"/>
  <c r="DG82" i="2"/>
  <c r="DF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GN83" i="2" l="1"/>
  <c r="EW83" i="2"/>
  <c r="FQ83" i="2"/>
  <c r="EV83" i="2"/>
  <c r="GM83" i="2"/>
  <c r="FR83" i="2"/>
  <c r="GL83" i="2"/>
  <c r="HH83" i="2"/>
  <c r="HI83" i="2"/>
  <c r="EX83" i="2"/>
  <c r="HG83" i="2"/>
  <c r="FS83" i="2"/>
  <c r="EC83" i="2"/>
  <c r="EA83" i="2"/>
  <c r="EB83" i="2"/>
  <c r="DH83" i="2"/>
  <c r="DF83" i="2"/>
  <c r="DG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R84" i="2" l="1"/>
  <c r="FQ84" i="2"/>
  <c r="HH84" i="2"/>
  <c r="EV84" i="2"/>
  <c r="FS84" i="2"/>
  <c r="GM84" i="2"/>
  <c r="EW84" i="2"/>
  <c r="EX84" i="2"/>
  <c r="GL84" i="2"/>
  <c r="HI84" i="2"/>
  <c r="GN84" i="2"/>
  <c r="EB84" i="2"/>
  <c r="EA84" i="2"/>
  <c r="EC84" i="2"/>
  <c r="DH84" i="2"/>
  <c r="DF84" i="2"/>
  <c r="DG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GM85" i="2"/>
  <c r="EX85" i="2"/>
  <c r="HH85" i="2"/>
  <c r="EV85" i="2"/>
  <c r="EW85" i="2"/>
  <c r="FS85" i="2"/>
  <c r="FQ85" i="2"/>
  <c r="FR85" i="2"/>
  <c r="GN85" i="2"/>
  <c r="GL85" i="2"/>
  <c r="HI85" i="2"/>
  <c r="DH85" i="2"/>
  <c r="EA85" i="2"/>
  <c r="EC85" i="2"/>
  <c r="EB85" i="2"/>
  <c r="DF85" i="2"/>
  <c r="DG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G86" i="2" s="1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Q86" i="2" s="1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GM86" i="2" l="1"/>
  <c r="GL86" i="2"/>
  <c r="FS86" i="2"/>
  <c r="HH86" i="2"/>
  <c r="EV86" i="2"/>
  <c r="HI86" i="2"/>
  <c r="EX86" i="2"/>
  <c r="FR86" i="2"/>
  <c r="GN86" i="2"/>
  <c r="EW86" i="2"/>
  <c r="EC86" i="2"/>
  <c r="DH86" i="2"/>
  <c r="EB86" i="2"/>
  <c r="EA86" i="2"/>
  <c r="DF86" i="2"/>
  <c r="DG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DH87" i="2" l="1"/>
  <c r="EV87" i="2"/>
  <c r="GM87" i="2"/>
  <c r="EX87" i="2"/>
  <c r="GL87" i="2"/>
  <c r="HI87" i="2"/>
  <c r="HH87" i="2"/>
  <c r="FQ87" i="2"/>
  <c r="FS87" i="2"/>
  <c r="FR87" i="2"/>
  <c r="EW87" i="2"/>
  <c r="GN87" i="2"/>
  <c r="EA87" i="2"/>
  <c r="EC87" i="2"/>
  <c r="EB87" i="2"/>
  <c r="DG87" i="2"/>
  <c r="DF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HH88" i="2" s="1"/>
  <c r="FN88" i="2"/>
  <c r="FQ88" i="2" s="1"/>
  <c r="ET88" i="2"/>
  <c r="EW88" i="2" s="1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GM88" i="2" l="1"/>
  <c r="FR88" i="2"/>
  <c r="HI88" i="2"/>
  <c r="GN88" i="2"/>
  <c r="EX88" i="2"/>
  <c r="EV88" i="2"/>
  <c r="GL88" i="2"/>
  <c r="FS88" i="2"/>
  <c r="EA88" i="2"/>
  <c r="EB88" i="2"/>
  <c r="DH88" i="2"/>
  <c r="EC88" i="2"/>
  <c r="DG88" i="2"/>
  <c r="DF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EV89" i="2" s="1"/>
  <c r="DX89" i="2"/>
  <c r="CH89" i="2"/>
  <c r="AS89" i="2"/>
  <c r="CI89" i="2"/>
  <c r="BM89" i="2"/>
  <c r="X89" i="2"/>
  <c r="ET89" i="2"/>
  <c r="EW89" i="2" s="1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Q89" i="2" l="1"/>
  <c r="FS89" i="2"/>
  <c r="FR89" i="2"/>
  <c r="GM89" i="2"/>
  <c r="HH89" i="2"/>
  <c r="EX89" i="2"/>
  <c r="GN89" i="2"/>
  <c r="HI89" i="2"/>
  <c r="GL89" i="2"/>
  <c r="DH89" i="2"/>
  <c r="EC89" i="2"/>
  <c r="EA89" i="2"/>
  <c r="EB89" i="2"/>
  <c r="DF89" i="2"/>
  <c r="DG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W90" i="2" l="1"/>
  <c r="HI90" i="2"/>
  <c r="GM90" i="2"/>
  <c r="GN90" i="2"/>
  <c r="GL90" i="2"/>
  <c r="EX90" i="2"/>
  <c r="EV90" i="2"/>
  <c r="HH90" i="2"/>
  <c r="HG90" i="2"/>
  <c r="FR90" i="2"/>
  <c r="FS90" i="2"/>
  <c r="FQ90" i="2"/>
  <c r="EC90" i="2"/>
  <c r="DH90" i="2"/>
  <c r="EA90" i="2"/>
  <c r="EB90" i="2"/>
  <c r="DF90" i="2"/>
  <c r="DG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W91" i="2" l="1"/>
  <c r="GM91" i="2"/>
  <c r="EV91" i="2"/>
  <c r="EX91" i="2"/>
  <c r="FR91" i="2"/>
  <c r="GL91" i="2"/>
  <c r="GN91" i="2"/>
  <c r="HH91" i="2"/>
  <c r="FS91" i="2"/>
  <c r="FQ91" i="2"/>
  <c r="HG91" i="2"/>
  <c r="HI91" i="2"/>
  <c r="DH91" i="2"/>
  <c r="EC91" i="2"/>
  <c r="EA91" i="2"/>
  <c r="EB91" i="2"/>
  <c r="DG91" i="2"/>
  <c r="DF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V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GM92" i="2" l="1"/>
  <c r="GN92" i="2"/>
  <c r="GL92" i="2"/>
  <c r="FQ92" i="2"/>
  <c r="FR92" i="2"/>
  <c r="HI92" i="2"/>
  <c r="EX92" i="2"/>
  <c r="DH92" i="2"/>
  <c r="EW92" i="2"/>
  <c r="HH92" i="2"/>
  <c r="HG92" i="2"/>
  <c r="FS92" i="2"/>
  <c r="EB92" i="2"/>
  <c r="EC92" i="2"/>
  <c r="EA92" i="2"/>
  <c r="DF92" i="2"/>
  <c r="DG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EV93" i="2" s="1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W93" i="2" l="1"/>
  <c r="FQ93" i="2"/>
  <c r="EX93" i="2"/>
  <c r="FR93" i="2"/>
  <c r="HI93" i="2"/>
  <c r="GL93" i="2"/>
  <c r="HG93" i="2"/>
  <c r="FS93" i="2"/>
  <c r="GM93" i="2"/>
  <c r="HH93" i="2"/>
  <c r="GN93" i="2"/>
  <c r="AW93" i="2"/>
  <c r="EB93" i="2"/>
  <c r="EC93" i="2"/>
  <c r="EA93" i="2"/>
  <c r="DH93" i="2"/>
  <c r="DG93" i="2"/>
  <c r="DF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FS94" i="2"/>
  <c r="EV94" i="2"/>
  <c r="FQ94" i="2"/>
  <c r="FR94" i="2"/>
  <c r="HI94" i="2"/>
  <c r="EW94" i="2"/>
  <c r="GM94" i="2"/>
  <c r="GN94" i="2"/>
  <c r="EX94" i="2"/>
  <c r="GL94" i="2"/>
  <c r="HH94" i="2"/>
  <c r="EC94" i="2"/>
  <c r="EB94" i="2"/>
  <c r="EA94" i="2"/>
  <c r="DH94" i="2"/>
  <c r="DF94" i="2"/>
  <c r="DG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GL95" i="2" l="1"/>
  <c r="HH95" i="2"/>
  <c r="HG95" i="2"/>
  <c r="HI95" i="2"/>
  <c r="FR95" i="2"/>
  <c r="FQ95" i="2"/>
  <c r="EW95" i="2"/>
  <c r="EV95" i="2"/>
  <c r="EX95" i="2"/>
  <c r="FS95" i="2"/>
  <c r="GM95" i="2"/>
  <c r="GN95" i="2"/>
  <c r="DH95" i="2"/>
  <c r="EB95" i="2"/>
  <c r="EC95" i="2"/>
  <c r="EA95" i="2"/>
  <c r="DF95" i="2"/>
  <c r="DG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G96" i="2" s="1"/>
  <c r="HE96" i="2"/>
  <c r="FO96" i="2"/>
  <c r="GJ96" i="2"/>
  <c r="GI96" i="2"/>
  <c r="ES96" i="2"/>
  <c r="DX96" i="2"/>
  <c r="FN96" i="2"/>
  <c r="ET96" i="2"/>
  <c r="EW96" i="2" s="1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HH96" i="2" l="1"/>
  <c r="FQ96" i="2"/>
  <c r="EV96" i="2"/>
  <c r="GN96" i="2"/>
  <c r="HI96" i="2"/>
  <c r="GL96" i="2"/>
  <c r="GM96" i="2"/>
  <c r="FS96" i="2"/>
  <c r="FR96" i="2"/>
  <c r="EX96" i="2"/>
  <c r="EB96" i="2"/>
  <c r="DH96" i="2"/>
  <c r="EA96" i="2"/>
  <c r="EC96" i="2"/>
  <c r="DF96" i="2"/>
  <c r="DG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EW97" i="2" s="1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H97" i="2" l="1"/>
  <c r="FS97" i="2"/>
  <c r="EV97" i="2"/>
  <c r="GL97" i="2"/>
  <c r="HI97" i="2"/>
  <c r="FQ97" i="2"/>
  <c r="GN97" i="2"/>
  <c r="FR97" i="2"/>
  <c r="GM97" i="2"/>
  <c r="EX97" i="2"/>
  <c r="HG97" i="2"/>
  <c r="AW97" i="2"/>
  <c r="EC97" i="2"/>
  <c r="EB97" i="2"/>
  <c r="EA97" i="2"/>
  <c r="DH97" i="2"/>
  <c r="DG97" i="2"/>
  <c r="DF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V98" i="2" l="1"/>
  <c r="GN98" i="2"/>
  <c r="FQ98" i="2"/>
  <c r="EW98" i="2"/>
  <c r="HI98" i="2"/>
  <c r="GM98" i="2"/>
  <c r="GL98" i="2"/>
  <c r="FR98" i="2"/>
  <c r="HH98" i="2"/>
  <c r="EX98" i="2"/>
  <c r="FS98" i="2"/>
  <c r="HG98" i="2"/>
  <c r="EB98" i="2"/>
  <c r="EC98" i="2"/>
  <c r="EA98" i="2"/>
  <c r="DH98" i="2"/>
  <c r="DG98" i="2"/>
  <c r="DF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EW99" i="2" s="1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FR99" i="2" l="1"/>
  <c r="GL99" i="2"/>
  <c r="HH99" i="2"/>
  <c r="HG99" i="2"/>
  <c r="HI99" i="2"/>
  <c r="FQ99" i="2"/>
  <c r="GM99" i="2"/>
  <c r="FS99" i="2"/>
  <c r="EX99" i="2"/>
  <c r="GN99" i="2"/>
  <c r="EV99" i="2"/>
  <c r="EC99" i="2"/>
  <c r="DH99" i="2"/>
  <c r="EA99" i="2"/>
  <c r="EB99" i="2"/>
  <c r="DG99" i="2"/>
  <c r="DF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W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FQ100" i="2" l="1"/>
  <c r="FS100" i="2"/>
  <c r="GL100" i="2"/>
  <c r="EV100" i="2"/>
  <c r="HI100" i="2"/>
  <c r="GM100" i="2"/>
  <c r="FR100" i="2"/>
  <c r="HH100" i="2"/>
  <c r="GN100" i="2"/>
  <c r="HG100" i="2"/>
  <c r="EX100" i="2"/>
  <c r="DH100" i="2"/>
  <c r="EA100" i="2"/>
  <c r="EC100" i="2"/>
  <c r="EB100" i="2"/>
  <c r="DG100" i="2"/>
  <c r="DF100" i="2"/>
  <c r="AU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EW101" i="2" s="1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FR101" i="2" l="1"/>
  <c r="GN101" i="2"/>
  <c r="GL101" i="2"/>
  <c r="HG101" i="2"/>
  <c r="GM101" i="2"/>
  <c r="HH101" i="2"/>
  <c r="HI101" i="2"/>
  <c r="EV101" i="2"/>
  <c r="EX101" i="2"/>
  <c r="FQ101" i="2"/>
  <c r="FS101" i="2"/>
  <c r="DH101" i="2"/>
  <c r="EC101" i="2"/>
  <c r="EB101" i="2"/>
  <c r="EA101" i="2"/>
  <c r="AW101" i="2"/>
  <c r="DF101" i="2"/>
  <c r="DG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R102" i="2" s="1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EW102" i="2" s="1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DH102" i="2" l="1"/>
  <c r="GM102" i="2"/>
  <c r="HI102" i="2"/>
  <c r="GL102" i="2"/>
  <c r="HH102" i="2"/>
  <c r="HG102" i="2"/>
  <c r="EV102" i="2"/>
  <c r="FS102" i="2"/>
  <c r="FQ102" i="2"/>
  <c r="GN102" i="2"/>
  <c r="EX102" i="2"/>
  <c r="EC102" i="2"/>
  <c r="EA102" i="2"/>
  <c r="EB102" i="2"/>
  <c r="AU102" i="2"/>
  <c r="DF102" i="2"/>
  <c r="DG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H103" i="2" l="1"/>
  <c r="HG103" i="2"/>
  <c r="FS103" i="2"/>
  <c r="FQ103" i="2"/>
  <c r="FR103" i="2"/>
  <c r="EW103" i="2"/>
  <c r="EV103" i="2"/>
  <c r="GM103" i="2"/>
  <c r="EX103" i="2"/>
  <c r="HI103" i="2"/>
  <c r="GL103" i="2"/>
  <c r="GN103" i="2"/>
  <c r="DH103" i="2"/>
  <c r="EA103" i="2"/>
  <c r="AW103" i="2"/>
  <c r="EB103" i="2"/>
  <c r="EC103" i="2"/>
  <c r="DF103" i="2"/>
  <c r="DG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W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GL104" i="2" l="1"/>
  <c r="FQ104" i="2"/>
  <c r="EV104" i="2"/>
  <c r="GM104" i="2"/>
  <c r="HH104" i="2"/>
  <c r="DH104" i="2"/>
  <c r="FR104" i="2"/>
  <c r="GN104" i="2"/>
  <c r="HG104" i="2"/>
  <c r="FS104" i="2"/>
  <c r="HI104" i="2"/>
  <c r="EX104" i="2"/>
  <c r="AU104" i="2"/>
  <c r="EB104" i="2"/>
  <c r="EA104" i="2"/>
  <c r="EC104" i="2"/>
  <c r="DG104" i="2"/>
  <c r="DF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EW105" i="2" s="1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GN105" i="2"/>
  <c r="GL105" i="2"/>
  <c r="EV105" i="2"/>
  <c r="FQ105" i="2"/>
  <c r="FR105" i="2"/>
  <c r="HG105" i="2"/>
  <c r="EX105" i="2"/>
  <c r="GM105" i="2"/>
  <c r="HI105" i="2"/>
  <c r="EB105" i="2"/>
  <c r="EA105" i="2"/>
  <c r="EC105" i="2"/>
  <c r="DH105" i="2"/>
  <c r="DG105" i="2"/>
  <c r="DF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HH106" i="2" s="1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Q106" i="2" s="1"/>
  <c r="FP106" i="2"/>
  <c r="DZ106" i="2"/>
  <c r="DL106" i="2"/>
  <c r="DE106" i="2"/>
  <c r="EQ106" i="2"/>
  <c r="EH106" i="2"/>
  <c r="CJ106" i="2"/>
  <c r="CR106" i="2"/>
  <c r="FX106" i="2"/>
  <c r="FB106" i="2"/>
  <c r="ER106" i="2"/>
  <c r="EW106" i="2" s="1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AU106" i="2" l="1"/>
  <c r="FR106" i="2"/>
  <c r="GM106" i="2"/>
  <c r="EV106" i="2"/>
  <c r="GL106" i="2"/>
  <c r="HI106" i="2"/>
  <c r="GN106" i="2"/>
  <c r="FS106" i="2"/>
  <c r="EX106" i="2"/>
  <c r="EC106" i="2"/>
  <c r="EA106" i="2"/>
  <c r="EB106" i="2"/>
  <c r="DH106" i="2"/>
  <c r="DF106" i="2"/>
  <c r="DG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V107" i="2" l="1"/>
  <c r="FS107" i="2"/>
  <c r="FR107" i="2"/>
  <c r="GN107" i="2"/>
  <c r="GL107" i="2"/>
  <c r="HI107" i="2"/>
  <c r="HH107" i="2"/>
  <c r="FQ107" i="2"/>
  <c r="EW107" i="2"/>
  <c r="GM107" i="2"/>
  <c r="EX107" i="2"/>
  <c r="EA107" i="2"/>
  <c r="EB107" i="2"/>
  <c r="EC107" i="2"/>
  <c r="DH107" i="2"/>
  <c r="DG107" i="2"/>
  <c r="DF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HH108" i="2" s="1"/>
  <c r="FO108" i="2"/>
  <c r="GI108" i="2"/>
  <c r="GL108" i="2" s="1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GM108" i="2" s="1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V108" i="2" l="1"/>
  <c r="HI108" i="2"/>
  <c r="FR108" i="2"/>
  <c r="GN108" i="2"/>
  <c r="EX108" i="2"/>
  <c r="FQ108" i="2"/>
  <c r="HG108" i="2"/>
  <c r="FS108" i="2"/>
  <c r="EB108" i="2"/>
  <c r="EC108" i="2"/>
  <c r="EA108" i="2"/>
  <c r="DH108" i="2"/>
  <c r="DG108" i="2"/>
  <c r="DF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G109" i="2" l="1"/>
  <c r="EV109" i="2"/>
  <c r="FS109" i="2"/>
  <c r="EW109" i="2"/>
  <c r="FQ109" i="2"/>
  <c r="EX109" i="2"/>
  <c r="FR109" i="2"/>
  <c r="GN109" i="2"/>
  <c r="GL109" i="2"/>
  <c r="GM109" i="2"/>
  <c r="HI109" i="2"/>
  <c r="HH109" i="2"/>
  <c r="EC109" i="2"/>
  <c r="EA109" i="2"/>
  <c r="EB109" i="2"/>
  <c r="DH109" i="2"/>
  <c r="DG109" i="2"/>
  <c r="DF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G110" i="2" s="1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FQ110" i="2" l="1"/>
  <c r="FR110" i="2"/>
  <c r="GN110" i="2"/>
  <c r="EW110" i="2"/>
  <c r="GM110" i="2"/>
  <c r="EX110" i="2"/>
  <c r="GL110" i="2"/>
  <c r="HH110" i="2"/>
  <c r="HI110" i="2"/>
  <c r="FS110" i="2"/>
  <c r="EV110" i="2"/>
  <c r="EC110" i="2"/>
  <c r="EA110" i="2"/>
  <c r="EB110" i="2"/>
  <c r="DH110" i="2"/>
  <c r="DF110" i="2"/>
  <c r="DG110" i="2"/>
  <c r="AU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Q111" i="2" l="1"/>
  <c r="EW111" i="2"/>
  <c r="EX111" i="2"/>
  <c r="EV111" i="2"/>
  <c r="GM111" i="2"/>
  <c r="GL111" i="2"/>
  <c r="GN111" i="2"/>
  <c r="HH111" i="2"/>
  <c r="FS111" i="2"/>
  <c r="FR111" i="2"/>
  <c r="HG111" i="2"/>
  <c r="HI111" i="2"/>
  <c r="EC111" i="2"/>
  <c r="EA111" i="2"/>
  <c r="EB111" i="2"/>
  <c r="AW111" i="2"/>
  <c r="DH111" i="2"/>
  <c r="DG111" i="2"/>
  <c r="DF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HH112" i="2" s="1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V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W112" i="2" l="1"/>
  <c r="HG112" i="2"/>
  <c r="GN112" i="2"/>
  <c r="GL112" i="2"/>
  <c r="HI112" i="2"/>
  <c r="GM112" i="2"/>
  <c r="EX112" i="2"/>
  <c r="FR112" i="2"/>
  <c r="FS112" i="2"/>
  <c r="EC112" i="2"/>
  <c r="EA112" i="2"/>
  <c r="EB112" i="2"/>
  <c r="DH112" i="2"/>
  <c r="DG112" i="2"/>
  <c r="DF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H113" i="2" s="1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V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Q113" i="2" l="1"/>
  <c r="FR113" i="2"/>
  <c r="EX113" i="2"/>
  <c r="GM113" i="2"/>
  <c r="HG113" i="2"/>
  <c r="HI113" i="2"/>
  <c r="GN113" i="2"/>
  <c r="EW113" i="2"/>
  <c r="GL113" i="2"/>
  <c r="FS113" i="2"/>
  <c r="AW113" i="2"/>
  <c r="EC113" i="2"/>
  <c r="EA113" i="2"/>
  <c r="EB113" i="2"/>
  <c r="DH113" i="2"/>
  <c r="DG113" i="2"/>
  <c r="DF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H114" i="2" s="1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GN114" i="2" l="1"/>
  <c r="FQ114" i="2"/>
  <c r="HI114" i="2"/>
  <c r="EW114" i="2"/>
  <c r="EV114" i="2"/>
  <c r="GM114" i="2"/>
  <c r="GL114" i="2"/>
  <c r="EX114" i="2"/>
  <c r="FS114" i="2"/>
  <c r="FR114" i="2"/>
  <c r="HG114" i="2"/>
  <c r="EC114" i="2"/>
  <c r="AU114" i="2"/>
  <c r="EA114" i="2"/>
  <c r="EB114" i="2"/>
  <c r="DH114" i="2"/>
  <c r="DG114" i="2"/>
  <c r="DF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GL115" i="2" s="1"/>
  <c r="FO115" i="2"/>
  <c r="FR115" i="2" s="1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Q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V115" i="2" l="1"/>
  <c r="EX115" i="2"/>
  <c r="HH115" i="2"/>
  <c r="HG115" i="2"/>
  <c r="GM115" i="2"/>
  <c r="HI115" i="2"/>
  <c r="EW115" i="2"/>
  <c r="FS115" i="2"/>
  <c r="GN115" i="2"/>
  <c r="EC115" i="2"/>
  <c r="EA115" i="2"/>
  <c r="EB115" i="2"/>
  <c r="AW115" i="2"/>
  <c r="DH115" i="2"/>
  <c r="DG115" i="2"/>
  <c r="DF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Q116" i="2" s="1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GL116" i="2" l="1"/>
  <c r="FR116" i="2"/>
  <c r="FS116" i="2"/>
  <c r="EW116" i="2"/>
  <c r="HG116" i="2"/>
  <c r="HI116" i="2"/>
  <c r="EV116" i="2"/>
  <c r="GM116" i="2"/>
  <c r="EX116" i="2"/>
  <c r="HH116" i="2"/>
  <c r="GN116" i="2"/>
  <c r="EC116" i="2"/>
  <c r="EA116" i="2"/>
  <c r="EB116" i="2"/>
  <c r="DH116" i="2"/>
  <c r="DG116" i="2"/>
  <c r="DF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FQ117" i="2" l="1"/>
  <c r="FR117" i="2"/>
  <c r="GL117" i="2"/>
  <c r="HI117" i="2"/>
  <c r="GM117" i="2"/>
  <c r="HH117" i="2"/>
  <c r="GN117" i="2"/>
  <c r="FS117" i="2"/>
  <c r="EV117" i="2"/>
  <c r="EW117" i="2"/>
  <c r="EX117" i="2"/>
  <c r="EC117" i="2"/>
  <c r="EB117" i="2"/>
  <c r="EA117" i="2"/>
  <c r="DH117" i="2"/>
  <c r="DF117" i="2"/>
  <c r="DG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G118" i="2" s="1"/>
  <c r="HF118" i="2"/>
  <c r="HB118" i="2"/>
  <c r="GS118" i="2"/>
  <c r="GR118" i="2"/>
  <c r="GK118" i="2"/>
  <c r="GH118" i="2"/>
  <c r="GM118" i="2" s="1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V118" i="2" l="1"/>
  <c r="FS118" i="2"/>
  <c r="FQ118" i="2"/>
  <c r="GN118" i="2"/>
  <c r="FR118" i="2"/>
  <c r="EW118" i="2"/>
  <c r="HI118" i="2"/>
  <c r="GL118" i="2"/>
  <c r="EX118" i="2"/>
  <c r="HH118" i="2"/>
  <c r="EC118" i="2"/>
  <c r="EB118" i="2"/>
  <c r="EA118" i="2"/>
  <c r="DH118" i="2"/>
  <c r="DF118" i="2"/>
  <c r="DG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GM119" i="2" s="1"/>
  <c r="FL119" i="2"/>
  <c r="FC119" i="2"/>
  <c r="FW119" i="2"/>
  <c r="FM119" i="2"/>
  <c r="FQ119" i="2" s="1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H119" i="2" l="1"/>
  <c r="HI119" i="2"/>
  <c r="FR119" i="2"/>
  <c r="EW119" i="2"/>
  <c r="GN119" i="2"/>
  <c r="EV119" i="2"/>
  <c r="FS119" i="2"/>
  <c r="GL119" i="2"/>
  <c r="EX119" i="2"/>
  <c r="DH119" i="2"/>
  <c r="EC119" i="2"/>
  <c r="EA119" i="2"/>
  <c r="EB119" i="2"/>
  <c r="DG119" i="2"/>
  <c r="DF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HG120" i="2" s="1"/>
  <c r="FO120" i="2"/>
  <c r="GJ120" i="2"/>
  <c r="GI120" i="2"/>
  <c r="HE120" i="2"/>
  <c r="ES120" i="2"/>
  <c r="DX120" i="2"/>
  <c r="FN120" i="2"/>
  <c r="ET120" i="2"/>
  <c r="EW120" i="2" s="1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GM120" i="2" s="1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GL120" i="2"/>
  <c r="FS120" i="2"/>
  <c r="FR120" i="2"/>
  <c r="GN120" i="2"/>
  <c r="FQ120" i="2"/>
  <c r="HI120" i="2"/>
  <c r="EV120" i="2"/>
  <c r="EX120" i="2"/>
  <c r="AU120" i="2"/>
  <c r="EC120" i="2"/>
  <c r="EB120" i="2"/>
  <c r="EA120" i="2"/>
  <c r="DH120" i="2"/>
  <c r="DG120" i="2"/>
  <c r="DF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FQ121" i="2" s="1"/>
  <c r="GI121" i="2"/>
  <c r="GL121" i="2" s="1"/>
  <c r="ES121" i="2"/>
  <c r="DX121" i="2"/>
  <c r="CH121" i="2"/>
  <c r="AS121" i="2"/>
  <c r="CI121" i="2"/>
  <c r="BM121" i="2"/>
  <c r="X121" i="2"/>
  <c r="ET121" i="2"/>
  <c r="EW121" i="2" s="1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GM121" i="2"/>
  <c r="HI121" i="2"/>
  <c r="HH121" i="2"/>
  <c r="GN121" i="2"/>
  <c r="EV121" i="2"/>
  <c r="FS121" i="2"/>
  <c r="HG121" i="2"/>
  <c r="EX121" i="2"/>
  <c r="AW121" i="2"/>
  <c r="EC121" i="2"/>
  <c r="EA121" i="2"/>
  <c r="EB121" i="2"/>
  <c r="DH121" i="2"/>
  <c r="DF121" i="2"/>
  <c r="DG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R122" i="2" l="1"/>
  <c r="FS122" i="2"/>
  <c r="FQ122" i="2"/>
  <c r="EW122" i="2"/>
  <c r="GN122" i="2"/>
  <c r="GM122" i="2"/>
  <c r="EV122" i="2"/>
  <c r="GL122" i="2"/>
  <c r="HI122" i="2"/>
  <c r="HG122" i="2"/>
  <c r="EX122" i="2"/>
  <c r="AU122" i="2"/>
  <c r="EC122" i="2"/>
  <c r="EB122" i="2"/>
  <c r="EA122" i="2"/>
  <c r="DH122" i="2"/>
  <c r="DG122" i="2"/>
  <c r="DF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EW123" i="2" s="1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G123" i="2" l="1"/>
  <c r="EV123" i="2"/>
  <c r="FR123" i="2"/>
  <c r="GL123" i="2"/>
  <c r="HH123" i="2"/>
  <c r="GN123" i="2"/>
  <c r="FQ123" i="2"/>
  <c r="EX123" i="2"/>
  <c r="FS123" i="2"/>
  <c r="GM123" i="2"/>
  <c r="HI123" i="2"/>
  <c r="EC123" i="2"/>
  <c r="EA123" i="2"/>
  <c r="EB123" i="2"/>
  <c r="DH123" i="2"/>
  <c r="DG123" i="2"/>
  <c r="DF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W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GL124" i="2"/>
  <c r="FQ124" i="2"/>
  <c r="HH124" i="2"/>
  <c r="FS124" i="2"/>
  <c r="EX124" i="2"/>
  <c r="GN124" i="2"/>
  <c r="GM124" i="2"/>
  <c r="EV124" i="2"/>
  <c r="HI124" i="2"/>
  <c r="FR124" i="2"/>
  <c r="EA124" i="2"/>
  <c r="EC124" i="2"/>
  <c r="EB124" i="2"/>
  <c r="DH124" i="2"/>
  <c r="DF124" i="2"/>
  <c r="DG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H125" i="2" l="1"/>
  <c r="HI125" i="2"/>
  <c r="EV125" i="2"/>
  <c r="EW125" i="2"/>
  <c r="FQ125" i="2"/>
  <c r="GN125" i="2"/>
  <c r="FR125" i="2"/>
  <c r="EX125" i="2"/>
  <c r="GL125" i="2"/>
  <c r="FS125" i="2"/>
  <c r="HG125" i="2"/>
  <c r="GM125" i="2"/>
  <c r="EC125" i="2"/>
  <c r="EB125" i="2"/>
  <c r="EA125" i="2"/>
  <c r="DH125" i="2"/>
  <c r="DG125" i="2"/>
  <c r="DF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HH126" i="2" s="1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GM126" i="2" l="1"/>
  <c r="EX126" i="2"/>
  <c r="GL126" i="2"/>
  <c r="GN126" i="2"/>
  <c r="EV126" i="2"/>
  <c r="FQ126" i="2"/>
  <c r="FR126" i="2"/>
  <c r="FS126" i="2"/>
  <c r="HI126" i="2"/>
  <c r="EW126" i="2"/>
  <c r="EB126" i="2"/>
  <c r="EA126" i="2"/>
  <c r="EC126" i="2"/>
  <c r="DH126" i="2"/>
  <c r="DG126" i="2"/>
  <c r="DF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FR127" i="2" s="1"/>
  <c r="CI127" i="2"/>
  <c r="CH127" i="2"/>
  <c r="AS127" i="2"/>
  <c r="W127" i="2"/>
  <c r="BM127" i="2"/>
  <c r="AR127" i="2"/>
  <c r="X127" i="2"/>
  <c r="HC127" i="2"/>
  <c r="HH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Q127" i="2" l="1"/>
  <c r="FS127" i="2"/>
  <c r="EW127" i="2"/>
  <c r="EV127" i="2"/>
  <c r="GM127" i="2"/>
  <c r="GL127" i="2"/>
  <c r="GN127" i="2"/>
  <c r="HG127" i="2"/>
  <c r="EX127" i="2"/>
  <c r="HI127" i="2"/>
  <c r="EC127" i="2"/>
  <c r="EA127" i="2"/>
  <c r="EB127" i="2"/>
  <c r="DH127" i="2"/>
  <c r="DG127" i="2"/>
  <c r="DF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HH128" i="2" s="1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W128" i="2" l="1"/>
  <c r="HG128" i="2"/>
  <c r="FQ128" i="2"/>
  <c r="GN128" i="2"/>
  <c r="EV128" i="2"/>
  <c r="GL128" i="2"/>
  <c r="GM128" i="2"/>
  <c r="FR128" i="2"/>
  <c r="HI128" i="2"/>
  <c r="FS128" i="2"/>
  <c r="EX128" i="2"/>
  <c r="DH128" i="2"/>
  <c r="EB128" i="2"/>
  <c r="EA128" i="2"/>
  <c r="EC128" i="2"/>
  <c r="DF128" i="2"/>
  <c r="DG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W129" i="2" l="1"/>
  <c r="EV129" i="2"/>
  <c r="GL129" i="2"/>
  <c r="FQ129" i="2"/>
  <c r="FR129" i="2"/>
  <c r="GN129" i="2"/>
  <c r="GM129" i="2"/>
  <c r="EX129" i="2"/>
  <c r="HG129" i="2"/>
  <c r="FS129" i="2"/>
  <c r="HH129" i="2"/>
  <c r="HI129" i="2"/>
  <c r="EC129" i="2"/>
  <c r="DH129" i="2"/>
  <c r="EB129" i="2"/>
  <c r="EA129" i="2"/>
  <c r="DF129" i="2"/>
  <c r="DG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R130" i="2"/>
  <c r="FQ130" i="2"/>
  <c r="EW130" i="2"/>
  <c r="GN130" i="2"/>
  <c r="GM130" i="2"/>
  <c r="GL130" i="2"/>
  <c r="HI130" i="2"/>
  <c r="HH130" i="2"/>
  <c r="HG130" i="2"/>
  <c r="FS130" i="2"/>
  <c r="EV130" i="2"/>
  <c r="EB130" i="2"/>
  <c r="EA130" i="2"/>
  <c r="DH130" i="2"/>
  <c r="EC130" i="2"/>
  <c r="DF130" i="2"/>
  <c r="DG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HG131" i="2" s="1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FQ131" i="2" s="1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HH131" i="2"/>
  <c r="GM131" i="2"/>
  <c r="GN131" i="2"/>
  <c r="EW131" i="2"/>
  <c r="EV131" i="2"/>
  <c r="FS131" i="2"/>
  <c r="FR131" i="2"/>
  <c r="GL131" i="2"/>
  <c r="EX131" i="2"/>
  <c r="EB131" i="2"/>
  <c r="EA131" i="2"/>
  <c r="DH131" i="2"/>
  <c r="EC131" i="2"/>
  <c r="DF131" i="2"/>
  <c r="DG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HH132" i="2" s="1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Q132" i="2" l="1"/>
  <c r="EV132" i="2"/>
  <c r="GM132" i="2"/>
  <c r="FS132" i="2"/>
  <c r="FR132" i="2"/>
  <c r="EW132" i="2"/>
  <c r="GN132" i="2"/>
  <c r="GL132" i="2"/>
  <c r="EX132" i="2"/>
  <c r="HI132" i="2"/>
  <c r="EC132" i="2"/>
  <c r="EB132" i="2"/>
  <c r="EA132" i="2"/>
  <c r="DH132" i="2"/>
  <c r="DF132" i="2"/>
  <c r="DG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Q133" i="2" s="1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FR133" i="2" l="1"/>
  <c r="HG133" i="2"/>
  <c r="EX133" i="2"/>
  <c r="GL133" i="2"/>
  <c r="GM133" i="2"/>
  <c r="GN133" i="2"/>
  <c r="HH133" i="2"/>
  <c r="EV133" i="2"/>
  <c r="EW133" i="2"/>
  <c r="FS133" i="2"/>
  <c r="HI133" i="2"/>
  <c r="DH133" i="2"/>
  <c r="EC133" i="2"/>
  <c r="EA133" i="2"/>
  <c r="EB133" i="2"/>
  <c r="DF133" i="2"/>
  <c r="DG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GM134" i="2" l="1"/>
  <c r="GL134" i="2"/>
  <c r="HH134" i="2"/>
  <c r="GN134" i="2"/>
  <c r="EV134" i="2"/>
  <c r="FQ134" i="2"/>
  <c r="FR134" i="2"/>
  <c r="HI134" i="2"/>
  <c r="EX134" i="2"/>
  <c r="EW134" i="2"/>
  <c r="FS134" i="2"/>
  <c r="EC134" i="2"/>
  <c r="EB134" i="2"/>
  <c r="EA134" i="2"/>
  <c r="DH134" i="2"/>
  <c r="DG134" i="2"/>
  <c r="DF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FQ135" i="2" s="1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FR135" i="2" l="1"/>
  <c r="HI135" i="2"/>
  <c r="EW135" i="2"/>
  <c r="HG135" i="2"/>
  <c r="EV135" i="2"/>
  <c r="GM135" i="2"/>
  <c r="GN135" i="2"/>
  <c r="GL135" i="2"/>
  <c r="FS135" i="2"/>
  <c r="HH135" i="2"/>
  <c r="EX135" i="2"/>
  <c r="EC135" i="2"/>
  <c r="EA135" i="2"/>
  <c r="EB135" i="2"/>
  <c r="DH135" i="2"/>
  <c r="DG135" i="2"/>
  <c r="DF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HH136" i="2" s="1"/>
  <c r="GJ136" i="2"/>
  <c r="GM136" i="2" s="1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Q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GL136" i="2" l="1"/>
  <c r="GN136" i="2"/>
  <c r="FR136" i="2"/>
  <c r="EW136" i="2"/>
  <c r="HG136" i="2"/>
  <c r="EX136" i="2"/>
  <c r="HI136" i="2"/>
  <c r="EV136" i="2"/>
  <c r="FS136" i="2"/>
  <c r="EC136" i="2"/>
  <c r="EB136" i="2"/>
  <c r="EA136" i="2"/>
  <c r="DH136" i="2"/>
  <c r="DF136" i="2"/>
  <c r="DG136" i="2"/>
  <c r="AU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Q137" i="2" s="1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W137" i="2" l="1"/>
  <c r="EV137" i="2"/>
  <c r="HI137" i="2"/>
  <c r="GL137" i="2"/>
  <c r="EX137" i="2"/>
  <c r="FR137" i="2"/>
  <c r="GM137" i="2"/>
  <c r="HG137" i="2"/>
  <c r="GN137" i="2"/>
  <c r="HH137" i="2"/>
  <c r="FS137" i="2"/>
  <c r="EC137" i="2"/>
  <c r="EA137" i="2"/>
  <c r="EB137" i="2"/>
  <c r="DH137" i="2"/>
  <c r="DF137" i="2"/>
  <c r="DG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M138" i="2" s="1"/>
  <c r="GI138" i="2"/>
  <c r="GL138" i="2" s="1"/>
  <c r="ET138" i="2"/>
  <c r="EW138" i="2" s="1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Q138" i="2" s="1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X138" i="2" l="1"/>
  <c r="HH138" i="2"/>
  <c r="HG138" i="2"/>
  <c r="FS138" i="2"/>
  <c r="HI138" i="2"/>
  <c r="FR138" i="2"/>
  <c r="GN138" i="2"/>
  <c r="EC138" i="2"/>
  <c r="EB138" i="2"/>
  <c r="EA138" i="2"/>
  <c r="DH138" i="2"/>
  <c r="DG138" i="2"/>
  <c r="DF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Q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V139" i="2" l="1"/>
  <c r="FR139" i="2"/>
  <c r="GN139" i="2"/>
  <c r="GL139" i="2"/>
  <c r="HG139" i="2"/>
  <c r="HI139" i="2"/>
  <c r="HH139" i="2"/>
  <c r="FS139" i="2"/>
  <c r="EW139" i="2"/>
  <c r="GM139" i="2"/>
  <c r="EX139" i="2"/>
  <c r="EA139" i="2"/>
  <c r="EB139" i="2"/>
  <c r="EC139" i="2"/>
  <c r="DH139" i="2"/>
  <c r="DG139" i="2"/>
  <c r="DF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GM140" i="2" s="1"/>
  <c r="FN140" i="2"/>
  <c r="FQ140" i="2" s="1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W140" i="2" l="1"/>
  <c r="EV140" i="2"/>
  <c r="FS140" i="2"/>
  <c r="GL140" i="2"/>
  <c r="FR140" i="2"/>
  <c r="HI140" i="2"/>
  <c r="HG140" i="2"/>
  <c r="EX140" i="2"/>
  <c r="GN140" i="2"/>
  <c r="EC140" i="2"/>
  <c r="EA140" i="2"/>
  <c r="EB140" i="2"/>
  <c r="DH140" i="2"/>
  <c r="DG140" i="2"/>
  <c r="DF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Q141" i="2" l="1"/>
  <c r="EX141" i="2"/>
  <c r="FR141" i="2"/>
  <c r="GM141" i="2"/>
  <c r="HI141" i="2"/>
  <c r="HH141" i="2"/>
  <c r="EV141" i="2"/>
  <c r="FS141" i="2"/>
  <c r="EW141" i="2"/>
  <c r="GL141" i="2"/>
  <c r="GN141" i="2"/>
  <c r="EC141" i="2"/>
  <c r="EB141" i="2"/>
  <c r="EA141" i="2"/>
  <c r="DH141" i="2"/>
  <c r="DF141" i="2"/>
  <c r="DG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GM142" i="2" s="1"/>
  <c r="ET142" i="2"/>
  <c r="FO142" i="2"/>
  <c r="FR142" i="2" s="1"/>
  <c r="FN142" i="2"/>
  <c r="ES142" i="2"/>
  <c r="DX142" i="2"/>
  <c r="DD142" i="2"/>
  <c r="BN142" i="2"/>
  <c r="GI142" i="2"/>
  <c r="GL142" i="2" s="1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V142" i="2" l="1"/>
  <c r="FS142" i="2"/>
  <c r="FQ142" i="2"/>
  <c r="EW142" i="2"/>
  <c r="HI142" i="2"/>
  <c r="HH142" i="2"/>
  <c r="GN142" i="2"/>
  <c r="HG142" i="2"/>
  <c r="EX142" i="2"/>
  <c r="EC142" i="2"/>
  <c r="EA142" i="2"/>
  <c r="EB142" i="2"/>
  <c r="DH142" i="2"/>
  <c r="DG142" i="2"/>
  <c r="DF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HG143" i="2" s="1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R143" i="2" l="1"/>
  <c r="FQ143" i="2"/>
  <c r="GN143" i="2"/>
  <c r="EW143" i="2"/>
  <c r="EV143" i="2"/>
  <c r="HI143" i="2"/>
  <c r="GL143" i="2"/>
  <c r="GM143" i="2"/>
  <c r="FS143" i="2"/>
  <c r="HH143" i="2"/>
  <c r="EX143" i="2"/>
  <c r="EC143" i="2"/>
  <c r="EB143" i="2"/>
  <c r="EA143" i="2"/>
  <c r="DH143" i="2"/>
  <c r="DG143" i="2"/>
  <c r="DF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M144" i="2" s="1"/>
  <c r="GI144" i="2"/>
  <c r="GL144" i="2" s="1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S144" i="2" l="1"/>
  <c r="EV144" i="2"/>
  <c r="HI144" i="2"/>
  <c r="FR144" i="2"/>
  <c r="HH144" i="2"/>
  <c r="EW144" i="2"/>
  <c r="HG144" i="2"/>
  <c r="EX144" i="2"/>
  <c r="GN144" i="2"/>
  <c r="FQ144" i="2"/>
  <c r="EC144" i="2"/>
  <c r="EB144" i="2"/>
  <c r="EA144" i="2"/>
  <c r="DH144" i="2"/>
  <c r="DG144" i="2"/>
  <c r="DF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GM145" i="2"/>
  <c r="HG145" i="2"/>
  <c r="EW145" i="2"/>
  <c r="HI145" i="2"/>
  <c r="EV145" i="2"/>
  <c r="GL145" i="2"/>
  <c r="FQ145" i="2"/>
  <c r="GN145" i="2"/>
  <c r="FS145" i="2"/>
  <c r="EC145" i="2"/>
  <c r="EA145" i="2"/>
  <c r="EB145" i="2"/>
  <c r="DH145" i="2"/>
  <c r="DG145" i="2"/>
  <c r="DF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EW146" i="2" s="1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V146" i="2" l="1"/>
  <c r="GM146" i="2"/>
  <c r="FR146" i="2"/>
  <c r="HG146" i="2"/>
  <c r="HI146" i="2"/>
  <c r="FQ146" i="2"/>
  <c r="FS146" i="2"/>
  <c r="GN146" i="2"/>
  <c r="EX146" i="2"/>
  <c r="GL146" i="2"/>
  <c r="EC146" i="2"/>
  <c r="EB146" i="2"/>
  <c r="EA146" i="2"/>
  <c r="DH146" i="2"/>
  <c r="DF146" i="2"/>
  <c r="DG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HG147" i="2" s="1"/>
  <c r="GI147" i="2"/>
  <c r="GL147" i="2" s="1"/>
  <c r="FO147" i="2"/>
  <c r="FR147" i="2" s="1"/>
  <c r="ES147" i="2"/>
  <c r="ET147" i="2"/>
  <c r="DY147" i="2"/>
  <c r="DX147" i="2"/>
  <c r="DC147" i="2"/>
  <c r="DD147" i="2"/>
  <c r="BN147" i="2"/>
  <c r="FN147" i="2"/>
  <c r="FQ147" i="2" s="1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GN147" i="2" l="1"/>
  <c r="EW147" i="2"/>
  <c r="FS147" i="2"/>
  <c r="EV147" i="2"/>
  <c r="HI147" i="2"/>
  <c r="GM147" i="2"/>
  <c r="HH147" i="2"/>
  <c r="EX147" i="2"/>
  <c r="EB147" i="2"/>
  <c r="EC147" i="2"/>
  <c r="EA147" i="2"/>
  <c r="DH147" i="2"/>
  <c r="DG147" i="2"/>
  <c r="DF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EV148" i="2" s="1"/>
  <c r="DX148" i="2"/>
  <c r="HE148" i="2"/>
  <c r="CI148" i="2"/>
  <c r="BM148" i="2"/>
  <c r="ET148" i="2"/>
  <c r="EW148" i="2" s="1"/>
  <c r="DC148" i="2"/>
  <c r="DD148" i="2"/>
  <c r="CH148" i="2"/>
  <c r="BN148" i="2"/>
  <c r="AR148" i="2"/>
  <c r="FN148" i="2"/>
  <c r="AS148" i="2"/>
  <c r="DY148" i="2"/>
  <c r="X148" i="2"/>
  <c r="W148" i="2"/>
  <c r="HC148" i="2"/>
  <c r="HG148" i="2" s="1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FR148" i="2" l="1"/>
  <c r="EX148" i="2"/>
  <c r="FQ148" i="2"/>
  <c r="HH148" i="2"/>
  <c r="HI148" i="2"/>
  <c r="FS148" i="2"/>
  <c r="GM148" i="2"/>
  <c r="GL148" i="2"/>
  <c r="GN148" i="2"/>
  <c r="EC148" i="2"/>
  <c r="EB148" i="2"/>
  <c r="EA148" i="2"/>
  <c r="DH148" i="2"/>
  <c r="DG148" i="2"/>
  <c r="DF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HG149" i="2" s="1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R149" i="2" l="1"/>
  <c r="GM149" i="2"/>
  <c r="HH149" i="2"/>
  <c r="EV149" i="2"/>
  <c r="FS149" i="2"/>
  <c r="EW149" i="2"/>
  <c r="HI149" i="2"/>
  <c r="GL149" i="2"/>
  <c r="FQ149" i="2"/>
  <c r="EX149" i="2"/>
  <c r="GN149" i="2"/>
  <c r="EC149" i="2"/>
  <c r="EB149" i="2"/>
  <c r="EA149" i="2"/>
  <c r="DH149" i="2"/>
  <c r="DG149" i="2"/>
  <c r="DF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Q150" i="2" l="1"/>
  <c r="EW150" i="2"/>
  <c r="GM150" i="2"/>
  <c r="HI150" i="2"/>
  <c r="FS150" i="2"/>
  <c r="EV150" i="2"/>
  <c r="GL150" i="2"/>
  <c r="GN150" i="2"/>
  <c r="FR150" i="2"/>
  <c r="EX150" i="2"/>
  <c r="EC150" i="2"/>
  <c r="EA150" i="2"/>
  <c r="EB150" i="2"/>
  <c r="DH150" i="2"/>
  <c r="DG150" i="2"/>
  <c r="DF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FQ151" i="2" s="1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Q18" i="6"/>
  <c r="Q20" i="6" s="1"/>
  <c r="HH151" i="2" l="1"/>
  <c r="GN151" i="2"/>
  <c r="FR151" i="2"/>
  <c r="FS151" i="2"/>
  <c r="EW151" i="2"/>
  <c r="HI151" i="2"/>
  <c r="EV151" i="2"/>
  <c r="GL151" i="2"/>
  <c r="EX151" i="2"/>
  <c r="HG151" i="2"/>
  <c r="GM151" i="2"/>
  <c r="EC151" i="2"/>
  <c r="EA151" i="2"/>
  <c r="EB151" i="2"/>
  <c r="AW151" i="2"/>
  <c r="DH151" i="2"/>
  <c r="DG151" i="2"/>
  <c r="DF151" i="2"/>
  <c r="BQ151" i="2"/>
  <c r="BR151" i="2"/>
  <c r="CM151" i="2"/>
  <c r="AV151" i="2"/>
  <c r="AU151" i="2"/>
  <c r="BP151" i="2"/>
  <c r="CK151" i="2"/>
  <c r="CL151" i="2"/>
  <c r="J34" i="6"/>
  <c r="J35" i="6" s="1"/>
  <c r="J3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W152" i="2" l="1"/>
  <c r="EV152" i="2"/>
  <c r="GM152" i="2"/>
  <c r="HG152" i="2"/>
  <c r="HI152" i="2"/>
  <c r="FQ152" i="2"/>
  <c r="FS152" i="2"/>
  <c r="FR152" i="2"/>
  <c r="GN152" i="2"/>
  <c r="HH152" i="2"/>
  <c r="GL152" i="2"/>
  <c r="EX152" i="2"/>
  <c r="EC152" i="2"/>
  <c r="EB152" i="2"/>
  <c r="EA152" i="2"/>
  <c r="DH152" i="2"/>
  <c r="DG152" i="2"/>
  <c r="DF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H153" i="2" s="1"/>
  <c r="HD153" i="2"/>
  <c r="HG153" i="2" s="1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GM153" i="2" s="1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GL153" i="2" l="1"/>
  <c r="GN153" i="2"/>
  <c r="FS153" i="2"/>
  <c r="EV153" i="2"/>
  <c r="HI153" i="2"/>
  <c r="EW153" i="2"/>
  <c r="FR153" i="2"/>
  <c r="EX153" i="2"/>
  <c r="FQ153" i="2"/>
  <c r="EA153" i="2"/>
  <c r="EB153" i="2"/>
  <c r="EC153" i="2"/>
  <c r="DH153" i="2"/>
  <c r="DG153" i="2"/>
  <c r="DF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V154" i="2" s="1"/>
  <c r="EU154" i="2"/>
  <c r="DZ154" i="2"/>
  <c r="FO154" i="2"/>
  <c r="DL154" i="2"/>
  <c r="DD154" i="2"/>
  <c r="CJ154" i="2"/>
  <c r="EG154" i="2"/>
  <c r="DM154" i="2"/>
  <c r="DE154" i="2"/>
  <c r="ET154" i="2"/>
  <c r="EW154" i="2" s="1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A154" i="2" s="1"/>
  <c r="AB153" i="2"/>
  <c r="AB154" i="2" s="1"/>
  <c r="AX150" i="2"/>
  <c r="Z153" i="2"/>
  <c r="Z154" i="2" s="1"/>
  <c r="AC152" i="2"/>
  <c r="HH154" i="2" l="1"/>
  <c r="HG154" i="2"/>
  <c r="EX154" i="2"/>
  <c r="FQ154" i="2"/>
  <c r="HI154" i="2"/>
  <c r="GM154" i="2"/>
  <c r="FS154" i="2"/>
  <c r="FR154" i="2"/>
  <c r="GN154" i="2"/>
  <c r="GL154" i="2"/>
  <c r="EB154" i="2"/>
  <c r="EA154" i="2"/>
  <c r="EC154" i="2"/>
  <c r="DH154" i="2"/>
  <c r="DG154" i="2"/>
  <c r="DF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FQ155" i="2" s="1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GL155" i="2" s="1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AC154" i="2"/>
  <c r="HJ154" i="2"/>
  <c r="EY154" i="2"/>
  <c r="GO154" i="2"/>
  <c r="FT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EV155" i="2"/>
  <c r="GM155" i="2"/>
  <c r="GN155" i="2"/>
  <c r="FR155" i="2"/>
  <c r="FS155" i="2"/>
  <c r="EW155" i="2"/>
  <c r="HI155" i="2"/>
  <c r="EX155" i="2"/>
  <c r="Z155" i="2"/>
  <c r="ED154" i="2"/>
  <c r="AW155" i="2"/>
  <c r="CN154" i="2"/>
  <c r="DI154" i="2"/>
  <c r="EC155" i="2"/>
  <c r="EB155" i="2"/>
  <c r="EA155" i="2"/>
  <c r="DH155" i="2"/>
  <c r="DG155" i="2"/>
  <c r="DF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Q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GO155" i="2"/>
  <c r="AX152" i="2"/>
  <c r="GM156" i="2" l="1"/>
  <c r="GL156" i="2"/>
  <c r="EW156" i="2"/>
  <c r="EX156" i="2"/>
  <c r="HI156" i="2"/>
  <c r="FS156" i="2"/>
  <c r="GN156" i="2"/>
  <c r="EV156" i="2"/>
  <c r="AB156" i="2"/>
  <c r="FR156" i="2"/>
  <c r="EC156" i="2"/>
  <c r="ED155" i="2"/>
  <c r="EA156" i="2"/>
  <c r="EB156" i="2"/>
  <c r="DH156" i="2"/>
  <c r="DI155" i="2"/>
  <c r="DF156" i="2"/>
  <c r="DG156" i="2"/>
  <c r="CN155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FQ157" i="2" s="1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GM157" i="2" l="1"/>
  <c r="EV157" i="2"/>
  <c r="FR157" i="2"/>
  <c r="GN157" i="2"/>
  <c r="FS157" i="2"/>
  <c r="HI157" i="2"/>
  <c r="GL157" i="2"/>
  <c r="EX157" i="2"/>
  <c r="EW157" i="2"/>
  <c r="CN156" i="2"/>
  <c r="EC157" i="2"/>
  <c r="EB157" i="2"/>
  <c r="EA157" i="2"/>
  <c r="DH157" i="2"/>
  <c r="DF157" i="2"/>
  <c r="DG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FQ158" i="2" s="1"/>
  <c r="GS158" i="2"/>
  <c r="GG158" i="2"/>
  <c r="FN158" i="2"/>
  <c r="HB158" i="2"/>
  <c r="GH158" i="2"/>
  <c r="FO158" i="2"/>
  <c r="FR158" i="2" s="1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X158" i="2" l="1"/>
  <c r="GM158" i="2"/>
  <c r="HI158" i="2"/>
  <c r="FS158" i="2"/>
  <c r="GL158" i="2"/>
  <c r="GN158" i="2"/>
  <c r="ED157" i="2"/>
  <c r="EC158" i="2"/>
  <c r="EB158" i="2"/>
  <c r="EA158" i="2"/>
  <c r="DH158" i="2"/>
  <c r="DI157" i="2"/>
  <c r="DG158" i="2"/>
  <c r="DF158" i="2"/>
  <c r="AU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FR159" i="2" s="1"/>
  <c r="HC159" i="2"/>
  <c r="GI159" i="2"/>
  <c r="FP159" i="2"/>
  <c r="EG159" i="2"/>
  <c r="ER159" i="2"/>
  <c r="FL159" i="2"/>
  <c r="ES159" i="2"/>
  <c r="ET159" i="2"/>
  <c r="EW159" i="2" s="1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Q159" i="2" l="1"/>
  <c r="HG159" i="2"/>
  <c r="GN159" i="2"/>
  <c r="EV159" i="2"/>
  <c r="FS159" i="2"/>
  <c r="HI159" i="2"/>
  <c r="HH159" i="2"/>
  <c r="GL159" i="2"/>
  <c r="GM159" i="2"/>
  <c r="EX159" i="2"/>
  <c r="DI158" i="2"/>
  <c r="EA159" i="2"/>
  <c r="ED158" i="2"/>
  <c r="EC159" i="2"/>
  <c r="EB159" i="2"/>
  <c r="DH159" i="2"/>
  <c r="DG159" i="2"/>
  <c r="DF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Q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/>
  <c r="FR160" i="2" l="1"/>
  <c r="EW160" i="2"/>
  <c r="GM160" i="2"/>
  <c r="HI160" i="2"/>
  <c r="HG160" i="2"/>
  <c r="FS160" i="2"/>
  <c r="HH160" i="2"/>
  <c r="EV160" i="2"/>
  <c r="GL160" i="2"/>
  <c r="GN160" i="2"/>
  <c r="EX160" i="2"/>
  <c r="ED159" i="2"/>
  <c r="EB160" i="2"/>
  <c r="DI159" i="2"/>
  <c r="DH160" i="2"/>
  <c r="EA160" i="2"/>
  <c r="EC160" i="2"/>
  <c r="DG160" i="2"/>
  <c r="DF160" i="2"/>
  <c r="AU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FQ161" i="2" s="1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GL161" i="2" l="1"/>
  <c r="FS161" i="2"/>
  <c r="EV161" i="2"/>
  <c r="FR161" i="2"/>
  <c r="HI161" i="2"/>
  <c r="EX161" i="2"/>
  <c r="GN161" i="2"/>
  <c r="EW161" i="2"/>
  <c r="GM161" i="2"/>
  <c r="AB161" i="2"/>
  <c r="AW161" i="2"/>
  <c r="EA161" i="2"/>
  <c r="ED160" i="2"/>
  <c r="EC161" i="2"/>
  <c r="EB161" i="2"/>
  <c r="DH161" i="2"/>
  <c r="DF161" i="2"/>
  <c r="DG161" i="2"/>
  <c r="CN160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EV162" i="2" s="1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/>
  <c r="HG162" i="2" l="1"/>
  <c r="HH162" i="2"/>
  <c r="GM162" i="2"/>
  <c r="GN162" i="2"/>
  <c r="AU162" i="2"/>
  <c r="EX162" i="2"/>
  <c r="HI162" i="2"/>
  <c r="GL162" i="2"/>
  <c r="FR162" i="2"/>
  <c r="FS162" i="2"/>
  <c r="FQ162" i="2"/>
  <c r="ED161" i="2"/>
  <c r="EA162" i="2"/>
  <c r="EB162" i="2"/>
  <c r="EC162" i="2"/>
  <c r="DH162" i="2"/>
  <c r="DI161" i="2"/>
  <c r="DG162" i="2"/>
  <c r="DF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FQ163" i="2" s="1"/>
  <c r="HB163" i="2"/>
  <c r="GH163" i="2"/>
  <c r="FO163" i="2"/>
  <c r="FR163" i="2" s="1"/>
  <c r="HC163" i="2"/>
  <c r="HD163" i="2"/>
  <c r="GJ163" i="2"/>
  <c r="GM163" i="2" s="1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GL163" i="2" s="1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W163" i="2" l="1"/>
  <c r="HI163" i="2"/>
  <c r="EX163" i="2"/>
  <c r="EV163" i="2"/>
  <c r="HG163" i="2"/>
  <c r="GN163" i="2"/>
  <c r="FS163" i="2"/>
  <c r="EB163" i="2"/>
  <c r="ED162" i="2"/>
  <c r="EA163" i="2"/>
  <c r="EC163" i="2"/>
  <c r="DH163" i="2"/>
  <c r="DG163" i="2"/>
  <c r="DF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GM164" i="2" s="1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V164" i="2" l="1"/>
  <c r="HH164" i="2"/>
  <c r="FQ164" i="2"/>
  <c r="EW164" i="2"/>
  <c r="FS164" i="2"/>
  <c r="GN164" i="2"/>
  <c r="GL164" i="2"/>
  <c r="FR164" i="2"/>
  <c r="EX164" i="2"/>
  <c r="HI164" i="2"/>
  <c r="DI163" i="2"/>
  <c r="EB164" i="2"/>
  <c r="ED163" i="2"/>
  <c r="EA164" i="2"/>
  <c r="EC164" i="2"/>
  <c r="DH164" i="2"/>
  <c r="DF164" i="2"/>
  <c r="DG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GL165" i="2" s="1"/>
  <c r="FP165" i="2"/>
  <c r="HD165" i="2"/>
  <c r="HG165" i="2" s="1"/>
  <c r="GJ165" i="2"/>
  <c r="GM165" i="2" s="1"/>
  <c r="HE165" i="2"/>
  <c r="HF165" i="2"/>
  <c r="FC165" i="2"/>
  <c r="FW165" i="2"/>
  <c r="FL165" i="2"/>
  <c r="GR165" i="2"/>
  <c r="FX165" i="2"/>
  <c r="FM165" i="2"/>
  <c r="FQ165" i="2" s="1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EW165" i="2" s="1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GN165" i="2"/>
  <c r="EV165" i="2"/>
  <c r="FR165" i="2"/>
  <c r="FS165" i="2"/>
  <c r="HH165" i="2"/>
  <c r="HI165" i="2"/>
  <c r="EC165" i="2"/>
  <c r="EB165" i="2"/>
  <c r="EA165" i="2"/>
  <c r="DH165" i="2"/>
  <c r="DI164" i="2"/>
  <c r="DF165" i="2"/>
  <c r="DG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FQ166" i="2" s="1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EY165" i="2"/>
  <c r="AX163" i="2"/>
  <c r="FR166" i="2" l="1"/>
  <c r="EX166" i="2"/>
  <c r="HI166" i="2"/>
  <c r="HH166" i="2"/>
  <c r="EV166" i="2"/>
  <c r="EW166" i="2"/>
  <c r="GM166" i="2"/>
  <c r="FS166" i="2"/>
  <c r="HG166" i="2"/>
  <c r="GL166" i="2"/>
  <c r="GN166" i="2"/>
  <c r="CN165" i="2"/>
  <c r="EC166" i="2"/>
  <c r="ED165" i="2"/>
  <c r="EB166" i="2"/>
  <c r="EA166" i="2"/>
  <c r="DH166" i="2"/>
  <c r="DF166" i="2"/>
  <c r="DG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EY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GM167" i="2" s="1"/>
  <c r="HE167" i="2"/>
  <c r="HH167" i="2" s="1"/>
  <c r="GK167" i="2"/>
  <c r="FB167" i="2"/>
  <c r="HF167" i="2"/>
  <c r="FC167" i="2"/>
  <c r="GR167" i="2"/>
  <c r="FX167" i="2"/>
  <c r="FM167" i="2"/>
  <c r="FQ167" i="2" s="1"/>
  <c r="GS167" i="2"/>
  <c r="GG167" i="2"/>
  <c r="FN167" i="2"/>
  <c r="HB167" i="2"/>
  <c r="GH167" i="2"/>
  <c r="FO167" i="2"/>
  <c r="HC167" i="2"/>
  <c r="GI167" i="2"/>
  <c r="GL167" i="2" s="1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EW167" i="2" s="1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EV167" i="2"/>
  <c r="HG167" i="2"/>
  <c r="FR167" i="2"/>
  <c r="GN167" i="2"/>
  <c r="HI167" i="2"/>
  <c r="DH167" i="2"/>
  <c r="EA167" i="2"/>
  <c r="EC167" i="2"/>
  <c r="EB167" i="2"/>
  <c r="DI166" i="2"/>
  <c r="DF167" i="2"/>
  <c r="DG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EY167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GL168" i="2" s="1"/>
  <c r="FP168" i="2"/>
  <c r="HD168" i="2"/>
  <c r="HG168" i="2" s="1"/>
  <c r="GJ168" i="2"/>
  <c r="GM168" i="2" s="1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X168" i="2" l="1"/>
  <c r="HI168" i="2"/>
  <c r="GN168" i="2"/>
  <c r="FR168" i="2"/>
  <c r="EV168" i="2"/>
  <c r="FS168" i="2"/>
  <c r="FQ168" i="2"/>
  <c r="EC168" i="2"/>
  <c r="DH168" i="2"/>
  <c r="DI167" i="2"/>
  <c r="EA168" i="2"/>
  <c r="EB168" i="2"/>
  <c r="DG168" i="2"/>
  <c r="DF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FQ169" i="2" s="1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G169" i="2" l="1"/>
  <c r="GM169" i="2"/>
  <c r="EW169" i="2"/>
  <c r="FS169" i="2"/>
  <c r="GL169" i="2"/>
  <c r="EV169" i="2"/>
  <c r="FR169" i="2"/>
  <c r="GN169" i="2"/>
  <c r="HI169" i="2"/>
  <c r="HH169" i="2"/>
  <c r="EC169" i="2"/>
  <c r="DH169" i="2"/>
  <c r="DI168" i="2"/>
  <c r="EA169" i="2"/>
  <c r="EB169" i="2"/>
  <c r="DF169" i="2"/>
  <c r="DG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EY169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FQ170" i="2" s="1"/>
  <c r="HB170" i="2"/>
  <c r="HC170" i="2"/>
  <c r="HG170" i="2" s="1"/>
  <c r="GI170" i="2"/>
  <c r="FP170" i="2"/>
  <c r="HD170" i="2"/>
  <c r="GJ170" i="2"/>
  <c r="HE170" i="2"/>
  <c r="GK170" i="2"/>
  <c r="FB170" i="2"/>
  <c r="HF170" i="2"/>
  <c r="FC170" i="2"/>
  <c r="ER170" i="2"/>
  <c r="EX170" i="2" s="1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EW170" i="2" s="1"/>
  <c r="DC170" i="2"/>
  <c r="CI170" i="2"/>
  <c r="BL170" i="2"/>
  <c r="DW170" i="2"/>
  <c r="BM170" i="2"/>
  <c r="BA170" i="2"/>
  <c r="DX170" i="2"/>
  <c r="FO170" i="2"/>
  <c r="FR170" i="2" s="1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DH170" i="2" l="1"/>
  <c r="GN170" i="2"/>
  <c r="GL170" i="2"/>
  <c r="FS170" i="2"/>
  <c r="HH170" i="2"/>
  <c r="EV170" i="2"/>
  <c r="GM170" i="2"/>
  <c r="HI170" i="2"/>
  <c r="EC170" i="2"/>
  <c r="EA170" i="2"/>
  <c r="CN169" i="2"/>
  <c r="EB170" i="2"/>
  <c r="DF170" i="2"/>
  <c r="DG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FR171" i="2" s="1"/>
  <c r="HC171" i="2"/>
  <c r="HD171" i="2"/>
  <c r="GJ171" i="2"/>
  <c r="HE171" i="2"/>
  <c r="HH171" i="2" s="1"/>
  <c r="GK171" i="2"/>
  <c r="FB171" i="2"/>
  <c r="HF171" i="2"/>
  <c r="FC171" i="2"/>
  <c r="FW171" i="2"/>
  <c r="FL171" i="2"/>
  <c r="ES171" i="2"/>
  <c r="GI171" i="2"/>
  <c r="GL171" i="2" s="1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EW171" i="2" s="1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HG171" i="2" l="1"/>
  <c r="EX171" i="2"/>
  <c r="HI171" i="2"/>
  <c r="FQ171" i="2"/>
  <c r="FS171" i="2"/>
  <c r="EV171" i="2"/>
  <c r="GM171" i="2"/>
  <c r="GN171" i="2"/>
  <c r="EA171" i="2"/>
  <c r="EB171" i="2"/>
  <c r="DH171" i="2"/>
  <c r="EC171" i="2"/>
  <c r="DI170" i="2"/>
  <c r="DF171" i="2"/>
  <c r="DG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FQ172" i="2" s="1"/>
  <c r="HB172" i="2"/>
  <c r="GH172" i="2"/>
  <c r="FO172" i="2"/>
  <c r="HC172" i="2"/>
  <c r="GI172" i="2"/>
  <c r="FP172" i="2"/>
  <c r="HD172" i="2"/>
  <c r="HE172" i="2"/>
  <c r="HH172" i="2" s="1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EX172" i="2" s="1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GM172" i="2" l="1"/>
  <c r="GL172" i="2"/>
  <c r="GN172" i="2"/>
  <c r="FR172" i="2"/>
  <c r="FS172" i="2"/>
  <c r="HG172" i="2"/>
  <c r="HI172" i="2"/>
  <c r="ED171" i="2"/>
  <c r="EB172" i="2"/>
  <c r="EA172" i="2"/>
  <c r="DH172" i="2"/>
  <c r="EC172" i="2"/>
  <c r="DF172" i="2"/>
  <c r="DG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HJ172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GL173" i="2" s="1"/>
  <c r="FP173" i="2"/>
  <c r="HD173" i="2"/>
  <c r="HG173" i="2" s="1"/>
  <c r="GJ173" i="2"/>
  <c r="GM173" i="2" s="1"/>
  <c r="HE173" i="2"/>
  <c r="HH173" i="2" s="1"/>
  <c r="HF173" i="2"/>
  <c r="FC173" i="2"/>
  <c r="FW173" i="2"/>
  <c r="FL173" i="2"/>
  <c r="GR173" i="2"/>
  <c r="FX173" i="2"/>
  <c r="FM173" i="2"/>
  <c r="FQ173" i="2" s="1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EV173" i="2" s="1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I173" i="2" l="1"/>
  <c r="FS173" i="2"/>
  <c r="GN173" i="2"/>
  <c r="FR173" i="2"/>
  <c r="DH173" i="2"/>
  <c r="ED172" i="2"/>
  <c r="CL173" i="2"/>
  <c r="EC173" i="2"/>
  <c r="EA173" i="2"/>
  <c r="EB173" i="2"/>
  <c r="DF173" i="2"/>
  <c r="DG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GM174" i="2" s="1"/>
  <c r="HE174" i="2"/>
  <c r="GK174" i="2"/>
  <c r="FB174" i="2"/>
  <c r="HF174" i="2"/>
  <c r="FW174" i="2"/>
  <c r="FL174" i="2"/>
  <c r="GR174" i="2"/>
  <c r="FX174" i="2"/>
  <c r="FM174" i="2"/>
  <c r="FQ174" i="2" s="1"/>
  <c r="GS174" i="2"/>
  <c r="GG174" i="2"/>
  <c r="FN174" i="2"/>
  <c r="HB174" i="2"/>
  <c r="GH174" i="2"/>
  <c r="FO174" i="2"/>
  <c r="DZ174" i="2"/>
  <c r="ER174" i="2"/>
  <c r="EX174" i="2" s="1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V174" i="2"/>
  <c r="GL174" i="2"/>
  <c r="EW174" i="2"/>
  <c r="GN174" i="2"/>
  <c r="FS174" i="2"/>
  <c r="HI174" i="2"/>
  <c r="FR174" i="2"/>
  <c r="HG174" i="2"/>
  <c r="DI173" i="2"/>
  <c r="DH174" i="2"/>
  <c r="EA174" i="2"/>
  <c r="EB174" i="2"/>
  <c r="EC174" i="2"/>
  <c r="DF174" i="2"/>
  <c r="DG174" i="2"/>
  <c r="CL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Q175" i="2" s="1"/>
  <c r="GS175" i="2"/>
  <c r="GG175" i="2"/>
  <c r="FN175" i="2"/>
  <c r="HB175" i="2"/>
  <c r="GH175" i="2"/>
  <c r="FO175" i="2"/>
  <c r="FR175" i="2" s="1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X175" i="2" s="1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V175" i="2" l="1"/>
  <c r="HG175" i="2"/>
  <c r="HI175" i="2"/>
  <c r="FS175" i="2"/>
  <c r="EW175" i="2"/>
  <c r="GN175" i="2"/>
  <c r="HH175" i="2"/>
  <c r="GL175" i="2"/>
  <c r="GM175" i="2"/>
  <c r="ED174" i="2"/>
  <c r="CN174" i="2"/>
  <c r="EC175" i="2"/>
  <c r="EA175" i="2"/>
  <c r="EB175" i="2"/>
  <c r="DH175" i="2"/>
  <c r="DI174" i="2"/>
  <c r="DG175" i="2"/>
  <c r="DF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FQ176" i="2" s="1"/>
  <c r="ER176" i="2"/>
  <c r="EX176" i="2" s="1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V176" i="2" l="1"/>
  <c r="EW176" i="2"/>
  <c r="GN176" i="2"/>
  <c r="GM176" i="2"/>
  <c r="HG176" i="2"/>
  <c r="FS176" i="2"/>
  <c r="HH176" i="2"/>
  <c r="HI176" i="2"/>
  <c r="GL176" i="2"/>
  <c r="FR176" i="2"/>
  <c r="DI175" i="2"/>
  <c r="DH176" i="2"/>
  <c r="EC176" i="2"/>
  <c r="EA176" i="2"/>
  <c r="EB176" i="2"/>
  <c r="AU176" i="2"/>
  <c r="DG176" i="2"/>
  <c r="DF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GL177" i="2" s="1"/>
  <c r="FP177" i="2"/>
  <c r="HD177" i="2"/>
  <c r="HG177" i="2" s="1"/>
  <c r="GJ177" i="2"/>
  <c r="GM177" i="2" s="1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EV177" i="2" s="1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X177" i="2" l="1"/>
  <c r="HI177" i="2"/>
  <c r="FS177" i="2"/>
  <c r="FR177" i="2"/>
  <c r="GN177" i="2"/>
  <c r="EA177" i="2"/>
  <c r="EC177" i="2"/>
  <c r="EB177" i="2"/>
  <c r="DH177" i="2"/>
  <c r="DF177" i="2"/>
  <c r="DG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FR178" i="2" s="1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EV178" i="2" s="1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X178" i="2" l="1"/>
  <c r="GL178" i="2"/>
  <c r="GN178" i="2"/>
  <c r="HH178" i="2"/>
  <c r="FS178" i="2"/>
  <c r="GM178" i="2"/>
  <c r="HI178" i="2"/>
  <c r="HG178" i="2"/>
  <c r="ED177" i="2"/>
  <c r="DH178" i="2"/>
  <c r="EB178" i="2"/>
  <c r="EA178" i="2"/>
  <c r="EC178" i="2"/>
  <c r="DF178" i="2"/>
  <c r="DG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GM179" i="2" s="1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EW179" i="2" s="1"/>
  <c r="DM179" i="2"/>
  <c r="DE179" i="2"/>
  <c r="GI179" i="2"/>
  <c r="GL179" i="2" s="1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EX179" i="2" s="1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G179" i="2" l="1"/>
  <c r="HI179" i="2"/>
  <c r="FQ179" i="2"/>
  <c r="HH179" i="2"/>
  <c r="FS179" i="2"/>
  <c r="GN179" i="2"/>
  <c r="FR179" i="2"/>
  <c r="AW179" i="2"/>
  <c r="DH179" i="2"/>
  <c r="ED178" i="2"/>
  <c r="EC179" i="2"/>
  <c r="EA179" i="2"/>
  <c r="EB179" i="2"/>
  <c r="DF179" i="2"/>
  <c r="DG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GL180" i="2" s="1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EW180" i="2" s="1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GM180" i="2"/>
  <c r="FR180" i="2"/>
  <c r="GN180" i="2"/>
  <c r="FS180" i="2"/>
  <c r="HH180" i="2"/>
  <c r="FQ180" i="2"/>
  <c r="HG180" i="2"/>
  <c r="HI180" i="2"/>
  <c r="EV180" i="2"/>
  <c r="DH180" i="2"/>
  <c r="EB180" i="2"/>
  <c r="ED179" i="2"/>
  <c r="EA180" i="2"/>
  <c r="EC180" i="2"/>
  <c r="DI179" i="2"/>
  <c r="DG180" i="2"/>
  <c r="DF180" i="2"/>
  <c r="CN179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GM181" i="2" s="1"/>
  <c r="HE181" i="2"/>
  <c r="HH181" i="2" s="1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EX181" i="2" s="1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GL181" i="2" l="1"/>
  <c r="EV181" i="2"/>
  <c r="FQ181" i="2"/>
  <c r="FR181" i="2"/>
  <c r="FS181" i="2"/>
  <c r="GN181" i="2"/>
  <c r="HI181" i="2"/>
  <c r="ED180" i="2"/>
  <c r="CN180" i="2"/>
  <c r="EC181" i="2"/>
  <c r="EA181" i="2"/>
  <c r="EB181" i="2"/>
  <c r="DH181" i="2"/>
  <c r="DI180" i="2"/>
  <c r="DG181" i="2"/>
  <c r="DF181" i="2"/>
  <c r="AU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HH182" i="2" s="1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EV182" i="2" s="1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B182" i="2" s="1"/>
  <c r="AX179" i="2"/>
  <c r="GL182" i="2" l="1"/>
  <c r="FQ182" i="2"/>
  <c r="HI182" i="2"/>
  <c r="GN182" i="2"/>
  <c r="FS182" i="2"/>
  <c r="GM182" i="2"/>
  <c r="EW182" i="2"/>
  <c r="FR182" i="2"/>
  <c r="HG182" i="2"/>
  <c r="EA182" i="2"/>
  <c r="EC182" i="2"/>
  <c r="EB182" i="2"/>
  <c r="AW182" i="2"/>
  <c r="DH182" i="2"/>
  <c r="DF182" i="2"/>
  <c r="DG182" i="2"/>
  <c r="CN181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GM183" i="2" s="1"/>
  <c r="HE183" i="2"/>
  <c r="GK183" i="2"/>
  <c r="FB183" i="2"/>
  <c r="HF183" i="2"/>
  <c r="FC183" i="2"/>
  <c r="GR183" i="2"/>
  <c r="FX183" i="2"/>
  <c r="FM183" i="2"/>
  <c r="GS183" i="2"/>
  <c r="GG183" i="2"/>
  <c r="FN183" i="2"/>
  <c r="FQ183" i="2" s="1"/>
  <c r="HB183" i="2"/>
  <c r="GH183" i="2"/>
  <c r="FO183" i="2"/>
  <c r="HC183" i="2"/>
  <c r="GI183" i="2"/>
  <c r="GL183" i="2" s="1"/>
  <c r="FP183" i="2"/>
  <c r="EG183" i="2"/>
  <c r="FW183" i="2"/>
  <c r="ES183" i="2"/>
  <c r="EV183" i="2" s="1"/>
  <c r="FL183" i="2"/>
  <c r="EU183" i="2"/>
  <c r="DY183" i="2"/>
  <c r="DA183" i="2"/>
  <c r="DZ183" i="2"/>
  <c r="DB183" i="2"/>
  <c r="EQ183" i="2"/>
  <c r="DL183" i="2"/>
  <c r="ER183" i="2"/>
  <c r="EX183" i="2" s="1"/>
  <c r="DM183" i="2"/>
  <c r="ET183" i="2"/>
  <c r="EW183" i="2" s="1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HG183" i="2" l="1"/>
  <c r="FS183" i="2"/>
  <c r="HH183" i="2"/>
  <c r="GN183" i="2"/>
  <c r="HI183" i="2"/>
  <c r="FR183" i="2"/>
  <c r="ED182" i="2"/>
  <c r="EA183" i="2"/>
  <c r="EB183" i="2"/>
  <c r="DH183" i="2"/>
  <c r="EC183" i="2"/>
  <c r="DI182" i="2"/>
  <c r="DG183" i="2"/>
  <c r="DF183" i="2"/>
  <c r="CM183" i="2"/>
  <c r="AV183" i="2"/>
  <c r="AU183" i="2"/>
  <c r="AW183" i="2"/>
  <c r="BP183" i="2"/>
  <c r="BQ183" i="2"/>
  <c r="BR183" i="2"/>
  <c r="CK183" i="2"/>
  <c r="CL183" i="2"/>
  <c r="FT182" i="2"/>
  <c r="CN182" i="2"/>
  <c r="EY183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HH184" i="2" s="1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HG184" i="2" s="1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EX184" i="2" s="1"/>
  <c r="DD184" i="2"/>
  <c r="CJ184" i="2"/>
  <c r="BO184" i="2"/>
  <c r="ES184" i="2"/>
  <c r="DE184" i="2"/>
  <c r="ET184" i="2"/>
  <c r="EW184" i="2" s="1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V184" i="2" l="1"/>
  <c r="GL184" i="2"/>
  <c r="HI184" i="2"/>
  <c r="FR184" i="2"/>
  <c r="GN184" i="2"/>
  <c r="FS184" i="2"/>
  <c r="GM184" i="2"/>
  <c r="FQ184" i="2"/>
  <c r="DH184" i="2"/>
  <c r="EC184" i="2"/>
  <c r="EA184" i="2"/>
  <c r="EB184" i="2"/>
  <c r="AW184" i="2"/>
  <c r="DI183" i="2"/>
  <c r="DG184" i="2"/>
  <c r="DF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GL185" i="2" s="1"/>
  <c r="FP185" i="2"/>
  <c r="HD185" i="2"/>
  <c r="HG185" i="2" s="1"/>
  <c r="GJ185" i="2"/>
  <c r="GM185" i="2" s="1"/>
  <c r="HE185" i="2"/>
  <c r="GK185" i="2"/>
  <c r="FB185" i="2"/>
  <c r="EQ185" i="2"/>
  <c r="FN185" i="2"/>
  <c r="FQ185" i="2" s="1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X185" i="2" l="1"/>
  <c r="FS185" i="2"/>
  <c r="GN185" i="2"/>
  <c r="HI185" i="2"/>
  <c r="FR185" i="2"/>
  <c r="HH185" i="2"/>
  <c r="AU185" i="2"/>
  <c r="EB185" i="2"/>
  <c r="EA185" i="2"/>
  <c r="DI184" i="2"/>
  <c r="EC185" i="2"/>
  <c r="ED184" i="2"/>
  <c r="DH185" i="2"/>
  <c r="DF185" i="2"/>
  <c r="DG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EV186" i="2" s="1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HG186" i="2"/>
  <c r="EX186" i="2"/>
  <c r="FQ186" i="2"/>
  <c r="HH186" i="2"/>
  <c r="GM186" i="2"/>
  <c r="HI186" i="2"/>
  <c r="GN186" i="2"/>
  <c r="FS186" i="2"/>
  <c r="GL186" i="2"/>
  <c r="ED185" i="2"/>
  <c r="EB186" i="2"/>
  <c r="EA186" i="2"/>
  <c r="EC186" i="2"/>
  <c r="DH186" i="2"/>
  <c r="DI185" i="2"/>
  <c r="DF186" i="2"/>
  <c r="DG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FR187" i="2" s="1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EV187" i="2" s="1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X187" i="2" l="1"/>
  <c r="GL187" i="2"/>
  <c r="FS187" i="2"/>
  <c r="FQ187" i="2"/>
  <c r="GN187" i="2"/>
  <c r="HI187" i="2"/>
  <c r="GM187" i="2"/>
  <c r="HG187" i="2"/>
  <c r="EW187" i="2"/>
  <c r="AB187" i="2"/>
  <c r="EA187" i="2"/>
  <c r="DH187" i="2"/>
  <c r="EC187" i="2"/>
  <c r="EB187" i="2"/>
  <c r="DI186" i="2"/>
  <c r="DF187" i="2"/>
  <c r="DG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FR188" i="2" s="1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X188" i="2" s="1"/>
  <c r="ES188" i="2"/>
  <c r="EV188" i="2" s="1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GL188" i="2" l="1"/>
  <c r="HI188" i="2"/>
  <c r="EW188" i="2"/>
  <c r="GN188" i="2"/>
  <c r="HH188" i="2"/>
  <c r="FQ188" i="2"/>
  <c r="FS188" i="2"/>
  <c r="GM188" i="2"/>
  <c r="DH188" i="2"/>
  <c r="EC188" i="2"/>
  <c r="ED187" i="2"/>
  <c r="EB188" i="2"/>
  <c r="EA188" i="2"/>
  <c r="DI187" i="2"/>
  <c r="DG188" i="2"/>
  <c r="DF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GL189" i="2" s="1"/>
  <c r="FP189" i="2"/>
  <c r="HD189" i="2"/>
  <c r="HG189" i="2" s="1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X189" i="2" s="1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FS189" i="2"/>
  <c r="EV189" i="2"/>
  <c r="GN189" i="2"/>
  <c r="FQ189" i="2"/>
  <c r="FR189" i="2"/>
  <c r="EW189" i="2"/>
  <c r="HI189" i="2"/>
  <c r="GM189" i="2"/>
  <c r="EB189" i="2"/>
  <c r="DH189" i="2"/>
  <c r="EA189" i="2"/>
  <c r="EC189" i="2"/>
  <c r="DF189" i="2"/>
  <c r="DG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X190" i="2" l="1"/>
  <c r="FR190" i="2"/>
  <c r="GL190" i="2"/>
  <c r="HI190" i="2"/>
  <c r="FQ190" i="2"/>
  <c r="GM190" i="2"/>
  <c r="GN190" i="2"/>
  <c r="FS190" i="2"/>
  <c r="EB190" i="2"/>
  <c r="CN189" i="2"/>
  <c r="ED189" i="2"/>
  <c r="EC190" i="2"/>
  <c r="EA190" i="2"/>
  <c r="DH190" i="2"/>
  <c r="DG190" i="2"/>
  <c r="DF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GL191" i="2" s="1"/>
  <c r="FP191" i="2"/>
  <c r="EG191" i="2"/>
  <c r="FC191" i="2"/>
  <c r="FW191" i="2"/>
  <c r="FL191" i="2"/>
  <c r="FM191" i="2"/>
  <c r="FO191" i="2"/>
  <c r="FR191" i="2" s="1"/>
  <c r="ER191" i="2"/>
  <c r="EX191" i="2" s="1"/>
  <c r="ET191" i="2"/>
  <c r="DY191" i="2"/>
  <c r="DA191" i="2"/>
  <c r="FB191" i="2"/>
  <c r="EU191" i="2"/>
  <c r="DZ191" i="2"/>
  <c r="DB191" i="2"/>
  <c r="FN191" i="2"/>
  <c r="FQ191" i="2" s="1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GM191" i="2" l="1"/>
  <c r="HH191" i="2"/>
  <c r="FS191" i="2"/>
  <c r="EV191" i="2"/>
  <c r="GN191" i="2"/>
  <c r="EW191" i="2"/>
  <c r="HI191" i="2"/>
  <c r="ED190" i="2"/>
  <c r="EA191" i="2"/>
  <c r="EB191" i="2"/>
  <c r="EC191" i="2"/>
  <c r="DH191" i="2"/>
  <c r="DG191" i="2"/>
  <c r="DF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GO191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GL192" i="2" s="1"/>
  <c r="HD192" i="2"/>
  <c r="GJ192" i="2"/>
  <c r="GM192" i="2" s="1"/>
  <c r="EH192" i="2"/>
  <c r="FM192" i="2"/>
  <c r="EG192" i="2"/>
  <c r="FN192" i="2"/>
  <c r="FX192" i="2"/>
  <c r="FO192" i="2"/>
  <c r="FR192" i="2" s="1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X192" i="2" l="1"/>
  <c r="HI192" i="2"/>
  <c r="GN192" i="2"/>
  <c r="EW192" i="2"/>
  <c r="HG192" i="2"/>
  <c r="FS192" i="2"/>
  <c r="EV192" i="2"/>
  <c r="FQ192" i="2"/>
  <c r="HH192" i="2"/>
  <c r="EB192" i="2"/>
  <c r="DI191" i="2"/>
  <c r="EA192" i="2"/>
  <c r="EC192" i="2"/>
  <c r="AW192" i="2"/>
  <c r="DH192" i="2"/>
  <c r="DF192" i="2"/>
  <c r="DG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FR193" i="2" s="1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EV193" i="2" s="1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X193" i="2" l="1"/>
  <c r="EW193" i="2"/>
  <c r="HG193" i="2"/>
  <c r="GL193" i="2"/>
  <c r="FS193" i="2"/>
  <c r="GN193" i="2"/>
  <c r="HH193" i="2"/>
  <c r="HI193" i="2"/>
  <c r="GM193" i="2"/>
  <c r="EA193" i="2"/>
  <c r="DH193" i="2"/>
  <c r="ED192" i="2"/>
  <c r="EC193" i="2"/>
  <c r="EB193" i="2"/>
  <c r="DI192" i="2"/>
  <c r="DF193" i="2"/>
  <c r="DG193" i="2"/>
  <c r="CN192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GL194" i="2" s="1"/>
  <c r="HD194" i="2"/>
  <c r="GJ194" i="2"/>
  <c r="HE194" i="2"/>
  <c r="GK194" i="2"/>
  <c r="HF194" i="2"/>
  <c r="FC194" i="2"/>
  <c r="ER194" i="2"/>
  <c r="EX194" i="2" s="1"/>
  <c r="ET194" i="2"/>
  <c r="EW194" i="2" s="1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R194" i="2" l="1"/>
  <c r="HI194" i="2"/>
  <c r="FQ194" i="2"/>
  <c r="GN194" i="2"/>
  <c r="FS194" i="2"/>
  <c r="EV194" i="2"/>
  <c r="HH194" i="2"/>
  <c r="GM194" i="2"/>
  <c r="HG194" i="2"/>
  <c r="ED193" i="2"/>
  <c r="EB194" i="2"/>
  <c r="DH194" i="2"/>
  <c r="CN193" i="2"/>
  <c r="EC194" i="2"/>
  <c r="EA194" i="2"/>
  <c r="AW194" i="2"/>
  <c r="DI193" i="2"/>
  <c r="DF194" i="2"/>
  <c r="DG194" i="2"/>
  <c r="CM194" i="2"/>
  <c r="AV194" i="2"/>
  <c r="AU194" i="2"/>
  <c r="BR194" i="2"/>
  <c r="BQ194" i="2"/>
  <c r="BP194" i="2"/>
  <c r="CL194" i="2"/>
  <c r="CK194" i="2"/>
  <c r="FT193" i="2"/>
  <c r="GO193" i="2"/>
  <c r="HJ193" i="2"/>
  <c r="EY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GM195" i="2" s="1"/>
  <c r="HE195" i="2"/>
  <c r="GK195" i="2"/>
  <c r="HF195" i="2"/>
  <c r="FW195" i="2"/>
  <c r="FL195" i="2"/>
  <c r="ES195" i="2"/>
  <c r="FB195" i="2"/>
  <c r="FC195" i="2"/>
  <c r="FM195" i="2"/>
  <c r="FR195" i="2" s="1"/>
  <c r="FO195" i="2"/>
  <c r="EQ195" i="2"/>
  <c r="GI195" i="2"/>
  <c r="GL195" i="2" s="1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H195" i="2" l="1"/>
  <c r="FS195" i="2"/>
  <c r="GN195" i="2"/>
  <c r="HG195" i="2"/>
  <c r="HI195" i="2"/>
  <c r="EW195" i="2"/>
  <c r="EV195" i="2"/>
  <c r="AA195" i="2"/>
  <c r="DH195" i="2"/>
  <c r="EA195" i="2"/>
  <c r="EB195" i="2"/>
  <c r="ED194" i="2"/>
  <c r="EC195" i="2"/>
  <c r="DF195" i="2"/>
  <c r="DG195" i="2"/>
  <c r="AU195" i="2"/>
  <c r="CN194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EY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GL196" i="2" s="1"/>
  <c r="HD196" i="2"/>
  <c r="HE196" i="2"/>
  <c r="GK196" i="2"/>
  <c r="HF196" i="2"/>
  <c r="FW196" i="2"/>
  <c r="GR196" i="2"/>
  <c r="FX196" i="2"/>
  <c r="FM196" i="2"/>
  <c r="FR196" i="2" s="1"/>
  <c r="ET196" i="2"/>
  <c r="FL196" i="2"/>
  <c r="EG196" i="2"/>
  <c r="FN196" i="2"/>
  <c r="FO196" i="2"/>
  <c r="ES196" i="2"/>
  <c r="GJ196" i="2"/>
  <c r="GM196" i="2" s="1"/>
  <c r="FB196" i="2"/>
  <c r="DV196" i="2"/>
  <c r="FC196" i="2"/>
  <c r="DW196" i="2"/>
  <c r="CQ196" i="2"/>
  <c r="EQ196" i="2"/>
  <c r="DY196" i="2"/>
  <c r="ER196" i="2"/>
  <c r="EX196" i="2" s="1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HI196" i="2"/>
  <c r="EV196" i="2"/>
  <c r="GN196" i="2"/>
  <c r="FQ196" i="2"/>
  <c r="FS196" i="2"/>
  <c r="AW196" i="2"/>
  <c r="EA196" i="2"/>
  <c r="EB196" i="2"/>
  <c r="DF196" i="2"/>
  <c r="EC196" i="2"/>
  <c r="DH196" i="2"/>
  <c r="DG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EY196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R197" i="2" s="1"/>
  <c r="EH197" i="2"/>
  <c r="DX197" i="2"/>
  <c r="CR197" i="2"/>
  <c r="DL197" i="2"/>
  <c r="CF197" i="2"/>
  <c r="BM197" i="2"/>
  <c r="BB197" i="2"/>
  <c r="ER197" i="2"/>
  <c r="EX197" i="2" s="1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FQ197" i="2"/>
  <c r="GM197" i="2"/>
  <c r="GN197" i="2"/>
  <c r="EV197" i="2"/>
  <c r="HG197" i="2"/>
  <c r="GL197" i="2"/>
  <c r="HI197" i="2"/>
  <c r="EW197" i="2"/>
  <c r="FS197" i="2"/>
  <c r="AA197" i="2"/>
  <c r="DI196" i="2"/>
  <c r="ED196" i="2"/>
  <c r="Z197" i="2"/>
  <c r="DF197" i="2"/>
  <c r="EA197" i="2"/>
  <c r="EB197" i="2"/>
  <c r="EC197" i="2"/>
  <c r="DH197" i="2"/>
  <c r="DG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HH198" i="2" s="1"/>
  <c r="GK198" i="2"/>
  <c r="HF198" i="2"/>
  <c r="FW198" i="2"/>
  <c r="GR198" i="2"/>
  <c r="FX198" i="2"/>
  <c r="GS198" i="2"/>
  <c r="GG198" i="2"/>
  <c r="HB198" i="2"/>
  <c r="GH198" i="2"/>
  <c r="FO198" i="2"/>
  <c r="FR198" i="2" s="1"/>
  <c r="ES198" i="2"/>
  <c r="FB198" i="2"/>
  <c r="FL198" i="2"/>
  <c r="EG198" i="2"/>
  <c r="FM198" i="2"/>
  <c r="FN198" i="2"/>
  <c r="FQ198" i="2" s="1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X198" i="2" l="1"/>
  <c r="GM198" i="2"/>
  <c r="HG198" i="2"/>
  <c r="GN198" i="2"/>
  <c r="GL198" i="2"/>
  <c r="FS198" i="2"/>
  <c r="EV198" i="2"/>
  <c r="HI198" i="2"/>
  <c r="AC197" i="2"/>
  <c r="ED197" i="2"/>
  <c r="Z198" i="2"/>
  <c r="EC198" i="2"/>
  <c r="EA198" i="2"/>
  <c r="EB198" i="2"/>
  <c r="AW198" i="2"/>
  <c r="DH198" i="2"/>
  <c r="DG198" i="2"/>
  <c r="DF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GM199" i="2" s="1"/>
  <c r="HE199" i="2"/>
  <c r="GK199" i="2"/>
  <c r="HF199" i="2"/>
  <c r="GR199" i="2"/>
  <c r="FX199" i="2"/>
  <c r="GS199" i="2"/>
  <c r="GG199" i="2"/>
  <c r="HB199" i="2"/>
  <c r="GH199" i="2"/>
  <c r="HC199" i="2"/>
  <c r="GI199" i="2"/>
  <c r="GL199" i="2" s="1"/>
  <c r="FP199" i="2"/>
  <c r="FW199" i="2"/>
  <c r="FB199" i="2"/>
  <c r="ET199" i="2"/>
  <c r="FC199" i="2"/>
  <c r="FL199" i="2"/>
  <c r="FN199" i="2"/>
  <c r="EH199" i="2"/>
  <c r="FO199" i="2"/>
  <c r="FR199" i="2" s="1"/>
  <c r="ER199" i="2"/>
  <c r="EX199" i="2" s="1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AU199" i="2"/>
  <c r="FS199" i="2"/>
  <c r="FQ199" i="2"/>
  <c r="GN199" i="2"/>
  <c r="HH199" i="2"/>
  <c r="EV199" i="2"/>
  <c r="EW199" i="2"/>
  <c r="HG199" i="2"/>
  <c r="DI198" i="2"/>
  <c r="EB199" i="2"/>
  <c r="EA199" i="2"/>
  <c r="EC199" i="2"/>
  <c r="DH199" i="2"/>
  <c r="DF199" i="2"/>
  <c r="DG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HH200" i="2" s="1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B200" i="2" s="1"/>
  <c r="BX4" i="2" a="1"/>
  <c r="BX4" i="2" s="1"/>
  <c r="BY4" i="2" s="1"/>
  <c r="AA199" i="2"/>
  <c r="AX197" i="2"/>
  <c r="EX200" i="2" l="1"/>
  <c r="EW200" i="2"/>
  <c r="FQ200" i="2"/>
  <c r="GN200" i="2"/>
  <c r="EV200" i="2"/>
  <c r="FS200" i="2"/>
  <c r="GM200" i="2"/>
  <c r="HG200" i="2"/>
  <c r="HI200" i="2"/>
  <c r="FR200" i="2"/>
  <c r="GL200" i="2"/>
  <c r="EC200" i="2"/>
  <c r="EA200" i="2"/>
  <c r="EB200" i="2"/>
  <c r="DH200" i="2"/>
  <c r="DG200" i="2"/>
  <c r="DF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HJ200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GL201" i="2" s="1"/>
  <c r="HD201" i="2"/>
  <c r="HG201" i="2" s="1"/>
  <c r="GJ201" i="2"/>
  <c r="GM201" i="2" s="1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EW201" i="2" s="1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I5" i="2" s="1"/>
  <c r="AH5" i="2" a="1"/>
  <c r="AH5" i="2" s="1"/>
  <c r="EI4" i="2" a="1"/>
  <c r="EI4" i="2" s="1"/>
  <c r="EJ4" i="2" s="1"/>
  <c r="AX198" i="2"/>
  <c r="EY200" i="2"/>
  <c r="EX201" i="2" l="1"/>
  <c r="EV201" i="2"/>
  <c r="FR201" i="2"/>
  <c r="FQ201" i="2"/>
  <c r="FS201" i="2"/>
  <c r="GN201" i="2"/>
  <c r="HI201" i="2"/>
  <c r="CM201" i="2"/>
  <c r="DH201" i="2"/>
  <c r="EC201" i="2"/>
  <c r="EA201" i="2"/>
  <c r="ED200" i="2"/>
  <c r="EB201" i="2"/>
  <c r="DI200" i="2"/>
  <c r="DG201" i="2"/>
  <c r="DF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6" i="2" a="1"/>
  <c r="FY6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GS202" i="2"/>
  <c r="GG202" i="2"/>
  <c r="HB202" i="2"/>
  <c r="GI202" i="2"/>
  <c r="HC202" i="2"/>
  <c r="HH202" i="2" s="1"/>
  <c r="GJ202" i="2"/>
  <c r="GM202" i="2" s="1"/>
  <c r="HD202" i="2"/>
  <c r="HG202" i="2" s="1"/>
  <c r="GK202" i="2"/>
  <c r="HE202" i="2"/>
  <c r="FC202" i="2"/>
  <c r="FP202" i="2"/>
  <c r="EG202" i="2"/>
  <c r="FL202" i="2"/>
  <c r="ES202" i="2"/>
  <c r="EV202" i="2" s="1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GL202" i="2"/>
  <c r="FQ202" i="2"/>
  <c r="HI202" i="2"/>
  <c r="FZ6" i="2"/>
  <c r="GN202" i="2"/>
  <c r="FS202" i="2"/>
  <c r="ED201" i="2"/>
  <c r="EA202" i="2"/>
  <c r="CN201" i="2"/>
  <c r="EC202" i="2"/>
  <c r="EB202" i="2"/>
  <c r="DH202" i="2"/>
  <c r="DG202" i="2"/>
  <c r="DF202" i="2"/>
  <c r="CM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HH203" i="2" s="1"/>
  <c r="GJ203" i="2"/>
  <c r="GM203" i="2" s="1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GL203" i="2" s="1"/>
  <c r="FN203" i="2"/>
  <c r="ET203" i="2"/>
  <c r="FO203" i="2"/>
  <c r="FP203" i="2"/>
  <c r="DX203" i="2"/>
  <c r="DD203" i="2"/>
  <c r="EG203" i="2"/>
  <c r="DY203" i="2"/>
  <c r="DE203" i="2"/>
  <c r="ER203" i="2"/>
  <c r="EX203" i="2" s="1"/>
  <c r="DW203" i="2"/>
  <c r="FM203" i="2"/>
  <c r="ES203" i="2"/>
  <c r="EV203" i="2" s="1"/>
  <c r="EU203" i="2"/>
  <c r="BV203" i="2"/>
  <c r="BO203" i="2"/>
  <c r="DL203" i="2"/>
  <c r="CQ203" i="2"/>
  <c r="BW203" i="2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40" i="2" s="1" a="1"/>
  <c r="AH140" i="2" s="1"/>
  <c r="FY7" i="2" a="1"/>
  <c r="FY7" i="2" s="1"/>
  <c r="FZ7" i="2" s="1"/>
  <c r="FY61" i="2" a="1"/>
  <c r="FY61" i="2" s="1"/>
  <c r="FY125" i="2" a="1"/>
  <c r="FY125" i="2" s="1"/>
  <c r="FY8" i="2" a="1"/>
  <c r="FY8" i="2" s="1"/>
  <c r="FY189" i="2" a="1"/>
  <c r="FY189" i="2" s="1"/>
  <c r="FY51" i="2" a="1"/>
  <c r="FY51" i="2" s="1"/>
  <c r="FY59" i="2" a="1"/>
  <c r="FY59" i="2" s="1"/>
  <c r="FY122" i="2" a="1"/>
  <c r="FY122" i="2" s="1"/>
  <c r="FY138" i="2" a="1"/>
  <c r="FY138" i="2" s="1"/>
  <c r="FY48" i="2" a="1"/>
  <c r="FY48" i="2" s="1"/>
  <c r="FY177" i="2" a="1"/>
  <c r="FY177" i="2" s="1"/>
  <c r="FY180" i="2" a="1"/>
  <c r="FY180" i="2" s="1"/>
  <c r="FY103" i="2" a="1"/>
  <c r="FY103" i="2" s="1"/>
  <c r="FY105" i="2" a="1"/>
  <c r="FY105" i="2" s="1"/>
  <c r="FY150" i="2" a="1"/>
  <c r="FY150" i="2" s="1"/>
  <c r="FY10" i="2" a="1"/>
  <c r="FY10" i="2" s="1"/>
  <c r="FY130" i="2" a="1"/>
  <c r="FY130" i="2" s="1"/>
  <c r="FY37" i="2" a="1"/>
  <c r="FY37" i="2" s="1"/>
  <c r="FY141" i="2" a="1"/>
  <c r="FY141" i="2" s="1"/>
  <c r="FY119" i="2" a="1"/>
  <c r="FY119" i="2" s="1"/>
  <c r="FY20" i="2" a="1"/>
  <c r="FY20" i="2" s="1"/>
  <c r="FY144" i="2" a="1"/>
  <c r="FY144" i="2" s="1"/>
  <c r="FY123" i="2" a="1"/>
  <c r="FY123" i="2" s="1"/>
  <c r="FY93" i="2" a="1"/>
  <c r="FY93" i="2" s="1"/>
  <c r="FY91" i="2" a="1"/>
  <c r="FY91" i="2" s="1"/>
  <c r="FY77" i="2" a="1"/>
  <c r="FY77" i="2" s="1"/>
  <c r="FY9" i="2" a="1"/>
  <c r="FY9" i="2" s="1"/>
  <c r="FY198" i="2" a="1"/>
  <c r="FY198" i="2" s="1"/>
  <c r="FY132" i="2" a="1"/>
  <c r="FY132" i="2" s="1"/>
  <c r="FY16" i="2" a="1"/>
  <c r="FY16" i="2" s="1"/>
  <c r="FY11" i="2" a="1"/>
  <c r="FY11" i="2" s="1"/>
  <c r="FY129" i="2" a="1"/>
  <c r="FY129" i="2" s="1"/>
  <c r="FY47" i="2" a="1"/>
  <c r="FY47" i="2" s="1"/>
  <c r="FY157" i="2" a="1"/>
  <c r="FY157" i="2" s="1"/>
  <c r="FY155" i="2" a="1"/>
  <c r="FY155" i="2" s="1"/>
  <c r="FY195" i="2" a="1"/>
  <c r="FY195" i="2" s="1"/>
  <c r="FY147" i="2" a="1"/>
  <c r="FY147" i="2" s="1"/>
  <c r="FY101" i="2" a="1"/>
  <c r="FY101" i="2" s="1"/>
  <c r="FY113" i="2" a="1"/>
  <c r="FY113" i="2" s="1"/>
  <c r="FY183" i="2" a="1"/>
  <c r="FY183" i="2" s="1"/>
  <c r="FY40" i="2" a="1"/>
  <c r="FY40" i="2" s="1"/>
  <c r="FY112" i="2" a="1"/>
  <c r="FY112" i="2" s="1"/>
  <c r="FY175" i="2" a="1"/>
  <c r="FY175" i="2" s="1"/>
  <c r="FY67" i="2" a="1"/>
  <c r="FY67" i="2" s="1"/>
  <c r="FY68" i="2" a="1"/>
  <c r="FY68" i="2" s="1"/>
  <c r="FY108" i="2" a="1"/>
  <c r="FY108" i="2" s="1"/>
  <c r="FY27" i="2" a="1"/>
  <c r="FY27" i="2" s="1"/>
  <c r="FY26" i="2" a="1"/>
  <c r="FY26" i="2" s="1"/>
  <c r="FY79" i="2" a="1"/>
  <c r="FY79" i="2" s="1"/>
  <c r="FY63" i="2" a="1"/>
  <c r="FY63" i="2" s="1"/>
  <c r="FY36" i="2" a="1"/>
  <c r="FY36" i="2" s="1"/>
  <c r="FY137" i="2" a="1"/>
  <c r="FY137" i="2" s="1"/>
  <c r="FY200" i="2" a="1"/>
  <c r="FY200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CS27" i="2" a="1"/>
  <c r="CS27" i="2" s="1"/>
  <c r="CS133" i="2" a="1"/>
  <c r="CS133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CS58" i="2" a="1"/>
  <c r="CS58" i="2" s="1"/>
  <c r="CS195" i="2" a="1"/>
  <c r="CS19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BX29" i="2" a="1"/>
  <c r="BX29" i="2" s="1"/>
  <c r="CS52" i="2" a="1"/>
  <c r="CS52" i="2" s="1"/>
  <c r="CS129" i="2" a="1"/>
  <c r="CS129" i="2" s="1"/>
  <c r="CS116" i="2" a="1"/>
  <c r="CS116" i="2" s="1"/>
  <c r="EI195" i="2" a="1"/>
  <c r="EI195" i="2" s="1"/>
  <c r="CS137" i="2" a="1"/>
  <c r="CS137" i="2" s="1"/>
  <c r="BX197" i="2" a="1"/>
  <c r="BX197" i="2" s="1"/>
  <c r="BX136" i="2" a="1"/>
  <c r="BX136" i="2" s="1"/>
  <c r="BX163" i="2" a="1"/>
  <c r="BX163" i="2" s="1"/>
  <c r="BX158" i="2" a="1"/>
  <c r="BX158" i="2" s="1"/>
  <c r="BX117" i="2" a="1"/>
  <c r="BX117" i="2" s="1"/>
  <c r="BX67" i="2" a="1"/>
  <c r="BX67" i="2" s="1"/>
  <c r="BX176" i="2" a="1"/>
  <c r="BX176" i="2" s="1"/>
  <c r="BX113" i="2" a="1"/>
  <c r="BX113" i="2" s="1"/>
  <c r="BX110" i="2" a="1"/>
  <c r="BX110" i="2" s="1"/>
  <c r="BX157" i="2" a="1"/>
  <c r="BX157" i="2" s="1"/>
  <c r="BX125" i="2" a="1"/>
  <c r="BX125" i="2" s="1"/>
  <c r="BX73" i="2" a="1"/>
  <c r="BX73" i="2" s="1"/>
  <c r="BX41" i="2" a="1"/>
  <c r="BX41" i="2" s="1"/>
  <c r="BX12" i="2" a="1"/>
  <c r="BX12" i="2" s="1"/>
  <c r="BX119" i="2" a="1"/>
  <c r="BX119" i="2" s="1"/>
  <c r="BX174" i="2" a="1"/>
  <c r="BX174" i="2" s="1"/>
  <c r="BX182" i="2" a="1"/>
  <c r="BX182" i="2" s="1"/>
  <c r="BX177" i="2" a="1"/>
  <c r="BX177" i="2" s="1"/>
  <c r="BX142" i="2" a="1"/>
  <c r="BX142" i="2" s="1"/>
  <c r="BX96" i="2" a="1"/>
  <c r="BX96" i="2" s="1"/>
  <c r="BX76" i="2" a="1"/>
  <c r="BX76" i="2" s="1"/>
  <c r="BX152" i="2" a="1"/>
  <c r="BX152" i="2" s="1"/>
  <c r="BX201" i="2" a="1"/>
  <c r="BX201" i="2" s="1"/>
  <c r="CS77" i="2" a="1"/>
  <c r="CS77" i="2" s="1"/>
  <c r="BX8" i="2" a="1"/>
  <c r="BX8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BX50" i="2" a="1"/>
  <c r="BX50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CS72" i="2" a="1"/>
  <c r="CS72" i="2" s="1"/>
  <c r="BX7" i="2" a="1"/>
  <c r="BX7" i="2" s="1"/>
  <c r="BX100" i="2" a="1"/>
  <c r="BX100" i="2" s="1"/>
  <c r="BX79" i="2" a="1"/>
  <c r="BX79" i="2" s="1"/>
  <c r="BX72" i="2" a="1"/>
  <c r="BX72" i="2" s="1"/>
  <c r="BX66" i="2" a="1"/>
  <c r="BX66" i="2" s="1"/>
  <c r="BX65" i="2" a="1"/>
  <c r="BX65" i="2" s="1"/>
  <c r="BX107" i="2" a="1"/>
  <c r="BX107" i="2" s="1"/>
  <c r="BX171" i="2" a="1"/>
  <c r="BX171" i="2" s="1"/>
  <c r="BX54" i="2" a="1"/>
  <c r="BX54" i="2" s="1"/>
  <c r="BX59" i="2" a="1"/>
  <c r="BX59" i="2" s="1"/>
  <c r="BX63" i="2" a="1"/>
  <c r="BX63" i="2" s="1"/>
  <c r="BX58" i="2" a="1"/>
  <c r="BX58" i="2" s="1"/>
  <c r="BX155" i="2" a="1"/>
  <c r="BX155" i="2" s="1"/>
  <c r="BX159" i="2" a="1"/>
  <c r="BX159" i="2" s="1"/>
  <c r="BX150" i="2" a="1"/>
  <c r="BX150" i="2" s="1"/>
  <c r="BX17" i="2" a="1"/>
  <c r="BX17" i="2" s="1"/>
  <c r="BX55" i="2" a="1"/>
  <c r="BX55" i="2" s="1"/>
  <c r="BX9" i="2" a="1"/>
  <c r="BX9" i="2" s="1"/>
  <c r="BX146" i="2" a="1"/>
  <c r="BX146" i="2" s="1"/>
  <c r="BX36" i="2" a="1"/>
  <c r="BX36" i="2" s="1"/>
  <c r="BX80" i="2" a="1"/>
  <c r="BX80" i="2" s="1"/>
  <c r="BX51" i="2" a="1"/>
  <c r="BX51" i="2" s="1"/>
  <c r="FD82" i="2" a="1"/>
  <c r="FD82" i="2" s="1"/>
  <c r="HJ202" i="2"/>
  <c r="EY202" i="2"/>
  <c r="AX200" i="2"/>
  <c r="FQ203" i="2" l="1"/>
  <c r="HG203" i="2"/>
  <c r="FS203" i="2"/>
  <c r="GN203" i="2"/>
  <c r="FR203" i="2"/>
  <c r="HI203" i="2"/>
  <c r="EW203" i="2"/>
  <c r="AH197" i="2" a="1"/>
  <c r="AH197" i="2" s="1"/>
  <c r="AH56" i="2" a="1"/>
  <c r="AH56" i="2" s="1"/>
  <c r="AH186" i="2" a="1"/>
  <c r="AH186" i="2" s="1"/>
  <c r="AH19" i="2" a="1"/>
  <c r="AH19" i="2" s="1"/>
  <c r="AH163" i="2" a="1"/>
  <c r="AH163" i="2" s="1"/>
  <c r="AH157" i="2" a="1"/>
  <c r="AH157" i="2" s="1"/>
  <c r="AH37" i="2" a="1"/>
  <c r="AH37" i="2" s="1"/>
  <c r="AH62" i="2" a="1"/>
  <c r="AH62" i="2" s="1"/>
  <c r="AH166" i="2" a="1"/>
  <c r="AH166" i="2" s="1"/>
  <c r="AH89" i="2" a="1"/>
  <c r="AH89" i="2" s="1"/>
  <c r="AH90" i="2" a="1"/>
  <c r="AH90" i="2" s="1"/>
  <c r="AH199" i="2" a="1"/>
  <c r="AH199" i="2" s="1"/>
  <c r="AH201" i="2" a="1"/>
  <c r="AH201" i="2" s="1"/>
  <c r="AH155" i="2" a="1"/>
  <c r="AH155" i="2" s="1"/>
  <c r="AH38" i="2" a="1"/>
  <c r="AH38" i="2" s="1"/>
  <c r="AH144" i="2" a="1"/>
  <c r="AH144" i="2" s="1"/>
  <c r="AH92" i="2" a="1"/>
  <c r="AH92" i="2" s="1"/>
  <c r="AH146" i="2" a="1"/>
  <c r="AH146" i="2" s="1"/>
  <c r="AH198" i="2" a="1"/>
  <c r="AH198" i="2" s="1"/>
  <c r="AH79" i="2" a="1"/>
  <c r="AH79" i="2" s="1"/>
  <c r="AH17" i="2" a="1"/>
  <c r="AH17" i="2" s="1"/>
  <c r="AH14" i="2" a="1"/>
  <c r="AH14" i="2" s="1"/>
  <c r="AH162" i="2" a="1"/>
  <c r="AH162" i="2" s="1"/>
  <c r="AH151" i="2" a="1"/>
  <c r="AH151" i="2" s="1"/>
  <c r="AH83" i="2" a="1"/>
  <c r="AH83" i="2" s="1"/>
  <c r="AH185" i="2" a="1"/>
  <c r="AH185" i="2" s="1"/>
  <c r="DN132" i="2" a="1"/>
  <c r="DN132" i="2" s="1"/>
  <c r="DN45" i="2" a="1"/>
  <c r="DN45" i="2" s="1"/>
  <c r="DN30" i="2" a="1"/>
  <c r="DN30" i="2" s="1"/>
  <c r="DN55" i="2" a="1"/>
  <c r="DN55" i="2" s="1"/>
  <c r="DN110" i="2" a="1"/>
  <c r="DN110" i="2" s="1"/>
  <c r="DN16" i="2" a="1"/>
  <c r="DN16" i="2" s="1"/>
  <c r="DN43" i="2" a="1"/>
  <c r="DN43" i="2" s="1"/>
  <c r="DN31" i="2" a="1"/>
  <c r="DN31" i="2" s="1"/>
  <c r="DN168" i="2" a="1"/>
  <c r="DN168" i="2" s="1"/>
  <c r="DN164" i="2" a="1"/>
  <c r="DN164" i="2" s="1"/>
  <c r="DN46" i="2" a="1"/>
  <c r="DN46" i="2" s="1"/>
  <c r="DN187" i="2" a="1"/>
  <c r="DN187" i="2" s="1"/>
  <c r="DN190" i="2" a="1"/>
  <c r="DN190" i="2" s="1"/>
  <c r="DN70" i="2" a="1"/>
  <c r="DN70" i="2" s="1"/>
  <c r="DN80" i="2" a="1"/>
  <c r="DN80" i="2" s="1"/>
  <c r="DN192" i="2" a="1"/>
  <c r="DN192" i="2" s="1"/>
  <c r="DN188" i="2" a="1"/>
  <c r="DN188" i="2" s="1"/>
  <c r="DN176" i="2" a="1"/>
  <c r="DN176" i="2" s="1"/>
  <c r="DN167" i="2" a="1"/>
  <c r="DN167" i="2" s="1"/>
  <c r="DN66" i="2" a="1"/>
  <c r="DN66" i="2" s="1"/>
  <c r="DN133" i="2" a="1"/>
  <c r="DN133" i="2" s="1"/>
  <c r="DN162" i="2" a="1"/>
  <c r="DN162" i="2" s="1"/>
  <c r="DN86" i="2" a="1"/>
  <c r="DN86" i="2" s="1"/>
  <c r="DN65" i="2" a="1"/>
  <c r="DN65" i="2" s="1"/>
  <c r="DN49" i="2" a="1"/>
  <c r="DN49" i="2" s="1"/>
  <c r="DN123" i="2" a="1"/>
  <c r="DN123" i="2" s="1"/>
  <c r="DN177" i="2" a="1"/>
  <c r="DN177" i="2" s="1"/>
  <c r="DN114" i="2" a="1"/>
  <c r="DN114" i="2" s="1"/>
  <c r="DN115" i="2" a="1"/>
  <c r="DN115" i="2" s="1"/>
  <c r="DN135" i="2" a="1"/>
  <c r="DN135" i="2" s="1"/>
  <c r="DN63" i="2" a="1"/>
  <c r="DN63" i="2" s="1"/>
  <c r="DN103" i="2" a="1"/>
  <c r="DN103" i="2" s="1"/>
  <c r="DN50" i="2" a="1"/>
  <c r="DN50" i="2" s="1"/>
  <c r="DN38" i="2" a="1"/>
  <c r="DN38" i="2" s="1"/>
  <c r="DN150" i="2" a="1"/>
  <c r="DN150" i="2" s="1"/>
  <c r="DN29" i="2" a="1"/>
  <c r="DN29" i="2" s="1"/>
  <c r="DN153" i="2" a="1"/>
  <c r="DN153" i="2" s="1"/>
  <c r="DN170" i="2" a="1"/>
  <c r="DN170" i="2" s="1"/>
  <c r="DN129" i="2" a="1"/>
  <c r="DN129" i="2" s="1"/>
  <c r="DN113" i="2" a="1"/>
  <c r="DN113" i="2" s="1"/>
  <c r="DN25" i="2" a="1"/>
  <c r="DN25" i="2" s="1"/>
  <c r="DN41" i="2" a="1"/>
  <c r="DN41" i="2" s="1"/>
  <c r="DN152" i="2" a="1"/>
  <c r="DN152" i="2" s="1"/>
  <c r="DN155" i="2" a="1"/>
  <c r="DN155" i="2" s="1"/>
  <c r="DN56" i="2" a="1"/>
  <c r="DN56" i="2" s="1"/>
  <c r="DN137" i="2" a="1"/>
  <c r="DN137" i="2" s="1"/>
  <c r="DN184" i="2" a="1"/>
  <c r="DN184" i="2" s="1"/>
  <c r="DN124" i="2" a="1"/>
  <c r="DN124" i="2" s="1"/>
  <c r="DN186" i="2" a="1"/>
  <c r="DN186" i="2" s="1"/>
  <c r="CM203" i="2"/>
  <c r="BC84" i="2" a="1"/>
  <c r="BC84" i="2" s="1"/>
  <c r="BC18" i="2" a="1"/>
  <c r="BC18" i="2" s="1"/>
  <c r="BC47" i="2" a="1"/>
  <c r="BC47" i="2" s="1"/>
  <c r="BC38" i="2" a="1"/>
  <c r="BC38" i="2" s="1"/>
  <c r="BC32" i="2" a="1"/>
  <c r="BC32" i="2" s="1"/>
  <c r="BC71" i="2" a="1"/>
  <c r="BC71" i="2" s="1"/>
  <c r="BC164" i="2" a="1"/>
  <c r="BC164" i="2" s="1"/>
  <c r="BC117" i="2" a="1"/>
  <c r="BC117" i="2" s="1"/>
  <c r="BC68" i="2" a="1"/>
  <c r="BC68" i="2" s="1"/>
  <c r="BC151" i="2" a="1"/>
  <c r="BC151" i="2" s="1"/>
  <c r="BC192" i="2" a="1"/>
  <c r="BC192" i="2" s="1"/>
  <c r="BC181" i="2" a="1"/>
  <c r="BC181" i="2" s="1"/>
  <c r="BC146" i="2" a="1"/>
  <c r="BC146" i="2" s="1"/>
  <c r="BC55" i="2" a="1"/>
  <c r="BC55" i="2" s="1"/>
  <c r="BC65" i="2" a="1"/>
  <c r="BC65" i="2" s="1"/>
  <c r="BC15" i="2" a="1"/>
  <c r="BC15" i="2" s="1"/>
  <c r="BC83" i="2" a="1"/>
  <c r="BC83" i="2" s="1"/>
  <c r="BC185" i="2" a="1"/>
  <c r="BC185" i="2" s="1"/>
  <c r="BC130" i="2" a="1"/>
  <c r="BC130" i="2" s="1"/>
  <c r="BC114" i="2" a="1"/>
  <c r="BC114" i="2" s="1"/>
  <c r="BC196" i="2" a="1"/>
  <c r="BC196" i="2" s="1"/>
  <c r="BC143" i="2" a="1"/>
  <c r="BC143" i="2" s="1"/>
  <c r="BC126" i="2" a="1"/>
  <c r="BC126" i="2" s="1"/>
  <c r="BC58" i="2" a="1"/>
  <c r="BC58" i="2" s="1"/>
  <c r="BC7" i="2" a="1"/>
  <c r="BC7" i="2" s="1"/>
  <c r="BD7" i="2" s="1"/>
  <c r="BC31" i="2" a="1"/>
  <c r="BC31" i="2" s="1"/>
  <c r="BC82" i="2" a="1"/>
  <c r="BC82" i="2" s="1"/>
  <c r="BC34" i="2" a="1"/>
  <c r="BC34" i="2" s="1"/>
  <c r="AH136" i="2" a="1"/>
  <c r="AH136" i="2" s="1"/>
  <c r="AH143" i="2" a="1"/>
  <c r="AH143" i="2" s="1"/>
  <c r="BQ203" i="2"/>
  <c r="DH203" i="2"/>
  <c r="EC203" i="2"/>
  <c r="EB203" i="2"/>
  <c r="EA203" i="2"/>
  <c r="BP203" i="2"/>
  <c r="DF203" i="2"/>
  <c r="DI203" i="2" s="1"/>
  <c r="DG203" i="2"/>
  <c r="AC202" i="2"/>
  <c r="AV203" i="2"/>
  <c r="AU203" i="2"/>
  <c r="AW203" i="2"/>
  <c r="BR203" i="2"/>
  <c r="CK203" i="2"/>
  <c r="CL203" i="2"/>
  <c r="CN203" i="2" s="1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D15" i="4"/>
  <c r="D13" i="4"/>
  <c r="D14" i="4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D12" i="4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V33" i="2"/>
  <c r="GW33" i="2" s="1"/>
  <c r="GX33" i="2" s="1"/>
  <c r="GY33" i="2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GE3" i="2"/>
  <c r="C14" i="4" s="1"/>
  <c r="E14" i="4" s="1"/>
  <c r="F14" i="4" s="1"/>
  <c r="G14" i="4" s="1"/>
  <c r="L14" i="4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93" i="2" l="1"/>
  <c r="CY47" i="2"/>
  <c r="CY16" i="2"/>
  <c r="CY70" i="2"/>
  <c r="CY6" i="2"/>
  <c r="CY130" i="2"/>
  <c r="CY69" i="2"/>
  <c r="CY201" i="2"/>
  <c r="CY164" i="2"/>
  <c r="CY24" i="2"/>
  <c r="CY10" i="2"/>
  <c r="CY168" i="2"/>
  <c r="CY175" i="2"/>
  <c r="CY74" i="2"/>
  <c r="CY73" i="2"/>
  <c r="CY60" i="2"/>
  <c r="CY117" i="2"/>
  <c r="CY7" i="2"/>
  <c r="CY51" i="2"/>
  <c r="CY91" i="2"/>
  <c r="CY152" i="2"/>
  <c r="CY176" i="2"/>
  <c r="CY68" i="2"/>
  <c r="CY26" i="2"/>
  <c r="CY85" i="2"/>
  <c r="CY44" i="2"/>
  <c r="CY66" i="2"/>
  <c r="CY107" i="2"/>
  <c r="CY62" i="2"/>
  <c r="CY21" i="2"/>
  <c r="CY137" i="2"/>
  <c r="CY172" i="2"/>
  <c r="CY97" i="2"/>
  <c r="CY22" i="2"/>
  <c r="CY127" i="2"/>
  <c r="CY179" i="2"/>
  <c r="CY115" i="2"/>
  <c r="CY188" i="2"/>
  <c r="CY109" i="2"/>
  <c r="CY86" i="2"/>
  <c r="CY28" i="2"/>
  <c r="CY31" i="2"/>
  <c r="CY183" i="2"/>
  <c r="CY134" i="2"/>
  <c r="CY143" i="2"/>
  <c r="CY36" i="2"/>
  <c r="CY76" i="2"/>
  <c r="CY61" i="2"/>
  <c r="CY52" i="2"/>
  <c r="CY42" i="2"/>
  <c r="CY45" i="2"/>
  <c r="CY58" i="2"/>
  <c r="CY129" i="2"/>
  <c r="CY75" i="2"/>
  <c r="CY59" i="2"/>
  <c r="CY40" i="2"/>
  <c r="CY148" i="2"/>
  <c r="CY131" i="2"/>
  <c r="CY88" i="2"/>
  <c r="CY57" i="2"/>
  <c r="CY99" i="2"/>
  <c r="CY166" i="2"/>
  <c r="CY193" i="2"/>
  <c r="CY173" i="2"/>
  <c r="CY111" i="2"/>
  <c r="CY133" i="2"/>
  <c r="CY23" i="2"/>
  <c r="CY100" i="2"/>
  <c r="CY101" i="2"/>
  <c r="CY180" i="2"/>
  <c r="CY140" i="2"/>
  <c r="CY80" i="2"/>
  <c r="CY119" i="2"/>
  <c r="CY29" i="2"/>
  <c r="CY64" i="2"/>
  <c r="CY113" i="2"/>
  <c r="CY162" i="2"/>
  <c r="CY128" i="2"/>
  <c r="CY34" i="2"/>
  <c r="CY158" i="2"/>
  <c r="CY72" i="2"/>
  <c r="CY191" i="2"/>
  <c r="CY181" i="2"/>
  <c r="CY203" i="2"/>
  <c r="CY156" i="2"/>
  <c r="CY150" i="2"/>
  <c r="CY83" i="2"/>
  <c r="CY190" i="2"/>
  <c r="CY8" i="2"/>
  <c r="CY171" i="2"/>
  <c r="CY104" i="2"/>
  <c r="CY138" i="2"/>
  <c r="CY186" i="2"/>
  <c r="CY79" i="2"/>
  <c r="CY3" i="2"/>
  <c r="C10" i="4" s="1"/>
  <c r="E10" i="4" s="1"/>
  <c r="F10" i="4" s="1"/>
  <c r="G10" i="4" s="1"/>
  <c r="L10" i="4" s="1"/>
  <c r="CY170" i="2"/>
  <c r="CY165" i="2"/>
  <c r="CY163" i="2"/>
  <c r="CY132" i="2"/>
  <c r="CY112" i="2"/>
  <c r="CY139" i="2"/>
  <c r="CY200" i="2"/>
  <c r="CY147" i="2"/>
  <c r="CY39" i="2"/>
  <c r="CY199" i="2"/>
  <c r="CY56" i="2"/>
  <c r="CY102" i="2"/>
  <c r="CY108" i="2"/>
  <c r="CY142" i="2"/>
  <c r="CY161" i="2"/>
  <c r="CY151" i="2"/>
  <c r="CY18" i="2"/>
  <c r="CY15" i="2"/>
  <c r="CY98" i="2"/>
  <c r="CY106" i="2"/>
  <c r="CY178" i="2"/>
  <c r="CY146" i="2"/>
  <c r="CY177" i="2"/>
  <c r="CY84" i="2"/>
  <c r="CY154" i="2"/>
  <c r="CY92" i="2"/>
  <c r="CY25" i="2"/>
  <c r="CY196" i="2"/>
  <c r="CY185" i="2"/>
  <c r="CY118" i="2"/>
  <c r="CY155" i="2"/>
  <c r="CY124" i="2"/>
  <c r="CY65" i="2"/>
  <c r="CY103" i="2"/>
  <c r="CY87" i="2"/>
  <c r="CY55" i="2"/>
  <c r="CY135" i="2"/>
  <c r="CY197" i="2"/>
  <c r="CY13" i="2"/>
  <c r="CY153" i="2"/>
  <c r="CY94" i="2"/>
  <c r="CY48" i="2"/>
  <c r="CY189" i="2"/>
  <c r="CY160" i="2"/>
  <c r="CY27" i="2"/>
  <c r="CY149" i="2"/>
  <c r="CY30" i="2"/>
  <c r="CY81" i="2"/>
  <c r="CY78" i="2"/>
  <c r="CY159" i="2"/>
  <c r="CY14" i="2"/>
  <c r="CY4" i="2"/>
  <c r="CY121" i="2"/>
  <c r="CY192" i="2"/>
  <c r="CY54" i="2"/>
  <c r="CY9" i="2"/>
  <c r="CY198" i="2"/>
  <c r="CY202" i="2"/>
  <c r="CY96" i="2"/>
  <c r="CY195" i="2"/>
  <c r="CY43" i="2"/>
  <c r="CY46" i="2"/>
  <c r="CY184" i="2"/>
  <c r="CY63" i="2"/>
  <c r="CY126" i="2"/>
  <c r="CY123" i="2"/>
  <c r="CY5" i="2"/>
  <c r="CY145" i="2"/>
  <c r="CY35" i="2"/>
  <c r="CY95" i="2"/>
  <c r="CY90" i="2"/>
  <c r="CY110" i="2"/>
  <c r="CY169" i="2"/>
  <c r="CY120" i="2"/>
  <c r="CY114" i="2"/>
  <c r="CY182" i="2"/>
  <c r="CY41" i="2"/>
  <c r="CY89" i="2"/>
  <c r="CY32" i="2"/>
  <c r="CY11" i="2"/>
  <c r="CY167" i="2"/>
  <c r="CY194" i="2"/>
  <c r="CY71" i="2"/>
  <c r="CY67" i="2"/>
  <c r="CY38" i="2"/>
  <c r="CY157" i="2"/>
  <c r="CY105" i="2"/>
  <c r="CY141" i="2"/>
  <c r="CY37" i="2"/>
  <c r="CY17" i="2"/>
  <c r="CY19" i="2"/>
  <c r="CY187" i="2"/>
  <c r="CY53" i="2"/>
  <c r="CY50" i="2"/>
  <c r="CY82" i="2"/>
  <c r="CY33" i="2"/>
  <c r="CY122" i="2"/>
  <c r="CY116" i="2"/>
  <c r="CY125" i="2"/>
  <c r="CY12" i="2"/>
  <c r="CY20" i="2"/>
  <c r="CY77" i="2"/>
  <c r="CY49" i="2"/>
  <c r="CY136" i="2"/>
  <c r="CY144" i="2"/>
  <c r="CY174" i="2"/>
  <c r="CD60" i="2"/>
  <c r="CD158" i="2"/>
  <c r="CD53" i="2"/>
  <c r="CD101" i="2"/>
  <c r="CD150" i="2"/>
  <c r="CD119" i="2"/>
  <c r="CD65" i="2"/>
  <c r="CD97" i="2"/>
  <c r="CD52" i="2"/>
  <c r="CD151" i="2"/>
  <c r="CD177" i="2"/>
  <c r="CD43" i="2"/>
  <c r="CD61" i="2"/>
  <c r="CD18" i="2"/>
  <c r="CD168" i="2"/>
  <c r="CD22" i="2"/>
  <c r="CD133" i="2"/>
  <c r="CD10" i="2"/>
  <c r="CD176" i="2"/>
  <c r="CD29" i="2"/>
  <c r="CD120" i="2"/>
  <c r="CD121" i="2"/>
  <c r="CD169" i="2"/>
  <c r="CD106" i="2"/>
  <c r="CD163" i="2"/>
  <c r="CD155" i="2"/>
  <c r="CD44" i="2"/>
  <c r="CD138" i="2"/>
  <c r="CD123" i="2"/>
  <c r="CD201" i="2"/>
  <c r="CD14" i="2"/>
  <c r="CD75" i="2"/>
  <c r="CD70" i="2"/>
  <c r="CD90" i="2"/>
  <c r="CD183" i="2"/>
  <c r="CD186" i="2"/>
  <c r="CD113" i="2"/>
  <c r="CD41" i="2"/>
  <c r="CD81" i="2"/>
  <c r="CD99" i="2"/>
  <c r="CD170" i="2"/>
  <c r="CD98" i="2"/>
  <c r="CD172" i="2"/>
  <c r="CD132" i="2"/>
  <c r="CD145" i="2"/>
  <c r="CD109" i="2"/>
  <c r="CD33" i="2"/>
  <c r="CD185" i="2"/>
  <c r="CD76" i="2"/>
  <c r="CD20" i="2"/>
  <c r="CD112" i="2"/>
  <c r="CD87" i="2"/>
  <c r="CD181" i="2"/>
  <c r="CD157" i="2"/>
  <c r="CD124" i="2"/>
  <c r="CD47" i="2"/>
  <c r="CD35" i="2"/>
  <c r="CD152" i="2"/>
  <c r="CD182" i="2"/>
  <c r="CD104" i="2"/>
  <c r="CD15" i="2"/>
  <c r="CD128" i="2"/>
  <c r="CD200" i="2"/>
  <c r="CD139" i="2"/>
  <c r="CD92" i="2"/>
  <c r="CD114" i="2"/>
  <c r="CD191" i="2"/>
  <c r="CD39" i="2"/>
  <c r="CD66" i="2"/>
  <c r="CD40" i="2"/>
  <c r="CD78" i="2"/>
  <c r="CD79" i="2"/>
  <c r="CD93" i="2"/>
  <c r="CD136" i="2"/>
  <c r="CD74" i="2"/>
  <c r="CD34" i="2"/>
  <c r="CD154" i="2"/>
  <c r="CD129" i="2"/>
  <c r="CD13" i="2"/>
  <c r="CD8" i="2"/>
  <c r="CD46" i="2"/>
  <c r="CD23" i="2"/>
  <c r="CD173" i="2"/>
  <c r="CD141" i="2"/>
  <c r="CD164" i="2"/>
  <c r="CD142" i="2"/>
  <c r="CD12" i="2"/>
  <c r="CD36" i="2"/>
  <c r="CD64" i="2"/>
  <c r="CD54" i="2"/>
  <c r="CD160" i="2"/>
  <c r="CD38" i="2"/>
  <c r="CD7" i="2"/>
  <c r="CD147" i="2"/>
  <c r="CD162" i="2"/>
  <c r="CD187" i="2"/>
  <c r="CD198" i="2"/>
  <c r="CD108" i="2"/>
  <c r="CD68" i="2"/>
  <c r="CD131" i="2"/>
  <c r="CD122" i="2"/>
  <c r="CD80" i="2"/>
  <c r="CD6" i="2"/>
  <c r="CD71" i="2"/>
  <c r="CD96" i="2"/>
  <c r="CD171" i="2"/>
  <c r="CD125" i="2"/>
  <c r="CD134" i="2"/>
  <c r="CD25" i="2"/>
  <c r="CD11" i="2"/>
  <c r="CD100" i="2"/>
  <c r="CD27" i="2"/>
  <c r="CD28" i="2"/>
  <c r="CD62" i="2"/>
  <c r="CD130" i="2"/>
  <c r="CD69" i="2"/>
  <c r="CD126" i="2"/>
  <c r="CD159" i="2"/>
  <c r="CD17" i="2"/>
  <c r="CD73" i="2"/>
  <c r="CD116" i="2"/>
  <c r="CD161" i="2"/>
  <c r="CD144" i="2"/>
  <c r="CD166" i="2"/>
  <c r="CD5" i="2"/>
  <c r="CD32" i="2"/>
  <c r="CD50" i="2"/>
  <c r="CD59" i="2"/>
  <c r="CD55" i="2"/>
  <c r="CD85" i="2"/>
  <c r="CD56" i="2"/>
  <c r="CD179" i="2"/>
  <c r="CD95" i="2"/>
  <c r="CD156" i="2"/>
  <c r="CD195" i="2"/>
  <c r="CD67" i="2"/>
  <c r="CD143" i="2"/>
  <c r="CD180" i="2"/>
  <c r="CD115" i="2"/>
  <c r="CD58" i="2"/>
  <c r="CD83" i="2"/>
  <c r="CD45" i="2"/>
  <c r="CD4" i="2"/>
  <c r="CD82" i="2"/>
  <c r="CD196" i="2"/>
  <c r="CD167" i="2"/>
  <c r="CD193" i="2"/>
  <c r="CD91" i="2"/>
  <c r="CD165" i="2"/>
  <c r="CD118" i="2"/>
  <c r="CD110" i="2"/>
  <c r="CD77" i="2"/>
  <c r="CD16" i="2"/>
  <c r="CD135" i="2"/>
  <c r="CD63" i="2"/>
  <c r="CD102" i="2"/>
  <c r="CD107" i="2"/>
  <c r="CD117" i="2"/>
  <c r="CD111" i="2"/>
  <c r="CD105" i="2"/>
  <c r="CD188" i="2"/>
  <c r="CD199" i="2"/>
  <c r="CD202" i="2"/>
  <c r="CD190" i="2"/>
  <c r="CD175" i="2"/>
  <c r="CD153" i="2"/>
  <c r="CD189" i="2"/>
  <c r="CD149" i="2"/>
  <c r="CD192" i="2"/>
  <c r="CD146" i="2"/>
  <c r="CD174" i="2"/>
  <c r="CD37" i="2"/>
  <c r="CD94" i="2"/>
  <c r="CD19" i="2"/>
  <c r="CD48" i="2"/>
  <c r="CD103" i="2"/>
  <c r="CD30" i="2"/>
  <c r="CD31" i="2"/>
  <c r="CD88" i="2"/>
  <c r="CD86" i="2"/>
  <c r="CD140" i="2"/>
  <c r="CD51" i="2"/>
  <c r="CD127" i="2"/>
  <c r="CD42" i="2"/>
  <c r="CD9" i="2"/>
  <c r="CD3" i="2"/>
  <c r="C9" i="4" s="1"/>
  <c r="E9" i="4" s="1"/>
  <c r="F9" i="4" s="1"/>
  <c r="G9" i="4" s="1"/>
  <c r="L9" i="4" s="1"/>
  <c r="CD57" i="2"/>
  <c r="CD194" i="2"/>
  <c r="CD49" i="2"/>
  <c r="CD137" i="2"/>
  <c r="CD84" i="2"/>
  <c r="CD24" i="2"/>
  <c r="CD26" i="2"/>
  <c r="CD21" i="2"/>
  <c r="CD148" i="2"/>
  <c r="CD178" i="2"/>
  <c r="CD72" i="2"/>
  <c r="CD197" i="2"/>
  <c r="CD203" i="2"/>
  <c r="CD89" i="2"/>
  <c r="CD184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22" i="2"/>
  <c r="BI101" i="2"/>
  <c r="BI80" i="2"/>
  <c r="BI8" i="2"/>
  <c r="BI123" i="2"/>
  <c r="BI169" i="2"/>
  <c r="BI46" i="2"/>
  <c r="BI179" i="2"/>
  <c r="BI130" i="2"/>
  <c r="BI12" i="2"/>
  <c r="BI83" i="2"/>
  <c r="BI99" i="2"/>
  <c r="BI192" i="2"/>
  <c r="BI3" i="2"/>
  <c r="C8" i="4" s="1"/>
  <c r="E8" i="4" s="1"/>
  <c r="F8" i="4" s="1"/>
  <c r="G8" i="4" s="1"/>
  <c r="L8" i="4" s="1"/>
  <c r="BI15" i="2"/>
  <c r="BI127" i="2"/>
  <c r="BI69" i="2"/>
  <c r="BI105" i="2"/>
  <c r="BI183" i="2"/>
  <c r="BI174" i="2"/>
  <c r="BI4" i="2"/>
  <c r="BI65" i="2"/>
  <c r="BI149" i="2"/>
  <c r="BI41" i="2"/>
  <c r="BI91" i="2"/>
  <c r="BI116" i="2"/>
  <c r="BI32" i="2"/>
  <c r="BI97" i="2"/>
  <c r="BI203" i="2"/>
  <c r="BI112" i="2"/>
  <c r="BI175" i="2"/>
  <c r="BI49" i="2"/>
  <c r="BI193" i="2"/>
  <c r="BI25" i="2"/>
  <c r="BI42" i="2"/>
  <c r="BI100" i="2"/>
  <c r="BI109" i="2"/>
  <c r="BI94" i="2"/>
  <c r="BI139" i="2"/>
  <c r="BI117" i="2"/>
  <c r="BI61" i="2"/>
  <c r="BI84" i="2"/>
  <c r="BI119" i="2"/>
  <c r="BI74" i="2"/>
  <c r="BI126" i="2"/>
  <c r="BI150" i="2"/>
  <c r="BI111" i="2"/>
  <c r="BI147" i="2"/>
  <c r="BI7" i="2"/>
  <c r="BI200" i="2"/>
  <c r="BI36" i="2"/>
  <c r="BI11" i="2"/>
  <c r="BI48" i="2"/>
  <c r="BI159" i="2"/>
  <c r="BI129" i="2"/>
  <c r="BI31" i="2"/>
  <c r="BI90" i="2"/>
  <c r="BI178" i="2"/>
  <c r="BI66" i="2"/>
  <c r="BI181" i="2"/>
  <c r="BI113" i="2"/>
  <c r="BI26" i="2"/>
  <c r="BI133" i="2"/>
  <c r="BI93" i="2"/>
  <c r="BI189" i="2"/>
  <c r="BI148" i="2"/>
  <c r="BI52" i="2"/>
  <c r="BI168" i="2"/>
  <c r="BI146" i="2"/>
  <c r="BI64" i="2"/>
  <c r="BI6" i="2"/>
  <c r="BI88" i="2"/>
  <c r="BI128" i="2"/>
  <c r="BI43" i="2"/>
  <c r="BI110" i="2"/>
  <c r="BI45" i="2"/>
  <c r="BI106" i="2"/>
  <c r="BI87" i="2"/>
  <c r="BI73" i="2"/>
  <c r="BI141" i="2"/>
  <c r="BI71" i="2"/>
  <c r="BI132" i="2"/>
  <c r="BI196" i="2"/>
  <c r="BI38" i="2"/>
  <c r="BI24" i="2"/>
  <c r="BI78" i="2"/>
  <c r="BI68" i="2"/>
  <c r="BI62" i="2"/>
  <c r="BI56" i="2"/>
  <c r="BI51" i="2"/>
  <c r="BI108" i="2"/>
  <c r="BI53" i="2"/>
  <c r="BI166" i="2"/>
  <c r="BI23" i="2"/>
  <c r="BI165" i="2"/>
  <c r="BI77" i="2"/>
  <c r="BI34" i="2"/>
  <c r="BI164" i="2"/>
  <c r="BI142" i="2"/>
  <c r="BI55" i="2"/>
  <c r="BI160" i="2"/>
  <c r="BI89" i="2"/>
  <c r="BI157" i="2"/>
  <c r="BI154" i="2"/>
  <c r="BI182" i="2"/>
  <c r="BI21" i="2"/>
  <c r="BI75" i="2"/>
  <c r="BI70" i="2"/>
  <c r="BI162" i="2"/>
  <c r="BI134" i="2"/>
  <c r="BI138" i="2"/>
  <c r="BI104" i="2"/>
  <c r="BI115" i="2"/>
  <c r="BI82" i="2"/>
  <c r="BI114" i="2"/>
  <c r="BI161" i="2"/>
  <c r="BI199" i="2"/>
  <c r="BI103" i="2"/>
  <c r="BI195" i="2"/>
  <c r="BI171" i="2"/>
  <c r="BI107" i="2"/>
  <c r="BI187" i="2"/>
  <c r="BI177" i="2"/>
  <c r="BI153" i="2"/>
  <c r="BI17" i="2"/>
  <c r="BI184" i="2"/>
  <c r="BI194" i="2"/>
  <c r="BI63" i="2"/>
  <c r="BI28" i="2"/>
  <c r="BI140" i="2"/>
  <c r="BI131" i="2"/>
  <c r="BI143" i="2"/>
  <c r="BI121" i="2"/>
  <c r="BI167" i="2"/>
  <c r="BI158" i="2"/>
  <c r="BI188" i="2"/>
  <c r="BI33" i="2"/>
  <c r="BI60" i="2"/>
  <c r="BI5" i="2"/>
  <c r="BI122" i="2"/>
  <c r="BI16" i="2"/>
  <c r="BI152" i="2"/>
  <c r="BI81" i="2"/>
  <c r="BI186" i="2"/>
  <c r="BI172" i="2"/>
  <c r="BI201" i="2"/>
  <c r="BI197" i="2"/>
  <c r="BI72" i="2"/>
  <c r="BI144" i="2"/>
  <c r="BI57" i="2"/>
  <c r="BI27" i="2"/>
  <c r="BI18" i="2"/>
  <c r="BI155" i="2"/>
  <c r="BI9" i="2"/>
  <c r="BI180" i="2"/>
  <c r="BI185" i="2"/>
  <c r="BI44" i="2"/>
  <c r="BI40" i="2"/>
  <c r="BI163" i="2"/>
  <c r="BI14" i="2"/>
  <c r="BI19" i="2"/>
  <c r="BI92" i="2"/>
  <c r="BI137" i="2"/>
  <c r="BI124" i="2"/>
  <c r="BI136" i="2"/>
  <c r="BI151" i="2"/>
  <c r="BI125" i="2"/>
  <c r="BI29" i="2"/>
  <c r="BI176" i="2"/>
  <c r="BI37" i="2"/>
  <c r="BI10" i="2"/>
  <c r="BI95" i="2"/>
  <c r="BI30" i="2"/>
  <c r="BI13" i="2"/>
  <c r="BI58" i="2"/>
  <c r="BI156" i="2"/>
  <c r="BI79" i="2"/>
  <c r="BI59" i="2"/>
  <c r="BI170" i="2"/>
  <c r="BI98" i="2"/>
  <c r="BI202" i="2"/>
  <c r="BI135" i="2"/>
  <c r="BI35" i="2"/>
  <c r="BI54" i="2"/>
  <c r="BI102" i="2"/>
  <c r="BI50" i="2"/>
  <c r="BI118" i="2"/>
  <c r="BI190" i="2"/>
  <c r="BI198" i="2"/>
  <c r="BI96" i="2"/>
  <c r="BI86" i="2"/>
  <c r="BI85" i="2"/>
  <c r="BI191" i="2"/>
  <c r="BI67" i="2"/>
  <c r="BI173" i="2"/>
  <c r="BI76" i="2"/>
  <c r="BI145" i="2"/>
  <c r="BI39" i="2"/>
  <c r="BI120" i="2"/>
  <c r="BI20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<sst xmlns="http://schemas.openxmlformats.org/spreadsheetml/2006/main" count="1001" uniqueCount="314">
  <si>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</si>
  <si>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</si>
  <si>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</si>
  <si>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</si>
  <si>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</si>
  <si>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</si>
  <si>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</si>
  <si>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</si>
  <si>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</si>
  <si>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</si>
  <si>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</si>
  <si>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</si>
  <si>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</si>
  <si>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</si>
  <si>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</si>
  <si>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</si>
  <si>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</si>
  <si>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</si>
  <si>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</si>
  <si>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</si>
  <si>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</si>
  <si>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</si>
  <si>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</si>
  <si>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</si>
  <si>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</si>
  <si>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</si>
  <si>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</si>
  <si>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</si>
  <si>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</si>
  <si>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</si>
  <si>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</si>
  <si>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</si>
  <si>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</si>
  <si>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</si>
  <si>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</si>
  <si>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</si>
  <si>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</si>
  <si>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</si>
  <si>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</si>
  <si>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</si>
  <si>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</si>
  <si>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</si>
  <si>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</si>
  <si>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</si>
  <si>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</si>
  <si>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</si>
  <si>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</si>
  <si>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</si>
  <si>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</si>
  <si>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</si>
  <si>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</si>
  <si>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</si>
  <si>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</si>
  <si>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</si>
  <si>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</si>
  <si>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</si>
  <si>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</si>
  <si>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</si>
  <si>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</si>
  <si>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</si>
  <si>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</si>
  <si>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</si>
  <si>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</si>
  <si>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</si>
  <si>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</si>
  <si>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</si>
  <si>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</si>
  <si>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</si>
  <si>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</si>
  <si>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</si>
  <si>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</si>
  <si>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</si>
  <si>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</si>
  <si>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</si>
  <si>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</si>
  <si>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</si>
  <si>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</si>
  <si>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</si>
  <si>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</si>
  <si>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</si>
  <si>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</si>
  <si>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</si>
  <si>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</si>
  <si>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</si>
  <si>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</si>
  <si>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</si>
  <si>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</si>
  <si>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</si>
  <si>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</si>
  <si>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</si>
  <si>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</si>
  <si>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</si>
  <si>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</si>
  <si>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</si>
  <si>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</si>
  <si>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</si>
  <si>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</si>
  <si>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</si>
  <si>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</si>
  <si>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</si>
  <si>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</si>
  <si>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</si>
  <si>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</si>
  <si>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</si>
  <si>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</si>
  <si>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</si>
  <si>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</si>
  <si>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</si>
  <si>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</si>
  <si>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</si>
  <si>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</si>
  <si>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</si>
  <si>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</si>
  <si>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</si>
  <si>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</si>
  <si>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</si>
  <si>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</si>
  <si>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</si>
  <si>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</si>
  <si>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</si>
  <si>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</si>
  <si>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</si>
  <si>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</si>
  <si>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</si>
  <si>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</si>
  <si>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</si>
  <si>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</si>
  <si>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</si>
  <si>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</si>
  <si>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</si>
  <si>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</si>
  <si>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</si>
  <si>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</si>
  <si>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</si>
  <si>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</si>
  <si>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</si>
  <si>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</si>
  <si>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</si>
  <si>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</si>
  <si>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</si>
  <si>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</si>
  <si>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</si>
  <si>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</si>
  <si>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</si>
  <si>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</si>
  <si>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</si>
  <si>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</si>
  <si>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</si>
  <si>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</si>
  <si>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</si>
  <si>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</si>
  <si>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</si>
  <si>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</si>
  <si>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</si>
  <si>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</si>
  <si>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</si>
  <si>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</si>
  <si>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</si>
  <si>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</si>
  <si>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</si>
  <si>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</si>
  <si>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</si>
  <si>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</si>
  <si>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</si>
  <si>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</si>
  <si>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</si>
  <si>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</si>
  <si>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</si>
  <si>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</si>
  <si>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</si>
  <si>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</si>
  <si>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</si>
  <si>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</si>
  <si>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</si>
  <si>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</si>
  <si>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</si>
  <si>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</si>
  <si>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</si>
  <si>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</si>
  <si>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</si>
  <si>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</si>
  <si>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</si>
  <si>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</si>
  <si>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</si>
  <si>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</si>
  <si>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</si>
  <si>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</si>
  <si>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</si>
  <si>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</si>
  <si>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</si>
  <si>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</si>
  <si>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</si>
  <si>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</si>
  <si>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</si>
  <si>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</si>
  <si>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</si>
  <si>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</si>
  <si>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</si>
  <si>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</si>
  <si>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</si>
  <si>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</si>
  <si>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</si>
  <si>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</si>
  <si>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</si>
  <si>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</si>
  <si>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</si>
  <si>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</si>
  <si>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</si>
  <si>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</si>
  <si>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</si>
  <si>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</si>
  <si>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</si>
  <si>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</si>
  <si>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</si>
  <si>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</si>
  <si>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</si>
  <si>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</si>
  <si>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</si>
  <si>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</si>
  <si>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</si>
  <si>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</si>
  <si>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</si>
  <si>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</si>
  <si>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</si>
  <si>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</si>
  <si>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</si>
  <si>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</si>
  <si>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</si>
  <si>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</si>
  <si>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</si>
  <si>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</si>
  <si>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</si>
  <si>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</si>
  <si>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</si>
  <si>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</si>
  <si>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</si>
  <si>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</si>
  <si>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</si>
  <si>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</si>
  <si>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</si>
  <si>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</si>
  <si>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</si>
  <si>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</si>
  <si>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</si>
  <si>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</si>
  <si>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</si>
  <si>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</si>
  <si>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</si>
  <si>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</si>
  <si>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</si>
  <si>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</si>
  <si>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</si>
  <si>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</si>
  <si>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</si>
  <si>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</si>
  <si>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</si>
  <si>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</si>
  <si>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</si>
  <si>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</si>
  <si>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</si>
  <si>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</si>
  <si>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</si>
  <si>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</si>
  <si>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</si>
  <si>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</si>
  <si>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</si>
  <si>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</si>
  <si>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</si>
  <si>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</si>
  <si>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</si>
  <si>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</si>
  <si>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</si>
  <si>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</si>
  <si>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</si>
  <si>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</si>
  <si>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</si>
  <si>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</si>
  <si>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</si>
  <si>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</si>
  <si>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</si>
  <si>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</si>
  <si>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</si>
  <si>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</si>
  <si>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</si>
  <si>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</si>
  <si>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</si>
  <si>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</si>
  <si>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</si>
  <si>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</si>
  <si>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</si>
  <si>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</si>
  <si>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</si>
  <si>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</si>
  <si>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</si>
  <si>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</si>
  <si>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</si>
  <si>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</si>
  <si>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</si>
  <si>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</si>
  <si>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</si>
  <si>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</si>
  <si>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</si>
  <si>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</si>
  <si>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</si>
  <si>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</si>
  <si>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</si>
  <si>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</si>
  <si>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</si>
  <si>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</si>
  <si>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</si>
  <si>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</si>
  <si>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</si>
  <si>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ainsi que pour laisser la possibilité de noter des commentaires dans les cellules non verrouillées.</t>
  </si>
  <si>
    <t>V28/09/2021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</si>
</sst>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42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locked="0" hidden="1"/>
    </xf>
    <xf numFmtId="168" fontId="0" fillId="0" borderId="9" xfId="0" applyNumberForma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168" fontId="0" fillId="0" borderId="9" xfId="0" applyNumberFormat="1" applyFill="1" applyBorder="1" applyAlignment="1" applyProtection="1">
      <alignment horizontal="center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Protection="1">
      <protection locked="0" hidden="1"/>
    </xf>
    <xf numFmtId="168" fontId="15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6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Alignment="1" applyProtection="1">
      <alignment horizontal="center"/>
      <protection locked="0" hidden="1"/>
    </xf>
    <xf numFmtId="0" fontId="0" fillId="0" borderId="42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2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9" xfId="0" applyFont="1" applyFill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Protection="1">
      <protection locked="0" hidden="1"/>
    </xf>
    <xf numFmtId="0" fontId="15" fillId="0" borderId="0" xfId="0" applyFont="1" applyAlignment="1" applyProtection="1">
      <alignment wrapText="1"/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9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8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1.4446494747924661</c:v>
                </c:pt>
                <c:pt idx="2">
                  <c:v>1.7032179941020262</c:v>
                </c:pt>
                <c:pt idx="3">
                  <c:v>2.0082412457544763</c:v>
                </c:pt>
                <c:pt idx="4">
                  <c:v>2.3680951937653405</c:v>
                </c:pt>
                <c:pt idx="5">
                  <c:v>2.7926710865029833</c:v>
                </c:pt>
                <c:pt idx="6">
                  <c:v>3.2936504415475194</c:v>
                </c:pt>
                <c:pt idx="7">
                  <c:v>3.8848300775960793</c:v>
                </c:pt>
                <c:pt idx="8">
                  <c:v>4.5825063262069596</c:v>
                </c:pt>
                <c:pt idx="9">
                  <c:v>5.4059292268305654</c:v>
                </c:pt>
                <c:pt idx="10">
                  <c:v>6.377839485521748</c:v>
                </c:pt>
                <c:pt idx="11">
                  <c:v>7.5251033172333761</c:v>
                </c:pt>
                <c:pt idx="12">
                  <c:v>8.8794630602777733</c:v>
                </c:pt>
                <c:pt idx="13">
                  <c:v>10.478424728298359</c:v>
                </c:pt>
                <c:pt idx="14">
                  <c:v>12.366307543331528</c:v>
                </c:pt>
                <c:pt idx="15">
                  <c:v>14.595485083876353</c:v>
                </c:pt>
                <c:pt idx="16">
                  <c:v>17.227853115323715</c:v>
                </c:pt>
                <c:pt idx="17">
                  <c:v>20.336565601761166</c:v>
                </c:pt>
                <c:pt idx="18">
                  <c:v>24.008088011793529</c:v>
                </c:pt>
                <c:pt idx="19">
                  <c:v>28.34462604420094</c:v>
                </c:pt>
                <c:pt idx="20">
                  <c:v>33.466998569717767</c:v>
                </c:pt>
                <c:pt idx="21">
                  <c:v>39.518036218216324</c:v>
                </c:pt>
                <c:pt idx="22">
                  <c:v>46.666601997687287</c:v>
                </c:pt>
                <c:pt idx="23">
                  <c:v>55.112348040911343</c:v>
                </c:pt>
                <c:pt idx="24">
                  <c:v>65.091343544944792</c:v>
                </c:pt>
                <c:pt idx="25">
                  <c:v>76.882733798474405</c:v>
                </c:pt>
                <c:pt idx="26">
                  <c:v>90.816619594682138</c:v>
                </c:pt>
                <c:pt idx="27">
                  <c:v>107.28338114591146</c:v>
                </c:pt>
                <c:pt idx="28">
                  <c:v>126.74471185035777</c:v>
                </c:pt>
                <c:pt idx="29">
                  <c:v>149.74667609401612</c:v>
                </c:pt>
                <c:pt idx="30">
                  <c:v>176.93516310576453</c:v>
                </c:pt>
                <c:pt idx="31">
                  <c:v>146.43353271796309</c:v>
                </c:pt>
                <c:pt idx="32">
                  <c:v>156.61609434461207</c:v>
                </c:pt>
                <c:pt idx="33">
                  <c:v>166.78293977832863</c:v>
                </c:pt>
                <c:pt idx="34">
                  <c:v>176.93516310576453</c:v>
                </c:pt>
                <c:pt idx="35">
                  <c:v>187.07372242622981</c:v>
                </c:pt>
                <c:pt idx="36">
                  <c:v>197.19946337106239</c:v>
                </c:pt>
                <c:pt idx="37">
                  <c:v>207.31313753029789</c:v>
                </c:pt>
                <c:pt idx="38">
                  <c:v>217.41541708927389</c:v>
                </c:pt>
                <c:pt idx="39">
                  <c:v>227.50690659831915</c:v>
                </c:pt>
                <c:pt idx="40">
                  <c:v>237.58815254200749</c:v>
                </c:pt>
                <c:pt idx="41">
                  <c:v>207.31313753029789</c:v>
                </c:pt>
                <c:pt idx="42">
                  <c:v>217.41541708927389</c:v>
                </c:pt>
                <c:pt idx="43">
                  <c:v>227.50690659831915</c:v>
                </c:pt>
                <c:pt idx="44">
                  <c:v>237.58815254200749</c:v>
                </c:pt>
                <c:pt idx="45">
                  <c:v>247.65965119723435</c:v>
                </c:pt>
                <c:pt idx="46">
                  <c:v>257.72185514470988</c:v>
                </c:pt>
                <c:pt idx="47">
                  <c:v>267.77517870928631</c:v>
                </c:pt>
                <c:pt idx="48">
                  <c:v>277.82000253977031</c:v>
                </c:pt>
                <c:pt idx="49">
                  <c:v>287.85667749117107</c:v>
                </c:pt>
                <c:pt idx="50">
                  <c:v>297.88552793675632</c:v>
                </c:pt>
                <c:pt idx="51">
                  <c:v>277.82000253977031</c:v>
                </c:pt>
                <c:pt idx="52">
                  <c:v>287.85667749117107</c:v>
                </c:pt>
                <c:pt idx="53">
                  <c:v>297.88552793675632</c:v>
                </c:pt>
                <c:pt idx="54">
                  <c:v>307.90685461043864</c:v>
                </c:pt>
                <c:pt idx="55">
                  <c:v>317.92093705953039</c:v>
                </c:pt>
                <c:pt idx="56">
                  <c:v>327.92803577212442</c:v>
                </c:pt>
                <c:pt idx="57">
                  <c:v>337.92839403108081</c:v>
                </c:pt>
                <c:pt idx="58">
                  <c:v>347.92223953697521</c:v>
                </c:pt>
                <c:pt idx="59">
                  <c:v>357.90978583474595</c:v>
                </c:pt>
                <c:pt idx="60">
                  <c:v>367.89123357271274</c:v>
                </c:pt>
                <c:pt idx="61">
                  <c:v>346.92314186926529</c:v>
                </c:pt>
                <c:pt idx="62">
                  <c:v>355.91277070439509</c:v>
                </c:pt>
                <c:pt idx="63">
                  <c:v>364.89742814550772</c:v>
                </c:pt>
                <c:pt idx="64">
                  <c:v>373.87725393504803</c:v>
                </c:pt>
                <c:pt idx="65">
                  <c:v>382.85238055108954</c:v>
                </c:pt>
                <c:pt idx="66">
                  <c:v>391.82293375011449</c:v>
                </c:pt>
                <c:pt idx="67">
                  <c:v>400.78903305747463</c:v>
                </c:pt>
                <c:pt idx="68">
                  <c:v>409.75079221165839</c:v>
                </c:pt>
                <c:pt idx="69">
                  <c:v>418.70831956765045</c:v>
                </c:pt>
                <c:pt idx="70">
                  <c:v>427.66171846396475</c:v>
                </c:pt>
                <c:pt idx="71">
                  <c:v>405.7683169082614</c:v>
                </c:pt>
                <c:pt idx="72">
                  <c:v>413.73243167051174</c:v>
                </c:pt>
                <c:pt idx="73">
                  <c:v>421.69323961894673</c:v>
                </c:pt>
                <c:pt idx="74">
                  <c:v>429.65081202006462</c:v>
                </c:pt>
                <c:pt idx="75">
                  <c:v>437.60521728369707</c:v>
                </c:pt>
                <c:pt idx="76">
                  <c:v>445.55652112849572</c:v>
                </c:pt>
                <c:pt idx="77">
                  <c:v>453.50478673498748</c:v>
                </c:pt>
                <c:pt idx="78">
                  <c:v>461.45007488733671</c:v>
                </c:pt>
                <c:pt idx="79">
                  <c:v>469.39244410483212</c:v>
                </c:pt>
                <c:pt idx="80">
                  <c:v>477.33195076400972</c:v>
                </c:pt>
                <c:pt idx="81">
                  <c:v>452.51141758795933</c:v>
                </c:pt>
                <c:pt idx="82">
                  <c:v>457.47779928386609</c:v>
                </c:pt>
                <c:pt idx="83">
                  <c:v>462.44302949249573</c:v>
                </c:pt>
                <c:pt idx="84">
                  <c:v>467.40712233198587</c:v>
                </c:pt>
                <c:pt idx="85">
                  <c:v>472.37009159588257</c:v>
                </c:pt>
                <c:pt idx="86">
                  <c:v>477.33195076400972</c:v>
                </c:pt>
                <c:pt idx="87">
                  <c:v>482.29271301286667</c:v>
                </c:pt>
                <c:pt idx="88">
                  <c:v>487.25239122557053</c:v>
                </c:pt>
                <c:pt idx="89">
                  <c:v>492.21099800137671</c:v>
                </c:pt>
                <c:pt idx="90">
                  <c:v>497.16854566479356</c:v>
                </c:pt>
                <c:pt idx="91">
                  <c:v>470.38503784978212</c:v>
                </c:pt>
                <c:pt idx="92">
                  <c:v>473.36255181121783</c:v>
                </c:pt>
                <c:pt idx="93">
                  <c:v>476.3396671012876</c:v>
                </c:pt>
                <c:pt idx="94">
                  <c:v>479.31638656594299</c:v>
                </c:pt>
                <c:pt idx="95">
                  <c:v>482.29271301286667</c:v>
                </c:pt>
                <c:pt idx="96">
                  <c:v>485.26864921222455</c:v>
                </c:pt>
                <c:pt idx="97">
                  <c:v>488.24419789739932</c:v>
                </c:pt>
                <c:pt idx="98">
                  <c:v>491.21936176570608</c:v>
                </c:pt>
                <c:pt idx="99">
                  <c:v>494.19414347908742</c:v>
                </c:pt>
                <c:pt idx="100">
                  <c:v>497.16854566479356</c:v>
                </c:pt>
                <c:pt idx="101">
                  <c:v>479.31638656594299</c:v>
                </c:pt>
                <c:pt idx="102">
                  <c:v>481.30064769410069</c:v>
                </c:pt>
                <c:pt idx="103">
                  <c:v>483.28473497109491</c:v>
                </c:pt>
                <c:pt idx="104">
                  <c:v>485.26864921222455</c:v>
                </c:pt>
                <c:pt idx="105">
                  <c:v>487.25239122557053</c:v>
                </c:pt>
                <c:pt idx="106">
                  <c:v>489.2359618120895</c:v>
                </c:pt>
                <c:pt idx="107">
                  <c:v>491.21936176570608</c:v>
                </c:pt>
                <c:pt idx="108">
                  <c:v>493.20259187340275</c:v>
                </c:pt>
                <c:pt idx="109">
                  <c:v>495.18565291531036</c:v>
                </c:pt>
                <c:pt idx="110">
                  <c:v>497.16854566479356</c:v>
                </c:pt>
                <c:pt idx="111">
                  <c:v>477.99344882393399</c:v>
                </c:pt>
                <c:pt idx="112">
                  <c:v>478.65492741433127</c:v>
                </c:pt>
                <c:pt idx="113">
                  <c:v>479.31638656594305</c:v>
                </c:pt>
                <c:pt idx="114">
                  <c:v>479.97782630941856</c:v>
                </c:pt>
                <c:pt idx="115">
                  <c:v>480.63924667531546</c:v>
                </c:pt>
                <c:pt idx="116">
                  <c:v>481.30064769410069</c:v>
                </c:pt>
                <c:pt idx="117">
                  <c:v>481.96202939615023</c:v>
                </c:pt>
                <c:pt idx="118">
                  <c:v>482.62339181174974</c:v>
                </c:pt>
                <c:pt idx="119">
                  <c:v>483.28473497109502</c:v>
                </c:pt>
                <c:pt idx="120">
                  <c:v>483.94605890429256</c:v>
                </c:pt>
                <c:pt idx="121">
                  <c:v>484.60736364135954</c:v>
                </c:pt>
                <c:pt idx="122">
                  <c:v>485.26864921222477</c:v>
                </c:pt>
                <c:pt idx="123">
                  <c:v>485.92991564672803</c:v>
                </c:pt>
                <c:pt idx="124">
                  <c:v>486.5911629746218</c:v>
                </c:pt>
                <c:pt idx="125">
                  <c:v>487.25239122557076</c:v>
                </c:pt>
                <c:pt idx="126">
                  <c:v>487.91360042915244</c:v>
                </c:pt>
                <c:pt idx="127">
                  <c:v>488.57479061485748</c:v>
                </c:pt>
                <c:pt idx="128">
                  <c:v>489.2359618120899</c:v>
                </c:pt>
                <c:pt idx="129">
                  <c:v>489.89711405016806</c:v>
                </c:pt>
                <c:pt idx="130">
                  <c:v>490.55824735832465</c:v>
                </c:pt>
                <c:pt idx="131">
                  <c:v>491.21936176570642</c:v>
                </c:pt>
                <c:pt idx="132">
                  <c:v>491.88045730137583</c:v>
                </c:pt>
                <c:pt idx="133">
                  <c:v>492.54153399431033</c:v>
                </c:pt>
                <c:pt idx="134">
                  <c:v>493.20259187340326</c:v>
                </c:pt>
                <c:pt idx="135">
                  <c:v>493.86363096746442</c:v>
                </c:pt>
                <c:pt idx="136">
                  <c:v>494.52465130521927</c:v>
                </c:pt>
                <c:pt idx="137">
                  <c:v>495.18565291531087</c:v>
                </c:pt>
                <c:pt idx="138">
                  <c:v>495.84663582629918</c:v>
                </c:pt>
                <c:pt idx="139">
                  <c:v>496.50760006666178</c:v>
                </c:pt>
                <c:pt idx="140">
                  <c:v>497.16854566479401</c:v>
                </c:pt>
                <c:pt idx="141">
                  <c:v>6.6746200022902298E-12</c:v>
                </c:pt>
                <c:pt idx="142">
                  <c:v>6.6746200022902298E-12</c:v>
                </c:pt>
                <c:pt idx="143">
                  <c:v>6.6746200022902298E-12</c:v>
                </c:pt>
                <c:pt idx="144">
                  <c:v>6.6746200022902298E-12</c:v>
                </c:pt>
                <c:pt idx="145">
                  <c:v>6.6746200022902298E-12</c:v>
                </c:pt>
                <c:pt idx="146">
                  <c:v>6.6746200022902298E-12</c:v>
                </c:pt>
                <c:pt idx="147">
                  <c:v>6.6746200022902298E-12</c:v>
                </c:pt>
                <c:pt idx="148">
                  <c:v>6.6746200022902298E-12</c:v>
                </c:pt>
                <c:pt idx="149">
                  <c:v>6.6746200022902298E-12</c:v>
                </c:pt>
                <c:pt idx="150">
                  <c:v>6.6746200022902298E-12</c:v>
                </c:pt>
                <c:pt idx="151">
                  <c:v>6.6746200022902298E-12</c:v>
                </c:pt>
                <c:pt idx="152">
                  <c:v>6.6746200022902298E-12</c:v>
                </c:pt>
                <c:pt idx="153">
                  <c:v>6.6746200022902298E-12</c:v>
                </c:pt>
                <c:pt idx="154">
                  <c:v>6.6746200022902298E-12</c:v>
                </c:pt>
                <c:pt idx="155">
                  <c:v>6.6746200022902298E-12</c:v>
                </c:pt>
                <c:pt idx="156">
                  <c:v>6.6746200022902298E-12</c:v>
                </c:pt>
                <c:pt idx="157">
                  <c:v>6.6746200022902298E-12</c:v>
                </c:pt>
                <c:pt idx="158">
                  <c:v>6.6746200022902298E-12</c:v>
                </c:pt>
                <c:pt idx="159">
                  <c:v>6.6746200022902298E-12</c:v>
                </c:pt>
                <c:pt idx="160">
                  <c:v>6.6746200022902298E-12</c:v>
                </c:pt>
                <c:pt idx="161">
                  <c:v>6.6746200022902298E-12</c:v>
                </c:pt>
                <c:pt idx="162">
                  <c:v>6.6746200022902298E-12</c:v>
                </c:pt>
                <c:pt idx="163">
                  <c:v>6.6746200022902298E-12</c:v>
                </c:pt>
                <c:pt idx="164">
                  <c:v>6.6746200022902298E-12</c:v>
                </c:pt>
                <c:pt idx="165">
                  <c:v>6.6746200022902298E-12</c:v>
                </c:pt>
                <c:pt idx="166">
                  <c:v>6.6746200022902298E-12</c:v>
                </c:pt>
                <c:pt idx="167">
                  <c:v>6.6746200022902298E-12</c:v>
                </c:pt>
                <c:pt idx="168">
                  <c:v>6.6746200022902298E-12</c:v>
                </c:pt>
                <c:pt idx="169">
                  <c:v>6.6746200022902298E-12</c:v>
                </c:pt>
                <c:pt idx="170">
                  <c:v>6.6746200022902298E-12</c:v>
                </c:pt>
                <c:pt idx="171">
                  <c:v>6.6746200022902298E-12</c:v>
                </c:pt>
                <c:pt idx="172">
                  <c:v>6.6746200022902298E-12</c:v>
                </c:pt>
                <c:pt idx="173">
                  <c:v>6.6746200022902298E-12</c:v>
                </c:pt>
                <c:pt idx="174">
                  <c:v>6.6746200022902298E-12</c:v>
                </c:pt>
                <c:pt idx="175">
                  <c:v>6.6746200022902298E-12</c:v>
                </c:pt>
                <c:pt idx="176">
                  <c:v>6.6746200022902298E-12</c:v>
                </c:pt>
                <c:pt idx="177">
                  <c:v>6.6746200022902298E-12</c:v>
                </c:pt>
                <c:pt idx="178">
                  <c:v>6.6746200022902298E-12</c:v>
                </c:pt>
                <c:pt idx="179">
                  <c:v>6.6746200022902298E-12</c:v>
                </c:pt>
                <c:pt idx="180">
                  <c:v>6.6746200022902298E-12</c:v>
                </c:pt>
                <c:pt idx="181">
                  <c:v>6.6746200022902298E-12</c:v>
                </c:pt>
                <c:pt idx="182">
                  <c:v>6.6746200022902298E-12</c:v>
                </c:pt>
                <c:pt idx="183">
                  <c:v>6.6746200022902298E-12</c:v>
                </c:pt>
                <c:pt idx="184">
                  <c:v>6.6746200022902298E-12</c:v>
                </c:pt>
                <c:pt idx="185">
                  <c:v>6.6746200022902298E-12</c:v>
                </c:pt>
                <c:pt idx="186">
                  <c:v>6.6746200022902298E-12</c:v>
                </c:pt>
                <c:pt idx="187">
                  <c:v>6.6746200022902298E-12</c:v>
                </c:pt>
                <c:pt idx="188">
                  <c:v>6.6746200022902298E-12</c:v>
                </c:pt>
                <c:pt idx="189">
                  <c:v>6.6746200022902298E-12</c:v>
                </c:pt>
                <c:pt idx="190">
                  <c:v>6.6746200022902298E-12</c:v>
                </c:pt>
                <c:pt idx="191">
                  <c:v>6.6746200022902298E-12</c:v>
                </c:pt>
                <c:pt idx="192">
                  <c:v>6.6746200022902298E-12</c:v>
                </c:pt>
                <c:pt idx="193">
                  <c:v>6.6746200022902298E-12</c:v>
                </c:pt>
                <c:pt idx="194">
                  <c:v>6.6746200022902298E-12</c:v>
                </c:pt>
                <c:pt idx="195">
                  <c:v>6.6746200022902298E-12</c:v>
                </c:pt>
                <c:pt idx="196">
                  <c:v>6.6746200022902298E-12</c:v>
                </c:pt>
                <c:pt idx="197">
                  <c:v>6.6746200022902298E-12</c:v>
                </c:pt>
                <c:pt idx="198">
                  <c:v>6.6746200022902298E-12</c:v>
                </c:pt>
                <c:pt idx="199">
                  <c:v>6.6746200022902298E-12</c:v>
                </c:pt>
                <c:pt idx="200">
                  <c:v>6.6746200022902298E-12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2.0145808773528358</c:v>
                </c:pt>
                <c:pt idx="2">
                  <c:v>2.7928351000252465</c:v>
                </c:pt>
                <c:pt idx="3">
                  <c:v>3.8730351804186167</c:v>
                </c:pt>
                <c:pt idx="4">
                  <c:v>5.3728036608147471</c:v>
                </c:pt>
                <c:pt idx="5">
                  <c:v>7.4557551705464205</c:v>
                </c:pt>
                <c:pt idx="6">
                  <c:v>10.349542435124553</c:v>
                </c:pt>
                <c:pt idx="7">
                  <c:v>14.37100557008751</c:v>
                </c:pt>
                <c:pt idx="8">
                  <c:v>19.961228764171775</c:v>
                </c:pt>
                <c:pt idx="9">
                  <c:v>27.734418314448106</c:v>
                </c:pt>
                <c:pt idx="10">
                  <c:v>38.546066151679575</c:v>
                </c:pt>
                <c:pt idx="11">
                  <c:v>53.58802854611551</c:v>
                </c:pt>
                <c:pt idx="12">
                  <c:v>74.521175401475503</c:v>
                </c:pt>
                <c:pt idx="13">
                  <c:v>103.66049376987102</c:v>
                </c:pt>
                <c:pt idx="14">
                  <c:v>144.23343878702573</c:v>
                </c:pt>
                <c:pt idx="15">
                  <c:v>200.74058596732007</c:v>
                </c:pt>
                <c:pt idx="16">
                  <c:v>200.74058596732007</c:v>
                </c:pt>
                <c:pt idx="17">
                  <c:v>200.74058596732007</c:v>
                </c:pt>
                <c:pt idx="18">
                  <c:v>200.74058596732007</c:v>
                </c:pt>
                <c:pt idx="19">
                  <c:v>200.74058596732007</c:v>
                </c:pt>
                <c:pt idx="20">
                  <c:v>200.74058596732007</c:v>
                </c:pt>
                <c:pt idx="21">
                  <c:v>234.7496082755471</c:v>
                </c:pt>
                <c:pt idx="22">
                  <c:v>268.64606128457052</c:v>
                </c:pt>
                <c:pt idx="23">
                  <c:v>302.44614715027416</c:v>
                </c:pt>
                <c:pt idx="24">
                  <c:v>336.16214403365615</c:v>
                </c:pt>
                <c:pt idx="25">
                  <c:v>369.80366387000646</c:v>
                </c:pt>
                <c:pt idx="26">
                  <c:v>356.4508794308851</c:v>
                </c:pt>
                <c:pt idx="27">
                  <c:v>394.33609960316602</c:v>
                </c:pt>
                <c:pt idx="28">
                  <c:v>432.14242504303394</c:v>
                </c:pt>
                <c:pt idx="29">
                  <c:v>469.87771773906962</c:v>
                </c:pt>
                <c:pt idx="30">
                  <c:v>507.54847471808063</c:v>
                </c:pt>
                <c:pt idx="31">
                  <c:v>475.56786051841215</c:v>
                </c:pt>
                <c:pt idx="32">
                  <c:v>514.64938862406325</c:v>
                </c:pt>
                <c:pt idx="33">
                  <c:v>553.66829141515586</c:v>
                </c:pt>
                <c:pt idx="34">
                  <c:v>592.62959437384313</c:v>
                </c:pt>
                <c:pt idx="35">
                  <c:v>631.53760923584082</c:v>
                </c:pt>
                <c:pt idx="36">
                  <c:v>558.86635911008875</c:v>
                </c:pt>
                <c:pt idx="37">
                  <c:v>592.39362980732722</c:v>
                </c:pt>
                <c:pt idx="38">
                  <c:v>625.88142421411692</c:v>
                </c:pt>
                <c:pt idx="39">
                  <c:v>659.33214781659433</c:v>
                </c:pt>
                <c:pt idx="40">
                  <c:v>692.74794249826891</c:v>
                </c:pt>
                <c:pt idx="41">
                  <c:v>639.78433756926631</c:v>
                </c:pt>
                <c:pt idx="42">
                  <c:v>671.57286529064845</c:v>
                </c:pt>
                <c:pt idx="43">
                  <c:v>703.33048120908506</c:v>
                </c:pt>
                <c:pt idx="44">
                  <c:v>735.0587749737989</c:v>
                </c:pt>
                <c:pt idx="45">
                  <c:v>766.75918804010871</c:v>
                </c:pt>
                <c:pt idx="46">
                  <c:v>705.44659634791776</c:v>
                </c:pt>
                <c:pt idx="47">
                  <c:v>734.58893303330581</c:v>
                </c:pt>
                <c:pt idx="48">
                  <c:v>763.70773166149456</c:v>
                </c:pt>
                <c:pt idx="49">
                  <c:v>792.80401446874805</c:v>
                </c:pt>
                <c:pt idx="50">
                  <c:v>821.87872266404372</c:v>
                </c:pt>
                <c:pt idx="51">
                  <c:v>770.74918264325152</c:v>
                </c:pt>
                <c:pt idx="52">
                  <c:v>794.6804434861192</c:v>
                </c:pt>
                <c:pt idx="53">
                  <c:v>818.59714676160195</c:v>
                </c:pt>
                <c:pt idx="54">
                  <c:v>842.49977705174535</c:v>
                </c:pt>
                <c:pt idx="55">
                  <c:v>866.38878924101971</c:v>
                </c:pt>
                <c:pt idx="56">
                  <c:v>811.79875206098052</c:v>
                </c:pt>
                <c:pt idx="57">
                  <c:v>829.84716796681175</c:v>
                </c:pt>
                <c:pt idx="58">
                  <c:v>847.8876885854861</c:v>
                </c:pt>
                <c:pt idx="59">
                  <c:v>865.92050537441344</c:v>
                </c:pt>
                <c:pt idx="60">
                  <c:v>883.94580117605472</c:v>
                </c:pt>
                <c:pt idx="61">
                  <c:v>844.37391150362998</c:v>
                </c:pt>
                <c:pt idx="62">
                  <c:v>858.66145471369293</c:v>
                </c:pt>
                <c:pt idx="63">
                  <c:v>872.94423239314926</c:v>
                </c:pt>
                <c:pt idx="64">
                  <c:v>887.22233342614447</c:v>
                </c:pt>
                <c:pt idx="65">
                  <c:v>901.49584360554616</c:v>
                </c:pt>
                <c:pt idx="66">
                  <c:v>872.24191076199133</c:v>
                </c:pt>
                <c:pt idx="67">
                  <c:v>883.94580117605494</c:v>
                </c:pt>
                <c:pt idx="68">
                  <c:v>895.64659417172061</c:v>
                </c:pt>
                <c:pt idx="69">
                  <c:v>907.34433588355262</c:v>
                </c:pt>
                <c:pt idx="70">
                  <c:v>919.03907116057201</c:v>
                </c:pt>
                <c:pt idx="71">
                  <c:v>891.90267457499442</c:v>
                </c:pt>
                <c:pt idx="72">
                  <c:v>898.68829871605124</c:v>
                </c:pt>
                <c:pt idx="73">
                  <c:v>905.4729003924308</c:v>
                </c:pt>
                <c:pt idx="74">
                  <c:v>912.25648834160438</c:v>
                </c:pt>
                <c:pt idx="75">
                  <c:v>919.03907116057178</c:v>
                </c:pt>
                <c:pt idx="76">
                  <c:v>891.90267457499419</c:v>
                </c:pt>
                <c:pt idx="77">
                  <c:v>898.68829871605101</c:v>
                </c:pt>
                <c:pt idx="78">
                  <c:v>905.47290039243023</c:v>
                </c:pt>
                <c:pt idx="79">
                  <c:v>912.25648834160393</c:v>
                </c:pt>
                <c:pt idx="80">
                  <c:v>919.03907116057144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70" t="s">
        <v>295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3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3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3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3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3">
      <c r="B18" s="270" t="s">
        <v>296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3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3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3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3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3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3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3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3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3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3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3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3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3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70" zoomScaleNormal="70" workbookViewId="0">
      <selection activeCell="C46" sqref="C4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75" t="s">
        <v>190</v>
      </c>
      <c r="D1" s="275"/>
      <c r="E1" s="27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39" t="s">
        <v>313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76" t="s">
        <v>192</v>
      </c>
      <c r="C3" s="277"/>
      <c r="D3" s="277"/>
      <c r="E3" s="277"/>
      <c r="F3" s="278"/>
      <c r="G3" s="96"/>
      <c r="I3" s="239" t="s">
        <v>311</v>
      </c>
      <c r="J3" s="9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8"/>
      <c r="B4" s="98"/>
      <c r="C4" s="98"/>
      <c r="D4" s="98"/>
      <c r="E4" s="98"/>
      <c r="F4" s="98"/>
      <c r="G4" s="252"/>
      <c r="I4" s="239" t="s">
        <v>312</v>
      </c>
      <c r="J4" s="9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82" t="s">
        <v>231</v>
      </c>
      <c r="B5" s="282"/>
      <c r="C5" s="26">
        <v>5.4</v>
      </c>
      <c r="D5" s="283" t="s">
        <v>229</v>
      </c>
      <c r="E5" s="284"/>
      <c r="F5" s="98"/>
      <c r="G5" s="252"/>
      <c r="H5" s="253"/>
      <c r="I5" s="253"/>
      <c r="J5" s="26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9"/>
      <c r="B6" s="99"/>
      <c r="C6" s="100"/>
      <c r="D6" s="92"/>
      <c r="E6" s="92"/>
      <c r="F6" s="29"/>
      <c r="G6" s="254"/>
      <c r="H6" s="255"/>
      <c r="I6" s="255"/>
      <c r="J6" s="262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38" ht="25.8" x14ac:dyDescent="0.3">
      <c r="A7" s="280" t="s">
        <v>226</v>
      </c>
      <c r="B7" s="280"/>
      <c r="C7" s="98"/>
      <c r="D7" s="98"/>
      <c r="E7" s="5"/>
      <c r="F7" s="98"/>
      <c r="G7" s="252"/>
      <c r="H7" s="253"/>
      <c r="I7" s="253"/>
      <c r="J7" s="261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I8" s="267"/>
      <c r="J8" s="261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164</v>
      </c>
      <c r="C9" s="35">
        <f>4.4/5.4</f>
        <v>0.81481481481481488</v>
      </c>
      <c r="D9" s="36">
        <f t="shared" ref="D9:D18" si="0">C9*$C$5</f>
        <v>4.4000000000000004</v>
      </c>
      <c r="E9" s="37">
        <v>110</v>
      </c>
      <c r="F9" s="38" t="str">
        <f t="array" ref="F9">IF(E10="","",IF(INDEX(A:A,MAX(IF(ISNUMBER($A$36:$A$55),ROW($A$36:$A$55),"")))&lt;&gt;E9,"Corrigez : révolution incorrecte","OK"))</f>
        <v>Corrigez : révolution incorrecte</v>
      </c>
      <c r="I9" s="268"/>
      <c r="J9" s="26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18</v>
      </c>
      <c r="C10" s="35">
        <f>1-C9</f>
        <v>0.18518518518518512</v>
      </c>
      <c r="D10" s="36">
        <f t="shared" si="0"/>
        <v>0.99999999999999967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68"/>
      <c r="J10" s="26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44"/>
      <c r="I11" s="268"/>
      <c r="J11" s="26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44"/>
      <c r="I12" s="268"/>
      <c r="J12" s="26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44"/>
      <c r="I13" s="268"/>
      <c r="J13" s="26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44"/>
      <c r="I14" s="268"/>
      <c r="J14" s="26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44"/>
      <c r="I15" s="268"/>
      <c r="J15" s="26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44"/>
      <c r="I16" s="268"/>
      <c r="J16" s="26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44"/>
      <c r="I17" s="268"/>
      <c r="J17" s="26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44"/>
      <c r="I18" s="268"/>
      <c r="J18" s="26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1"/>
      <c r="B19" s="39" t="s">
        <v>175</v>
      </c>
      <c r="C19" s="40">
        <f>SUM(C9:C18)</f>
        <v>1</v>
      </c>
      <c r="D19" s="41">
        <f>SUM(D9:D18)</f>
        <v>5.4</v>
      </c>
      <c r="E19" s="5"/>
      <c r="F19" s="102"/>
      <c r="G19" s="256"/>
      <c r="H19" s="257"/>
      <c r="I19" s="256"/>
      <c r="J19" s="26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1"/>
      <c r="B20" s="42" t="s">
        <v>230</v>
      </c>
      <c r="C20" s="43" t="str">
        <f>IF(C19&gt;100%,"Erreur : corrigez","OK")</f>
        <v>OK</v>
      </c>
      <c r="D20" s="263"/>
      <c r="F20" s="255"/>
      <c r="G20" s="255"/>
      <c r="H20" s="257"/>
      <c r="I20" s="256"/>
      <c r="J20" s="26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58"/>
      <c r="I21" s="269"/>
      <c r="J21" s="261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79" t="s">
        <v>232</v>
      </c>
      <c r="B22" s="279"/>
      <c r="C22" s="100"/>
      <c r="H22" s="242"/>
      <c r="I22" s="262"/>
      <c r="J22" s="262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pans="1:45" x14ac:dyDescent="0.3">
      <c r="A23" s="5"/>
      <c r="B23" s="5"/>
      <c r="C23" s="5"/>
      <c r="H23" s="230"/>
      <c r="I23" s="261"/>
      <c r="J23" s="261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3"/>
      <c r="F24" s="103"/>
      <c r="G24" s="259"/>
      <c r="H24" s="244"/>
      <c r="I24" s="259"/>
      <c r="J24" s="260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4"/>
      <c r="E25" s="5"/>
      <c r="F25" s="104"/>
      <c r="G25" s="260"/>
      <c r="H25" s="244"/>
      <c r="I25" s="260"/>
      <c r="J25" s="26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3"/>
      <c r="F26" s="103"/>
      <c r="G26" s="259"/>
      <c r="I26" s="259"/>
      <c r="J26" s="25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3"/>
      <c r="F27" s="103"/>
      <c r="G27" s="259"/>
      <c r="I27" s="259"/>
      <c r="J27" s="25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61"/>
      <c r="I28" s="261"/>
      <c r="J28" s="26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61"/>
      <c r="I29" s="261"/>
      <c r="J29" s="261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81" t="s">
        <v>227</v>
      </c>
      <c r="B30" s="281"/>
      <c r="D30" s="264"/>
      <c r="H30" s="262"/>
      <c r="I30" s="262"/>
      <c r="J30" s="262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x14ac:dyDescent="0.3">
      <c r="A31" s="5"/>
      <c r="B31" s="5"/>
      <c r="H31" s="261"/>
      <c r="I31" s="261"/>
      <c r="J31" s="261"/>
      <c r="K31" s="26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Cèdre de l'Atlas</v>
      </c>
      <c r="K32" s="26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6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71" t="s">
        <v>186</v>
      </c>
      <c r="D34" s="271"/>
      <c r="E34" s="272" t="s">
        <v>187</v>
      </c>
      <c r="F34" s="273"/>
      <c r="G34" s="273"/>
      <c r="H34" s="274"/>
      <c r="I34" s="105"/>
      <c r="J34" s="26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66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63">
        <v>30</v>
      </c>
      <c r="B36" s="63">
        <v>170</v>
      </c>
      <c r="C36" s="63">
        <v>1</v>
      </c>
      <c r="D36" s="63">
        <v>40</v>
      </c>
      <c r="E36" s="54">
        <v>0</v>
      </c>
      <c r="F36" s="54">
        <v>0.56000000000000005</v>
      </c>
      <c r="G36" s="54">
        <v>0.44</v>
      </c>
      <c r="H36" s="54"/>
      <c r="I36" s="52">
        <f>IFERROR(B36/A36,"")</f>
        <v>5.666666666666667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63">
        <v>40</v>
      </c>
      <c r="B37" s="63">
        <v>230</v>
      </c>
      <c r="C37" s="63">
        <v>2</v>
      </c>
      <c r="D37" s="63">
        <v>40</v>
      </c>
      <c r="E37" s="54">
        <v>0.2</v>
      </c>
      <c r="F37" s="54">
        <f>F36*0.8</f>
        <v>0.44800000000000006</v>
      </c>
      <c r="G37" s="54">
        <f>G36*0.8</f>
        <v>0.35200000000000004</v>
      </c>
      <c r="H37" s="54"/>
      <c r="I37" s="56">
        <f t="shared" ref="I37:I55" si="1">IF(A37&lt;&gt;0,(B37-(B36-D36))/(A37-A36),"")</f>
        <v>10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63">
        <v>50</v>
      </c>
      <c r="B38" s="63">
        <v>290</v>
      </c>
      <c r="C38" s="63">
        <v>3</v>
      </c>
      <c r="D38" s="63">
        <v>30</v>
      </c>
      <c r="E38" s="54">
        <v>0.4</v>
      </c>
      <c r="F38" s="54">
        <f>F36*0.6</f>
        <v>0.33600000000000002</v>
      </c>
      <c r="G38" s="54">
        <f>G36*0.6</f>
        <v>0.26400000000000001</v>
      </c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63">
        <v>60</v>
      </c>
      <c r="B39" s="63">
        <v>360</v>
      </c>
      <c r="C39" s="63">
        <v>4</v>
      </c>
      <c r="D39" s="63">
        <v>30</v>
      </c>
      <c r="E39" s="54">
        <v>0.4</v>
      </c>
      <c r="F39" s="54">
        <v>0.33600000000000002</v>
      </c>
      <c r="G39" s="54">
        <v>0.26400000000000001</v>
      </c>
      <c r="H39" s="54"/>
      <c r="I39" s="52">
        <f t="shared" si="1"/>
        <v>10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63">
        <v>70</v>
      </c>
      <c r="B40" s="63">
        <v>420</v>
      </c>
      <c r="C40" s="63">
        <v>5</v>
      </c>
      <c r="D40" s="63">
        <v>30</v>
      </c>
      <c r="E40" s="54">
        <v>0.6</v>
      </c>
      <c r="F40" s="54">
        <v>0.22400000000000003</v>
      </c>
      <c r="G40" s="54">
        <v>0.17600000000000002</v>
      </c>
      <c r="H40" s="54"/>
      <c r="I40" s="52">
        <f t="shared" si="1"/>
        <v>9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63">
        <v>80</v>
      </c>
      <c r="B41" s="63">
        <v>470</v>
      </c>
      <c r="C41" s="63">
        <v>6</v>
      </c>
      <c r="D41" s="53">
        <v>30</v>
      </c>
      <c r="E41" s="54">
        <v>0.6</v>
      </c>
      <c r="F41" s="54">
        <v>0.22400000000000003</v>
      </c>
      <c r="G41" s="54">
        <v>0.17600000000000002</v>
      </c>
      <c r="H41" s="54"/>
      <c r="I41" s="56">
        <f t="shared" si="1"/>
        <v>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63">
        <v>90</v>
      </c>
      <c r="B42" s="63">
        <v>490</v>
      </c>
      <c r="C42" s="63">
        <v>7</v>
      </c>
      <c r="D42" s="53">
        <v>30</v>
      </c>
      <c r="E42" s="54">
        <v>0.8</v>
      </c>
      <c r="F42" s="54">
        <v>0.11</v>
      </c>
      <c r="G42" s="54">
        <v>0.09</v>
      </c>
      <c r="H42" s="54"/>
      <c r="I42" s="56">
        <f t="shared" si="1"/>
        <v>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63">
        <v>100</v>
      </c>
      <c r="B43" s="63">
        <v>490</v>
      </c>
      <c r="C43" s="63">
        <v>8</v>
      </c>
      <c r="D43" s="63">
        <v>20</v>
      </c>
      <c r="E43" s="54">
        <v>0.8</v>
      </c>
      <c r="F43" s="54">
        <v>0.11</v>
      </c>
      <c r="G43" s="54">
        <v>0.09</v>
      </c>
      <c r="H43" s="54"/>
      <c r="I43" s="52">
        <f t="shared" si="1"/>
        <v>3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63">
        <v>110</v>
      </c>
      <c r="B44" s="63">
        <v>490</v>
      </c>
      <c r="C44" s="63">
        <v>9</v>
      </c>
      <c r="D44" s="63">
        <v>20</v>
      </c>
      <c r="E44" s="54">
        <v>0.8</v>
      </c>
      <c r="F44" s="54">
        <v>0.11</v>
      </c>
      <c r="G44" s="54">
        <v>0.09</v>
      </c>
      <c r="H44" s="54"/>
      <c r="I44" s="52">
        <f t="shared" si="1"/>
        <v>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140</v>
      </c>
      <c r="B45" s="63">
        <v>490</v>
      </c>
      <c r="C45" s="63">
        <v>10</v>
      </c>
      <c r="D45" s="63">
        <v>490</v>
      </c>
      <c r="E45" s="54">
        <v>0.8</v>
      </c>
      <c r="F45" s="54">
        <v>0.11</v>
      </c>
      <c r="G45" s="54">
        <v>0.09</v>
      </c>
      <c r="H45" s="54"/>
      <c r="I45" s="52">
        <f t="shared" si="1"/>
        <v>0.66666666666666663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Douglas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71" t="s">
        <v>186</v>
      </c>
      <c r="D60" s="271"/>
      <c r="E60" s="272" t="s">
        <v>187</v>
      </c>
      <c r="F60" s="273"/>
      <c r="G60" s="273"/>
      <c r="H60" s="274"/>
      <c r="I60" s="105"/>
      <c r="J60" s="26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6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15</v>
      </c>
      <c r="B62" s="63">
        <v>162</v>
      </c>
      <c r="C62" s="63">
        <v>1</v>
      </c>
      <c r="D62" s="63">
        <v>0</v>
      </c>
      <c r="E62" s="54"/>
      <c r="F62" s="54">
        <v>0.56000000000000005</v>
      </c>
      <c r="G62" s="54">
        <v>0.44</v>
      </c>
      <c r="H62" s="54"/>
      <c r="I62" s="56">
        <f>IFERROR(B62/A62,"")</f>
        <v>10.8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20</v>
      </c>
      <c r="B63" s="63">
        <v>162</v>
      </c>
      <c r="C63" s="63">
        <v>1</v>
      </c>
      <c r="D63" s="63">
        <v>0</v>
      </c>
      <c r="E63" s="54"/>
      <c r="F63" s="54">
        <v>0.56000000000000005</v>
      </c>
      <c r="G63" s="54">
        <v>0.44</v>
      </c>
      <c r="H63" s="54"/>
      <c r="I63" s="52">
        <f>IF(A63&lt;&gt;0,(B63-(B62-D62))/(A63-A62),"")</f>
        <v>0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25</v>
      </c>
      <c r="B64" s="63">
        <v>303</v>
      </c>
      <c r="C64" s="63">
        <v>2</v>
      </c>
      <c r="D64" s="63">
        <v>43</v>
      </c>
      <c r="E64" s="54"/>
      <c r="F64" s="54">
        <v>0.56000000000000005</v>
      </c>
      <c r="G64" s="54">
        <v>0.44</v>
      </c>
      <c r="H64" s="54"/>
      <c r="I64" s="52">
        <f>IF(A64&lt;&gt;0,(B64-(B63-D63))/(A64-A63),"")</f>
        <v>28.2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30</v>
      </c>
      <c r="B65" s="63">
        <v>419</v>
      </c>
      <c r="C65" s="63">
        <v>3</v>
      </c>
      <c r="D65" s="63">
        <v>60</v>
      </c>
      <c r="E65" s="54"/>
      <c r="F65" s="54">
        <v>0.56000000000000005</v>
      </c>
      <c r="G65" s="54">
        <v>0.44</v>
      </c>
      <c r="H65" s="54"/>
      <c r="I65" s="52">
        <f>IF(A65&lt;&gt;0,(B65-(B64-D64))/(A65-A64),"")</f>
        <v>31.8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35</v>
      </c>
      <c r="B66" s="63">
        <v>524</v>
      </c>
      <c r="C66" s="63">
        <v>4</v>
      </c>
      <c r="D66" s="63">
        <v>90</v>
      </c>
      <c r="E66" s="54">
        <v>0.2</v>
      </c>
      <c r="F66" s="54">
        <v>0.44800000000000006</v>
      </c>
      <c r="G66" s="54">
        <v>0.35200000000000004</v>
      </c>
      <c r="H66" s="54"/>
      <c r="I66" s="52">
        <f t="shared" ref="I66:I81" si="2">IF(A66&lt;&gt;0,(B66-(B65-D65))/(A66-A65),"")</f>
        <v>33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40</v>
      </c>
      <c r="B67" s="63">
        <v>576</v>
      </c>
      <c r="C67" s="63">
        <v>5</v>
      </c>
      <c r="D67" s="63">
        <v>72</v>
      </c>
      <c r="E67" s="54">
        <v>0.2</v>
      </c>
      <c r="F67" s="54">
        <v>0.44800000000000006</v>
      </c>
      <c r="G67" s="54">
        <v>0.35200000000000004</v>
      </c>
      <c r="H67" s="54"/>
      <c r="I67" s="52">
        <f t="shared" si="2"/>
        <v>28.4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45</v>
      </c>
      <c r="B68" s="63">
        <v>639</v>
      </c>
      <c r="C68" s="63">
        <v>6</v>
      </c>
      <c r="D68" s="63">
        <v>77</v>
      </c>
      <c r="E68" s="54">
        <v>0.4</v>
      </c>
      <c r="F68" s="54">
        <v>0.33600000000000002</v>
      </c>
      <c r="G68" s="54">
        <v>0.26400000000000001</v>
      </c>
      <c r="H68" s="54"/>
      <c r="I68" s="52">
        <f t="shared" si="2"/>
        <v>27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50</v>
      </c>
      <c r="B69" s="63">
        <v>686</v>
      </c>
      <c r="C69" s="63">
        <v>7</v>
      </c>
      <c r="D69" s="63">
        <v>64</v>
      </c>
      <c r="E69" s="54">
        <v>0.4</v>
      </c>
      <c r="F69" s="54">
        <v>0.33600000000000002</v>
      </c>
      <c r="G69" s="54">
        <v>0.26400000000000001</v>
      </c>
      <c r="H69" s="54"/>
      <c r="I69" s="52">
        <f t="shared" si="2"/>
        <v>24.8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55</v>
      </c>
      <c r="B70" s="53">
        <v>724</v>
      </c>
      <c r="C70" s="63">
        <v>8</v>
      </c>
      <c r="D70" s="53">
        <v>62</v>
      </c>
      <c r="E70" s="54">
        <v>0.6</v>
      </c>
      <c r="F70" s="54">
        <v>0.22400000000000003</v>
      </c>
      <c r="G70" s="54">
        <v>0.17600000000000002</v>
      </c>
      <c r="H70" s="54"/>
      <c r="I70" s="52">
        <f t="shared" si="2"/>
        <v>20.399999999999999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60</v>
      </c>
      <c r="B71" s="53">
        <v>739</v>
      </c>
      <c r="C71" s="63">
        <v>9</v>
      </c>
      <c r="D71" s="53">
        <v>46</v>
      </c>
      <c r="E71" s="54">
        <v>0.6</v>
      </c>
      <c r="F71" s="54">
        <v>0.22400000000000003</v>
      </c>
      <c r="G71" s="54">
        <v>0.17600000000000002</v>
      </c>
      <c r="H71" s="54"/>
      <c r="I71" s="52">
        <f t="shared" si="2"/>
        <v>15.4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65</v>
      </c>
      <c r="B72" s="53">
        <v>754</v>
      </c>
      <c r="C72" s="63">
        <v>10</v>
      </c>
      <c r="D72" s="53">
        <v>35</v>
      </c>
      <c r="E72" s="54">
        <v>0.7</v>
      </c>
      <c r="F72" s="54">
        <f>F63*0.3</f>
        <v>0.16800000000000001</v>
      </c>
      <c r="G72" s="54">
        <f>G64*0.3</f>
        <v>0.13200000000000001</v>
      </c>
      <c r="H72" s="54"/>
      <c r="I72" s="52">
        <f t="shared" si="2"/>
        <v>12.2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70</v>
      </c>
      <c r="B73" s="53">
        <v>769</v>
      </c>
      <c r="C73" s="63">
        <v>11</v>
      </c>
      <c r="D73" s="53">
        <v>29</v>
      </c>
      <c r="E73" s="54">
        <v>0.7</v>
      </c>
      <c r="F73" s="54">
        <v>0.16800000000000001</v>
      </c>
      <c r="G73" s="54">
        <v>0.13200000000000001</v>
      </c>
      <c r="H73" s="54"/>
      <c r="I73" s="52">
        <f t="shared" si="2"/>
        <v>10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75</v>
      </c>
      <c r="B74" s="53">
        <v>769</v>
      </c>
      <c r="C74" s="63">
        <v>12</v>
      </c>
      <c r="D74" s="53">
        <v>29</v>
      </c>
      <c r="E74" s="54">
        <v>0.8</v>
      </c>
      <c r="F74" s="54">
        <v>0.11</v>
      </c>
      <c r="G74" s="54">
        <v>0.09</v>
      </c>
      <c r="H74" s="54"/>
      <c r="I74" s="52">
        <f t="shared" si="2"/>
        <v>5.8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80</v>
      </c>
      <c r="B75" s="53">
        <v>769</v>
      </c>
      <c r="C75" s="63">
        <v>13</v>
      </c>
      <c r="D75" s="53">
        <v>769</v>
      </c>
      <c r="E75" s="54">
        <v>0.8</v>
      </c>
      <c r="F75" s="54">
        <v>0.11</v>
      </c>
      <c r="G75" s="54">
        <v>0.09</v>
      </c>
      <c r="H75" s="54"/>
      <c r="I75" s="52">
        <f t="shared" si="2"/>
        <v>5.8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6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71" t="s">
        <v>186</v>
      </c>
      <c r="D86" s="271"/>
      <c r="E86" s="272" t="s">
        <v>187</v>
      </c>
      <c r="F86" s="273"/>
      <c r="G86" s="273"/>
      <c r="H86" s="274"/>
      <c r="I86" s="10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4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4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54"/>
      <c r="F90" s="54"/>
      <c r="G90" s="54"/>
      <c r="H90" s="94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54"/>
      <c r="F91" s="54"/>
      <c r="G91" s="54"/>
      <c r="H91" s="94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54"/>
      <c r="F92" s="54"/>
      <c r="G92" s="54"/>
      <c r="H92" s="94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53"/>
      <c r="C93" s="63"/>
      <c r="D93" s="53"/>
      <c r="E93" s="54"/>
      <c r="F93" s="54"/>
      <c r="G93" s="54"/>
      <c r="H93" s="94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53"/>
      <c r="C94" s="63"/>
      <c r="D94" s="53"/>
      <c r="E94" s="54"/>
      <c r="F94" s="54"/>
      <c r="G94" s="54"/>
      <c r="H94" s="94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4"/>
      <c r="F95" s="94"/>
      <c r="G95" s="94"/>
      <c r="H95" s="94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4"/>
      <c r="F96" s="94"/>
      <c r="G96" s="94"/>
      <c r="H96" s="94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4"/>
      <c r="F97" s="94"/>
      <c r="G97" s="94"/>
      <c r="H97" s="94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4"/>
      <c r="F98" s="94"/>
      <c r="G98" s="94"/>
      <c r="H98" s="9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4"/>
      <c r="F99" s="94"/>
      <c r="G99" s="94"/>
      <c r="H99" s="9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94"/>
      <c r="F100" s="94"/>
      <c r="G100" s="94"/>
      <c r="H100" s="94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94"/>
      <c r="F101" s="94"/>
      <c r="G101" s="94"/>
      <c r="H101" s="94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68"/>
      <c r="F102" s="68"/>
      <c r="G102" s="68"/>
      <c r="H102" s="68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68"/>
      <c r="F103" s="68"/>
      <c r="G103" s="68"/>
      <c r="H103" s="68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63"/>
      <c r="B105" s="53"/>
      <c r="C105" s="6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63"/>
      <c r="B106" s="53"/>
      <c r="C106" s="6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63"/>
      <c r="B107" s="53"/>
      <c r="C107" s="6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71" t="s">
        <v>186</v>
      </c>
      <c r="D112" s="271"/>
      <c r="E112" s="272" t="s">
        <v>187</v>
      </c>
      <c r="F112" s="273"/>
      <c r="G112" s="273"/>
      <c r="H112" s="274"/>
      <c r="I112" s="10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53"/>
      <c r="C114" s="63"/>
      <c r="D114" s="53"/>
      <c r="E114" s="94"/>
      <c r="F114" s="94"/>
      <c r="G114" s="94"/>
      <c r="H114" s="9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53"/>
      <c r="C115" s="63"/>
      <c r="D115" s="53"/>
      <c r="E115" s="94"/>
      <c r="F115" s="94"/>
      <c r="G115" s="94"/>
      <c r="H115" s="9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53"/>
      <c r="C116" s="63"/>
      <c r="D116" s="53"/>
      <c r="E116" s="94"/>
      <c r="F116" s="94"/>
      <c r="G116" s="94"/>
      <c r="H116" s="9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53"/>
      <c r="C117" s="63"/>
      <c r="D117" s="53"/>
      <c r="E117" s="54"/>
      <c r="F117" s="54"/>
      <c r="G117" s="54"/>
      <c r="H117" s="9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53"/>
      <c r="C118" s="63"/>
      <c r="D118" s="53"/>
      <c r="E118" s="54"/>
      <c r="F118" s="54"/>
      <c r="G118" s="54"/>
      <c r="H118" s="9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53"/>
      <c r="C119" s="63"/>
      <c r="D119" s="53"/>
      <c r="E119" s="54"/>
      <c r="F119" s="54"/>
      <c r="G119" s="54"/>
      <c r="H119" s="9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/>
      <c r="B120" s="53"/>
      <c r="C120" s="63"/>
      <c r="D120" s="53"/>
      <c r="E120" s="54"/>
      <c r="F120" s="54"/>
      <c r="G120" s="54"/>
      <c r="H120" s="94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/>
      <c r="B121" s="53"/>
      <c r="C121" s="63"/>
      <c r="D121" s="53"/>
      <c r="E121" s="54"/>
      <c r="F121" s="54"/>
      <c r="G121" s="54"/>
      <c r="H121" s="9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68"/>
      <c r="F122" s="94"/>
      <c r="G122" s="94"/>
      <c r="H122" s="9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4"/>
      <c r="F123" s="94"/>
      <c r="G123" s="94"/>
      <c r="H123" s="9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68"/>
      <c r="F124" s="94"/>
      <c r="G124" s="94"/>
      <c r="H124" s="9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4"/>
      <c r="F125" s="94"/>
      <c r="G125" s="94"/>
      <c r="H125" s="9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94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63"/>
      <c r="B128" s="53"/>
      <c r="C128" s="6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63"/>
      <c r="B129" s="53"/>
      <c r="C129" s="6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63"/>
      <c r="B130" s="53"/>
      <c r="C130" s="6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71" t="s">
        <v>186</v>
      </c>
      <c r="D138" s="271"/>
      <c r="E138" s="272" t="s">
        <v>187</v>
      </c>
      <c r="F138" s="273"/>
      <c r="G138" s="273"/>
      <c r="H138" s="274"/>
      <c r="I138" s="10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63"/>
      <c r="B140" s="63"/>
      <c r="C140" s="63"/>
      <c r="D140" s="63"/>
      <c r="E140" s="94"/>
      <c r="F140" s="94"/>
      <c r="G140" s="94"/>
      <c r="H140" s="9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63"/>
      <c r="B141" s="63"/>
      <c r="C141" s="63"/>
      <c r="D141" s="63"/>
      <c r="E141" s="94"/>
      <c r="F141" s="94"/>
      <c r="G141" s="94"/>
      <c r="H141" s="9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63"/>
      <c r="B142" s="63"/>
      <c r="C142" s="63"/>
      <c r="D142" s="63"/>
      <c r="E142" s="94"/>
      <c r="F142" s="94"/>
      <c r="G142" s="94"/>
      <c r="H142" s="9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63"/>
      <c r="B143" s="63"/>
      <c r="C143" s="63"/>
      <c r="D143" s="63"/>
      <c r="E143" s="94"/>
      <c r="F143" s="94"/>
      <c r="G143" s="94"/>
      <c r="H143" s="9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63"/>
      <c r="B144" s="63"/>
      <c r="C144" s="63"/>
      <c r="D144" s="63"/>
      <c r="E144" s="94"/>
      <c r="F144" s="94"/>
      <c r="G144" s="94"/>
      <c r="H144" s="9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63"/>
      <c r="B145" s="63"/>
      <c r="C145" s="63"/>
      <c r="D145" s="63"/>
      <c r="E145" s="94"/>
      <c r="F145" s="94"/>
      <c r="G145" s="94"/>
      <c r="H145" s="9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63"/>
      <c r="B146" s="63"/>
      <c r="C146" s="63"/>
      <c r="D146" s="63"/>
      <c r="E146" s="68"/>
      <c r="F146" s="94"/>
      <c r="G146" s="94"/>
      <c r="H146" s="9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63"/>
      <c r="B147" s="63"/>
      <c r="C147" s="63"/>
      <c r="D147" s="63"/>
      <c r="E147" s="94"/>
      <c r="F147" s="94"/>
      <c r="G147" s="94"/>
      <c r="H147" s="9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63"/>
      <c r="B148" s="63"/>
      <c r="C148" s="63"/>
      <c r="D148" s="63"/>
      <c r="E148" s="68"/>
      <c r="F148" s="94"/>
      <c r="G148" s="94"/>
      <c r="H148" s="9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63"/>
      <c r="B149" s="63"/>
      <c r="C149" s="63"/>
      <c r="D149" s="63"/>
      <c r="E149" s="94"/>
      <c r="F149" s="94"/>
      <c r="G149" s="94"/>
      <c r="H149" s="9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63"/>
      <c r="B150" s="63"/>
      <c r="C150" s="63"/>
      <c r="D150" s="63"/>
      <c r="E150" s="68"/>
      <c r="F150" s="94"/>
      <c r="G150" s="94"/>
      <c r="H150" s="9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63"/>
      <c r="B151" s="63"/>
      <c r="C151" s="63"/>
      <c r="D151" s="63"/>
      <c r="E151" s="94"/>
      <c r="F151" s="94"/>
      <c r="G151" s="94"/>
      <c r="H151" s="9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63"/>
      <c r="B152" s="63"/>
      <c r="C152" s="63"/>
      <c r="D152" s="63"/>
      <c r="E152" s="68"/>
      <c r="F152" s="68"/>
      <c r="G152" s="68"/>
      <c r="H152" s="94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63"/>
      <c r="B153" s="63"/>
      <c r="C153" s="63"/>
      <c r="D153" s="63"/>
      <c r="E153" s="68"/>
      <c r="F153" s="68"/>
      <c r="G153" s="68"/>
      <c r="H153" s="68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63"/>
      <c r="B154" s="53"/>
      <c r="C154" s="6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63"/>
      <c r="B155" s="53"/>
      <c r="C155" s="6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63"/>
      <c r="B156" s="53"/>
      <c r="C156" s="6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71" t="s">
        <v>186</v>
      </c>
      <c r="D164" s="271"/>
      <c r="E164" s="272" t="s">
        <v>187</v>
      </c>
      <c r="F164" s="273"/>
      <c r="G164" s="273"/>
      <c r="H164" s="274"/>
      <c r="I164" s="10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63"/>
      <c r="B166" s="63"/>
      <c r="C166" s="63"/>
      <c r="D166" s="63"/>
      <c r="E166" s="94"/>
      <c r="F166" s="94"/>
      <c r="G166" s="94"/>
      <c r="H166" s="9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63"/>
      <c r="B167" s="63"/>
      <c r="C167" s="63"/>
      <c r="D167" s="63"/>
      <c r="E167" s="94"/>
      <c r="F167" s="94"/>
      <c r="G167" s="94"/>
      <c r="H167" s="9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63"/>
      <c r="B168" s="63"/>
      <c r="C168" s="63"/>
      <c r="D168" s="63"/>
      <c r="E168" s="94"/>
      <c r="F168" s="94"/>
      <c r="G168" s="94"/>
      <c r="H168" s="9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63"/>
      <c r="B169" s="63"/>
      <c r="C169" s="63"/>
      <c r="D169" s="63"/>
      <c r="E169" s="94"/>
      <c r="F169" s="94"/>
      <c r="G169" s="94"/>
      <c r="H169" s="9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63"/>
      <c r="B170" s="63"/>
      <c r="C170" s="63"/>
      <c r="D170" s="63"/>
      <c r="E170" s="94"/>
      <c r="F170" s="94"/>
      <c r="G170" s="94"/>
      <c r="H170" s="9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63"/>
      <c r="B171" s="63"/>
      <c r="C171" s="63"/>
      <c r="D171" s="63"/>
      <c r="E171" s="94"/>
      <c r="F171" s="94"/>
      <c r="G171" s="94"/>
      <c r="H171" s="9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63"/>
      <c r="B172" s="63"/>
      <c r="C172" s="63"/>
      <c r="D172" s="63"/>
      <c r="E172" s="68"/>
      <c r="F172" s="94"/>
      <c r="G172" s="94"/>
      <c r="H172" s="9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63"/>
      <c r="B173" s="63"/>
      <c r="C173" s="63"/>
      <c r="D173" s="63"/>
      <c r="E173" s="94"/>
      <c r="F173" s="94"/>
      <c r="G173" s="94"/>
      <c r="H173" s="9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63"/>
      <c r="B174" s="63"/>
      <c r="C174" s="63"/>
      <c r="D174" s="63"/>
      <c r="E174" s="68"/>
      <c r="F174" s="94"/>
      <c r="G174" s="94"/>
      <c r="H174" s="9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63"/>
      <c r="B175" s="63"/>
      <c r="C175" s="63"/>
      <c r="D175" s="63"/>
      <c r="E175" s="94"/>
      <c r="F175" s="94"/>
      <c r="G175" s="94"/>
      <c r="H175" s="9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63"/>
      <c r="B176" s="63"/>
      <c r="C176" s="63"/>
      <c r="D176" s="63"/>
      <c r="E176" s="68"/>
      <c r="F176" s="94"/>
      <c r="G176" s="94"/>
      <c r="H176" s="9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63"/>
      <c r="B177" s="63"/>
      <c r="C177" s="63"/>
      <c r="D177" s="63"/>
      <c r="E177" s="94"/>
      <c r="F177" s="94"/>
      <c r="G177" s="94"/>
      <c r="H177" s="9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63"/>
      <c r="B178" s="63"/>
      <c r="C178" s="63"/>
      <c r="D178" s="63"/>
      <c r="E178" s="68"/>
      <c r="F178" s="68"/>
      <c r="G178" s="68"/>
      <c r="H178" s="9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63"/>
      <c r="B179" s="53"/>
      <c r="C179" s="63"/>
      <c r="D179" s="63"/>
      <c r="E179" s="57"/>
      <c r="F179" s="57"/>
      <c r="G179" s="57"/>
      <c r="H179" s="57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63"/>
      <c r="B180" s="53"/>
      <c r="C180" s="63"/>
      <c r="D180" s="63"/>
      <c r="E180" s="57"/>
      <c r="F180" s="57"/>
      <c r="G180" s="57"/>
      <c r="H180" s="57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63"/>
      <c r="B181" s="53"/>
      <c r="C181" s="63"/>
      <c r="D181" s="53"/>
      <c r="E181" s="57"/>
      <c r="F181" s="57"/>
      <c r="G181" s="57"/>
      <c r="H181" s="57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63"/>
      <c r="B182" s="53"/>
      <c r="C182" s="63"/>
      <c r="D182" s="53"/>
      <c r="E182" s="57"/>
      <c r="F182" s="57"/>
      <c r="G182" s="57"/>
      <c r="H182" s="57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71" t="s">
        <v>186</v>
      </c>
      <c r="D190" s="271"/>
      <c r="E190" s="272" t="s">
        <v>187</v>
      </c>
      <c r="F190" s="273"/>
      <c r="G190" s="273"/>
      <c r="H190" s="274"/>
      <c r="I190" s="10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71" t="s">
        <v>186</v>
      </c>
      <c r="D216" s="271"/>
      <c r="E216" s="272" t="s">
        <v>187</v>
      </c>
      <c r="F216" s="273"/>
      <c r="G216" s="273"/>
      <c r="H216" s="274"/>
      <c r="I216" s="10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71" t="s">
        <v>186</v>
      </c>
      <c r="D242" s="271"/>
      <c r="E242" s="272" t="s">
        <v>187</v>
      </c>
      <c r="F242" s="273"/>
      <c r="G242" s="273"/>
      <c r="H242" s="274"/>
      <c r="I242" s="10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58"/>
      <c r="D244" s="58"/>
      <c r="E244" s="66"/>
      <c r="F244" s="66"/>
      <c r="G244" s="66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71" t="s">
        <v>186</v>
      </c>
      <c r="D268" s="271"/>
      <c r="E268" s="272" t="s">
        <v>187</v>
      </c>
      <c r="F268" s="273"/>
      <c r="G268" s="273"/>
      <c r="H268" s="274"/>
      <c r="I268" s="10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53"/>
      <c r="C270" s="53"/>
      <c r="D270" s="5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53"/>
      <c r="C271" s="53"/>
      <c r="D271" s="5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53"/>
      <c r="C272" s="53"/>
      <c r="D272" s="5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53"/>
      <c r="C273" s="53"/>
      <c r="D273" s="5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53"/>
      <c r="C274" s="53"/>
      <c r="D274" s="5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0vR/ItYTgB1fcMl7Lq5IzSneJmj6usEjmnNbQkd5TZPWE4tYJrrlx/mDwIRXIqFquXsTisTOzm+Xq5jhbhAQ/g==" saltValue="IcRi5emByQj2CJ3t//ZvmA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F15" sqref="F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7"/>
      <c r="K1" s="10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286" t="s">
        <v>191</v>
      </c>
      <c r="C2" s="287"/>
      <c r="D2" s="287"/>
      <c r="E2" s="287"/>
      <c r="F2" s="287"/>
      <c r="G2" s="28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285"/>
      <c r="C4" s="285"/>
      <c r="D4" s="285"/>
      <c r="E4" s="285"/>
      <c r="F4" s="285"/>
      <c r="G4" s="28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8" t="s">
        <v>301</v>
      </c>
      <c r="C5" s="108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51"/>
      <c r="C6" s="251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9"/>
      <c r="B7" s="29" t="s">
        <v>300</v>
      </c>
      <c r="C7" s="110" t="s">
        <v>214</v>
      </c>
      <c r="D7" s="249"/>
      <c r="E7" s="111"/>
      <c r="F7" s="29" t="s">
        <v>300</v>
      </c>
      <c r="G7" s="110" t="s">
        <v>215</v>
      </c>
      <c r="H7" s="250"/>
      <c r="I7" s="250"/>
      <c r="J7" s="250"/>
      <c r="K7" s="25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</row>
    <row r="8" spans="1:38" ht="17.25" customHeight="1" x14ac:dyDescent="0.3">
      <c r="A8" s="115">
        <v>1</v>
      </c>
      <c r="B8" s="64">
        <v>1</v>
      </c>
      <c r="C8" s="52" t="s">
        <v>177</v>
      </c>
      <c r="D8" s="25"/>
      <c r="E8" s="115">
        <v>4</v>
      </c>
      <c r="F8" s="64">
        <v>0</v>
      </c>
      <c r="G8" s="112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5">
        <v>2</v>
      </c>
      <c r="B9" s="64">
        <v>0</v>
      </c>
      <c r="C9" s="118" t="s">
        <v>216</v>
      </c>
      <c r="D9" s="25"/>
      <c r="E9" s="115">
        <v>5</v>
      </c>
      <c r="F9" s="64">
        <v>0</v>
      </c>
      <c r="G9" s="113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5">
        <v>3</v>
      </c>
      <c r="B10" s="64">
        <v>0</v>
      </c>
      <c r="C10" s="119" t="s">
        <v>217</v>
      </c>
      <c r="D10" s="25"/>
      <c r="E10" s="5"/>
      <c r="F10" s="116">
        <f>SUM(F7:F9)</f>
        <v>0</v>
      </c>
      <c r="G10" s="114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6">
        <v>0</v>
      </c>
      <c r="C11" s="114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50"/>
      <c r="B13" s="117"/>
      <c r="C13" s="108" t="s">
        <v>274</v>
      </c>
      <c r="D13" s="250"/>
      <c r="E13" s="109"/>
      <c r="F13" s="117"/>
      <c r="G13" s="108" t="s">
        <v>307</v>
      </c>
      <c r="H13" s="250"/>
      <c r="I13" s="250"/>
      <c r="J13" s="250"/>
      <c r="K13" s="250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</row>
    <row r="14" spans="1:38" s="4" customFormat="1" ht="21" customHeight="1" x14ac:dyDescent="0.3">
      <c r="A14" s="250"/>
      <c r="B14" s="117"/>
      <c r="C14" s="108" t="s">
        <v>306</v>
      </c>
      <c r="D14" s="250"/>
      <c r="E14" s="109"/>
      <c r="F14" s="117"/>
      <c r="G14" s="108" t="s">
        <v>299</v>
      </c>
      <c r="H14" s="250"/>
      <c r="I14" s="250"/>
      <c r="J14" s="250"/>
      <c r="K14" s="250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</row>
    <row r="15" spans="1:38" x14ac:dyDescent="0.3">
      <c r="A15" s="25"/>
      <c r="B15" s="29" t="s">
        <v>300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20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20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20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6">
        <f>SUM(B16:B18)</f>
        <v>1</v>
      </c>
      <c r="C19" s="114" t="str">
        <f>IF(SUM(B16:B18)=B8,"OK","ERREUR : corrigez ; le total n'est pas égal à celui de la cellule A8")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100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10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O+4SOX10rzZgfp5GaCnEsrI5deuBv952lnLFIqn6tLHYaerLyRUW9fgoLqxvGPs6Yj91WOqd6Nc9aEOdh6kHkA==" saltValue="ae6eRUeZYd5WtUV5EWPfQ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BV1" zoomScaleNormal="100" workbookViewId="0">
      <selection activeCell="CC4" sqref="CC4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292" t="s">
        <v>176</v>
      </c>
      <c r="C1" s="293"/>
      <c r="D1" s="293"/>
      <c r="E1" s="293"/>
      <c r="F1" s="293"/>
      <c r="G1" s="293"/>
      <c r="H1" s="294"/>
      <c r="I1" s="289" t="str">
        <f>IF('Données projet'!$B$9="","",'Données projet'!$B$9)</f>
        <v>Cèdre de l'Atlas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1"/>
      <c r="AD1" s="290" t="str">
        <f>IF('Données projet'!$B$10="","",'Données projet'!$B$10)</f>
        <v>Douglas</v>
      </c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1"/>
      <c r="AY1" s="289" t="str">
        <f>IF('Données projet'!$B$11="","",'Données projet'!$B$11)</f>
        <v/>
      </c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1"/>
      <c r="BT1" s="289" t="str">
        <f>IF('Données projet'!$B$12="","",'Données projet'!$B$12)</f>
        <v/>
      </c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1"/>
      <c r="CO1" s="289" t="str">
        <f>IF('Données projet'!$B$13="","",'Données projet'!$B$13)</f>
        <v/>
      </c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1"/>
      <c r="DJ1" s="289" t="str">
        <f>IF('Données projet'!$B$14="","",'Données projet'!$B$14)</f>
        <v/>
      </c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1"/>
      <c r="EE1" s="289" t="str">
        <f>IF('Données projet'!$B$15="","",'Données projet'!$B$15)</f>
        <v/>
      </c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1"/>
      <c r="EZ1" s="289" t="str">
        <f>IF('Données projet'!$B$16="","",'Données projet'!$B$16)</f>
        <v/>
      </c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1"/>
      <c r="FU1" s="289" t="str">
        <f>IF('Données projet'!$B$17="","",'Données projet'!$B$17)</f>
        <v/>
      </c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1"/>
      <c r="GP1" s="289" t="str">
        <f>IF('Données projet'!$B$18="","",'Données projet'!$B$18)</f>
        <v/>
      </c>
      <c r="GQ1" s="290"/>
      <c r="GR1" s="290"/>
      <c r="GS1" s="290"/>
      <c r="GT1" s="290"/>
      <c r="GU1" s="290"/>
      <c r="GV1" s="290"/>
      <c r="GW1" s="290"/>
      <c r="GX1" s="290"/>
      <c r="GY1" s="290"/>
      <c r="GZ1" s="290"/>
      <c r="HA1" s="290"/>
      <c r="HB1" s="290"/>
      <c r="HC1" s="290"/>
      <c r="HD1" s="290"/>
      <c r="HE1" s="290"/>
      <c r="HF1" s="290"/>
      <c r="HG1" s="290"/>
      <c r="HH1" s="290"/>
      <c r="HI1" s="290"/>
      <c r="HJ1" s="291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316.04959780858269</v>
      </c>
      <c r="T3" s="62">
        <f>IF('Données projet'!E9&gt;30,$R$33-$H$33,LOOKUP('Données projet'!$E$9,$A$3:$A$203,R3:R203)-LOOKUP('Données projet'!$E$9,$A$3:$A$203,$H$3:$H$203))</f>
        <v>213.60182977243113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583.31979399672844</v>
      </c>
      <c r="AO3" s="62">
        <f>IF('Données projet'!E10&gt;30,$AM$33-$H$33,LOOKUP('Données projet'!$E$10,$A$3:$A$203,AM3:AM203)-LOOKUP('Données projet'!$E$10,$A$3:$A$203,$H$3:$H$203))</f>
        <v>544.21514138474731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projet'!$B$11,Paramètres!$A$1:$I$88,3,0)*VLOOKUP('Données projet'!$B$11,Paramètres!$A$1:$I$88,5,0)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5.666666666666667</v>
      </c>
      <c r="N4" s="14">
        <f>IF('Données projet'!$A$36&gt;35,N3+M4-V3,IF(A4&lt;'Données projet'!$A$36,$K$205^A4,IF(A4='Données projet'!$A$36,'Données projet'!$B$36,N3+M4-V3)))</f>
        <v>1.1867200975826817</v>
      </c>
      <c r="O4" s="14">
        <f>N4*VLOOKUP('Données projet'!$B$9,Paramètres!$A$1:$I$88,3,0)*VLOOKUP('Données projet'!$B$9,Paramètres!$A$1:$I$88,5,0)</f>
        <v>0.55538500566869509</v>
      </c>
      <c r="P4" s="14">
        <f>EXP(-1.0587+0.8836*LN(O4)+0.284)</f>
        <v>0.27407880760927583</v>
      </c>
      <c r="Q4" s="22">
        <f t="shared" ref="Q4:Q34" si="2">(O4+P4)*0.475*44/12</f>
        <v>1.4446494747924661</v>
      </c>
      <c r="R4" s="62">
        <f t="shared" si="0"/>
        <v>259.33353836368133</v>
      </c>
      <c r="S4" s="62">
        <f ca="1">AVERAGE(OFFSET($R$3,0,0,'Données projet'!$E$9+1,1))-AVERAGE(OFFSET($H$3,0,0,'Données projet'!$E$9+1,1))</f>
        <v>316.04959780858269</v>
      </c>
      <c r="T4" s="62">
        <f>$T$3</f>
        <v>213.60182977243113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10.8</v>
      </c>
      <c r="AI4" s="14">
        <f>IF('Données projet'!$A$62&gt;35,AI3+AH4-AQ3,IF(A4&lt;'Données projet'!$A$62,$AF$205^A4,IF(A4='Données projet'!$A$62,'Données projet'!$B$62,AI3+AH4-AQ3)))</f>
        <v>1.4037863041747067</v>
      </c>
      <c r="AJ4" s="14">
        <f>AI4*VLOOKUP('Données projet'!$B$10,Paramètres!$A$1:$I$88,3,0)*VLOOKUP('Données projet'!$B$10,Paramètres!$A$1:$I$88,5,0)</f>
        <v>0.78471654403366109</v>
      </c>
      <c r="AK4" s="14">
        <f>EXP(-1.0587+0.8836*LN(AJ4)+0.284)</f>
        <v>0.37198061042729702</v>
      </c>
      <c r="AL4" s="22">
        <f t="shared" ref="AL4:AL67" si="4">(AJ4+AK4)*0.475*44/12</f>
        <v>2.0145808773528358</v>
      </c>
      <c r="AM4" s="62">
        <f t="shared" ref="AM4:AM67" si="5">AL4+(AD4+AE4)*44/12</f>
        <v>259.9034697662417</v>
      </c>
      <c r="AN4" s="62">
        <f ca="1">AVERAGE(OFFSET($AM$3,0,0,'Données projet'!$E$10+1,1))-AVERAGE(OFFSET($H$3,0,0,'Données projet'!$E$10+1,1))</f>
        <v>583.31979399672844</v>
      </c>
      <c r="AO4" s="62">
        <f>$AO$3</f>
        <v>544.21514138474731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projet'!$B$11,Paramètres!$A$1:$I$88,3,0)*VLOOKUP('Données projet'!$B$11,Paramètres!$A$1:$I$88,5,0)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projet'!$B$11,Paramètres!$A$1:$I$88,3,0)*0.475*44/12</f>
        <v>#N/A</v>
      </c>
      <c r="BQ4" s="23" t="e">
        <f>EXP(-LN(2)/25)*BQ3+(1-EXP(-LN(2)/25))/(LN(2)/25)*Calculateur!BL4*Calculateur!BN4*VLOOKUP('Données projet'!$B$11,Paramètres!$A$1:$I$88,3,0)*0.475*44/12</f>
        <v>#N/A</v>
      </c>
      <c r="BR4" s="23" t="e">
        <f>EXP(-LN(2)/2)*BR3+(1-EXP(-LN(2)/2))/(LN(2)/2)*BL4*BO4*VLOOKUP('Données projet'!$B$11,Paramètres!$A$1:$I$88,3,0)*0.475*44/12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projet'!$B$12,Paramètres!$A$1:$I$88,3,0)*0.475*44/12</f>
        <v>#N/A</v>
      </c>
      <c r="CL4" s="23" t="e">
        <f>EXP(-LN(2)/25)*CL3+(1-EXP(-LN(2)/25))/(LN(2)/25)*Calculateur!CG4*Calculateur!CI4*VLOOKUP('Données projet'!$B$12,Paramètres!$A$1:$I$88,3,0)*0.475*44/12</f>
        <v>#N/A</v>
      </c>
      <c r="CM4" s="23" t="e">
        <f>EXP(-LN(2)/2)*CM3+(1-EXP(-LN(2)/2))/(LN(2)/2)*CG4*CJ4*VLOOKUP('Données projet'!$B$12,Paramètres!$A$1:$I$88,3,0)*0.475*44/12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5.666666666666667</v>
      </c>
      <c r="N5" s="14">
        <f>IF('Données projet'!$A$36&gt;35,N4+M5-V4,IF(A5&lt;'Données projet'!$A$36,$K$205^A5,IF(A5='Données projet'!$A$36,'Données projet'!$B$36,N4+M5-V4)))</f>
        <v>1.4083045900066495</v>
      </c>
      <c r="O5" s="14">
        <f>N5*VLOOKUP('Données projet'!$B$9,Paramètres!$A$1:$I$88,3,0)*VLOOKUP('Données projet'!$B$9,Paramètres!$A$1:$I$88,5,0)</f>
        <v>0.65908654812311196</v>
      </c>
      <c r="P5" s="14">
        <f t="shared" ref="P5:P68" si="33">EXP(-1.0587+0.8836*LN(O5)+0.284)</f>
        <v>0.31883765901680755</v>
      </c>
      <c r="Q5" s="22">
        <f t="shared" si="2"/>
        <v>1.7032179941020262</v>
      </c>
      <c r="R5" s="62">
        <f t="shared" si="0"/>
        <v>260.81432910521318</v>
      </c>
      <c r="S5" s="62">
        <f ca="1">AVERAGE(OFFSET($R$3,0,0,'Données projet'!$E$9+1,1))-AVERAGE(OFFSET($H$3,0,0,'Données projet'!$E$9+1,1))</f>
        <v>316.04959780858269</v>
      </c>
      <c r="T5" s="62">
        <f t="shared" ref="T5:T68" si="34">$T$3</f>
        <v>213.60182977243113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10.8</v>
      </c>
      <c r="AI5" s="14">
        <f>IF('Données projet'!$A$62&gt;35,AI4+AH5-AQ4,IF(A5&lt;'Données projet'!$A$62,$AF$205^A5,IF(A5='Données projet'!$A$62,'Données projet'!$B$62,AI4+AH5-AQ4)))</f>
        <v>1.9706159877884823</v>
      </c>
      <c r="AJ5" s="14">
        <f>AI5*VLOOKUP('Données projet'!$B$10,Paramètres!$A$1:$I$88,3,0)*VLOOKUP('Données projet'!$B$10,Paramètres!$A$1:$I$88,5,0)</f>
        <v>1.1015743371737616</v>
      </c>
      <c r="AK5" s="14">
        <f t="shared" ref="AK5:AK68" si="35">EXP(-1.0587+0.8836*LN(AJ5)+0.284)</f>
        <v>0.50196734705126034</v>
      </c>
      <c r="AL5" s="22">
        <f t="shared" si="4"/>
        <v>2.7928351000252465</v>
      </c>
      <c r="AM5" s="62">
        <f t="shared" si="5"/>
        <v>261.90394621113637</v>
      </c>
      <c r="AN5" s="62">
        <f ca="1">AVERAGE(OFFSET($AM$3,0,0,'Données projet'!$E$10+1,1))-AVERAGE(OFFSET($H$3,0,0,'Données projet'!$E$10+1,1))</f>
        <v>583.31979399672844</v>
      </c>
      <c r="AO5" s="62">
        <f t="shared" ref="AO5:AO68" si="36">$AO$3</f>
        <v>544.21514138474731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projet'!$B$11,Paramètres!$A$1:$I$88,3,0)*VLOOKUP('Données projet'!$B$11,Paramètres!$A$1:$I$88,5,0)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projet'!$B$11,Paramètres!$A$1:$I$88,3,0)*0.475*44/12</f>
        <v>#N/A</v>
      </c>
      <c r="BQ5" s="23" t="e">
        <f>EXP(-LN(2)/25)*BQ4+(1-EXP(-LN(2)/25))/(LN(2)/25)*Calculateur!BL5*Calculateur!BN5*VLOOKUP('Données projet'!$B$11,Paramètres!$A$1:$I$88,3,0)*0.475*44/12</f>
        <v>#N/A</v>
      </c>
      <c r="BR5" s="23" t="e">
        <f>EXP(-LN(2)/2)*BR4+(1-EXP(-LN(2)/2))/(LN(2)/2)*BL5*BO5*VLOOKUP('Données projet'!$B$11,Paramètres!$A$1:$I$88,3,0)*0.475*44/12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projet'!$B$12,Paramètres!$A$1:$I$88,3,0)*0.475*44/12</f>
        <v>#N/A</v>
      </c>
      <c r="CL5" s="23" t="e">
        <f>EXP(-LN(2)/25)*CL4+(1-EXP(-LN(2)/25))/(LN(2)/25)*Calculateur!CG5*Calculateur!CI5*VLOOKUP('Données projet'!$B$12,Paramètres!$A$1:$I$88,3,0)*0.475*44/12</f>
        <v>#N/A</v>
      </c>
      <c r="CM5" s="23" t="e">
        <f>EXP(-LN(2)/2)*CM4+(1-EXP(-LN(2)/2))/(LN(2)/2)*CG5*CJ5*VLOOKUP('Données projet'!$B$12,Paramètres!$A$1:$I$88,3,0)*0.475*44/12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5.666666666666667</v>
      </c>
      <c r="N6" s="14">
        <f>IF('Données projet'!$A$36&gt;35,N5+M6-V5,IF(A6&lt;'Données projet'!$A$36,$K$205^A6,IF(A6='Données projet'!$A$36,'Données projet'!$B$36,N5+M6-V5)))</f>
        <v>1.6712633604788296</v>
      </c>
      <c r="O6" s="14">
        <f>N6*VLOOKUP('Données projet'!$B$9,Paramètres!$A$1:$I$88,3,0)*VLOOKUP('Données projet'!$B$9,Paramètres!$A$1:$I$88,5,0)</f>
        <v>0.78215125270409225</v>
      </c>
      <c r="P6" s="14">
        <f t="shared" si="33"/>
        <v>0.37090592189177923</v>
      </c>
      <c r="Q6" s="22">
        <f t="shared" si="2"/>
        <v>2.0082412457544763</v>
      </c>
      <c r="R6" s="62">
        <f t="shared" si="0"/>
        <v>262.34157457908782</v>
      </c>
      <c r="S6" s="62">
        <f ca="1">AVERAGE(OFFSET($R$3,0,0,'Données projet'!$E$9+1,1))-AVERAGE(OFFSET($H$3,0,0,'Données projet'!$E$9+1,1))</f>
        <v>316.04959780858269</v>
      </c>
      <c r="T6" s="62">
        <f t="shared" si="34"/>
        <v>213.60182977243113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10.8</v>
      </c>
      <c r="AI6" s="14">
        <f>IF('Données projet'!$A$62&gt;35,AI5+AH6-AQ5,IF(A6&lt;'Données projet'!$A$62,$AF$205^A6,IF(A6='Données projet'!$A$62,'Données projet'!$B$62,AI5+AH6-AQ5)))</f>
        <v>2.7663237344451828</v>
      </c>
      <c r="AJ6" s="14">
        <f>AI6*VLOOKUP('Données projet'!$B$10,Paramètres!$A$1:$I$88,3,0)*VLOOKUP('Données projet'!$B$10,Paramètres!$A$1:$I$88,5,0)</f>
        <v>1.5463749675548573</v>
      </c>
      <c r="AK6" s="14">
        <f t="shared" si="35"/>
        <v>0.6773772891448272</v>
      </c>
      <c r="AL6" s="22">
        <f t="shared" si="4"/>
        <v>3.8730351804186167</v>
      </c>
      <c r="AM6" s="62">
        <f t="shared" si="5"/>
        <v>264.20636851375195</v>
      </c>
      <c r="AN6" s="62">
        <f ca="1">AVERAGE(OFFSET($AM$3,0,0,'Données projet'!$E$10+1,1))-AVERAGE(OFFSET($H$3,0,0,'Données projet'!$E$10+1,1))</f>
        <v>583.31979399672844</v>
      </c>
      <c r="AO6" s="62">
        <f t="shared" si="36"/>
        <v>544.21514138474731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projet'!$B$11,Paramètres!$A$1:$I$88,3,0)*VLOOKUP('Données projet'!$B$11,Paramètres!$A$1:$I$88,5,0)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projet'!$B$11,Paramètres!$A$1:$I$88,3,0)*0.475*44/12</f>
        <v>#N/A</v>
      </c>
      <c r="BQ6" s="23" t="e">
        <f>EXP(-LN(2)/25)*BQ5+(1-EXP(-LN(2)/25))/(LN(2)/25)*Calculateur!BL6*Calculateur!BN6*VLOOKUP('Données projet'!$B$11,Paramètres!$A$1:$I$88,3,0)*0.475*44/12</f>
        <v>#N/A</v>
      </c>
      <c r="BR6" s="23" t="e">
        <f>EXP(-LN(2)/2)*BR5+(1-EXP(-LN(2)/2))/(LN(2)/2)*BL6*BO6*VLOOKUP('Données projet'!$B$11,Paramètres!$A$1:$I$88,3,0)*0.475*44/12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projet'!$B$12,Paramètres!$A$1:$I$88,3,0)*0.475*44/12</f>
        <v>#N/A</v>
      </c>
      <c r="CL6" s="23" t="e">
        <f>EXP(-LN(2)/25)*CL5+(1-EXP(-LN(2)/25))/(LN(2)/25)*Calculateur!CG6*Calculateur!CI6*VLOOKUP('Données projet'!$B$12,Paramètres!$A$1:$I$88,3,0)*0.475*44/12</f>
        <v>#N/A</v>
      </c>
      <c r="CM6" s="23" t="e">
        <f>EXP(-LN(2)/2)*CM5+(1-EXP(-LN(2)/2))/(LN(2)/2)*CG6*CJ6*VLOOKUP('Données projet'!$B$12,Paramètres!$A$1:$I$88,3,0)*0.475*44/12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5.666666666666667</v>
      </c>
      <c r="N7" s="14">
        <f>IF('Données projet'!$A$36&gt;35,N6+M7-V6,IF(A7&lt;'Données projet'!$A$36,$K$205^A7,IF(A7='Données projet'!$A$36,'Données projet'!$B$36,N6+M7-V6)))</f>
        <v>1.9833218182337973</v>
      </c>
      <c r="O7" s="14">
        <f>N7*VLOOKUP('Données projet'!$B$9,Paramètres!$A$1:$I$88,3,0)*VLOOKUP('Données projet'!$B$9,Paramètres!$A$1:$I$88,5,0)</f>
        <v>0.92819461093341715</v>
      </c>
      <c r="P7" s="14">
        <f t="shared" si="33"/>
        <v>0.43147727065433811</v>
      </c>
      <c r="Q7" s="22">
        <f t="shared" si="2"/>
        <v>2.3680951937653405</v>
      </c>
      <c r="R7" s="62">
        <f t="shared" si="0"/>
        <v>263.92365074932087</v>
      </c>
      <c r="S7" s="62">
        <f ca="1">AVERAGE(OFFSET($R$3,0,0,'Données projet'!$E$9+1,1))-AVERAGE(OFFSET($H$3,0,0,'Données projet'!$E$9+1,1))</f>
        <v>316.04959780858269</v>
      </c>
      <c r="T7" s="62">
        <f t="shared" si="34"/>
        <v>213.60182977243113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10.8</v>
      </c>
      <c r="AI7" s="14">
        <f>IF('Données projet'!$A$62&gt;35,AI6+AH7-AQ6,IF(A7&lt;'Données projet'!$A$62,$AF$205^A7,IF(A7='Données projet'!$A$62,'Données projet'!$B$62,AI6+AH7-AQ6)))</f>
        <v>3.8833273713275762</v>
      </c>
      <c r="AJ7" s="14">
        <f>AI7*VLOOKUP('Données projet'!$B$10,Paramètres!$A$1:$I$88,3,0)*VLOOKUP('Données projet'!$B$10,Paramètres!$A$1:$I$88,5,0)</f>
        <v>2.170780000572115</v>
      </c>
      <c r="AK7" s="14">
        <f t="shared" si="35"/>
        <v>0.91408334535022773</v>
      </c>
      <c r="AL7" s="22">
        <f t="shared" si="4"/>
        <v>5.3728036608147471</v>
      </c>
      <c r="AM7" s="62">
        <f t="shared" si="5"/>
        <v>266.92835921637027</v>
      </c>
      <c r="AN7" s="62">
        <f ca="1">AVERAGE(OFFSET($AM$3,0,0,'Données projet'!$E$10+1,1))-AVERAGE(OFFSET($H$3,0,0,'Données projet'!$E$10+1,1))</f>
        <v>583.31979399672844</v>
      </c>
      <c r="AO7" s="62">
        <f t="shared" si="36"/>
        <v>544.21514138474731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projet'!$B$11,Paramètres!$A$1:$I$88,3,0)*VLOOKUP('Données projet'!$B$11,Paramètres!$A$1:$I$88,5,0)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projet'!$B$11,Paramètres!$A$1:$I$88,3,0)*0.475*44/12</f>
        <v>#N/A</v>
      </c>
      <c r="BQ7" s="23" t="e">
        <f>EXP(-LN(2)/25)*BQ6+(1-EXP(-LN(2)/25))/(LN(2)/25)*Calculateur!BL7*Calculateur!BN7*VLOOKUP('Données projet'!$B$11,Paramètres!$A$1:$I$88,3,0)*0.475*44/12</f>
        <v>#N/A</v>
      </c>
      <c r="BR7" s="23" t="e">
        <f>EXP(-LN(2)/2)*BR6+(1-EXP(-LN(2)/2))/(LN(2)/2)*BL7*BO7*VLOOKUP('Données projet'!$B$11,Paramètres!$A$1:$I$88,3,0)*0.475*44/12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projet'!$B$12,Paramètres!$A$1:$I$88,3,0)*0.475*44/12</f>
        <v>#N/A</v>
      </c>
      <c r="CL7" s="23" t="e">
        <f>EXP(-LN(2)/25)*CL6+(1-EXP(-LN(2)/25))/(LN(2)/25)*Calculateur!CG7*Calculateur!CI7*VLOOKUP('Données projet'!$B$12,Paramètres!$A$1:$I$88,3,0)*0.475*44/12</f>
        <v>#N/A</v>
      </c>
      <c r="CM7" s="23" t="e">
        <f>EXP(-LN(2)/2)*CM6+(1-EXP(-LN(2)/2))/(LN(2)/2)*CG7*CJ7*VLOOKUP('Données projet'!$B$12,Paramètres!$A$1:$I$88,3,0)*0.475*44/12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5.666666666666667</v>
      </c>
      <c r="N8" s="14">
        <f>IF('Données projet'!$A$36&gt;35,N7+M8-V7,IF(A8&lt;'Données projet'!$A$36,$K$205^A8,IF(A8='Données projet'!$A$36,'Données projet'!$B$36,N7+M8-V7)))</f>
        <v>2.3536478616722736</v>
      </c>
      <c r="O8" s="14">
        <f>N8*VLOOKUP('Données projet'!$B$9,Paramètres!$A$1:$I$88,3,0)*VLOOKUP('Données projet'!$B$9,Paramètres!$A$1:$I$88,5,0)</f>
        <v>1.101507199262624</v>
      </c>
      <c r="P8" s="14">
        <f t="shared" si="33"/>
        <v>0.50194031451899346</v>
      </c>
      <c r="Q8" s="22">
        <f t="shared" si="2"/>
        <v>2.7926710865029833</v>
      </c>
      <c r="R8" s="62">
        <f t="shared" si="0"/>
        <v>265.57044886428076</v>
      </c>
      <c r="S8" s="62">
        <f ca="1">AVERAGE(OFFSET($R$3,0,0,'Données projet'!$E$9+1,1))-AVERAGE(OFFSET($H$3,0,0,'Données projet'!$E$9+1,1))</f>
        <v>316.04959780858269</v>
      </c>
      <c r="T8" s="62">
        <f t="shared" si="34"/>
        <v>213.60182977243113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10.8</v>
      </c>
      <c r="AI8" s="14">
        <f>IF('Données projet'!$A$62&gt;35,AI7+AH8-AQ7,IF(A8&lt;'Données projet'!$A$62,$AF$205^A8,IF(A8='Données projet'!$A$62,'Données projet'!$B$62,AI7+AH8-AQ7)))</f>
        <v>5.451361778496417</v>
      </c>
      <c r="AJ8" s="14">
        <f>AI8*VLOOKUP('Données projet'!$B$10,Paramètres!$A$1:$I$88,3,0)*VLOOKUP('Données projet'!$B$10,Paramètres!$A$1:$I$88,5,0)</f>
        <v>3.0473112341794972</v>
      </c>
      <c r="AK8" s="14">
        <f t="shared" si="35"/>
        <v>1.2335051316844765</v>
      </c>
      <c r="AL8" s="22">
        <f t="shared" si="4"/>
        <v>7.4557551705464205</v>
      </c>
      <c r="AM8" s="62">
        <f t="shared" si="5"/>
        <v>270.23353294832418</v>
      </c>
      <c r="AN8" s="62">
        <f ca="1">AVERAGE(OFFSET($AM$3,0,0,'Données projet'!$E$10+1,1))-AVERAGE(OFFSET($H$3,0,0,'Données projet'!$E$10+1,1))</f>
        <v>583.31979399672844</v>
      </c>
      <c r="AO8" s="62">
        <f t="shared" si="36"/>
        <v>544.21514138474731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projet'!$B$11,Paramètres!$A$1:$I$88,3,0)*VLOOKUP('Données projet'!$B$11,Paramètres!$A$1:$I$88,5,0)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projet'!$B$11,Paramètres!$A$1:$I$88,3,0)*0.475*44/12</f>
        <v>#N/A</v>
      </c>
      <c r="BQ8" s="23" t="e">
        <f>EXP(-LN(2)/25)*BQ7+(1-EXP(-LN(2)/25))/(LN(2)/25)*Calculateur!BL8*Calculateur!BN8*VLOOKUP('Données projet'!$B$11,Paramètres!$A$1:$I$88,3,0)*0.475*44/12</f>
        <v>#N/A</v>
      </c>
      <c r="BR8" s="23" t="e">
        <f>EXP(-LN(2)/2)*BR7+(1-EXP(-LN(2)/2))/(LN(2)/2)*BL8*BO8*VLOOKUP('Données projet'!$B$11,Paramètres!$A$1:$I$88,3,0)*0.475*44/12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projet'!$B$12,Paramètres!$A$1:$I$88,3,0)*0.475*44/12</f>
        <v>#N/A</v>
      </c>
      <c r="CL8" s="23" t="e">
        <f>EXP(-LN(2)/25)*CL7+(1-EXP(-LN(2)/25))/(LN(2)/25)*Calculateur!CG8*Calculateur!CI8*VLOOKUP('Données projet'!$B$12,Paramètres!$A$1:$I$88,3,0)*0.475*44/12</f>
        <v>#N/A</v>
      </c>
      <c r="CM8" s="23" t="e">
        <f>EXP(-LN(2)/2)*CM7+(1-EXP(-LN(2)/2))/(LN(2)/2)*CG8*CJ8*VLOOKUP('Données projet'!$B$12,Paramètres!$A$1:$I$88,3,0)*0.475*44/12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5.666666666666667</v>
      </c>
      <c r="N9" s="14">
        <f>IF('Données projet'!$A$36&gt;35,N8+M9-V8,IF(A9&lt;'Données projet'!$A$36,$K$205^A9,IF(A9='Données projet'!$A$36,'Données projet'!$B$36,N8+M9-V8)))</f>
        <v>2.7931212200789908</v>
      </c>
      <c r="O9" s="14">
        <f>N9*VLOOKUP('Données projet'!$B$9,Paramètres!$A$1:$I$88,3,0)*VLOOKUP('Données projet'!$B$9,Paramètres!$A$1:$I$88,5,0)</f>
        <v>1.3071807309969676</v>
      </c>
      <c r="P9" s="14">
        <f t="shared" si="33"/>
        <v>0.58391043161404843</v>
      </c>
      <c r="Q9" s="22">
        <f t="shared" si="2"/>
        <v>3.2936504415475194</v>
      </c>
      <c r="R9" s="62">
        <f t="shared" si="0"/>
        <v>267.29365044154753</v>
      </c>
      <c r="S9" s="62">
        <f ca="1">AVERAGE(OFFSET($R$3,0,0,'Données projet'!$E$9+1,1))-AVERAGE(OFFSET($H$3,0,0,'Données projet'!$E$9+1,1))</f>
        <v>316.04959780858269</v>
      </c>
      <c r="T9" s="62">
        <f t="shared" si="34"/>
        <v>213.60182977243113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10.8</v>
      </c>
      <c r="AI9" s="14">
        <f>IF('Données projet'!$A$62&gt;35,AI8+AH9-AQ8,IF(A9&lt;'Données projet'!$A$62,$AF$205^A9,IF(A9='Données projet'!$A$62,'Données projet'!$B$62,AI8+AH9-AQ8)))</f>
        <v>7.6525470037547425</v>
      </c>
      <c r="AJ9" s="14">
        <f>AI9*VLOOKUP('Données projet'!$B$10,Paramètres!$A$1:$I$88,3,0)*VLOOKUP('Données projet'!$B$10,Paramètres!$A$1:$I$88,5,0)</f>
        <v>4.2777737750989013</v>
      </c>
      <c r="AK9" s="14">
        <f t="shared" si="35"/>
        <v>1.6645472402836166</v>
      </c>
      <c r="AL9" s="22">
        <f t="shared" si="4"/>
        <v>10.349542435124553</v>
      </c>
      <c r="AM9" s="62">
        <f t="shared" si="5"/>
        <v>274.34954243512453</v>
      </c>
      <c r="AN9" s="62">
        <f ca="1">AVERAGE(OFFSET($AM$3,0,0,'Données projet'!$E$10+1,1))-AVERAGE(OFFSET($H$3,0,0,'Données projet'!$E$10+1,1))</f>
        <v>583.31979399672844</v>
      </c>
      <c r="AO9" s="62">
        <f t="shared" si="36"/>
        <v>544.21514138474731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projet'!$B$11,Paramètres!$A$1:$I$88,3,0)*VLOOKUP('Données projet'!$B$11,Paramètres!$A$1:$I$88,5,0)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projet'!$B$11,Paramètres!$A$1:$I$88,3,0)*0.475*44/12</f>
        <v>#N/A</v>
      </c>
      <c r="BQ9" s="23" t="e">
        <f>EXP(-LN(2)/25)*BQ8+(1-EXP(-LN(2)/25))/(LN(2)/25)*Calculateur!BL9*Calculateur!BN9*VLOOKUP('Données projet'!$B$11,Paramètres!$A$1:$I$88,3,0)*0.475*44/12</f>
        <v>#N/A</v>
      </c>
      <c r="BR9" s="23" t="e">
        <f>EXP(-LN(2)/2)*BR8+(1-EXP(-LN(2)/2))/(LN(2)/2)*BL9*BO9*VLOOKUP('Données projet'!$B$11,Paramètres!$A$1:$I$88,3,0)*0.475*44/12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projet'!$B$12,Paramètres!$A$1:$I$88,3,0)*0.475*44/12</f>
        <v>#N/A</v>
      </c>
      <c r="CL9" s="23" t="e">
        <f>EXP(-LN(2)/25)*CL8+(1-EXP(-LN(2)/25))/(LN(2)/25)*Calculateur!CG9*Calculateur!CI9*VLOOKUP('Données projet'!$B$12,Paramètres!$A$1:$I$88,3,0)*0.475*44/12</f>
        <v>#N/A</v>
      </c>
      <c r="CM9" s="23" t="e">
        <f>EXP(-LN(2)/2)*CM8+(1-EXP(-LN(2)/2))/(LN(2)/2)*CG9*CJ9*VLOOKUP('Données projet'!$B$12,Paramètres!$A$1:$I$88,3,0)*0.475*44/12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5.666666666666667</v>
      </c>
      <c r="N10" s="14">
        <f>IF('Données projet'!$A$36&gt;35,N9+M10-V9,IF(A10&lt;'Données projet'!$A$36,$K$205^A10,IF(A10='Données projet'!$A$36,'Données projet'!$B$36,N9+M10-V9)))</f>
        <v>3.3146530868523985</v>
      </c>
      <c r="O10" s="14">
        <f>N10*VLOOKUP('Données projet'!$B$9,Paramètres!$A$1:$I$88,3,0)*VLOOKUP('Données projet'!$B$9,Paramètres!$A$1:$I$88,5,0)</f>
        <v>1.5512576446469224</v>
      </c>
      <c r="P10" s="14">
        <f t="shared" si="33"/>
        <v>0.67926680181972632</v>
      </c>
      <c r="Q10" s="22">
        <f t="shared" si="2"/>
        <v>3.8848300775960793</v>
      </c>
      <c r="R10" s="62">
        <f t="shared" si="0"/>
        <v>269.10705229981829</v>
      </c>
      <c r="S10" s="62">
        <f ca="1">AVERAGE(OFFSET($R$3,0,0,'Données projet'!$E$9+1,1))-AVERAGE(OFFSET($H$3,0,0,'Données projet'!$E$9+1,1))</f>
        <v>316.04959780858269</v>
      </c>
      <c r="T10" s="62">
        <f t="shared" si="34"/>
        <v>213.60182977243113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10.8</v>
      </c>
      <c r="AI10" s="14">
        <f>IF('Données projet'!$A$62&gt;35,AI9+AH10-AQ9,IF(A10&lt;'Données projet'!$A$62,$AF$205^A10,IF(A10='Données projet'!$A$62,'Données projet'!$B$62,AI9+AH10-AQ9)))</f>
        <v>10.742540675924095</v>
      </c>
      <c r="AJ10" s="14">
        <f>AI10*VLOOKUP('Données projet'!$B$10,Paramètres!$A$1:$I$88,3,0)*VLOOKUP('Données projet'!$B$10,Paramètres!$A$1:$I$88,5,0)</f>
        <v>6.0050802378415691</v>
      </c>
      <c r="AK10" s="14">
        <f t="shared" si="35"/>
        <v>2.2462148263235089</v>
      </c>
      <c r="AL10" s="22">
        <f t="shared" si="4"/>
        <v>14.37100557008751</v>
      </c>
      <c r="AM10" s="62">
        <f t="shared" si="5"/>
        <v>279.59322779230973</v>
      </c>
      <c r="AN10" s="62">
        <f ca="1">AVERAGE(OFFSET($AM$3,0,0,'Données projet'!$E$10+1,1))-AVERAGE(OFFSET($H$3,0,0,'Données projet'!$E$10+1,1))</f>
        <v>583.31979399672844</v>
      </c>
      <c r="AO10" s="62">
        <f t="shared" si="36"/>
        <v>544.21514138474731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projet'!$B$11,Paramètres!$A$1:$I$88,3,0)*VLOOKUP('Données projet'!$B$11,Paramètres!$A$1:$I$88,5,0)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projet'!$B$11,Paramètres!$A$1:$I$88,3,0)*0.475*44/12</f>
        <v>#N/A</v>
      </c>
      <c r="BQ10" s="23" t="e">
        <f>EXP(-LN(2)/25)*BQ9+(1-EXP(-LN(2)/25))/(LN(2)/25)*Calculateur!BL10*Calculateur!BN10*VLOOKUP('Données projet'!$B$11,Paramètres!$A$1:$I$88,3,0)*0.475*44/12</f>
        <v>#N/A</v>
      </c>
      <c r="BR10" s="23" t="e">
        <f>EXP(-LN(2)/2)*BR9+(1-EXP(-LN(2)/2))/(LN(2)/2)*BL10*BO10*VLOOKUP('Données projet'!$B$11,Paramètres!$A$1:$I$88,3,0)*0.475*44/12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projet'!$B$12,Paramètres!$A$1:$I$88,3,0)*0.475*44/12</f>
        <v>#N/A</v>
      </c>
      <c r="CL10" s="23" t="e">
        <f>EXP(-LN(2)/25)*CL9+(1-EXP(-LN(2)/25))/(LN(2)/25)*Calculateur!CG10*Calculateur!CI10*VLOOKUP('Données projet'!$B$12,Paramètres!$A$1:$I$88,3,0)*0.475*44/12</f>
        <v>#N/A</v>
      </c>
      <c r="CM10" s="23" t="e">
        <f>EXP(-LN(2)/2)*CM9+(1-EXP(-LN(2)/2))/(LN(2)/2)*CG10*CJ10*VLOOKUP('Données projet'!$B$12,Paramètres!$A$1:$I$88,3,0)*0.475*44/12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5.666666666666667</v>
      </c>
      <c r="N11" s="14">
        <f>IF('Données projet'!$A$36&gt;35,N10+M11-V10,IF(A11&lt;'Données projet'!$A$36,$K$205^A11,IF(A11='Données projet'!$A$36,'Données projet'!$B$36,N10+M11-V10)))</f>
        <v>3.9335654346822158</v>
      </c>
      <c r="O11" s="14">
        <f>N11*VLOOKUP('Données projet'!$B$9,Paramètres!$A$1:$I$88,3,0)*VLOOKUP('Données projet'!$B$9,Paramètres!$A$1:$I$88,5,0)</f>
        <v>1.8409086234312768</v>
      </c>
      <c r="P11" s="14">
        <f t="shared" si="33"/>
        <v>0.79019548730956168</v>
      </c>
      <c r="Q11" s="22">
        <f t="shared" si="2"/>
        <v>4.5825063262069596</v>
      </c>
      <c r="R11" s="62">
        <f t="shared" si="0"/>
        <v>271.02695077065141</v>
      </c>
      <c r="S11" s="62">
        <f ca="1">AVERAGE(OFFSET($R$3,0,0,'Données projet'!$E$9+1,1))-AVERAGE(OFFSET($H$3,0,0,'Données projet'!$E$9+1,1))</f>
        <v>316.04959780858269</v>
      </c>
      <c r="T11" s="62">
        <f t="shared" si="34"/>
        <v>213.60182977243113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10.8</v>
      </c>
      <c r="AI11" s="14">
        <f>IF('Données projet'!$A$62&gt;35,AI10+AH11-AQ10,IF(A11&lt;'Données projet'!$A$62,$AF$205^A11,IF(A11='Données projet'!$A$62,'Données projet'!$B$62,AI10+AH11-AQ10)))</f>
        <v>15.080231472901943</v>
      </c>
      <c r="AJ11" s="14">
        <f>AI11*VLOOKUP('Données projet'!$B$10,Paramètres!$A$1:$I$88,3,0)*VLOOKUP('Données projet'!$B$10,Paramètres!$A$1:$I$88,5,0)</f>
        <v>8.4298493933521872</v>
      </c>
      <c r="AK11" s="14">
        <f t="shared" si="35"/>
        <v>3.0311431985167756</v>
      </c>
      <c r="AL11" s="22">
        <f t="shared" si="4"/>
        <v>19.961228764171775</v>
      </c>
      <c r="AM11" s="62">
        <f t="shared" si="5"/>
        <v>286.40567320861624</v>
      </c>
      <c r="AN11" s="62">
        <f ca="1">AVERAGE(OFFSET($AM$3,0,0,'Données projet'!$E$10+1,1))-AVERAGE(OFFSET($H$3,0,0,'Données projet'!$E$10+1,1))</f>
        <v>583.31979399672844</v>
      </c>
      <c r="AO11" s="62">
        <f t="shared" si="36"/>
        <v>544.21514138474731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projet'!$B$11,Paramètres!$A$1:$I$88,3,0)*VLOOKUP('Données projet'!$B$11,Paramètres!$A$1:$I$88,5,0)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projet'!$B$11,Paramètres!$A$1:$I$88,3,0)*0.475*44/12</f>
        <v>#N/A</v>
      </c>
      <c r="BQ11" s="23" t="e">
        <f>EXP(-LN(2)/25)*BQ10+(1-EXP(-LN(2)/25))/(LN(2)/25)*Calculateur!BL11*Calculateur!BN11*VLOOKUP('Données projet'!$B$11,Paramètres!$A$1:$I$88,3,0)*0.475*44/12</f>
        <v>#N/A</v>
      </c>
      <c r="BR11" s="23" t="e">
        <f>EXP(-LN(2)/2)*BR10+(1-EXP(-LN(2)/2))/(LN(2)/2)*BL11*BO11*VLOOKUP('Données projet'!$B$11,Paramètres!$A$1:$I$88,3,0)*0.475*44/12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projet'!$B$12,Paramètres!$A$1:$I$88,3,0)*0.475*44/12</f>
        <v>#N/A</v>
      </c>
      <c r="CL11" s="23" t="e">
        <f>EXP(-LN(2)/25)*CL10+(1-EXP(-LN(2)/25))/(LN(2)/25)*Calculateur!CG11*Calculateur!CI11*VLOOKUP('Données projet'!$B$12,Paramètres!$A$1:$I$88,3,0)*0.475*44/12</f>
        <v>#N/A</v>
      </c>
      <c r="CM11" s="23" t="e">
        <f>EXP(-LN(2)/2)*CM10+(1-EXP(-LN(2)/2))/(LN(2)/2)*CG11*CJ11*VLOOKUP('Données projet'!$B$12,Paramètres!$A$1:$I$88,3,0)*0.475*44/12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5.666666666666667</v>
      </c>
      <c r="N12" s="14">
        <f>IF('Données projet'!$A$36&gt;35,N11+M12-V11,IF(A12&lt;'Données projet'!$A$36,$K$205^A12,IF(A12='Données projet'!$A$36,'Données projet'!$B$36,N11+M12-V11)))</f>
        <v>4.6680411564939428</v>
      </c>
      <c r="O12" s="14">
        <f>N12*VLOOKUP('Données projet'!$B$9,Paramètres!$A$1:$I$88,3,0)*VLOOKUP('Données projet'!$B$9,Paramètres!$A$1:$I$88,5,0)</f>
        <v>2.1846432612391653</v>
      </c>
      <c r="P12" s="14">
        <f t="shared" si="33"/>
        <v>0.91923954842431754</v>
      </c>
      <c r="Q12" s="22">
        <f t="shared" si="2"/>
        <v>5.4059292268305654</v>
      </c>
      <c r="R12" s="62">
        <f t="shared" si="0"/>
        <v>273.07259589349724</v>
      </c>
      <c r="S12" s="62">
        <f ca="1">AVERAGE(OFFSET($R$3,0,0,'Données projet'!$E$9+1,1))-AVERAGE(OFFSET($H$3,0,0,'Données projet'!$E$9+1,1))</f>
        <v>316.04959780858269</v>
      </c>
      <c r="T12" s="62">
        <f t="shared" si="34"/>
        <v>213.60182977243113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10.8</v>
      </c>
      <c r="AI12" s="14">
        <f>IF('Données projet'!$A$62&gt;35,AI11+AH12-AQ11,IF(A12&lt;'Données projet'!$A$62,$AF$205^A12,IF(A12='Données projet'!$A$62,'Données projet'!$B$62,AI11+AH12-AQ11)))</f>
        <v>21.169422405444113</v>
      </c>
      <c r="AJ12" s="14">
        <f>AI12*VLOOKUP('Données projet'!$B$10,Paramètres!$A$1:$I$88,3,0)*VLOOKUP('Données projet'!$B$10,Paramètres!$A$1:$I$88,5,0)</f>
        <v>11.83370712464326</v>
      </c>
      <c r="AK12" s="14">
        <f t="shared" si="35"/>
        <v>4.0903608070972819</v>
      </c>
      <c r="AL12" s="22">
        <f t="shared" si="4"/>
        <v>27.734418314448106</v>
      </c>
      <c r="AM12" s="62">
        <f t="shared" si="5"/>
        <v>295.40108498111476</v>
      </c>
      <c r="AN12" s="62">
        <f ca="1">AVERAGE(OFFSET($AM$3,0,0,'Données projet'!$E$10+1,1))-AVERAGE(OFFSET($H$3,0,0,'Données projet'!$E$10+1,1))</f>
        <v>583.31979399672844</v>
      </c>
      <c r="AO12" s="62">
        <f t="shared" si="36"/>
        <v>544.21514138474731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projet'!$B$11,Paramètres!$A$1:$I$88,3,0)*VLOOKUP('Données projet'!$B$11,Paramètres!$A$1:$I$88,5,0)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projet'!$B$11,Paramètres!$A$1:$I$88,3,0)*0.475*44/12</f>
        <v>#N/A</v>
      </c>
      <c r="BQ12" s="23" t="e">
        <f>EXP(-LN(2)/25)*BQ11+(1-EXP(-LN(2)/25))/(LN(2)/25)*Calculateur!BL12*Calculateur!BN12*VLOOKUP('Données projet'!$B$11,Paramètres!$A$1:$I$88,3,0)*0.475*44/12</f>
        <v>#N/A</v>
      </c>
      <c r="BR12" s="23" t="e">
        <f>EXP(-LN(2)/2)*BR11+(1-EXP(-LN(2)/2))/(LN(2)/2)*BL12*BO12*VLOOKUP('Données projet'!$B$11,Paramètres!$A$1:$I$88,3,0)*0.475*44/12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projet'!$B$12,Paramètres!$A$1:$I$88,3,0)*0.475*44/12</f>
        <v>#N/A</v>
      </c>
      <c r="CL12" s="23" t="e">
        <f>EXP(-LN(2)/25)*CL11+(1-EXP(-LN(2)/25))/(LN(2)/25)*Calculateur!CG12*Calculateur!CI12*VLOOKUP('Données projet'!$B$12,Paramètres!$A$1:$I$88,3,0)*0.475*44/12</f>
        <v>#N/A</v>
      </c>
      <c r="CM12" s="23" t="e">
        <f>EXP(-LN(2)/2)*CM11+(1-EXP(-LN(2)/2))/(LN(2)/2)*CG12*CJ12*VLOOKUP('Données projet'!$B$12,Paramètres!$A$1:$I$88,3,0)*0.475*44/12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5.666666666666667</v>
      </c>
      <c r="N13" s="14">
        <f>IF('Données projet'!$A$36&gt;35,N12+M13-V12,IF(A13&lt;'Données projet'!$A$36,$K$205^A13,IF(A13='Données projet'!$A$36,'Données projet'!$B$36,N12+M13-V12)))</f>
        <v>5.5396582567544659</v>
      </c>
      <c r="O13" s="14">
        <f>N13*VLOOKUP('Données projet'!$B$9,Paramètres!$A$1:$I$88,3,0)*VLOOKUP('Données projet'!$B$9,Paramètres!$A$1:$I$88,5,0)</f>
        <v>2.59256006416109</v>
      </c>
      <c r="P13" s="14">
        <f t="shared" si="33"/>
        <v>1.069357343793981</v>
      </c>
      <c r="Q13" s="22">
        <f t="shared" si="2"/>
        <v>6.377839485521748</v>
      </c>
      <c r="R13" s="62">
        <f t="shared" si="0"/>
        <v>275.2667283744106</v>
      </c>
      <c r="S13" s="62">
        <f ca="1">AVERAGE(OFFSET($R$3,0,0,'Données projet'!$E$9+1,1))-AVERAGE(OFFSET($H$3,0,0,'Données projet'!$E$9+1,1))</f>
        <v>316.04959780858269</v>
      </c>
      <c r="T13" s="62">
        <f t="shared" si="34"/>
        <v>213.60182977243113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10.8</v>
      </c>
      <c r="AI13" s="14">
        <f>IF('Données projet'!$A$62&gt;35,AI12+AH13-AQ12,IF(A13&lt;'Données projet'!$A$62,$AF$205^A13,IF(A13='Données projet'!$A$62,'Données projet'!$B$62,AI12+AH13-AQ12)))</f>
        <v>29.717345240051621</v>
      </c>
      <c r="AJ13" s="14">
        <f>AI13*VLOOKUP('Données projet'!$B$10,Paramètres!$A$1:$I$88,3,0)*VLOOKUP('Données projet'!$B$10,Paramètres!$A$1:$I$88,5,0)</f>
        <v>16.611995989188856</v>
      </c>
      <c r="AK13" s="14">
        <f t="shared" si="35"/>
        <v>5.5197166337850669</v>
      </c>
      <c r="AL13" s="22">
        <f t="shared" si="4"/>
        <v>38.546066151679575</v>
      </c>
      <c r="AM13" s="62">
        <f t="shared" si="5"/>
        <v>307.43495504056841</v>
      </c>
      <c r="AN13" s="62">
        <f ca="1">AVERAGE(OFFSET($AM$3,0,0,'Données projet'!$E$10+1,1))-AVERAGE(OFFSET($H$3,0,0,'Données projet'!$E$10+1,1))</f>
        <v>583.31979399672844</v>
      </c>
      <c r="AO13" s="62">
        <f t="shared" si="36"/>
        <v>544.21514138474731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projet'!$B$11,Paramètres!$A$1:$I$88,3,0)*VLOOKUP('Données projet'!$B$11,Paramètres!$A$1:$I$88,5,0)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projet'!$B$11,Paramètres!$A$1:$I$88,3,0)*0.475*44/12</f>
        <v>#N/A</v>
      </c>
      <c r="BQ13" s="23" t="e">
        <f>EXP(-LN(2)/25)*BQ12+(1-EXP(-LN(2)/25))/(LN(2)/25)*Calculateur!BL13*Calculateur!BN13*VLOOKUP('Données projet'!$B$11,Paramètres!$A$1:$I$88,3,0)*0.475*44/12</f>
        <v>#N/A</v>
      </c>
      <c r="BR13" s="23" t="e">
        <f>EXP(-LN(2)/2)*BR12+(1-EXP(-LN(2)/2))/(LN(2)/2)*BL13*BO13*VLOOKUP('Données projet'!$B$11,Paramètres!$A$1:$I$88,3,0)*0.475*44/12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projet'!$B$12,Paramètres!$A$1:$I$88,3,0)*0.475*44/12</f>
        <v>#N/A</v>
      </c>
      <c r="CL13" s="23" t="e">
        <f>EXP(-LN(2)/25)*CL12+(1-EXP(-LN(2)/25))/(LN(2)/25)*Calculateur!CG13*Calculateur!CI13*VLOOKUP('Données projet'!$B$12,Paramètres!$A$1:$I$88,3,0)*0.475*44/12</f>
        <v>#N/A</v>
      </c>
      <c r="CM13" s="23" t="e">
        <f>EXP(-LN(2)/2)*CM12+(1-EXP(-LN(2)/2))/(LN(2)/2)*CG13*CJ13*VLOOKUP('Données projet'!$B$12,Paramètres!$A$1:$I$88,3,0)*0.475*44/12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5.666666666666667</v>
      </c>
      <c r="N14" s="14">
        <f>IF('Données projet'!$A$36&gt;35,N13+M14-V13,IF(A14&lt;'Données projet'!$A$36,$K$205^A14,IF(A14='Données projet'!$A$36,'Données projet'!$B$36,N13+M14-V13)))</f>
        <v>6.5740237870303684</v>
      </c>
      <c r="O14" s="14">
        <f>N14*VLOOKUP('Données projet'!$B$9,Paramètres!$A$1:$I$88,3,0)*VLOOKUP('Données projet'!$B$9,Paramètres!$A$1:$I$88,5,0)</f>
        <v>3.0766431323302124</v>
      </c>
      <c r="P14" s="14">
        <f t="shared" si="33"/>
        <v>1.24399035124876</v>
      </c>
      <c r="Q14" s="22">
        <f t="shared" si="2"/>
        <v>7.5251033172333761</v>
      </c>
      <c r="R14" s="62">
        <f t="shared" si="0"/>
        <v>277.63621442834454</v>
      </c>
      <c r="S14" s="62">
        <f ca="1">AVERAGE(OFFSET($R$3,0,0,'Données projet'!$E$9+1,1))-AVERAGE(OFFSET($H$3,0,0,'Données projet'!$E$9+1,1))</f>
        <v>316.04959780858269</v>
      </c>
      <c r="T14" s="62">
        <f t="shared" si="34"/>
        <v>213.60182977243113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10.8</v>
      </c>
      <c r="AI14" s="14">
        <f>IF('Données projet'!$A$62&gt;35,AI13+AH14-AQ13,IF(A14&lt;'Données projet'!$A$62,$AF$205^A14,IF(A14='Données projet'!$A$62,'Données projet'!$B$62,AI13+AH14-AQ13)))</f>
        <v>41.716802244415881</v>
      </c>
      <c r="AJ14" s="14">
        <f>AI14*VLOOKUP('Données projet'!$B$10,Paramètres!$A$1:$I$88,3,0)*VLOOKUP('Données projet'!$B$10,Paramètres!$A$1:$I$88,5,0)</f>
        <v>23.319692454628481</v>
      </c>
      <c r="AK14" s="14">
        <f t="shared" si="35"/>
        <v>7.4485536005574575</v>
      </c>
      <c r="AL14" s="22">
        <f t="shared" si="4"/>
        <v>53.58802854611551</v>
      </c>
      <c r="AM14" s="62">
        <f t="shared" si="5"/>
        <v>323.69913965722662</v>
      </c>
      <c r="AN14" s="62">
        <f ca="1">AVERAGE(OFFSET($AM$3,0,0,'Données projet'!$E$10+1,1))-AVERAGE(OFFSET($H$3,0,0,'Données projet'!$E$10+1,1))</f>
        <v>583.31979399672844</v>
      </c>
      <c r="AO14" s="62">
        <f t="shared" si="36"/>
        <v>544.21514138474731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projet'!$B$11,Paramètres!$A$1:$I$88,3,0)*VLOOKUP('Données projet'!$B$11,Paramètres!$A$1:$I$88,5,0)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projet'!$B$11,Paramètres!$A$1:$I$88,3,0)*0.475*44/12</f>
        <v>#N/A</v>
      </c>
      <c r="BQ14" s="23" t="e">
        <f>EXP(-LN(2)/25)*BQ13+(1-EXP(-LN(2)/25))/(LN(2)/25)*Calculateur!BL14*Calculateur!BN14*VLOOKUP('Données projet'!$B$11,Paramètres!$A$1:$I$88,3,0)*0.475*44/12</f>
        <v>#N/A</v>
      </c>
      <c r="BR14" s="23" t="e">
        <f>EXP(-LN(2)/2)*BR13+(1-EXP(-LN(2)/2))/(LN(2)/2)*BL14*BO14*VLOOKUP('Données projet'!$B$11,Paramètres!$A$1:$I$88,3,0)*0.475*44/12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projet'!$B$12,Paramètres!$A$1:$I$88,3,0)*0.475*44/12</f>
        <v>#N/A</v>
      </c>
      <c r="CL14" s="23" t="e">
        <f>EXP(-LN(2)/25)*CL13+(1-EXP(-LN(2)/25))/(LN(2)/25)*Calculateur!CG14*Calculateur!CI14*VLOOKUP('Données projet'!$B$12,Paramètres!$A$1:$I$88,3,0)*0.475*44/12</f>
        <v>#N/A</v>
      </c>
      <c r="CM14" s="23" t="e">
        <f>EXP(-LN(2)/2)*CM13+(1-EXP(-LN(2)/2))/(LN(2)/2)*CG14*CJ14*VLOOKUP('Données projet'!$B$12,Paramètres!$A$1:$I$88,3,0)*0.475*44/12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5.666666666666667</v>
      </c>
      <c r="N15" s="14">
        <f>IF('Données projet'!$A$36&gt;35,N14+M15-V14,IF(A15&lt;'Données projet'!$A$36,$K$205^A15,IF(A15='Données projet'!$A$36,'Données projet'!$B$36,N14+M15-V14)))</f>
        <v>7.8015261500555493</v>
      </c>
      <c r="O15" s="14">
        <f>N15*VLOOKUP('Données projet'!$B$9,Paramètres!$A$1:$I$88,3,0)*VLOOKUP('Données projet'!$B$9,Paramètres!$A$1:$I$88,5,0)</f>
        <v>3.6511142382259969</v>
      </c>
      <c r="P15" s="14">
        <f t="shared" si="33"/>
        <v>1.4471420643258348</v>
      </c>
      <c r="Q15" s="22">
        <f t="shared" si="2"/>
        <v>8.8794630602777733</v>
      </c>
      <c r="R15" s="62">
        <f t="shared" si="0"/>
        <v>280.21279639361109</v>
      </c>
      <c r="S15" s="62">
        <f ca="1">AVERAGE(OFFSET($R$3,0,0,'Données projet'!$E$9+1,1))-AVERAGE(OFFSET($H$3,0,0,'Données projet'!$E$9+1,1))</f>
        <v>316.04959780858269</v>
      </c>
      <c r="T15" s="62">
        <f t="shared" si="34"/>
        <v>213.60182977243113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10.8</v>
      </c>
      <c r="AI15" s="14">
        <f>IF('Données projet'!$A$62&gt;35,AI14+AH15-AQ14,IF(A15&lt;'Données projet'!$A$62,$AF$205^A15,IF(A15='Données projet'!$A$62,'Données projet'!$B$62,AI14+AH15-AQ14)))</f>
        <v>58.561475644675681</v>
      </c>
      <c r="AJ15" s="14">
        <f>AI15*VLOOKUP('Données projet'!$B$10,Paramètres!$A$1:$I$88,3,0)*VLOOKUP('Données projet'!$B$10,Paramètres!$A$1:$I$88,5,0)</f>
        <v>32.735864885373708</v>
      </c>
      <c r="AK15" s="14">
        <f t="shared" si="35"/>
        <v>10.051412857100269</v>
      </c>
      <c r="AL15" s="22">
        <f t="shared" si="4"/>
        <v>74.521175401475503</v>
      </c>
      <c r="AM15" s="62">
        <f t="shared" si="5"/>
        <v>345.8545087348088</v>
      </c>
      <c r="AN15" s="62">
        <f ca="1">AVERAGE(OFFSET($AM$3,0,0,'Données projet'!$E$10+1,1))-AVERAGE(OFFSET($H$3,0,0,'Données projet'!$E$10+1,1))</f>
        <v>583.31979399672844</v>
      </c>
      <c r="AO15" s="62">
        <f t="shared" si="36"/>
        <v>544.21514138474731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projet'!$B$11,Paramètres!$A$1:$I$88,3,0)*VLOOKUP('Données projet'!$B$11,Paramètres!$A$1:$I$88,5,0)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projet'!$B$11,Paramètres!$A$1:$I$88,3,0)*0.475*44/12</f>
        <v>#N/A</v>
      </c>
      <c r="BQ15" s="23" t="e">
        <f>EXP(-LN(2)/25)*BQ14+(1-EXP(-LN(2)/25))/(LN(2)/25)*Calculateur!BL15*Calculateur!BN15*VLOOKUP('Données projet'!$B$11,Paramètres!$A$1:$I$88,3,0)*0.475*44/12</f>
        <v>#N/A</v>
      </c>
      <c r="BR15" s="23" t="e">
        <f>EXP(-LN(2)/2)*BR14+(1-EXP(-LN(2)/2))/(LN(2)/2)*BL15*BO15*VLOOKUP('Données projet'!$B$11,Paramètres!$A$1:$I$88,3,0)*0.475*44/12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projet'!$B$12,Paramètres!$A$1:$I$88,3,0)*0.475*44/12</f>
        <v>#N/A</v>
      </c>
      <c r="CL15" s="23" t="e">
        <f>EXP(-LN(2)/25)*CL14+(1-EXP(-LN(2)/25))/(LN(2)/25)*Calculateur!CG15*Calculateur!CI15*VLOOKUP('Données projet'!$B$12,Paramètres!$A$1:$I$88,3,0)*0.475*44/12</f>
        <v>#N/A</v>
      </c>
      <c r="CM15" s="23" t="e">
        <f>EXP(-LN(2)/2)*CM14+(1-EXP(-LN(2)/2))/(LN(2)/2)*CG15*CJ15*VLOOKUP('Données projet'!$B$12,Paramètres!$A$1:$I$88,3,0)*0.475*44/12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5.666666666666667</v>
      </c>
      <c r="N16" s="14">
        <f>IF('Données projet'!$A$36&gt;35,N15+M16-V15,IF(A16&lt;'Données projet'!$A$36,$K$205^A16,IF(A16='Données projet'!$A$36,'Données projet'!$B$36,N15+M16-V15)))</f>
        <v>9.2582278740877637</v>
      </c>
      <c r="O16" s="14">
        <f>N16*VLOOKUP('Données projet'!$B$9,Paramètres!$A$1:$I$88,3,0)*VLOOKUP('Données projet'!$B$9,Paramètres!$A$1:$I$88,5,0)</f>
        <v>4.3328506450730728</v>
      </c>
      <c r="P16" s="14">
        <f t="shared" si="33"/>
        <v>1.683469773088665</v>
      </c>
      <c r="Q16" s="22">
        <f t="shared" si="2"/>
        <v>10.478424728298359</v>
      </c>
      <c r="R16" s="62">
        <f t="shared" si="0"/>
        <v>283.03398028385391</v>
      </c>
      <c r="S16" s="62">
        <f ca="1">AVERAGE(OFFSET($R$3,0,0,'Données projet'!$E$9+1,1))-AVERAGE(OFFSET($H$3,0,0,'Données projet'!$E$9+1,1))</f>
        <v>316.04959780858269</v>
      </c>
      <c r="T16" s="62">
        <f t="shared" si="34"/>
        <v>213.60182977243113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10.8</v>
      </c>
      <c r="AI16" s="14">
        <f>IF('Données projet'!$A$62&gt;35,AI15+AH16-AQ15,IF(A16&lt;'Données projet'!$A$62,$AF$205^A16,IF(A16='Données projet'!$A$62,'Données projet'!$B$62,AI15+AH16-AQ15)))</f>
        <v>82.20779746225638</v>
      </c>
      <c r="AJ16" s="14">
        <f>AI16*VLOOKUP('Données projet'!$B$10,Paramètres!$A$1:$I$88,3,0)*VLOOKUP('Données projet'!$B$10,Paramètres!$A$1:$I$88,5,0)</f>
        <v>45.954158781401318</v>
      </c>
      <c r="AK16" s="14">
        <f t="shared" si="35"/>
        <v>13.563828072113143</v>
      </c>
      <c r="AL16" s="22">
        <f t="shared" si="4"/>
        <v>103.66049376987102</v>
      </c>
      <c r="AM16" s="62">
        <f t="shared" si="5"/>
        <v>376.21604932542658</v>
      </c>
      <c r="AN16" s="62">
        <f ca="1">AVERAGE(OFFSET($AM$3,0,0,'Données projet'!$E$10+1,1))-AVERAGE(OFFSET($H$3,0,0,'Données projet'!$E$10+1,1))</f>
        <v>583.31979399672844</v>
      </c>
      <c r="AO16" s="62">
        <f t="shared" si="36"/>
        <v>544.21514138474731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projet'!$B$11,Paramètres!$A$1:$I$88,3,0)*VLOOKUP('Données projet'!$B$11,Paramètres!$A$1:$I$88,5,0)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projet'!$B$11,Paramètres!$A$1:$I$88,3,0)*0.475*44/12</f>
        <v>#N/A</v>
      </c>
      <c r="BQ16" s="23" t="e">
        <f>EXP(-LN(2)/25)*BQ15+(1-EXP(-LN(2)/25))/(LN(2)/25)*Calculateur!BL16*Calculateur!BN16*VLOOKUP('Données projet'!$B$11,Paramètres!$A$1:$I$88,3,0)*0.475*44/12</f>
        <v>#N/A</v>
      </c>
      <c r="BR16" s="23" t="e">
        <f>EXP(-LN(2)/2)*BR15+(1-EXP(-LN(2)/2))/(LN(2)/2)*BL16*BO16*VLOOKUP('Données projet'!$B$11,Paramètres!$A$1:$I$88,3,0)*0.475*44/12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projet'!$B$12,Paramètres!$A$1:$I$88,3,0)*0.475*44/12</f>
        <v>#N/A</v>
      </c>
      <c r="CL16" s="23" t="e">
        <f>EXP(-LN(2)/25)*CL15+(1-EXP(-LN(2)/25))/(LN(2)/25)*Calculateur!CG16*Calculateur!CI16*VLOOKUP('Données projet'!$B$12,Paramètres!$A$1:$I$88,3,0)*0.475*44/12</f>
        <v>#N/A</v>
      </c>
      <c r="CM16" s="23" t="e">
        <f>EXP(-LN(2)/2)*CM15+(1-EXP(-LN(2)/2))/(LN(2)/2)*CG16*CJ16*VLOOKUP('Données projet'!$B$12,Paramètres!$A$1:$I$88,3,0)*0.475*44/12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5.666666666666667</v>
      </c>
      <c r="N17" s="14">
        <f>IF('Données projet'!$A$36&gt;35,N16+M17-V16,IF(A17&lt;'Données projet'!$A$36,$K$205^A17,IF(A17='Données projet'!$A$36,'Données projet'!$B$36,N16+M17-V16)))</f>
        <v>10.986925086180136</v>
      </c>
      <c r="O17" s="14">
        <f>N17*VLOOKUP('Données projet'!$B$9,Paramètres!$A$1:$I$88,3,0)*VLOOKUP('Données projet'!$B$9,Paramètres!$A$1:$I$88,5,0)</f>
        <v>5.141880940332304</v>
      </c>
      <c r="P17" s="14">
        <f t="shared" si="33"/>
        <v>1.95839133335087</v>
      </c>
      <c r="Q17" s="22">
        <f t="shared" si="2"/>
        <v>12.366307543331528</v>
      </c>
      <c r="R17" s="62">
        <f t="shared" si="0"/>
        <v>286.14408532110929</v>
      </c>
      <c r="S17" s="62">
        <f ca="1">AVERAGE(OFFSET($R$3,0,0,'Données projet'!$E$9+1,1))-AVERAGE(OFFSET($H$3,0,0,'Données projet'!$E$9+1,1))</f>
        <v>316.04959780858269</v>
      </c>
      <c r="T17" s="62">
        <f t="shared" si="34"/>
        <v>213.60182977243113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10.8</v>
      </c>
      <c r="AI17" s="14">
        <f>IF('Données projet'!$A$62&gt;35,AI16+AH17-AQ16,IF(A17&lt;'Données projet'!$A$62,$AF$205^A17,IF(A17='Données projet'!$A$62,'Données projet'!$B$62,AI16+AH17-AQ16)))</f>
        <v>115.40218017388374</v>
      </c>
      <c r="AJ17" s="14">
        <f>AI17*VLOOKUP('Données projet'!$B$10,Paramètres!$A$1:$I$88,3,0)*VLOOKUP('Données projet'!$B$10,Paramètres!$A$1:$I$88,5,0)</f>
        <v>64.509818717201014</v>
      </c>
      <c r="AK17" s="14">
        <f t="shared" si="35"/>
        <v>18.303638959560171</v>
      </c>
      <c r="AL17" s="22">
        <f t="shared" si="4"/>
        <v>144.23343878702573</v>
      </c>
      <c r="AM17" s="62">
        <f t="shared" si="5"/>
        <v>418.01121656480348</v>
      </c>
      <c r="AN17" s="62">
        <f ca="1">AVERAGE(OFFSET($AM$3,0,0,'Données projet'!$E$10+1,1))-AVERAGE(OFFSET($H$3,0,0,'Données projet'!$E$10+1,1))</f>
        <v>583.31979399672844</v>
      </c>
      <c r="AO17" s="62">
        <f t="shared" si="36"/>
        <v>544.21514138474731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projet'!$B$11,Paramètres!$A$1:$I$88,3,0)*VLOOKUP('Données projet'!$B$11,Paramètres!$A$1:$I$88,5,0)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projet'!$B$11,Paramètres!$A$1:$I$88,3,0)*0.475*44/12</f>
        <v>#N/A</v>
      </c>
      <c r="BQ17" s="23" t="e">
        <f>EXP(-LN(2)/25)*BQ16+(1-EXP(-LN(2)/25))/(LN(2)/25)*Calculateur!BL17*Calculateur!BN17*VLOOKUP('Données projet'!$B$11,Paramètres!$A$1:$I$88,3,0)*0.475*44/12</f>
        <v>#N/A</v>
      </c>
      <c r="BR17" s="23" t="e">
        <f>EXP(-LN(2)/2)*BR16+(1-EXP(-LN(2)/2))/(LN(2)/2)*BL17*BO17*VLOOKUP('Données projet'!$B$11,Paramètres!$A$1:$I$88,3,0)*0.475*44/12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projet'!$B$12,Paramètres!$A$1:$I$88,3,0)*0.475*44/12</f>
        <v>#N/A</v>
      </c>
      <c r="CL17" s="23" t="e">
        <f>EXP(-LN(2)/25)*CL16+(1-EXP(-LN(2)/25))/(LN(2)/25)*Calculateur!CG17*Calculateur!CI17*VLOOKUP('Données projet'!$B$12,Paramètres!$A$1:$I$88,3,0)*0.475*44/12</f>
        <v>#N/A</v>
      </c>
      <c r="CM17" s="23" t="e">
        <f>EXP(-LN(2)/2)*CM16+(1-EXP(-LN(2)/2))/(LN(2)/2)*CG17*CJ17*VLOOKUP('Données projet'!$B$12,Paramètres!$A$1:$I$88,3,0)*0.475*44/12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5.666666666666667</v>
      </c>
      <c r="N18" s="14">
        <f>IF('Données projet'!$A$36&gt;35,N17+M18-V17,IF(A18&lt;'Données projet'!$A$36,$K$205^A18,IF(A18='Données projet'!$A$36,'Données projet'!$B$36,N17+M18-V17)))</f>
        <v>13.038404810405304</v>
      </c>
      <c r="O18" s="14">
        <f>N18*VLOOKUP('Données projet'!$B$9,Paramètres!$A$1:$I$88,3,0)*VLOOKUP('Données projet'!$B$9,Paramètres!$A$1:$I$88,5,0)</f>
        <v>6.101973451269683</v>
      </c>
      <c r="P18" s="14">
        <f t="shared" si="33"/>
        <v>2.2782093720086061</v>
      </c>
      <c r="Q18" s="22">
        <f t="shared" si="2"/>
        <v>14.595485083876353</v>
      </c>
      <c r="R18" s="62">
        <f t="shared" si="0"/>
        <v>289.59548508387633</v>
      </c>
      <c r="S18" s="62">
        <f ca="1">AVERAGE(OFFSET($R$3,0,0,'Données projet'!$E$9+1,1))-AVERAGE(OFFSET($H$3,0,0,'Données projet'!$E$9+1,1))</f>
        <v>316.04959780858269</v>
      </c>
      <c r="T18" s="62">
        <f t="shared" si="34"/>
        <v>213.60182977243113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162</v>
      </c>
      <c r="AG18" s="13">
        <f>VLOOKUP(A18,'Données projet'!$A$61:$I$81,9,0)</f>
        <v>10.8</v>
      </c>
      <c r="AH18" s="13">
        <f t="array" ref="AH18">INDEX(AG:AG,MIN(IF(ISNUMBER(AG18:AG214),ROW(AG18:AG214),"")))</f>
        <v>10.8</v>
      </c>
      <c r="AI18" s="14">
        <f>IF('Données projet'!$A$62&gt;35,AI17+AH18-AQ17,IF(A18&lt;'Données projet'!$A$62,$AF$205^A18,IF(A18='Données projet'!$A$62,'Données projet'!$B$62,AI17+AH18-AQ17)))</f>
        <v>162</v>
      </c>
      <c r="AJ18" s="14">
        <f>AI18*VLOOKUP('Données projet'!$B$10,Paramètres!$A$1:$I$88,3,0)*VLOOKUP('Données projet'!$B$10,Paramètres!$A$1:$I$88,5,0)</f>
        <v>90.557999999999993</v>
      </c>
      <c r="AK18" s="14">
        <f t="shared" si="35"/>
        <v>24.699752708509138</v>
      </c>
      <c r="AL18" s="22">
        <f t="shared" si="4"/>
        <v>200.74058596732007</v>
      </c>
      <c r="AM18" s="62">
        <f t="shared" si="5"/>
        <v>475.74058596732004</v>
      </c>
      <c r="AN18" s="62">
        <f ca="1">AVERAGE(OFFSET($AM$3,0,0,'Données projet'!$E$10+1,1))-AVERAGE(OFFSET($H$3,0,0,'Données projet'!$E$10+1,1))</f>
        <v>583.31979399672844</v>
      </c>
      <c r="AO18" s="62">
        <f t="shared" si="36"/>
        <v>544.21514138474731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0.30800000000000005</v>
      </c>
      <c r="AT18" s="17">
        <f>IF(ISNA(VLOOKUP(A18,'Données projet'!$A$61:$I$81,7,0)),0%,VLOOKUP(A18,'Données projet'!$A$61:$I$81,7,0))</f>
        <v>0.44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projet'!$B$11,Paramètres!$A$1:$I$88,3,0)*VLOOKUP('Données projet'!$B$11,Paramètres!$A$1:$I$88,5,0)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projet'!$B$11,Paramètres!$A$1:$I$88,3,0)*0.475*44/12</f>
        <v>#N/A</v>
      </c>
      <c r="BQ18" s="23" t="e">
        <f>EXP(-LN(2)/25)*BQ17+(1-EXP(-LN(2)/25))/(LN(2)/25)*Calculateur!BL18*Calculateur!BN18*VLOOKUP('Données projet'!$B$11,Paramètres!$A$1:$I$88,3,0)*0.475*44/12</f>
        <v>#N/A</v>
      </c>
      <c r="BR18" s="23" t="e">
        <f>EXP(-LN(2)/2)*BR17+(1-EXP(-LN(2)/2))/(LN(2)/2)*BL18*BO18*VLOOKUP('Données projet'!$B$11,Paramètres!$A$1:$I$88,3,0)*0.475*44/12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projet'!$B$12,Paramètres!$A$1:$I$88,3,0)*0.475*44/12</f>
        <v>#N/A</v>
      </c>
      <c r="CL18" s="23" t="e">
        <f>EXP(-LN(2)/25)*CL17+(1-EXP(-LN(2)/25))/(LN(2)/25)*Calculateur!CG18*Calculateur!CI18*VLOOKUP('Données projet'!$B$12,Paramètres!$A$1:$I$88,3,0)*0.475*44/12</f>
        <v>#N/A</v>
      </c>
      <c r="CM18" s="23" t="e">
        <f>EXP(-LN(2)/2)*CM17+(1-EXP(-LN(2)/2))/(LN(2)/2)*CG18*CJ18*VLOOKUP('Données projet'!$B$12,Paramètres!$A$1:$I$88,3,0)*0.475*44/12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5.666666666666667</v>
      </c>
      <c r="N19" s="14">
        <f>IF('Données projet'!$A$36&gt;35,N18+M19-V18,IF(A19&lt;'Données projet'!$A$36,$K$205^A19,IF(A19='Données projet'!$A$36,'Données projet'!$B$36,N18+M19-V18)))</f>
        <v>15.472937028926689</v>
      </c>
      <c r="O19" s="14">
        <f>N19*VLOOKUP('Données projet'!$B$9,Paramètres!$A$1:$I$88,3,0)*VLOOKUP('Données projet'!$B$9,Paramètres!$A$1:$I$88,5,0)</f>
        <v>7.2413345295376894</v>
      </c>
      <c r="P19" s="14">
        <f t="shared" si="33"/>
        <v>2.6502557759113361</v>
      </c>
      <c r="Q19" s="22">
        <f t="shared" si="2"/>
        <v>17.227853115323715</v>
      </c>
      <c r="R19" s="62">
        <f t="shared" si="0"/>
        <v>293.45007533754597</v>
      </c>
      <c r="S19" s="62">
        <f ca="1">AVERAGE(OFFSET($R$3,0,0,'Données projet'!$E$9+1,1))-AVERAGE(OFFSET($H$3,0,0,'Données projet'!$E$9+1,1))</f>
        <v>316.04959780858269</v>
      </c>
      <c r="T19" s="62">
        <f t="shared" si="34"/>
        <v>213.60182977243113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162</v>
      </c>
      <c r="AJ19" s="14">
        <f>AI19*VLOOKUP('Données projet'!$B$10,Paramètres!$A$1:$I$88,3,0)*VLOOKUP('Données projet'!$B$10,Paramètres!$A$1:$I$88,5,0)</f>
        <v>90.557999999999993</v>
      </c>
      <c r="AK19" s="14">
        <f t="shared" si="35"/>
        <v>24.699752708509138</v>
      </c>
      <c r="AL19" s="22">
        <f t="shared" si="4"/>
        <v>200.74058596732007</v>
      </c>
      <c r="AM19" s="62">
        <f t="shared" si="5"/>
        <v>476.96280818954233</v>
      </c>
      <c r="AN19" s="62">
        <f ca="1">AVERAGE(OFFSET($AM$3,0,0,'Données projet'!$E$10+1,1))-AVERAGE(OFFSET($H$3,0,0,'Données projet'!$E$10+1,1))</f>
        <v>583.31979399672844</v>
      </c>
      <c r="AO19" s="62">
        <f t="shared" si="36"/>
        <v>544.21514138474731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projet'!$B$11,Paramètres!$A$1:$I$88,3,0)*VLOOKUP('Données projet'!$B$11,Paramètres!$A$1:$I$88,5,0)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projet'!$B$11,Paramètres!$A$1:$I$88,3,0)*0.475*44/12</f>
        <v>#N/A</v>
      </c>
      <c r="BQ19" s="23" t="e">
        <f>EXP(-LN(2)/25)*BQ18+(1-EXP(-LN(2)/25))/(LN(2)/25)*Calculateur!BL19*Calculateur!BN19*VLOOKUP('Données projet'!$B$11,Paramètres!$A$1:$I$88,3,0)*0.475*44/12</f>
        <v>#N/A</v>
      </c>
      <c r="BR19" s="23" t="e">
        <f>EXP(-LN(2)/2)*BR18+(1-EXP(-LN(2)/2))/(LN(2)/2)*BL19*BO19*VLOOKUP('Données projet'!$B$11,Paramètres!$A$1:$I$88,3,0)*0.475*44/12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projet'!$B$12,Paramètres!$A$1:$I$88,3,0)*0.475*44/12</f>
        <v>#N/A</v>
      </c>
      <c r="CL19" s="23" t="e">
        <f>EXP(-LN(2)/25)*CL18+(1-EXP(-LN(2)/25))/(LN(2)/25)*Calculateur!CG19*Calculateur!CI19*VLOOKUP('Données projet'!$B$12,Paramètres!$A$1:$I$88,3,0)*0.475*44/12</f>
        <v>#N/A</v>
      </c>
      <c r="CM19" s="23" t="e">
        <f>EXP(-LN(2)/2)*CM18+(1-EXP(-LN(2)/2))/(LN(2)/2)*CG19*CJ19*VLOOKUP('Données projet'!$B$12,Paramètres!$A$1:$I$88,3,0)*0.475*44/12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5.666666666666667</v>
      </c>
      <c r="N20" s="14">
        <f>IF('Données projet'!$A$36&gt;35,N19+M20-V19,IF(A20&lt;'Données projet'!$A$36,$K$205^A20,IF(A20='Données projet'!$A$36,'Données projet'!$B$36,N19+M20-V19)))</f>
        <v>18.362045340858568</v>
      </c>
      <c r="O20" s="14">
        <f>N20*VLOOKUP('Données projet'!$B$9,Paramètres!$A$1:$I$88,3,0)*VLOOKUP('Données projet'!$B$9,Paramètres!$A$1:$I$88,5,0)</f>
        <v>8.5934372195218103</v>
      </c>
      <c r="P20" s="14">
        <f t="shared" si="33"/>
        <v>3.0830597767046952</v>
      </c>
      <c r="Q20" s="22">
        <f t="shared" si="2"/>
        <v>20.336565601761166</v>
      </c>
      <c r="R20" s="62">
        <f t="shared" si="0"/>
        <v>297.78101004620561</v>
      </c>
      <c r="S20" s="62">
        <f ca="1">AVERAGE(OFFSET($R$3,0,0,'Données projet'!$E$9+1,1))-AVERAGE(OFFSET($H$3,0,0,'Données projet'!$E$9+1,1))</f>
        <v>316.04959780858269</v>
      </c>
      <c r="T20" s="62">
        <f t="shared" si="34"/>
        <v>213.60182977243113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162</v>
      </c>
      <c r="AJ20" s="14">
        <f>AI20*VLOOKUP('Données projet'!$B$10,Paramètres!$A$1:$I$88,3,0)*VLOOKUP('Données projet'!$B$10,Paramètres!$A$1:$I$88,5,0)</f>
        <v>90.557999999999993</v>
      </c>
      <c r="AK20" s="14">
        <f t="shared" si="35"/>
        <v>24.699752708509138</v>
      </c>
      <c r="AL20" s="22">
        <f t="shared" si="4"/>
        <v>200.74058596732007</v>
      </c>
      <c r="AM20" s="62">
        <f t="shared" si="5"/>
        <v>478.1850304117645</v>
      </c>
      <c r="AN20" s="62">
        <f ca="1">AVERAGE(OFFSET($AM$3,0,0,'Données projet'!$E$10+1,1))-AVERAGE(OFFSET($H$3,0,0,'Données projet'!$E$10+1,1))</f>
        <v>583.31979399672844</v>
      </c>
      <c r="AO20" s="62">
        <f t="shared" si="36"/>
        <v>544.21514138474731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projet'!$B$11,Paramètres!$A$1:$I$88,3,0)*VLOOKUP('Données projet'!$B$11,Paramètres!$A$1:$I$88,5,0)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projet'!$B$11,Paramètres!$A$1:$I$88,3,0)*0.475*44/12</f>
        <v>#N/A</v>
      </c>
      <c r="BQ20" s="23" t="e">
        <f>EXP(-LN(2)/25)*BQ19+(1-EXP(-LN(2)/25))/(LN(2)/25)*Calculateur!BL20*Calculateur!BN20*VLOOKUP('Données projet'!$B$11,Paramètres!$A$1:$I$88,3,0)*0.475*44/12</f>
        <v>#N/A</v>
      </c>
      <c r="BR20" s="23" t="e">
        <f>EXP(-LN(2)/2)*BR19+(1-EXP(-LN(2)/2))/(LN(2)/2)*BL20*BO20*VLOOKUP('Données projet'!$B$11,Paramètres!$A$1:$I$88,3,0)*0.475*44/12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projet'!$B$12,Paramètres!$A$1:$I$88,3,0)*0.475*44/12</f>
        <v>#N/A</v>
      </c>
      <c r="CL20" s="23" t="e">
        <f>EXP(-LN(2)/25)*CL19+(1-EXP(-LN(2)/25))/(LN(2)/25)*Calculateur!CG20*Calculateur!CI20*VLOOKUP('Données projet'!$B$12,Paramètres!$A$1:$I$88,3,0)*0.475*44/12</f>
        <v>#N/A</v>
      </c>
      <c r="CM20" s="23" t="e">
        <f>EXP(-LN(2)/2)*CM19+(1-EXP(-LN(2)/2))/(LN(2)/2)*CG20*CJ20*VLOOKUP('Données projet'!$B$12,Paramètres!$A$1:$I$88,3,0)*0.475*44/12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5.666666666666667</v>
      </c>
      <c r="N21" s="14">
        <f>IF('Données projet'!$A$36&gt;35,N20+M21-V20,IF(A21&lt;'Données projet'!$A$36,$K$205^A21,IF(A21='Données projet'!$A$36,'Données projet'!$B$36,N20+M21-V20)))</f>
        <v>21.790608238721305</v>
      </c>
      <c r="O21" s="14">
        <f>N21*VLOOKUP('Données projet'!$B$9,Paramètres!$A$1:$I$88,3,0)*VLOOKUP('Données projet'!$B$9,Paramètres!$A$1:$I$88,5,0)</f>
        <v>10.19800465572157</v>
      </c>
      <c r="P21" s="14">
        <f t="shared" si="33"/>
        <v>3.5865434850211249</v>
      </c>
      <c r="Q21" s="22">
        <f t="shared" si="2"/>
        <v>24.008088011793529</v>
      </c>
      <c r="R21" s="62">
        <f t="shared" si="0"/>
        <v>302.6747546784602</v>
      </c>
      <c r="S21" s="62">
        <f ca="1">AVERAGE(OFFSET($R$3,0,0,'Données projet'!$E$9+1,1))-AVERAGE(OFFSET($H$3,0,0,'Données projet'!$E$9+1,1))</f>
        <v>316.04959780858269</v>
      </c>
      <c r="T21" s="62">
        <f t="shared" si="34"/>
        <v>213.60182977243113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162</v>
      </c>
      <c r="AJ21" s="14">
        <f>AI21*VLOOKUP('Données projet'!$B$10,Paramètres!$A$1:$I$88,3,0)*VLOOKUP('Données projet'!$B$10,Paramètres!$A$1:$I$88,5,0)</f>
        <v>90.557999999999993</v>
      </c>
      <c r="AK21" s="14">
        <f t="shared" si="35"/>
        <v>24.699752708509138</v>
      </c>
      <c r="AL21" s="22">
        <f t="shared" si="4"/>
        <v>200.74058596732007</v>
      </c>
      <c r="AM21" s="62">
        <f t="shared" si="5"/>
        <v>479.40725263398679</v>
      </c>
      <c r="AN21" s="62">
        <f ca="1">AVERAGE(OFFSET($AM$3,0,0,'Données projet'!$E$10+1,1))-AVERAGE(OFFSET($H$3,0,0,'Données projet'!$E$10+1,1))</f>
        <v>583.31979399672844</v>
      </c>
      <c r="AO21" s="62">
        <f t="shared" si="36"/>
        <v>544.21514138474731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projet'!$B$11,Paramètres!$A$1:$I$88,3,0)*VLOOKUP('Données projet'!$B$11,Paramètres!$A$1:$I$88,5,0)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projet'!$B$11,Paramètres!$A$1:$I$88,3,0)*0.475*44/12</f>
        <v>#N/A</v>
      </c>
      <c r="BQ21" s="23" t="e">
        <f>EXP(-LN(2)/25)*BQ20+(1-EXP(-LN(2)/25))/(LN(2)/25)*Calculateur!BL21*Calculateur!BN21*VLOOKUP('Données projet'!$B$11,Paramètres!$A$1:$I$88,3,0)*0.475*44/12</f>
        <v>#N/A</v>
      </c>
      <c r="BR21" s="23" t="e">
        <f>EXP(-LN(2)/2)*BR20+(1-EXP(-LN(2)/2))/(LN(2)/2)*BL21*BO21*VLOOKUP('Données projet'!$B$11,Paramètres!$A$1:$I$88,3,0)*0.475*44/12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projet'!$B$12,Paramètres!$A$1:$I$88,3,0)*0.475*44/12</f>
        <v>#N/A</v>
      </c>
      <c r="CL21" s="23" t="e">
        <f>EXP(-LN(2)/25)*CL20+(1-EXP(-LN(2)/25))/(LN(2)/25)*Calculateur!CG21*Calculateur!CI21*VLOOKUP('Données projet'!$B$12,Paramètres!$A$1:$I$88,3,0)*0.475*44/12</f>
        <v>#N/A</v>
      </c>
      <c r="CM21" s="23" t="e">
        <f>EXP(-LN(2)/2)*CM20+(1-EXP(-LN(2)/2))/(LN(2)/2)*CG21*CJ21*VLOOKUP('Données projet'!$B$12,Paramètres!$A$1:$I$88,3,0)*0.475*44/12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5.666666666666667</v>
      </c>
      <c r="N22" s="14">
        <f>IF('Données projet'!$A$36&gt;35,N21+M22-V21,IF(A22&lt;'Données projet'!$A$36,$K$205^A22,IF(A22='Données projet'!$A$36,'Données projet'!$B$36,N21+M22-V21)))</f>
        <v>25.859352735441334</v>
      </c>
      <c r="O22" s="14">
        <f>N22*VLOOKUP('Données projet'!$B$9,Paramètres!$A$1:$I$88,3,0)*VLOOKUP('Données projet'!$B$9,Paramètres!$A$1:$I$88,5,0)</f>
        <v>12.102177080186545</v>
      </c>
      <c r="P22" s="14">
        <f t="shared" si="33"/>
        <v>4.1722493566752403</v>
      </c>
      <c r="Q22" s="22">
        <f t="shared" si="2"/>
        <v>28.34462604420094</v>
      </c>
      <c r="R22" s="62">
        <f t="shared" si="0"/>
        <v>308.23351493308979</v>
      </c>
      <c r="S22" s="62">
        <f ca="1">AVERAGE(OFFSET($R$3,0,0,'Données projet'!$E$9+1,1))-AVERAGE(OFFSET($H$3,0,0,'Données projet'!$E$9+1,1))</f>
        <v>316.04959780858269</v>
      </c>
      <c r="T22" s="62">
        <f t="shared" si="34"/>
        <v>213.60182977243113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162</v>
      </c>
      <c r="AJ22" s="14">
        <f>AI22*VLOOKUP('Données projet'!$B$10,Paramètres!$A$1:$I$88,3,0)*VLOOKUP('Données projet'!$B$10,Paramètres!$A$1:$I$88,5,0)</f>
        <v>90.557999999999993</v>
      </c>
      <c r="AK22" s="14">
        <f t="shared" si="35"/>
        <v>24.699752708509138</v>
      </c>
      <c r="AL22" s="22">
        <f t="shared" si="4"/>
        <v>200.74058596732007</v>
      </c>
      <c r="AM22" s="62">
        <f t="shared" si="5"/>
        <v>480.62947485620896</v>
      </c>
      <c r="AN22" s="62">
        <f ca="1">AVERAGE(OFFSET($AM$3,0,0,'Données projet'!$E$10+1,1))-AVERAGE(OFFSET($H$3,0,0,'Données projet'!$E$10+1,1))</f>
        <v>583.31979399672844</v>
      </c>
      <c r="AO22" s="62">
        <f t="shared" si="36"/>
        <v>544.21514138474731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projet'!$B$11,Paramètres!$A$1:$I$88,3,0)*VLOOKUP('Données projet'!$B$11,Paramètres!$A$1:$I$88,5,0)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projet'!$B$11,Paramètres!$A$1:$I$88,3,0)*0.475*44/12</f>
        <v>#N/A</v>
      </c>
      <c r="BQ22" s="23" t="e">
        <f>EXP(-LN(2)/25)*BQ21+(1-EXP(-LN(2)/25))/(LN(2)/25)*Calculateur!BL22*Calculateur!BN22*VLOOKUP('Données projet'!$B$11,Paramètres!$A$1:$I$88,3,0)*0.475*44/12</f>
        <v>#N/A</v>
      </c>
      <c r="BR22" s="23" t="e">
        <f>EXP(-LN(2)/2)*BR21+(1-EXP(-LN(2)/2))/(LN(2)/2)*BL22*BO22*VLOOKUP('Données projet'!$B$11,Paramètres!$A$1:$I$88,3,0)*0.475*44/12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projet'!$B$12,Paramètres!$A$1:$I$88,3,0)*0.475*44/12</f>
        <v>#N/A</v>
      </c>
      <c r="CL22" s="23" t="e">
        <f>EXP(-LN(2)/25)*CL21+(1-EXP(-LN(2)/25))/(LN(2)/25)*Calculateur!CG22*Calculateur!CI22*VLOOKUP('Données projet'!$B$12,Paramètres!$A$1:$I$88,3,0)*0.475*44/12</f>
        <v>#N/A</v>
      </c>
      <c r="CM22" s="23" t="e">
        <f>EXP(-LN(2)/2)*CM21+(1-EXP(-LN(2)/2))/(LN(2)/2)*CG22*CJ22*VLOOKUP('Données projet'!$B$12,Paramètres!$A$1:$I$88,3,0)*0.475*44/12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5.666666666666667</v>
      </c>
      <c r="N23" s="14">
        <f>IF('Données projet'!$A$36&gt;35,N22+M23-V22,IF(A23&lt;'Données projet'!$A$36,$K$205^A23,IF(A23='Données projet'!$A$36,'Données projet'!$B$36,N22+M23-V22)))</f>
        <v>30.68781360162793</v>
      </c>
      <c r="O23" s="14">
        <f>N23*VLOOKUP('Données projet'!$B$9,Paramètres!$A$1:$I$88,3,0)*VLOOKUP('Données projet'!$B$9,Paramètres!$A$1:$I$88,5,0)</f>
        <v>14.361896765561871</v>
      </c>
      <c r="P23" s="14">
        <f t="shared" si="33"/>
        <v>4.8536048055679508</v>
      </c>
      <c r="Q23" s="22">
        <f t="shared" si="2"/>
        <v>33.466998569717767</v>
      </c>
      <c r="R23" s="62">
        <f t="shared" si="0"/>
        <v>314.5781096808289</v>
      </c>
      <c r="S23" s="62">
        <f ca="1">AVERAGE(OFFSET($R$3,0,0,'Données projet'!$E$9+1,1))-AVERAGE(OFFSET($H$3,0,0,'Données projet'!$E$9+1,1))</f>
        <v>316.04959780858269</v>
      </c>
      <c r="T23" s="62">
        <f t="shared" si="34"/>
        <v>213.60182977243113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162</v>
      </c>
      <c r="AG23" s="13">
        <f>VLOOKUP(A23,'Données projet'!$A$61:$I$81,9,0)</f>
        <v>0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162</v>
      </c>
      <c r="AJ23" s="14">
        <f>AI23*VLOOKUP('Données projet'!$B$10,Paramètres!$A$1:$I$88,3,0)*VLOOKUP('Données projet'!$B$10,Paramètres!$A$1:$I$88,5,0)</f>
        <v>90.557999999999993</v>
      </c>
      <c r="AK23" s="14">
        <f t="shared" si="35"/>
        <v>24.699752708509138</v>
      </c>
      <c r="AL23" s="22">
        <f t="shared" si="4"/>
        <v>200.74058596732007</v>
      </c>
      <c r="AM23" s="62">
        <f t="shared" si="5"/>
        <v>481.85169707843124</v>
      </c>
      <c r="AN23" s="62">
        <f ca="1">AVERAGE(OFFSET($AM$3,0,0,'Données projet'!$E$10+1,1))-AVERAGE(OFFSET($H$3,0,0,'Données projet'!$E$10+1,1))</f>
        <v>583.31979399672844</v>
      </c>
      <c r="AO23" s="62">
        <f t="shared" si="36"/>
        <v>544.21514138474731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0.30800000000000005</v>
      </c>
      <c r="AT23" s="17">
        <f>IF(ISNA(VLOOKUP(A23,'Données projet'!$A$61:$I$81,7,0)),0%,VLOOKUP(A23,'Données projet'!$A$61:$I$81,7,0))</f>
        <v>0.44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projet'!$B$11,Paramètres!$A$1:$I$88,3,0)*VLOOKUP('Données projet'!$B$11,Paramètres!$A$1:$I$88,5,0)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projet'!$B$11,Paramètres!$A$1:$I$88,3,0)*0.475*44/12</f>
        <v>#N/A</v>
      </c>
      <c r="BQ23" s="23" t="e">
        <f>EXP(-LN(2)/25)*BQ22+(1-EXP(-LN(2)/25))/(LN(2)/25)*Calculateur!BL23*Calculateur!BN23*VLOOKUP('Données projet'!$B$11,Paramètres!$A$1:$I$88,3,0)*0.475*44/12</f>
        <v>#N/A</v>
      </c>
      <c r="BR23" s="23" t="e">
        <f>EXP(-LN(2)/2)*BR22+(1-EXP(-LN(2)/2))/(LN(2)/2)*BL23*BO23*VLOOKUP('Données projet'!$B$11,Paramètres!$A$1:$I$88,3,0)*0.475*44/12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projet'!$B$12,Paramètres!$A$1:$I$88,3,0)*0.475*44/12</f>
        <v>#N/A</v>
      </c>
      <c r="CL23" s="23" t="e">
        <f>EXP(-LN(2)/25)*CL22+(1-EXP(-LN(2)/25))/(LN(2)/25)*Calculateur!CG23*Calculateur!CI23*VLOOKUP('Données projet'!$B$12,Paramètres!$A$1:$I$88,3,0)*0.475*44/12</f>
        <v>#N/A</v>
      </c>
      <c r="CM23" s="23" t="e">
        <f>EXP(-LN(2)/2)*CM22+(1-EXP(-LN(2)/2))/(LN(2)/2)*CG23*CJ23*VLOOKUP('Données projet'!$B$12,Paramètres!$A$1:$I$88,3,0)*0.475*44/12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5.666666666666667</v>
      </c>
      <c r="N24" s="14">
        <f>IF('Données projet'!$A$36&gt;35,N23+M24-V23,IF(A24&lt;'Données projet'!$A$36,$K$205^A24,IF(A24='Données projet'!$A$36,'Données projet'!$B$36,N23+M24-V23)))</f>
        <v>36.417845151923039</v>
      </c>
      <c r="O24" s="14">
        <f>N24*VLOOKUP('Données projet'!$B$9,Paramètres!$A$1:$I$88,3,0)*VLOOKUP('Données projet'!$B$9,Paramètres!$A$1:$I$88,5,0)</f>
        <v>17.043551531099983</v>
      </c>
      <c r="P24" s="14">
        <f t="shared" si="33"/>
        <v>5.6462300295983905</v>
      </c>
      <c r="Q24" s="22">
        <f t="shared" si="2"/>
        <v>39.518036218216324</v>
      </c>
      <c r="R24" s="62">
        <f t="shared" si="0"/>
        <v>321.85136955154962</v>
      </c>
      <c r="S24" s="62">
        <f ca="1">AVERAGE(OFFSET($R$3,0,0,'Données projet'!$E$9+1,1))-AVERAGE(OFFSET($H$3,0,0,'Données projet'!$E$9+1,1))</f>
        <v>316.04959780858269</v>
      </c>
      <c r="T24" s="62">
        <f t="shared" si="34"/>
        <v>213.60182977243113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28.2</v>
      </c>
      <c r="AI24" s="14">
        <f>IF('Données projet'!$A$62&gt;35,AI23+AH24-AQ23,IF(A24&lt;'Données projet'!$A$62,$AF$205^A24,IF(A24='Données projet'!$A$62,'Données projet'!$B$62,AI23+AH24-AQ23)))</f>
        <v>190.2</v>
      </c>
      <c r="AJ24" s="14">
        <f>AI24*VLOOKUP('Données projet'!$B$10,Paramètres!$A$1:$I$88,3,0)*VLOOKUP('Données projet'!$B$10,Paramètres!$A$1:$I$88,5,0)</f>
        <v>106.32179999999998</v>
      </c>
      <c r="AK24" s="14">
        <f t="shared" si="35"/>
        <v>28.462664081653866</v>
      </c>
      <c r="AL24" s="22">
        <f t="shared" si="4"/>
        <v>234.7496082755471</v>
      </c>
      <c r="AM24" s="62">
        <f t="shared" si="5"/>
        <v>517.08294160888045</v>
      </c>
      <c r="AN24" s="62">
        <f ca="1">AVERAGE(OFFSET($AM$3,0,0,'Données projet'!$E$10+1,1))-AVERAGE(OFFSET($H$3,0,0,'Données projet'!$E$10+1,1))</f>
        <v>583.31979399672844</v>
      </c>
      <c r="AO24" s="62">
        <f t="shared" si="36"/>
        <v>544.21514138474731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projet'!$B$11,Paramètres!$A$1:$I$88,3,0)*VLOOKUP('Données projet'!$B$11,Paramètres!$A$1:$I$88,5,0)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projet'!$B$11,Paramètres!$A$1:$I$88,3,0)*0.475*44/12</f>
        <v>#N/A</v>
      </c>
      <c r="BQ24" s="23" t="e">
        <f>EXP(-LN(2)/25)*BQ23+(1-EXP(-LN(2)/25))/(LN(2)/25)*Calculateur!BL24*Calculateur!BN24*VLOOKUP('Données projet'!$B$11,Paramètres!$A$1:$I$88,3,0)*0.475*44/12</f>
        <v>#N/A</v>
      </c>
      <c r="BR24" s="23" t="e">
        <f>EXP(-LN(2)/2)*BR23+(1-EXP(-LN(2)/2))/(LN(2)/2)*BL24*BO24*VLOOKUP('Données projet'!$B$11,Paramètres!$A$1:$I$88,3,0)*0.475*44/12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projet'!$B$12,Paramètres!$A$1:$I$88,3,0)*0.475*44/12</f>
        <v>#N/A</v>
      </c>
      <c r="CL24" s="23" t="e">
        <f>EXP(-LN(2)/25)*CL23+(1-EXP(-LN(2)/25))/(LN(2)/25)*Calculateur!CG24*Calculateur!CI24*VLOOKUP('Données projet'!$B$12,Paramètres!$A$1:$I$88,3,0)*0.475*44/12</f>
        <v>#N/A</v>
      </c>
      <c r="CM24" s="23" t="e">
        <f>EXP(-LN(2)/2)*CM23+(1-EXP(-LN(2)/2))/(LN(2)/2)*CG24*CJ24*VLOOKUP('Données projet'!$B$12,Paramètres!$A$1:$I$88,3,0)*0.475*44/12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5.666666666666667</v>
      </c>
      <c r="N25" s="14">
        <f>IF('Données projet'!$A$36&gt;35,N24+M25-V24,IF(A25&lt;'Données projet'!$A$36,$K$205^A25,IF(A25='Données projet'!$A$36,'Données projet'!$B$36,N24+M25-V24)))</f>
        <v>43.217788752441109</v>
      </c>
      <c r="O25" s="14">
        <f>N25*VLOOKUP('Données projet'!$B$9,Paramètres!$A$1:$I$88,3,0)*VLOOKUP('Données projet'!$B$9,Paramètres!$A$1:$I$88,5,0)</f>
        <v>20.22592513614244</v>
      </c>
      <c r="P25" s="14">
        <f t="shared" si="33"/>
        <v>6.5682961065488277</v>
      </c>
      <c r="Q25" s="22">
        <f t="shared" si="2"/>
        <v>46.666601997687287</v>
      </c>
      <c r="R25" s="62">
        <f t="shared" si="0"/>
        <v>330.22215755324282</v>
      </c>
      <c r="S25" s="62">
        <f ca="1">AVERAGE(OFFSET($R$3,0,0,'Données projet'!$E$9+1,1))-AVERAGE(OFFSET($H$3,0,0,'Données projet'!$E$9+1,1))</f>
        <v>316.04959780858269</v>
      </c>
      <c r="T25" s="62">
        <f t="shared" si="34"/>
        <v>213.60182977243113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28.2</v>
      </c>
      <c r="AI25" s="14">
        <f>IF('Données projet'!$A$62&gt;35,AI24+AH25-AQ24,IF(A25&lt;'Données projet'!$A$62,$AF$205^A25,IF(A25='Données projet'!$A$62,'Données projet'!$B$62,AI24+AH25-AQ24)))</f>
        <v>218.39999999999998</v>
      </c>
      <c r="AJ25" s="14">
        <f>AI25*VLOOKUP('Données projet'!$B$10,Paramètres!$A$1:$I$88,3,0)*VLOOKUP('Données projet'!$B$10,Paramètres!$A$1:$I$88,5,0)</f>
        <v>122.0856</v>
      </c>
      <c r="AK25" s="14">
        <f t="shared" si="35"/>
        <v>32.160942364346717</v>
      </c>
      <c r="AL25" s="22">
        <f t="shared" si="4"/>
        <v>268.64606128457052</v>
      </c>
      <c r="AM25" s="62">
        <f t="shared" si="5"/>
        <v>552.20161684012601</v>
      </c>
      <c r="AN25" s="62">
        <f ca="1">AVERAGE(OFFSET($AM$3,0,0,'Données projet'!$E$10+1,1))-AVERAGE(OFFSET($H$3,0,0,'Données projet'!$E$10+1,1))</f>
        <v>583.31979399672844</v>
      </c>
      <c r="AO25" s="62">
        <f t="shared" si="36"/>
        <v>544.21514138474731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projet'!$B$11,Paramètres!$A$1:$I$88,3,0)*VLOOKUP('Données projet'!$B$11,Paramètres!$A$1:$I$88,5,0)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projet'!$B$11,Paramètres!$A$1:$I$88,3,0)*0.475*44/12</f>
        <v>#N/A</v>
      </c>
      <c r="BQ25" s="23" t="e">
        <f>EXP(-LN(2)/25)*BQ24+(1-EXP(-LN(2)/25))/(LN(2)/25)*Calculateur!BL25*Calculateur!BN25*VLOOKUP('Données projet'!$B$11,Paramètres!$A$1:$I$88,3,0)*0.475*44/12</f>
        <v>#N/A</v>
      </c>
      <c r="BR25" s="23" t="e">
        <f>EXP(-LN(2)/2)*BR24+(1-EXP(-LN(2)/2))/(LN(2)/2)*BL25*BO25*VLOOKUP('Données projet'!$B$11,Paramètres!$A$1:$I$88,3,0)*0.475*44/12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projet'!$B$12,Paramètres!$A$1:$I$88,3,0)*0.475*44/12</f>
        <v>#N/A</v>
      </c>
      <c r="CL25" s="23" t="e">
        <f>EXP(-LN(2)/25)*CL24+(1-EXP(-LN(2)/25))/(LN(2)/25)*Calculateur!CG25*Calculateur!CI25*VLOOKUP('Données projet'!$B$12,Paramètres!$A$1:$I$88,3,0)*0.475*44/12</f>
        <v>#N/A</v>
      </c>
      <c r="CM25" s="23" t="e">
        <f>EXP(-LN(2)/2)*CM24+(1-EXP(-LN(2)/2))/(LN(2)/2)*CG25*CJ25*VLOOKUP('Données projet'!$B$12,Paramètres!$A$1:$I$88,3,0)*0.475*44/12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5.666666666666667</v>
      </c>
      <c r="N26" s="14">
        <f>IF('Données projet'!$A$36&gt;35,N25+M26-V25,IF(A26&lt;'Données projet'!$A$36,$K$205^A26,IF(A26='Données projet'!$A$36,'Données projet'!$B$36,N25+M26-V25)))</f>
        <v>51.287418485604626</v>
      </c>
      <c r="O26" s="14">
        <f>N26*VLOOKUP('Données projet'!$B$9,Paramètres!$A$1:$I$88,3,0)*VLOOKUP('Données projet'!$B$9,Paramètres!$A$1:$I$88,5,0)</f>
        <v>24.002511851262966</v>
      </c>
      <c r="P26" s="14">
        <f t="shared" si="33"/>
        <v>7.6409415693559897</v>
      </c>
      <c r="Q26" s="22">
        <f t="shared" si="2"/>
        <v>55.112348040911343</v>
      </c>
      <c r="R26" s="62">
        <f t="shared" si="0"/>
        <v>339.89012581868911</v>
      </c>
      <c r="S26" s="62">
        <f ca="1">AVERAGE(OFFSET($R$3,0,0,'Données projet'!$E$9+1,1))-AVERAGE(OFFSET($H$3,0,0,'Données projet'!$E$9+1,1))</f>
        <v>316.04959780858269</v>
      </c>
      <c r="T26" s="62">
        <f t="shared" si="34"/>
        <v>213.60182977243113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28.2</v>
      </c>
      <c r="AI26" s="14">
        <f>IF('Données projet'!$A$62&gt;35,AI25+AH26-AQ25,IF(A26&lt;'Données projet'!$A$62,$AF$205^A26,IF(A26='Données projet'!$A$62,'Données projet'!$B$62,AI25+AH26-AQ25)))</f>
        <v>246.59999999999997</v>
      </c>
      <c r="AJ26" s="14">
        <f>AI26*VLOOKUP('Données projet'!$B$10,Paramètres!$A$1:$I$88,3,0)*VLOOKUP('Données projet'!$B$10,Paramètres!$A$1:$I$88,5,0)</f>
        <v>137.84939999999997</v>
      </c>
      <c r="AK26" s="14">
        <f t="shared" si="35"/>
        <v>35.803890229822542</v>
      </c>
      <c r="AL26" s="22">
        <f t="shared" si="4"/>
        <v>302.44614715027416</v>
      </c>
      <c r="AM26" s="62">
        <f t="shared" si="5"/>
        <v>587.22392492805193</v>
      </c>
      <c r="AN26" s="62">
        <f ca="1">AVERAGE(OFFSET($AM$3,0,0,'Données projet'!$E$10+1,1))-AVERAGE(OFFSET($H$3,0,0,'Données projet'!$E$10+1,1))</f>
        <v>583.31979399672844</v>
      </c>
      <c r="AO26" s="62">
        <f t="shared" si="36"/>
        <v>544.21514138474731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projet'!$B$11,Paramètres!$A$1:$I$88,3,0)*VLOOKUP('Données projet'!$B$11,Paramètres!$A$1:$I$88,5,0)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projet'!$B$11,Paramètres!$A$1:$I$88,3,0)*0.475*44/12</f>
        <v>#N/A</v>
      </c>
      <c r="BQ26" s="23" t="e">
        <f>EXP(-LN(2)/25)*BQ25+(1-EXP(-LN(2)/25))/(LN(2)/25)*Calculateur!BL26*Calculateur!BN26*VLOOKUP('Données projet'!$B$11,Paramètres!$A$1:$I$88,3,0)*0.475*44/12</f>
        <v>#N/A</v>
      </c>
      <c r="BR26" s="23" t="e">
        <f>EXP(-LN(2)/2)*BR25+(1-EXP(-LN(2)/2))/(LN(2)/2)*BL26*BO26*VLOOKUP('Données projet'!$B$11,Paramètres!$A$1:$I$88,3,0)*0.475*44/12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projet'!$B$12,Paramètres!$A$1:$I$88,3,0)*0.475*44/12</f>
        <v>#N/A</v>
      </c>
      <c r="CL26" s="23" t="e">
        <f>EXP(-LN(2)/25)*CL25+(1-EXP(-LN(2)/25))/(LN(2)/25)*Calculateur!CG26*Calculateur!CI26*VLOOKUP('Données projet'!$B$12,Paramètres!$A$1:$I$88,3,0)*0.475*44/12</f>
        <v>#N/A</v>
      </c>
      <c r="CM26" s="23" t="e">
        <f>EXP(-LN(2)/2)*CM25+(1-EXP(-LN(2)/2))/(LN(2)/2)*CG26*CJ26*VLOOKUP('Données projet'!$B$12,Paramètres!$A$1:$I$88,3,0)*0.475*44/12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5.666666666666667</v>
      </c>
      <c r="N27" s="14">
        <f>IF('Données projet'!$A$36&gt;35,N26+M27-V26,IF(A27&lt;'Données projet'!$A$36,$K$205^A27,IF(A27='Données projet'!$A$36,'Données projet'!$B$36,N26+M27-V26)))</f>
        <v>60.863810270000563</v>
      </c>
      <c r="O27" s="14">
        <f>N27*VLOOKUP('Données projet'!$B$9,Paramètres!$A$1:$I$88,3,0)*VLOOKUP('Données projet'!$B$9,Paramètres!$A$1:$I$88,5,0)</f>
        <v>28.484263206360264</v>
      </c>
      <c r="P27" s="14">
        <f t="shared" si="33"/>
        <v>8.8887570108329133</v>
      </c>
      <c r="Q27" s="22">
        <f t="shared" si="2"/>
        <v>65.091343544944792</v>
      </c>
      <c r="R27" s="62">
        <f t="shared" si="0"/>
        <v>351.09134354494478</v>
      </c>
      <c r="S27" s="62">
        <f ca="1">AVERAGE(OFFSET($R$3,0,0,'Données projet'!$E$9+1,1))-AVERAGE(OFFSET($H$3,0,0,'Données projet'!$E$9+1,1))</f>
        <v>316.04959780858269</v>
      </c>
      <c r="T27" s="62">
        <f t="shared" si="34"/>
        <v>213.60182977243113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28.2</v>
      </c>
      <c r="AI27" s="14">
        <f>IF('Données projet'!$A$62&gt;35,AI26+AH27-AQ26,IF(A27&lt;'Données projet'!$A$62,$AF$205^A27,IF(A27='Données projet'!$A$62,'Données projet'!$B$62,AI26+AH27-AQ26)))</f>
        <v>274.79999999999995</v>
      </c>
      <c r="AJ27" s="14">
        <f>AI27*VLOOKUP('Données projet'!$B$10,Paramètres!$A$1:$I$88,3,0)*VLOOKUP('Données projet'!$B$10,Paramètres!$A$1:$I$88,5,0)</f>
        <v>153.61319999999998</v>
      </c>
      <c r="AK27" s="14">
        <f t="shared" si="35"/>
        <v>39.398557339898318</v>
      </c>
      <c r="AL27" s="22">
        <f t="shared" si="4"/>
        <v>336.16214403365615</v>
      </c>
      <c r="AM27" s="62">
        <f t="shared" si="5"/>
        <v>622.1621440336562</v>
      </c>
      <c r="AN27" s="62">
        <f ca="1">AVERAGE(OFFSET($AM$3,0,0,'Données projet'!$E$10+1,1))-AVERAGE(OFFSET($H$3,0,0,'Données projet'!$E$10+1,1))</f>
        <v>583.31979399672844</v>
      </c>
      <c r="AO27" s="62">
        <f t="shared" si="36"/>
        <v>544.21514138474731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projet'!$B$11,Paramètres!$A$1:$I$88,3,0)*VLOOKUP('Données projet'!$B$11,Paramètres!$A$1:$I$88,5,0)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projet'!$B$11,Paramètres!$A$1:$I$88,3,0)*0.475*44/12</f>
        <v>#N/A</v>
      </c>
      <c r="BQ27" s="23" t="e">
        <f>EXP(-LN(2)/25)*BQ26+(1-EXP(-LN(2)/25))/(LN(2)/25)*Calculateur!BL27*Calculateur!BN27*VLOOKUP('Données projet'!$B$11,Paramètres!$A$1:$I$88,3,0)*0.475*44/12</f>
        <v>#N/A</v>
      </c>
      <c r="BR27" s="23" t="e">
        <f>EXP(-LN(2)/2)*BR26+(1-EXP(-LN(2)/2))/(LN(2)/2)*BL27*BO27*VLOOKUP('Données projet'!$B$11,Paramètres!$A$1:$I$88,3,0)*0.475*44/12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projet'!$B$12,Paramètres!$A$1:$I$88,3,0)*0.475*44/12</f>
        <v>#N/A</v>
      </c>
      <c r="CL27" s="23" t="e">
        <f>EXP(-LN(2)/25)*CL26+(1-EXP(-LN(2)/25))/(LN(2)/25)*Calculateur!CG27*Calculateur!CI27*VLOOKUP('Données projet'!$B$12,Paramètres!$A$1:$I$88,3,0)*0.475*44/12</f>
        <v>#N/A</v>
      </c>
      <c r="CM27" s="23" t="e">
        <f>EXP(-LN(2)/2)*CM26+(1-EXP(-LN(2)/2))/(LN(2)/2)*CG27*CJ27*VLOOKUP('Données projet'!$B$12,Paramètres!$A$1:$I$88,3,0)*0.475*44/12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5.666666666666667</v>
      </c>
      <c r="N28" s="14">
        <f>IF('Données projet'!$A$36&gt;35,N27+M28-V27,IF(A28&lt;'Données projet'!$A$36,$K$205^A28,IF(A28='Données projet'!$A$36,'Données projet'!$B$36,N27+M28-V27)))</f>
        <v>72.228306862868891</v>
      </c>
      <c r="O28" s="14">
        <f>N28*VLOOKUP('Données projet'!$B$9,Paramètres!$A$1:$I$88,3,0)*VLOOKUP('Données projet'!$B$9,Paramètres!$A$1:$I$88,5,0)</f>
        <v>33.802847611822642</v>
      </c>
      <c r="P28" s="14">
        <f t="shared" si="33"/>
        <v>10.340348827492802</v>
      </c>
      <c r="Q28" s="22">
        <f t="shared" si="2"/>
        <v>76.882733798474405</v>
      </c>
      <c r="R28" s="62">
        <f t="shared" si="0"/>
        <v>364.10495602069665</v>
      </c>
      <c r="S28" s="62">
        <f ca="1">AVERAGE(OFFSET($R$3,0,0,'Données projet'!$E$9+1,1))-AVERAGE(OFFSET($H$3,0,0,'Données projet'!$E$9+1,1))</f>
        <v>316.04959780858269</v>
      </c>
      <c r="T28" s="62">
        <f t="shared" si="34"/>
        <v>213.60182977243113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303</v>
      </c>
      <c r="AG28" s="13">
        <f>VLOOKUP(A28,'Données projet'!$A$61:$I$81,9,0)</f>
        <v>28.2</v>
      </c>
      <c r="AH28" s="13">
        <f t="array" ref="AH28">INDEX(AG:AG,MIN(IF(ISNUMBER(AG28:AG224),ROW(AG28:AG224),"")))</f>
        <v>28.2</v>
      </c>
      <c r="AI28" s="14">
        <f>IF('Données projet'!$A$62&gt;35,AI27+AH28-AQ27,IF(A28&lt;'Données projet'!$A$62,$AF$205^A28,IF(A28='Données projet'!$A$62,'Données projet'!$B$62,AI27+AH28-AQ27)))</f>
        <v>302.99999999999994</v>
      </c>
      <c r="AJ28" s="14">
        <f>AI28*VLOOKUP('Données projet'!$B$10,Paramètres!$A$1:$I$88,3,0)*VLOOKUP('Données projet'!$B$10,Paramètres!$A$1:$I$88,5,0)</f>
        <v>169.37699999999995</v>
      </c>
      <c r="AK28" s="14">
        <f t="shared" si="35"/>
        <v>42.950462509094685</v>
      </c>
      <c r="AL28" s="22">
        <f t="shared" si="4"/>
        <v>369.80366387000646</v>
      </c>
      <c r="AM28" s="62">
        <f t="shared" si="5"/>
        <v>657.02588609222869</v>
      </c>
      <c r="AN28" s="62">
        <f ca="1">AVERAGE(OFFSET($AM$3,0,0,'Données projet'!$E$10+1,1))-AVERAGE(OFFSET($H$3,0,0,'Données projet'!$E$10+1,1))</f>
        <v>583.31979399672844</v>
      </c>
      <c r="AO28" s="62">
        <f t="shared" si="36"/>
        <v>544.21514138474731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43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0.30800000000000005</v>
      </c>
      <c r="AT28" s="17">
        <f>IF(ISNA(VLOOKUP(A28,'Données projet'!$A$61:$I$81,7,0)),0%,VLOOKUP(A28,'Données projet'!$A$61:$I$81,7,0))</f>
        <v>0.44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9.782412641250021</v>
      </c>
      <c r="AW28" s="23">
        <f>EXP(-LN(2)/2)*AW27+(1-EXP(-LN(2)/2))/(LN(2)/2)*AQ28*AT28*VLOOKUP('Données projet'!$B$10,Paramètres!$A$1:$I$88,3,0)*0.475*44/12</f>
        <v>11.974805803683211</v>
      </c>
      <c r="AX28" s="23">
        <f t="shared" si="6"/>
        <v>21.75721844493323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projet'!$B$11,Paramètres!$A$1:$I$88,3,0)*VLOOKUP('Données projet'!$B$11,Paramètres!$A$1:$I$88,5,0)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projet'!$B$11,Paramètres!$A$1:$I$88,3,0)*0.475*44/12</f>
        <v>#N/A</v>
      </c>
      <c r="BQ28" s="23" t="e">
        <f>EXP(-LN(2)/25)*BQ27+(1-EXP(-LN(2)/25))/(LN(2)/25)*Calculateur!BL28*Calculateur!BN28*VLOOKUP('Données projet'!$B$11,Paramètres!$A$1:$I$88,3,0)*0.475*44/12</f>
        <v>#N/A</v>
      </c>
      <c r="BR28" s="23" t="e">
        <f>EXP(-LN(2)/2)*BR27+(1-EXP(-LN(2)/2))/(LN(2)/2)*BL28*BO28*VLOOKUP('Données projet'!$B$11,Paramètres!$A$1:$I$88,3,0)*0.475*44/12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projet'!$B$12,Paramètres!$A$1:$I$88,3,0)*0.475*44/12</f>
        <v>#N/A</v>
      </c>
      <c r="CL28" s="23" t="e">
        <f>EXP(-LN(2)/25)*CL27+(1-EXP(-LN(2)/25))/(LN(2)/25)*Calculateur!CG28*Calculateur!CI28*VLOOKUP('Données projet'!$B$12,Paramètres!$A$1:$I$88,3,0)*0.475*44/12</f>
        <v>#N/A</v>
      </c>
      <c r="CM28" s="23" t="e">
        <f>EXP(-LN(2)/2)*CM27+(1-EXP(-LN(2)/2))/(LN(2)/2)*CG28*CJ28*VLOOKUP('Données projet'!$B$12,Paramètres!$A$1:$I$88,3,0)*0.475*44/12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5.666666666666667</v>
      </c>
      <c r="N29" s="14">
        <f>IF('Données projet'!$A$36&gt;35,N28+M29-V28,IF(A29&lt;'Données projet'!$A$36,$K$205^A29,IF(A29='Données projet'!$A$36,'Données projet'!$B$36,N28+M29-V28)))</f>
        <v>85.714783368535649</v>
      </c>
      <c r="O29" s="14">
        <f>N29*VLOOKUP('Données projet'!$B$9,Paramètres!$A$1:$I$88,3,0)*VLOOKUP('Données projet'!$B$9,Paramètres!$A$1:$I$88,5,0)</f>
        <v>40.114518616474683</v>
      </c>
      <c r="P29" s="14">
        <f t="shared" si="33"/>
        <v>12.028995026405015</v>
      </c>
      <c r="Q29" s="22">
        <f t="shared" si="2"/>
        <v>90.816619594682138</v>
      </c>
      <c r="R29" s="62">
        <f t="shared" si="0"/>
        <v>379.26106403912661</v>
      </c>
      <c r="S29" s="62">
        <f ca="1">AVERAGE(OFFSET($R$3,0,0,'Données projet'!$E$9+1,1))-AVERAGE(OFFSET($H$3,0,0,'Données projet'!$E$9+1,1))</f>
        <v>316.04959780858269</v>
      </c>
      <c r="T29" s="62">
        <f t="shared" si="34"/>
        <v>213.60182977243113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31.8</v>
      </c>
      <c r="AI29" s="14">
        <f>IF('Données projet'!$A$62&gt;35,AI28+AH29-AQ28,IF(A29&lt;'Données projet'!$A$62,$AF$205^A29,IF(A29='Données projet'!$A$62,'Données projet'!$B$62,AI28+AH29-AQ28)))</f>
        <v>291.79999999999995</v>
      </c>
      <c r="AJ29" s="14">
        <f>AI29*VLOOKUP('Données projet'!$B$10,Paramètres!$A$1:$I$88,3,0)*VLOOKUP('Données projet'!$B$10,Paramètres!$A$1:$I$88,5,0)</f>
        <v>163.11619999999996</v>
      </c>
      <c r="AK29" s="14">
        <f t="shared" si="35"/>
        <v>41.544592017733109</v>
      </c>
      <c r="AL29" s="22">
        <f t="shared" si="4"/>
        <v>356.4508794308851</v>
      </c>
      <c r="AM29" s="62">
        <f t="shared" si="5"/>
        <v>644.8953238753295</v>
      </c>
      <c r="AN29" s="62">
        <f ca="1">AVERAGE(OFFSET($AM$3,0,0,'Données projet'!$E$10+1,1))-AVERAGE(OFFSET($H$3,0,0,'Données projet'!$E$10+1,1))</f>
        <v>583.31979399672844</v>
      </c>
      <c r="AO29" s="62">
        <f t="shared" si="36"/>
        <v>544.21514138474731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9.514912053140316</v>
      </c>
      <c r="AW29" s="23">
        <f>EXP(-LN(2)/2)*AW28+(1-EXP(-LN(2)/2))/(LN(2)/2)*AQ29*AT29*VLOOKUP('Données projet'!$B$10,Paramètres!$A$1:$I$88,3,0)*0.475*44/12</f>
        <v>8.4674663871764242</v>
      </c>
      <c r="AX29" s="23">
        <f t="shared" si="6"/>
        <v>17.98237844031674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projet'!$B$11,Paramètres!$A$1:$I$88,3,0)*VLOOKUP('Données projet'!$B$11,Paramètres!$A$1:$I$88,5,0)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projet'!$B$11,Paramètres!$A$1:$I$88,3,0)*0.475*44/12</f>
        <v>#N/A</v>
      </c>
      <c r="BQ29" s="23" t="e">
        <f>EXP(-LN(2)/25)*BQ28+(1-EXP(-LN(2)/25))/(LN(2)/25)*Calculateur!BL29*Calculateur!BN29*VLOOKUP('Données projet'!$B$11,Paramètres!$A$1:$I$88,3,0)*0.475*44/12</f>
        <v>#N/A</v>
      </c>
      <c r="BR29" s="23" t="e">
        <f>EXP(-LN(2)/2)*BR28+(1-EXP(-LN(2)/2))/(LN(2)/2)*BL29*BO29*VLOOKUP('Données projet'!$B$11,Paramètres!$A$1:$I$88,3,0)*0.475*44/12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projet'!$B$12,Paramètres!$A$1:$I$88,3,0)*0.475*44/12</f>
        <v>#N/A</v>
      </c>
      <c r="CL29" s="23" t="e">
        <f>EXP(-LN(2)/25)*CL28+(1-EXP(-LN(2)/25))/(LN(2)/25)*Calculateur!CG29*Calculateur!CI29*VLOOKUP('Données projet'!$B$12,Paramètres!$A$1:$I$88,3,0)*0.475*44/12</f>
        <v>#N/A</v>
      </c>
      <c r="CM29" s="23" t="e">
        <f>EXP(-LN(2)/2)*CM28+(1-EXP(-LN(2)/2))/(LN(2)/2)*CG29*CJ29*VLOOKUP('Données projet'!$B$12,Paramètres!$A$1:$I$88,3,0)*0.475*44/12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5.666666666666667</v>
      </c>
      <c r="N30" s="14">
        <f>IF('Données projet'!$A$36&gt;35,N29+M30-V29,IF(A30&lt;'Données projet'!$A$36,$K$205^A30,IF(A30='Données projet'!$A$36,'Données projet'!$B$36,N29+M30-V29)))</f>
        <v>101.71945608338704</v>
      </c>
      <c r="O30" s="14">
        <f>N30*VLOOKUP('Données projet'!$B$9,Paramètres!$A$1:$I$88,3,0)*VLOOKUP('Données projet'!$B$9,Paramètres!$A$1:$I$88,5,0)</f>
        <v>47.604705447025133</v>
      </c>
      <c r="P30" s="14">
        <f t="shared" si="33"/>
        <v>13.993408129574757</v>
      </c>
      <c r="Q30" s="22">
        <f t="shared" si="2"/>
        <v>107.28338114591146</v>
      </c>
      <c r="R30" s="62">
        <f t="shared" si="0"/>
        <v>396.95004781257813</v>
      </c>
      <c r="S30" s="62">
        <f ca="1">AVERAGE(OFFSET($R$3,0,0,'Données projet'!$E$9+1,1))-AVERAGE(OFFSET($H$3,0,0,'Données projet'!$E$9+1,1))</f>
        <v>316.04959780858269</v>
      </c>
      <c r="T30" s="62">
        <f t="shared" si="34"/>
        <v>213.60182977243113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31.8</v>
      </c>
      <c r="AI30" s="14">
        <f>IF('Données projet'!$A$62&gt;35,AI29+AH30-AQ29,IF(A30&lt;'Données projet'!$A$62,$AF$205^A30,IF(A30='Données projet'!$A$62,'Données projet'!$B$62,AI29+AH30-AQ29)))</f>
        <v>323.59999999999997</v>
      </c>
      <c r="AJ30" s="14">
        <f>AI30*VLOOKUP('Données projet'!$B$10,Paramètres!$A$1:$I$88,3,0)*VLOOKUP('Données projet'!$B$10,Paramètres!$A$1:$I$88,5,0)</f>
        <v>180.89240000000001</v>
      </c>
      <c r="AK30" s="14">
        <f t="shared" si="35"/>
        <v>45.520671542487669</v>
      </c>
      <c r="AL30" s="22">
        <f t="shared" si="4"/>
        <v>394.33609960316602</v>
      </c>
      <c r="AM30" s="62">
        <f t="shared" si="5"/>
        <v>684.0027662698327</v>
      </c>
      <c r="AN30" s="62">
        <f ca="1">AVERAGE(OFFSET($AM$3,0,0,'Données projet'!$E$10+1,1))-AVERAGE(OFFSET($H$3,0,0,'Données projet'!$E$10+1,1))</f>
        <v>583.31979399672844</v>
      </c>
      <c r="AO30" s="62">
        <f t="shared" si="36"/>
        <v>544.21514138474731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9.2547262826797159</v>
      </c>
      <c r="AW30" s="23">
        <f>EXP(-LN(2)/2)*AW29+(1-EXP(-LN(2)/2))/(LN(2)/2)*AQ30*AT30*VLOOKUP('Données projet'!$B$10,Paramètres!$A$1:$I$88,3,0)*0.475*44/12</f>
        <v>5.9874029018416062</v>
      </c>
      <c r="AX30" s="23">
        <f t="shared" si="6"/>
        <v>15.242129184521321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projet'!$B$11,Paramètres!$A$1:$I$88,3,0)*VLOOKUP('Données projet'!$B$11,Paramètres!$A$1:$I$88,5,0)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projet'!$B$11,Paramètres!$A$1:$I$88,3,0)*0.475*44/12</f>
        <v>#N/A</v>
      </c>
      <c r="BQ30" s="23" t="e">
        <f>EXP(-LN(2)/25)*BQ29+(1-EXP(-LN(2)/25))/(LN(2)/25)*Calculateur!BL30*Calculateur!BN30*VLOOKUP('Données projet'!$B$11,Paramètres!$A$1:$I$88,3,0)*0.475*44/12</f>
        <v>#N/A</v>
      </c>
      <c r="BR30" s="23" t="e">
        <f>EXP(-LN(2)/2)*BR29+(1-EXP(-LN(2)/2))/(LN(2)/2)*BL30*BO30*VLOOKUP('Données projet'!$B$11,Paramètres!$A$1:$I$88,3,0)*0.475*44/12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projet'!$B$12,Paramètres!$A$1:$I$88,3,0)*0.475*44/12</f>
        <v>#N/A</v>
      </c>
      <c r="CL30" s="23" t="e">
        <f>EXP(-LN(2)/25)*CL29+(1-EXP(-LN(2)/25))/(LN(2)/25)*Calculateur!CG30*Calculateur!CI30*VLOOKUP('Données projet'!$B$12,Paramètres!$A$1:$I$88,3,0)*0.475*44/12</f>
        <v>#N/A</v>
      </c>
      <c r="CM30" s="23" t="e">
        <f>EXP(-LN(2)/2)*CM29+(1-EXP(-LN(2)/2))/(LN(2)/2)*CG30*CJ30*VLOOKUP('Données projet'!$B$12,Paramètres!$A$1:$I$88,3,0)*0.475*44/12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5.666666666666667</v>
      </c>
      <c r="N31" s="14">
        <f>IF('Données projet'!$A$36&gt;35,N30+M31-V30,IF(A31&lt;'Données projet'!$A$36,$K$205^A31,IF(A31='Données projet'!$A$36,'Données projet'!$B$36,N30+M31-V30)))</f>
        <v>120.71252284933438</v>
      </c>
      <c r="O31" s="14">
        <f>N31*VLOOKUP('Données projet'!$B$9,Paramètres!$A$1:$I$88,3,0)*VLOOKUP('Données projet'!$B$9,Paramètres!$A$1:$I$88,5,0)</f>
        <v>56.493460693488487</v>
      </c>
      <c r="P31" s="14">
        <f t="shared" si="33"/>
        <v>16.278622665568623</v>
      </c>
      <c r="Q31" s="22">
        <f t="shared" si="2"/>
        <v>126.74471185035777</v>
      </c>
      <c r="R31" s="62">
        <f t="shared" si="0"/>
        <v>417.63360073924662</v>
      </c>
      <c r="S31" s="62">
        <f ca="1">AVERAGE(OFFSET($R$3,0,0,'Données projet'!$E$9+1,1))-AVERAGE(OFFSET($H$3,0,0,'Données projet'!$E$9+1,1))</f>
        <v>316.04959780858269</v>
      </c>
      <c r="T31" s="62">
        <f t="shared" si="34"/>
        <v>213.60182977243113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31.8</v>
      </c>
      <c r="AI31" s="14">
        <f>IF('Données projet'!$A$62&gt;35,AI30+AH31-AQ30,IF(A31&lt;'Données projet'!$A$62,$AF$205^A31,IF(A31='Données projet'!$A$62,'Données projet'!$B$62,AI30+AH31-AQ30)))</f>
        <v>355.4</v>
      </c>
      <c r="AJ31" s="14">
        <f>AI31*VLOOKUP('Données projet'!$B$10,Paramètres!$A$1:$I$88,3,0)*VLOOKUP('Données projet'!$B$10,Paramètres!$A$1:$I$88,5,0)</f>
        <v>198.66859999999997</v>
      </c>
      <c r="AK31" s="14">
        <f t="shared" si="35"/>
        <v>49.451452656287465</v>
      </c>
      <c r="AL31" s="22">
        <f t="shared" si="4"/>
        <v>432.14242504303394</v>
      </c>
      <c r="AM31" s="62">
        <f t="shared" si="5"/>
        <v>723.0313139319228</v>
      </c>
      <c r="AN31" s="62">
        <f ca="1">AVERAGE(OFFSET($AM$3,0,0,'Données projet'!$E$10+1,1))-AVERAGE(OFFSET($H$3,0,0,'Données projet'!$E$10+1,1))</f>
        <v>583.31979399672844</v>
      </c>
      <c r="AO31" s="62">
        <f t="shared" si="36"/>
        <v>544.21514138474731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9.0016553057949356</v>
      </c>
      <c r="AW31" s="23">
        <f>EXP(-LN(2)/2)*AW30+(1-EXP(-LN(2)/2))/(LN(2)/2)*AQ31*AT31*VLOOKUP('Données projet'!$B$10,Paramètres!$A$1:$I$88,3,0)*0.475*44/12</f>
        <v>4.233733193588213</v>
      </c>
      <c r="AX31" s="23">
        <f t="shared" si="6"/>
        <v>13.235388499383149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projet'!$B$11,Paramètres!$A$1:$I$88,3,0)*VLOOKUP('Données projet'!$B$11,Paramètres!$A$1:$I$88,5,0)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projet'!$B$11,Paramètres!$A$1:$I$88,3,0)*0.475*44/12</f>
        <v>#N/A</v>
      </c>
      <c r="BQ31" s="23" t="e">
        <f>EXP(-LN(2)/25)*BQ30+(1-EXP(-LN(2)/25))/(LN(2)/25)*Calculateur!BL31*Calculateur!BN31*VLOOKUP('Données projet'!$B$11,Paramètres!$A$1:$I$88,3,0)*0.475*44/12</f>
        <v>#N/A</v>
      </c>
      <c r="BR31" s="23" t="e">
        <f>EXP(-LN(2)/2)*BR30+(1-EXP(-LN(2)/2))/(LN(2)/2)*BL31*BO31*VLOOKUP('Données projet'!$B$11,Paramètres!$A$1:$I$88,3,0)*0.475*44/12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projet'!$B$12,Paramètres!$A$1:$I$88,3,0)*0.475*44/12</f>
        <v>#N/A</v>
      </c>
      <c r="CL31" s="23" t="e">
        <f>EXP(-LN(2)/25)*CL30+(1-EXP(-LN(2)/25))/(LN(2)/25)*Calculateur!CG31*Calculateur!CI31*VLOOKUP('Données projet'!$B$12,Paramètres!$A$1:$I$88,3,0)*0.475*44/12</f>
        <v>#N/A</v>
      </c>
      <c r="CM31" s="23" t="e">
        <f>EXP(-LN(2)/2)*CM30+(1-EXP(-LN(2)/2))/(LN(2)/2)*CG31*CJ31*VLOOKUP('Données projet'!$B$12,Paramètres!$A$1:$I$88,3,0)*0.475*44/12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5.666666666666667</v>
      </c>
      <c r="N32" s="14">
        <f>IF('Données projet'!$A$36&gt;35,N31+M32-V31,IF(A32&lt;'Données projet'!$A$36,$K$205^A32,IF(A32='Données projet'!$A$36,'Données projet'!$B$36,N31+M32-V31)))</f>
        <v>143.25197689521377</v>
      </c>
      <c r="O32" s="14">
        <f>N32*VLOOKUP('Données projet'!$B$9,Paramètres!$A$1:$I$88,3,0)*VLOOKUP('Données projet'!$B$9,Paramètres!$A$1:$I$88,5,0)</f>
        <v>67.041925186960043</v>
      </c>
      <c r="P32" s="14">
        <f t="shared" si="33"/>
        <v>18.93702759429323</v>
      </c>
      <c r="Q32" s="22">
        <f t="shared" si="2"/>
        <v>149.74667609401612</v>
      </c>
      <c r="R32" s="62">
        <f t="shared" si="0"/>
        <v>441.85778720512724</v>
      </c>
      <c r="S32" s="62">
        <f ca="1">AVERAGE(OFFSET($R$3,0,0,'Données projet'!$E$9+1,1))-AVERAGE(OFFSET($H$3,0,0,'Données projet'!$E$9+1,1))</f>
        <v>316.04959780858269</v>
      </c>
      <c r="T32" s="62">
        <f t="shared" si="34"/>
        <v>213.60182977243113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31.8</v>
      </c>
      <c r="AI32" s="14">
        <f>IF('Données projet'!$A$62&gt;35,AI31+AH32-AQ31,IF(A32&lt;'Données projet'!$A$62,$AF$205^A32,IF(A32='Données projet'!$A$62,'Données projet'!$B$62,AI31+AH32-AQ31)))</f>
        <v>387.2</v>
      </c>
      <c r="AJ32" s="14">
        <f>AI32*VLOOKUP('Données projet'!$B$10,Paramètres!$A$1:$I$88,3,0)*VLOOKUP('Données projet'!$B$10,Paramètres!$A$1:$I$88,5,0)</f>
        <v>216.44479999999999</v>
      </c>
      <c r="AK32" s="14">
        <f t="shared" si="35"/>
        <v>53.341449419561528</v>
      </c>
      <c r="AL32" s="22">
        <f t="shared" si="4"/>
        <v>469.87771773906962</v>
      </c>
      <c r="AM32" s="62">
        <f t="shared" si="5"/>
        <v>761.98882885018077</v>
      </c>
      <c r="AN32" s="62">
        <f ca="1">AVERAGE(OFFSET($AM$3,0,0,'Données projet'!$E$10+1,1))-AVERAGE(OFFSET($H$3,0,0,'Données projet'!$E$10+1,1))</f>
        <v>583.31979399672844</v>
      </c>
      <c r="AO32" s="62">
        <f t="shared" si="36"/>
        <v>544.21514138474731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8.7555045680814949</v>
      </c>
      <c r="AW32" s="23">
        <f>EXP(-LN(2)/2)*AW31+(1-EXP(-LN(2)/2))/(LN(2)/2)*AQ32*AT32*VLOOKUP('Données projet'!$B$10,Paramètres!$A$1:$I$88,3,0)*0.475*44/12</f>
        <v>2.993701450920804</v>
      </c>
      <c r="AX32" s="23">
        <f t="shared" si="6"/>
        <v>11.749206019002299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projet'!$B$11,Paramètres!$A$1:$I$88,3,0)*VLOOKUP('Données projet'!$B$11,Paramètres!$A$1:$I$88,5,0)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projet'!$B$11,Paramètres!$A$1:$I$88,3,0)*0.475*44/12</f>
        <v>#N/A</v>
      </c>
      <c r="BQ32" s="23" t="e">
        <f>EXP(-LN(2)/25)*BQ31+(1-EXP(-LN(2)/25))/(LN(2)/25)*Calculateur!BL32*Calculateur!BN32*VLOOKUP('Données projet'!$B$11,Paramètres!$A$1:$I$88,3,0)*0.475*44/12</f>
        <v>#N/A</v>
      </c>
      <c r="BR32" s="23" t="e">
        <f>EXP(-LN(2)/2)*BR31+(1-EXP(-LN(2)/2))/(LN(2)/2)*BL32*BO32*VLOOKUP('Données projet'!$B$11,Paramètres!$A$1:$I$88,3,0)*0.475*44/12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projet'!$B$12,Paramètres!$A$1:$I$88,3,0)*0.475*44/12</f>
        <v>#N/A</v>
      </c>
      <c r="CL32" s="23" t="e">
        <f>EXP(-LN(2)/25)*CL31+(1-EXP(-LN(2)/25))/(LN(2)/25)*Calculateur!CG32*Calculateur!CI32*VLOOKUP('Données projet'!$B$12,Paramètres!$A$1:$I$88,3,0)*0.475*44/12</f>
        <v>#N/A</v>
      </c>
      <c r="CM32" s="23" t="e">
        <f>EXP(-LN(2)/2)*CM31+(1-EXP(-LN(2)/2))/(LN(2)/2)*CG32*CJ32*VLOOKUP('Données projet'!$B$12,Paramètres!$A$1:$I$88,3,0)*0.475*44/12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170</v>
      </c>
      <c r="L33" s="13">
        <f>VLOOKUP(A33,'Données projet'!$A$35:$I$55,9,0)</f>
        <v>5.666666666666667</v>
      </c>
      <c r="M33" s="13">
        <f t="array" ref="M33">INDEX(L:L,MIN(IF(ISNUMBER(L33:L229),ROW(L33:L229),"")))</f>
        <v>5.666666666666667</v>
      </c>
      <c r="N33" s="14">
        <f>IF('Données projet'!$A$36&gt;35,N32+M33-V32,IF(A33&lt;'Données projet'!$A$36,$K$205^A33,IF(A33='Données projet'!$A$36,'Données projet'!$B$36,N32+M33-V32)))</f>
        <v>170</v>
      </c>
      <c r="O33" s="14">
        <f>N33*VLOOKUP('Données projet'!$B$9,Paramètres!$A$1:$I$88,3,0)*VLOOKUP('Données projet'!$B$9,Paramètres!$A$1:$I$88,5,0)</f>
        <v>79.56</v>
      </c>
      <c r="P33" s="14">
        <f t="shared" si="33"/>
        <v>22.029567333453311</v>
      </c>
      <c r="Q33" s="22">
        <f t="shared" si="2"/>
        <v>176.93516310576453</v>
      </c>
      <c r="R33" s="62">
        <f t="shared" si="0"/>
        <v>470.26849643909782</v>
      </c>
      <c r="S33" s="62">
        <f ca="1">AVERAGE(OFFSET($R$3,0,0,'Données projet'!$E$9+1,1))-AVERAGE(OFFSET($H$3,0,0,'Données projet'!$E$9+1,1))</f>
        <v>316.04959780858269</v>
      </c>
      <c r="T33" s="62">
        <f t="shared" si="34"/>
        <v>213.60182977243113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40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0.30800000000000005</v>
      </c>
      <c r="Y33" s="17">
        <f>IF(ISNA(VLOOKUP(A33,'Données projet'!$A$35:$I$55,7,0)),0%,VLOOKUP(A33,'Données projet'!$A$35:$I$55,7,0))</f>
        <v>0.44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7.6185366162250032</v>
      </c>
      <c r="AB33" s="23">
        <f>EXP(-LN(2)/2)*AB32+(1-EXP(-LN(2)/2))/(LN(2)/2)*V33*Y33*VLOOKUP('Données projet'!$B$9,Paramètres!$A$1:$I$88,3,0)*0.475*44/12</f>
        <v>9.3259709882659934</v>
      </c>
      <c r="AC33" s="24">
        <f t="shared" si="3"/>
        <v>16.944507604490997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419</v>
      </c>
      <c r="AG33" s="13">
        <f>VLOOKUP(A33,'Données projet'!$A$61:$I$81,9,0)</f>
        <v>31.8</v>
      </c>
      <c r="AH33" s="13">
        <f t="array" ref="AH33">INDEX(AG:AG,MIN(IF(ISNUMBER(AG33:AG229),ROW(AG33:AG229),"")))</f>
        <v>31.8</v>
      </c>
      <c r="AI33" s="14">
        <f>IF('Données projet'!$A$62&gt;35,AI32+AH33-AQ32,IF(A33&lt;'Données projet'!$A$62,$AF$205^A33,IF(A33='Données projet'!$A$62,'Données projet'!$B$62,AI32+AH33-AQ32)))</f>
        <v>419</v>
      </c>
      <c r="AJ33" s="14">
        <f>AI33*VLOOKUP('Données projet'!$B$10,Paramètres!$A$1:$I$88,3,0)*VLOOKUP('Données projet'!$B$10,Paramètres!$A$1:$I$88,5,0)</f>
        <v>234.221</v>
      </c>
      <c r="AK33" s="14">
        <f t="shared" si="35"/>
        <v>57.194392182630075</v>
      </c>
      <c r="AL33" s="22">
        <f t="shared" si="4"/>
        <v>507.54847471808063</v>
      </c>
      <c r="AM33" s="62">
        <f t="shared" si="5"/>
        <v>800.88180805141394</v>
      </c>
      <c r="AN33" s="62">
        <f ca="1">AVERAGE(OFFSET($AM$3,0,0,'Données projet'!$E$10+1,1))-AVERAGE(OFFSET($H$3,0,0,'Données projet'!$E$10+1,1))</f>
        <v>583.31979399672844</v>
      </c>
      <c r="AO33" s="62">
        <f t="shared" si="36"/>
        <v>544.21514138474731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60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0.30800000000000005</v>
      </c>
      <c r="AT33" s="17">
        <f>IF(ISNA(VLOOKUP(A33,'Données projet'!$A$61:$I$81,7,0)),0%,VLOOKUP(A33,'Données projet'!$A$61:$I$81,7,0))</f>
        <v>0.44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22.165962939305132</v>
      </c>
      <c r="AW33" s="23">
        <f>EXP(-LN(2)/2)*AW32+(1-EXP(-LN(2)/2))/(LN(2)/2)*AQ33*AT33*VLOOKUP('Données projet'!$B$10,Paramètres!$A$1:$I$88,3,0)*0.475*44/12</f>
        <v>18.825897950770681</v>
      </c>
      <c r="AX33" s="23">
        <f t="shared" si="6"/>
        <v>40.991860890075813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projet'!$B$11,Paramètres!$A$1:$I$88,3,0)*VLOOKUP('Données projet'!$B$11,Paramètres!$A$1:$I$88,5,0)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projet'!$B$11,Paramètres!$A$1:$I$88,3,0)*0.475*44/12</f>
        <v>#N/A</v>
      </c>
      <c r="BQ33" s="23" t="e">
        <f>EXP(-LN(2)/25)*BQ32+(1-EXP(-LN(2)/25))/(LN(2)/25)*Calculateur!BL33*Calculateur!BN33*VLOOKUP('Données projet'!$B$11,Paramètres!$A$1:$I$88,3,0)*0.475*44/12</f>
        <v>#N/A</v>
      </c>
      <c r="BR33" s="23" t="e">
        <f>EXP(-LN(2)/2)*BR32+(1-EXP(-LN(2)/2))/(LN(2)/2)*BL33*BO33*VLOOKUP('Données projet'!$B$11,Paramètres!$A$1:$I$88,3,0)*0.475*44/12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projet'!$B$12,Paramètres!$A$1:$I$88,3,0)*0.475*44/12</f>
        <v>#N/A</v>
      </c>
      <c r="CL33" s="23" t="e">
        <f>EXP(-LN(2)/25)*CL32+(1-EXP(-LN(2)/25))/(LN(2)/25)*Calculateur!CG33*Calculateur!CI33*VLOOKUP('Données projet'!$B$12,Paramètres!$A$1:$I$88,3,0)*0.475*44/12</f>
        <v>#N/A</v>
      </c>
      <c r="CM33" s="23" t="e">
        <f>EXP(-LN(2)/2)*CM32+(1-EXP(-LN(2)/2))/(LN(2)/2)*CG33*CJ33*VLOOKUP('Données projet'!$B$12,Paramètres!$A$1:$I$88,3,0)*0.475*44/12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140</v>
      </c>
      <c r="O34" s="14">
        <f>N34*VLOOKUP('Données projet'!$B$9,Paramètres!$A$1:$I$88,3,0)*VLOOKUP('Données projet'!$B$9,Paramètres!$A$1:$I$88,5,0)</f>
        <v>65.52</v>
      </c>
      <c r="P34" s="14">
        <f t="shared" si="33"/>
        <v>18.556669503136725</v>
      </c>
      <c r="Q34" s="22">
        <f t="shared" si="2"/>
        <v>146.43353271796309</v>
      </c>
      <c r="R34" s="62">
        <f t="shared" si="0"/>
        <v>439.7668660512964</v>
      </c>
      <c r="S34" s="62">
        <f ca="1">AVERAGE(OFFSET($R$3,0,0,'Données projet'!$E$9+1,1))-AVERAGE(OFFSET($H$3,0,0,'Données projet'!$E$9+1,1))</f>
        <v>316.04959780858269</v>
      </c>
      <c r="T34" s="62">
        <f t="shared" si="34"/>
        <v>213.60182977243113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7.4102073318129023</v>
      </c>
      <c r="AB34" s="23">
        <f>EXP(-LN(2)/2)*AB33+(1-EXP(-LN(2)/2))/(LN(2)/2)*V34*Y34*VLOOKUP('Données projet'!$B$9,Paramètres!$A$1:$I$88,3,0)*0.475*44/12</f>
        <v>6.5944573269518925</v>
      </c>
      <c r="AC34" s="24">
        <f t="shared" si="3"/>
        <v>14.004664658764796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33</v>
      </c>
      <c r="AI34" s="14">
        <f>IF('Données projet'!$A$62&gt;35,AI33+AH34-AQ33,IF(A34&lt;'Données projet'!$A$62,$AF$205^A34,IF(A34='Données projet'!$A$62,'Données projet'!$B$62,AI33+AH34-AQ33)))</f>
        <v>392</v>
      </c>
      <c r="AJ34" s="14">
        <f>AI34*VLOOKUP('Données projet'!$B$10,Paramètres!$A$1:$I$88,3,0)*VLOOKUP('Données projet'!$B$10,Paramètres!$A$1:$I$88,5,0)</f>
        <v>219.12800000000001</v>
      </c>
      <c r="AK34" s="14">
        <f t="shared" si="35"/>
        <v>53.925317044064428</v>
      </c>
      <c r="AL34" s="22">
        <f t="shared" si="4"/>
        <v>475.56786051841215</v>
      </c>
      <c r="AM34" s="62">
        <f t="shared" si="5"/>
        <v>768.90119385174546</v>
      </c>
      <c r="AN34" s="62">
        <f ca="1">AVERAGE(OFFSET($AM$3,0,0,'Données projet'!$E$10+1,1))-AVERAGE(OFFSET($H$3,0,0,'Données projet'!$E$10+1,1))</f>
        <v>583.31979399672844</v>
      </c>
      <c r="AO34" s="62">
        <f t="shared" si="36"/>
        <v>544.21514138474731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21.559833517072502</v>
      </c>
      <c r="AW34" s="23">
        <f>EXP(-LN(2)/2)*AW33+(1-EXP(-LN(2)/2))/(LN(2)/2)*AQ34*AT34*VLOOKUP('Données projet'!$B$10,Paramètres!$A$1:$I$88,3,0)*0.475*44/12</f>
        <v>13.311920102915879</v>
      </c>
      <c r="AX34" s="23">
        <f t="shared" si="6"/>
        <v>34.871753619988382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projet'!$B$11,Paramètres!$A$1:$I$88,3,0)*VLOOKUP('Données projet'!$B$11,Paramètres!$A$1:$I$88,5,0)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projet'!$B$11,Paramètres!$A$1:$I$88,3,0)*0.475*44/12</f>
        <v>#N/A</v>
      </c>
      <c r="BQ34" s="23" t="e">
        <f>EXP(-LN(2)/25)*BQ33+(1-EXP(-LN(2)/25))/(LN(2)/25)*Calculateur!BL34*Calculateur!BN34*VLOOKUP('Données projet'!$B$11,Paramètres!$A$1:$I$88,3,0)*0.475*44/12</f>
        <v>#N/A</v>
      </c>
      <c r="BR34" s="23" t="e">
        <f>EXP(-LN(2)/2)*BR33+(1-EXP(-LN(2)/2))/(LN(2)/2)*BL34*BO34*VLOOKUP('Données projet'!$B$11,Paramètres!$A$1:$I$88,3,0)*0.475*44/12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projet'!$B$12,Paramètres!$A$1:$I$88,3,0)*0.475*44/12</f>
        <v>#N/A</v>
      </c>
      <c r="CL34" s="23" t="e">
        <f>EXP(-LN(2)/25)*CL33+(1-EXP(-LN(2)/25))/(LN(2)/25)*Calculateur!CG34*Calculateur!CI34*VLOOKUP('Données projet'!$B$12,Paramètres!$A$1:$I$88,3,0)*0.475*44/12</f>
        <v>#N/A</v>
      </c>
      <c r="CM34" s="23" t="e">
        <f>EXP(-LN(2)/2)*CM33+(1-EXP(-LN(2)/2))/(LN(2)/2)*CG34*CJ34*VLOOKUP('Données projet'!$B$12,Paramètres!$A$1:$I$88,3,0)*0.475*44/12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150</v>
      </c>
      <c r="O35" s="14">
        <f>N35*VLOOKUP('Données projet'!$B$9,Paramètres!$A$1:$I$88,3,0)*VLOOKUP('Données projet'!$B$9,Paramètres!$A$1:$I$88,5,0)</f>
        <v>70.2</v>
      </c>
      <c r="P35" s="14">
        <f t="shared" si="33"/>
        <v>19.723116370112194</v>
      </c>
      <c r="Q35" s="22">
        <f t="shared" ref="Q35:Q66" si="53">(O35+P35)*0.475*44/12</f>
        <v>156.61609434461207</v>
      </c>
      <c r="R35" s="62">
        <f t="shared" si="0"/>
        <v>449.94942767794538</v>
      </c>
      <c r="S35" s="62">
        <f ca="1">AVERAGE(OFFSET($R$3,0,0,'Données projet'!$E$9+1,1))-AVERAGE(OFFSET($H$3,0,0,'Données projet'!$E$9+1,1))</f>
        <v>316.04959780858269</v>
      </c>
      <c r="T35" s="62">
        <f t="shared" si="34"/>
        <v>213.60182977243113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7.2075748226386107</v>
      </c>
      <c r="AB35" s="23">
        <f>EXP(-LN(2)/2)*AB34+(1-EXP(-LN(2)/2))/(LN(2)/2)*V35*Y35*VLOOKUP('Données projet'!$B$9,Paramètres!$A$1:$I$88,3,0)*0.475*44/12</f>
        <v>4.6629854941329976</v>
      </c>
      <c r="AC35" s="24">
        <f t="shared" si="3"/>
        <v>11.870560316771609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33</v>
      </c>
      <c r="AI35" s="14">
        <f>IF('Données projet'!$A$62&gt;35,AI34+AH35-AQ34,IF(A35&lt;'Données projet'!$A$62,$AF$205^A35,IF(A35='Données projet'!$A$62,'Données projet'!$B$62,AI34+AH35-AQ34)))</f>
        <v>425</v>
      </c>
      <c r="AJ35" s="14">
        <f>AI35*VLOOKUP('Données projet'!$B$10,Paramètres!$A$1:$I$88,3,0)*VLOOKUP('Données projet'!$B$10,Paramètres!$A$1:$I$88,5,0)</f>
        <v>237.57500000000002</v>
      </c>
      <c r="AK35" s="14">
        <f t="shared" si="35"/>
        <v>57.917471937261162</v>
      </c>
      <c r="AL35" s="22">
        <f t="shared" si="4"/>
        <v>514.64938862406325</v>
      </c>
      <c r="AM35" s="62">
        <f t="shared" si="5"/>
        <v>807.98272195739651</v>
      </c>
      <c r="AN35" s="62">
        <f ca="1">AVERAGE(OFFSET($AM$3,0,0,'Données projet'!$E$10+1,1))-AVERAGE(OFFSET($H$3,0,0,'Données projet'!$E$10+1,1))</f>
        <v>583.31979399672844</v>
      </c>
      <c r="AO35" s="62">
        <f t="shared" si="36"/>
        <v>544.21514138474731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20.970278735765785</v>
      </c>
      <c r="AW35" s="23">
        <f>EXP(-LN(2)/2)*AW34+(1-EXP(-LN(2)/2))/(LN(2)/2)*AQ35*AT35*VLOOKUP('Données projet'!$B$10,Paramètres!$A$1:$I$88,3,0)*0.475*44/12</f>
        <v>9.4129489753853424</v>
      </c>
      <c r="AX35" s="23">
        <f t="shared" si="6"/>
        <v>30.383227711151129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projet'!$B$11,Paramètres!$A$1:$I$88,3,0)*VLOOKUP('Données projet'!$B$11,Paramètres!$A$1:$I$88,5,0)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projet'!$B$11,Paramètres!$A$1:$I$88,3,0)*0.475*44/12</f>
        <v>#N/A</v>
      </c>
      <c r="BQ35" s="23" t="e">
        <f>EXP(-LN(2)/25)*BQ34+(1-EXP(-LN(2)/25))/(LN(2)/25)*Calculateur!BL35*Calculateur!BN35*VLOOKUP('Données projet'!$B$11,Paramètres!$A$1:$I$88,3,0)*0.475*44/12</f>
        <v>#N/A</v>
      </c>
      <c r="BR35" s="23" t="e">
        <f>EXP(-LN(2)/2)*BR34+(1-EXP(-LN(2)/2))/(LN(2)/2)*BL35*BO35*VLOOKUP('Données projet'!$B$11,Paramètres!$A$1:$I$88,3,0)*0.475*44/12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projet'!$B$12,Paramètres!$A$1:$I$88,3,0)*0.475*44/12</f>
        <v>#N/A</v>
      </c>
      <c r="CL35" s="23" t="e">
        <f>EXP(-LN(2)/25)*CL34+(1-EXP(-LN(2)/25))/(LN(2)/25)*Calculateur!CG35*Calculateur!CI35*VLOOKUP('Données projet'!$B$12,Paramètres!$A$1:$I$88,3,0)*0.475*44/12</f>
        <v>#N/A</v>
      </c>
      <c r="CM35" s="23" t="e">
        <f>EXP(-LN(2)/2)*CM34+(1-EXP(-LN(2)/2))/(LN(2)/2)*CG35*CJ35*VLOOKUP('Données projet'!$B$12,Paramètres!$A$1:$I$88,3,0)*0.475*44/12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160</v>
      </c>
      <c r="O36" s="14">
        <f>N36*VLOOKUP('Données projet'!$B$9,Paramètres!$A$1:$I$88,3,0)*VLOOKUP('Données projet'!$B$9,Paramètres!$A$1:$I$88,5,0)</f>
        <v>74.88</v>
      </c>
      <c r="P36" s="14">
        <f t="shared" si="33"/>
        <v>20.880539585643231</v>
      </c>
      <c r="Q36" s="22">
        <f t="shared" si="53"/>
        <v>166.78293977832863</v>
      </c>
      <c r="R36" s="62">
        <f t="shared" si="0"/>
        <v>460.11627311166194</v>
      </c>
      <c r="S36" s="62">
        <f ca="1">AVERAGE(OFFSET($R$3,0,0,'Données projet'!$E$9+1,1))-AVERAGE(OFFSET($H$3,0,0,'Données projet'!$E$9+1,1))</f>
        <v>316.04959780858269</v>
      </c>
      <c r="T36" s="62">
        <f t="shared" si="34"/>
        <v>213.60182977243113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7.0104833100836714</v>
      </c>
      <c r="AB36" s="23">
        <f>EXP(-LN(2)/2)*AB35+(1-EXP(-LN(2)/2))/(LN(2)/2)*V36*Y36*VLOOKUP('Données projet'!$B$9,Paramètres!$A$1:$I$88,3,0)*0.475*44/12</f>
        <v>3.2972286634759471</v>
      </c>
      <c r="AC36" s="24">
        <f t="shared" si="3"/>
        <v>10.307711973559618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33</v>
      </c>
      <c r="AI36" s="14">
        <f>IF('Données projet'!$A$62&gt;35,AI35+AH36-AQ35,IF(A36&lt;'Données projet'!$A$62,$AF$205^A36,IF(A36='Données projet'!$A$62,'Données projet'!$B$62,AI35+AH36-AQ35)))</f>
        <v>458</v>
      </c>
      <c r="AJ36" s="14">
        <f>AI36*VLOOKUP('Données projet'!$B$10,Paramètres!$A$1:$I$88,3,0)*VLOOKUP('Données projet'!$B$10,Paramètres!$A$1:$I$88,5,0)</f>
        <v>256.02199999999999</v>
      </c>
      <c r="AK36" s="14">
        <f t="shared" si="35"/>
        <v>61.873669712051253</v>
      </c>
      <c r="AL36" s="22">
        <f t="shared" si="4"/>
        <v>553.66829141515586</v>
      </c>
      <c r="AM36" s="62">
        <f t="shared" si="5"/>
        <v>847.00162474848912</v>
      </c>
      <c r="AN36" s="62">
        <f ca="1">AVERAGE(OFFSET($AM$3,0,0,'Données projet'!$E$10+1,1))-AVERAGE(OFFSET($H$3,0,0,'Données projet'!$E$10+1,1))</f>
        <v>583.31979399672844</v>
      </c>
      <c r="AO36" s="62">
        <f t="shared" si="36"/>
        <v>544.21514138474731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20.39684536095724</v>
      </c>
      <c r="AW36" s="23">
        <f>EXP(-LN(2)/2)*AW35+(1-EXP(-LN(2)/2))/(LN(2)/2)*AQ36*AT36*VLOOKUP('Données projet'!$B$10,Paramètres!$A$1:$I$88,3,0)*0.475*44/12</f>
        <v>6.6559600514579405</v>
      </c>
      <c r="AX36" s="23">
        <f t="shared" si="6"/>
        <v>27.052805412415182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projet'!$B$11,Paramètres!$A$1:$I$88,3,0)*VLOOKUP('Données projet'!$B$11,Paramètres!$A$1:$I$88,5,0)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projet'!$B$11,Paramètres!$A$1:$I$88,3,0)*0.475*44/12</f>
        <v>#N/A</v>
      </c>
      <c r="BQ36" s="23" t="e">
        <f>EXP(-LN(2)/25)*BQ35+(1-EXP(-LN(2)/25))/(LN(2)/25)*Calculateur!BL36*Calculateur!BN36*VLOOKUP('Données projet'!$B$11,Paramètres!$A$1:$I$88,3,0)*0.475*44/12</f>
        <v>#N/A</v>
      </c>
      <c r="BR36" s="23" t="e">
        <f>EXP(-LN(2)/2)*BR35+(1-EXP(-LN(2)/2))/(LN(2)/2)*BL36*BO36*VLOOKUP('Données projet'!$B$11,Paramètres!$A$1:$I$88,3,0)*0.475*44/12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projet'!$B$12,Paramètres!$A$1:$I$88,3,0)*0.475*44/12</f>
        <v>#N/A</v>
      </c>
      <c r="CL36" s="23" t="e">
        <f>EXP(-LN(2)/25)*CL35+(1-EXP(-LN(2)/25))/(LN(2)/25)*Calculateur!CG36*Calculateur!CI36*VLOOKUP('Données projet'!$B$12,Paramètres!$A$1:$I$88,3,0)*0.475*44/12</f>
        <v>#N/A</v>
      </c>
      <c r="CM36" s="23" t="e">
        <f>EXP(-LN(2)/2)*CM35+(1-EXP(-LN(2)/2))/(LN(2)/2)*CG36*CJ36*VLOOKUP('Données projet'!$B$12,Paramètres!$A$1:$I$88,3,0)*0.475*44/12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170</v>
      </c>
      <c r="O37" s="14">
        <f>N37*VLOOKUP('Données projet'!$B$9,Paramètres!$A$1:$I$88,3,0)*VLOOKUP('Données projet'!$B$9,Paramètres!$A$1:$I$88,5,0)</f>
        <v>79.56</v>
      </c>
      <c r="P37" s="14">
        <f t="shared" si="33"/>
        <v>22.029567333453311</v>
      </c>
      <c r="Q37" s="22">
        <f t="shared" si="53"/>
        <v>176.93516310576453</v>
      </c>
      <c r="R37" s="62">
        <f t="shared" si="0"/>
        <v>470.26849643909782</v>
      </c>
      <c r="S37" s="62">
        <f ca="1">AVERAGE(OFFSET($R$3,0,0,'Données projet'!$E$9+1,1))-AVERAGE(OFFSET($H$3,0,0,'Données projet'!$E$9+1,1))</f>
        <v>316.04959780858269</v>
      </c>
      <c r="T37" s="62">
        <f t="shared" si="34"/>
        <v>213.60182977243113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6.818781275304139</v>
      </c>
      <c r="AB37" s="23">
        <f>EXP(-LN(2)/2)*AB36+(1-EXP(-LN(2)/2))/(LN(2)/2)*V37*Y37*VLOOKUP('Données projet'!$B$9,Paramètres!$A$1:$I$88,3,0)*0.475*44/12</f>
        <v>2.3314927470664992</v>
      </c>
      <c r="AC37" s="24">
        <f t="shared" si="3"/>
        <v>9.1502740223706382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33</v>
      </c>
      <c r="AI37" s="14">
        <f>IF('Données projet'!$A$62&gt;35,AI36+AH37-AQ36,IF(A37&lt;'Données projet'!$A$62,$AF$205^A37,IF(A37='Données projet'!$A$62,'Données projet'!$B$62,AI36+AH37-AQ36)))</f>
        <v>491</v>
      </c>
      <c r="AJ37" s="14">
        <f>AI37*VLOOKUP('Données projet'!$B$10,Paramètres!$A$1:$I$88,3,0)*VLOOKUP('Données projet'!$B$10,Paramètres!$A$1:$I$88,5,0)</f>
        <v>274.46899999999999</v>
      </c>
      <c r="AK37" s="14">
        <f t="shared" si="35"/>
        <v>65.796795812732981</v>
      </c>
      <c r="AL37" s="22">
        <f t="shared" si="4"/>
        <v>592.62959437384313</v>
      </c>
      <c r="AM37" s="62">
        <f t="shared" si="5"/>
        <v>885.9629277071765</v>
      </c>
      <c r="AN37" s="62">
        <f ca="1">AVERAGE(OFFSET($AM$3,0,0,'Données projet'!$E$10+1,1))-AVERAGE(OFFSET($H$3,0,0,'Données projet'!$E$10+1,1))</f>
        <v>583.31979399672844</v>
      </c>
      <c r="AO37" s="62">
        <f t="shared" si="36"/>
        <v>544.21514138474731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19.839092551938386</v>
      </c>
      <c r="AW37" s="23">
        <f>EXP(-LN(2)/2)*AW36+(1-EXP(-LN(2)/2))/(LN(2)/2)*AQ37*AT37*VLOOKUP('Données projet'!$B$10,Paramètres!$A$1:$I$88,3,0)*0.475*44/12</f>
        <v>4.7064744876926721</v>
      </c>
      <c r="AX37" s="23">
        <f t="shared" si="6"/>
        <v>24.545567039631059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projet'!$B$11,Paramètres!$A$1:$I$88,3,0)*VLOOKUP('Données projet'!$B$11,Paramètres!$A$1:$I$88,5,0)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projet'!$B$11,Paramètres!$A$1:$I$88,3,0)*0.475*44/12</f>
        <v>#N/A</v>
      </c>
      <c r="BQ37" s="23" t="e">
        <f>EXP(-LN(2)/25)*BQ36+(1-EXP(-LN(2)/25))/(LN(2)/25)*Calculateur!BL37*Calculateur!BN37*VLOOKUP('Données projet'!$B$11,Paramètres!$A$1:$I$88,3,0)*0.475*44/12</f>
        <v>#N/A</v>
      </c>
      <c r="BR37" s="23" t="e">
        <f>EXP(-LN(2)/2)*BR36+(1-EXP(-LN(2)/2))/(LN(2)/2)*BL37*BO37*VLOOKUP('Données projet'!$B$11,Paramètres!$A$1:$I$88,3,0)*0.475*44/12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projet'!$B$12,Paramètres!$A$1:$I$88,3,0)*0.475*44/12</f>
        <v>#N/A</v>
      </c>
      <c r="CL37" s="23" t="e">
        <f>EXP(-LN(2)/25)*CL36+(1-EXP(-LN(2)/25))/(LN(2)/25)*Calculateur!CG37*Calculateur!CI37*VLOOKUP('Données projet'!$B$12,Paramètres!$A$1:$I$88,3,0)*0.475*44/12</f>
        <v>#N/A</v>
      </c>
      <c r="CM37" s="23" t="e">
        <f>EXP(-LN(2)/2)*CM36+(1-EXP(-LN(2)/2))/(LN(2)/2)*CG37*CJ37*VLOOKUP('Données projet'!$B$12,Paramètres!$A$1:$I$88,3,0)*0.475*44/12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180</v>
      </c>
      <c r="O38" s="14">
        <f>N38*VLOOKUP('Données projet'!$B$9,Paramètres!$A$1:$I$88,3,0)*VLOOKUP('Données projet'!$B$9,Paramètres!$A$1:$I$88,5,0)</f>
        <v>84.24</v>
      </c>
      <c r="P38" s="14">
        <f t="shared" si="33"/>
        <v>23.170749718409468</v>
      </c>
      <c r="Q38" s="22">
        <f t="shared" si="53"/>
        <v>187.07372242622981</v>
      </c>
      <c r="R38" s="62">
        <f t="shared" si="0"/>
        <v>480.40705575956315</v>
      </c>
      <c r="S38" s="62">
        <f ca="1">AVERAGE(OFFSET($R$3,0,0,'Données projet'!$E$9+1,1))-AVERAGE(OFFSET($H$3,0,0,'Données projet'!$E$9+1,1))</f>
        <v>316.04959780858269</v>
      </c>
      <c r="T38" s="62">
        <f t="shared" si="34"/>
        <v>213.60182977243113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6.6323213427468248</v>
      </c>
      <c r="AB38" s="23">
        <f>EXP(-LN(2)/2)*AB37+(1-EXP(-LN(2)/2))/(LN(2)/2)*V38*Y38*VLOOKUP('Données projet'!$B$9,Paramètres!$A$1:$I$88,3,0)*0.475*44/12</f>
        <v>1.6486143317379738</v>
      </c>
      <c r="AC38" s="24">
        <f t="shared" si="3"/>
        <v>8.2809356744847982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524</v>
      </c>
      <c r="AG38" s="13">
        <f>VLOOKUP(A38,'Données projet'!$A$61:$I$81,9,0)</f>
        <v>33</v>
      </c>
      <c r="AH38" s="13">
        <f t="array" ref="AH38">INDEX(AG:AG,MIN(IF(ISNUMBER(AG38:AG234),ROW(AG38:AG234),"")))</f>
        <v>33</v>
      </c>
      <c r="AI38" s="14">
        <f>IF('Données projet'!$A$62&gt;35,AI37+AH38-AQ37,IF(A38&lt;'Données projet'!$A$62,$AF$205^A38,IF(A38='Données projet'!$A$62,'Données projet'!$B$62,AI37+AH38-AQ37)))</f>
        <v>524</v>
      </c>
      <c r="AJ38" s="14">
        <f>AI38*VLOOKUP('Données projet'!$B$10,Paramètres!$A$1:$I$88,3,0)*VLOOKUP('Données projet'!$B$10,Paramètres!$A$1:$I$88,5,0)</f>
        <v>292.916</v>
      </c>
      <c r="AK38" s="14">
        <f t="shared" si="35"/>
        <v>69.68932587703776</v>
      </c>
      <c r="AL38" s="22">
        <f t="shared" si="4"/>
        <v>631.53760923584082</v>
      </c>
      <c r="AM38" s="62">
        <f t="shared" si="5"/>
        <v>924.87094256917408</v>
      </c>
      <c r="AN38" s="62">
        <f ca="1">AVERAGE(OFFSET($AM$3,0,0,'Données projet'!$E$10+1,1))-AVERAGE(OFFSET($H$3,0,0,'Données projet'!$E$10+1,1))</f>
        <v>583.31979399672844</v>
      </c>
      <c r="AO38" s="62">
        <f t="shared" si="36"/>
        <v>544.21514138474731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90</v>
      </c>
      <c r="AR38" s="17">
        <f>IF(ISNA(VLOOKUP(A38,'Données projet'!$A$61:$I$81,5,0)),0%,VLOOKUP(A38,'Données projet'!$A$61:$I$81,5,0)*VLOOKUP('Données projet'!$B$10,Paramètres!$A$1:$I$88,7,0))</f>
        <v>0.11000000000000001</v>
      </c>
      <c r="AS38" s="17">
        <f>IF(ISNA(VLOOKUP(A38,'Données projet'!$A$61:$I$81,6,0)),0%,VLOOKUP(A38,'Données projet'!$A$61:$I$81,6,0)*VLOOKUP('Données projet'!$B$10,Paramètres!$A$1:$I$88,7,0))</f>
        <v>0.24640000000000006</v>
      </c>
      <c r="AT38" s="17">
        <f>IF(ISNA(VLOOKUP(A38,'Données projet'!$A$61:$I$81,7,0)),0%,VLOOKUP(A38,'Données projet'!$A$61:$I$81,7,0))</f>
        <v>0.35200000000000004</v>
      </c>
      <c r="AU38" s="23">
        <f>EXP(-LN(2)/35)*AU37+(1-EXP(-LN(2)/35))/(LN(2)/35)*AQ38*AR38*VLOOKUP('Données projet'!$B$10,Paramètres!$A$1:$I$88,3,0)*0.475*44/12</f>
        <v>7.3413403528479604</v>
      </c>
      <c r="AV38" s="23">
        <f>EXP(-LN(2)/25)*AV37+(1-EXP(-LN(2)/25))/(LN(2)/25)*Calculateur!AQ38*Calculateur!AS38*VLOOKUP('Données projet'!$B$10,Paramètres!$A$1:$I$88,3,0)*0.475*44/12</f>
        <v>35.676445247696854</v>
      </c>
      <c r="AW38" s="23">
        <f>EXP(-LN(2)/2)*AW37+(1-EXP(-LN(2)/2))/(LN(2)/2)*AQ38*AT38*VLOOKUP('Données projet'!$B$10,Paramètres!$A$1:$I$88,3,0)*0.475*44/12</f>
        <v>23.378817650500856</v>
      </c>
      <c r="AX38" s="23">
        <f t="shared" si="6"/>
        <v>66.396603251045661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projet'!$B$11,Paramètres!$A$1:$I$88,3,0)*VLOOKUP('Données projet'!$B$11,Paramètres!$A$1:$I$88,5,0)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projet'!$B$11,Paramètres!$A$1:$I$88,3,0)*0.475*44/12</f>
        <v>#N/A</v>
      </c>
      <c r="BQ38" s="23" t="e">
        <f>EXP(-LN(2)/25)*BQ37+(1-EXP(-LN(2)/25))/(LN(2)/25)*Calculateur!BL38*Calculateur!BN38*VLOOKUP('Données projet'!$B$11,Paramètres!$A$1:$I$88,3,0)*0.475*44/12</f>
        <v>#N/A</v>
      </c>
      <c r="BR38" s="23" t="e">
        <f>EXP(-LN(2)/2)*BR37+(1-EXP(-LN(2)/2))/(LN(2)/2)*BL38*BO38*VLOOKUP('Données projet'!$B$11,Paramètres!$A$1:$I$88,3,0)*0.475*44/12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projet'!$B$12,Paramètres!$A$1:$I$88,3,0)*0.475*44/12</f>
        <v>#N/A</v>
      </c>
      <c r="CL38" s="23" t="e">
        <f>EXP(-LN(2)/25)*CL37+(1-EXP(-LN(2)/25))/(LN(2)/25)*Calculateur!CG38*Calculateur!CI38*VLOOKUP('Données projet'!$B$12,Paramètres!$A$1:$I$88,3,0)*0.475*44/12</f>
        <v>#N/A</v>
      </c>
      <c r="CM38" s="23" t="e">
        <f>EXP(-LN(2)/2)*CM37+(1-EXP(-LN(2)/2))/(LN(2)/2)*CG38*CJ38*VLOOKUP('Données projet'!$B$12,Paramètres!$A$1:$I$88,3,0)*0.475*44/12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</v>
      </c>
      <c r="N39" s="14">
        <f>IF('Données projet'!$A$36&gt;35,N38+M39-V38,IF(A39&lt;'Données projet'!$A$36,$K$205^A39,IF(A39='Données projet'!$A$36,'Données projet'!$B$36,N38+M39-V38)))</f>
        <v>190</v>
      </c>
      <c r="O39" s="14">
        <f>N39*VLOOKUP('Données projet'!$B$9,Paramètres!$A$1:$I$88,3,0)*VLOOKUP('Données projet'!$B$9,Paramètres!$A$1:$I$88,5,0)</f>
        <v>88.919999999999987</v>
      </c>
      <c r="P39" s="14">
        <f t="shared" si="33"/>
        <v>24.30457227046648</v>
      </c>
      <c r="Q39" s="22">
        <f t="shared" si="53"/>
        <v>197.19946337106239</v>
      </c>
      <c r="R39" s="62">
        <f t="shared" si="0"/>
        <v>490.53279670439571</v>
      </c>
      <c r="S39" s="62">
        <f ca="1">AVERAGE(OFFSET($R$3,0,0,'Données projet'!$E$9+1,1))-AVERAGE(OFFSET($H$3,0,0,'Données projet'!$E$9+1,1))</f>
        <v>316.04959780858269</v>
      </c>
      <c r="T39" s="62">
        <f t="shared" si="34"/>
        <v>213.60182977243113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6.4509601668507921</v>
      </c>
      <c r="AB39" s="23">
        <f>EXP(-LN(2)/2)*AB38+(1-EXP(-LN(2)/2))/(LN(2)/2)*V39*Y39*VLOOKUP('Données projet'!$B$9,Paramètres!$A$1:$I$88,3,0)*0.475*44/12</f>
        <v>1.1657463735332498</v>
      </c>
      <c r="AC39" s="24">
        <f t="shared" si="3"/>
        <v>7.6167065403840422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28.4</v>
      </c>
      <c r="AI39" s="14">
        <f>IF('Données projet'!$A$62&gt;35,AI38+AH39-AQ38,IF(A39&lt;'Données projet'!$A$62,$AF$205^A39,IF(A39='Données projet'!$A$62,'Données projet'!$B$62,AI38+AH39-AQ38)))</f>
        <v>462.4</v>
      </c>
      <c r="AJ39" s="14">
        <f>AI39*VLOOKUP('Données projet'!$B$10,Paramètres!$A$1:$I$88,3,0)*VLOOKUP('Données projet'!$B$10,Paramètres!$A$1:$I$88,5,0)</f>
        <v>258.48160000000001</v>
      </c>
      <c r="AK39" s="14">
        <f t="shared" si="35"/>
        <v>62.398606187610767</v>
      </c>
      <c r="AL39" s="22">
        <f t="shared" si="4"/>
        <v>558.86635911008875</v>
      </c>
      <c r="AM39" s="62">
        <f t="shared" si="5"/>
        <v>852.19969244342201</v>
      </c>
      <c r="AN39" s="62">
        <f ca="1">AVERAGE(OFFSET($AM$3,0,0,'Données projet'!$E$10+1,1))-AVERAGE(OFFSET($H$3,0,0,'Données projet'!$E$10+1,1))</f>
        <v>583.31979399672844</v>
      </c>
      <c r="AO39" s="62">
        <f t="shared" si="36"/>
        <v>544.21514138474731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7.1973811463040835</v>
      </c>
      <c r="AV39" s="23">
        <f>EXP(-LN(2)/25)*AV38+(1-EXP(-LN(2)/25))/(LN(2)/25)*Calculateur!AQ39*Calculateur!AS39*VLOOKUP('Données projet'!$B$10,Paramètres!$A$1:$I$88,3,0)*0.475*44/12</f>
        <v>34.700870976255871</v>
      </c>
      <c r="AW39" s="23">
        <f>EXP(-LN(2)/2)*AW38+(1-EXP(-LN(2)/2))/(LN(2)/2)*AQ39*AT39*VLOOKUP('Données projet'!$B$10,Paramètres!$A$1:$I$88,3,0)*0.475*44/12</f>
        <v>16.531320496792905</v>
      </c>
      <c r="AX39" s="23">
        <f t="shared" si="6"/>
        <v>58.429572619352854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projet'!$B$11,Paramètres!$A$1:$I$88,3,0)*VLOOKUP('Données projet'!$B$11,Paramètres!$A$1:$I$88,5,0)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projet'!$B$11,Paramètres!$A$1:$I$88,3,0)*0.475*44/12</f>
        <v>#N/A</v>
      </c>
      <c r="BQ39" s="23" t="e">
        <f>EXP(-LN(2)/25)*BQ38+(1-EXP(-LN(2)/25))/(LN(2)/25)*Calculateur!BL39*Calculateur!BN39*VLOOKUP('Données projet'!$B$11,Paramètres!$A$1:$I$88,3,0)*0.475*44/12</f>
        <v>#N/A</v>
      </c>
      <c r="BR39" s="23" t="e">
        <f>EXP(-LN(2)/2)*BR38+(1-EXP(-LN(2)/2))/(LN(2)/2)*BL39*BO39*VLOOKUP('Données projet'!$B$11,Paramètres!$A$1:$I$88,3,0)*0.475*44/12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projet'!$B$12,Paramètres!$A$1:$I$88,3,0)*0.475*44/12</f>
        <v>#N/A</v>
      </c>
      <c r="CL39" s="23" t="e">
        <f>EXP(-LN(2)/25)*CL38+(1-EXP(-LN(2)/25))/(LN(2)/25)*Calculateur!CG39*Calculateur!CI39*VLOOKUP('Données projet'!$B$12,Paramètres!$A$1:$I$88,3,0)*0.475*44/12</f>
        <v>#N/A</v>
      </c>
      <c r="CM39" s="23" t="e">
        <f>EXP(-LN(2)/2)*CM38+(1-EXP(-LN(2)/2))/(LN(2)/2)*CG39*CJ39*VLOOKUP('Données projet'!$B$12,Paramètres!$A$1:$I$88,3,0)*0.475*44/12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</v>
      </c>
      <c r="N40" s="14">
        <f>IF('Données projet'!$A$36&gt;35,N39+M40-V39,IF(A40&lt;'Données projet'!$A$36,$K$205^A40,IF(A40='Données projet'!$A$36,'Données projet'!$B$36,N39+M40-V39)))</f>
        <v>200</v>
      </c>
      <c r="O40" s="14">
        <f>N40*VLOOKUP('Données projet'!$B$9,Paramètres!$A$1:$I$88,3,0)*VLOOKUP('Données projet'!$B$9,Paramètres!$A$1:$I$88,5,0)</f>
        <v>93.600000000000009</v>
      </c>
      <c r="P40" s="14">
        <f t="shared" si="33"/>
        <v>25.431466524572937</v>
      </c>
      <c r="Q40" s="22">
        <f t="shared" si="53"/>
        <v>207.31313753029789</v>
      </c>
      <c r="R40" s="62">
        <f t="shared" si="0"/>
        <v>500.64647086363118</v>
      </c>
      <c r="S40" s="62">
        <f ca="1">AVERAGE(OFFSET($R$3,0,0,'Données projet'!$E$9+1,1))-AVERAGE(OFFSET($H$3,0,0,'Données projet'!$E$9+1,1))</f>
        <v>316.04959780858269</v>
      </c>
      <c r="T40" s="62">
        <f t="shared" si="34"/>
        <v>213.60182977243113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6.2745583218470058</v>
      </c>
      <c r="AB40" s="23">
        <f>EXP(-LN(2)/2)*AB39+(1-EXP(-LN(2)/2))/(LN(2)/2)*V40*Y40*VLOOKUP('Données projet'!$B$9,Paramètres!$A$1:$I$88,3,0)*0.475*44/12</f>
        <v>0.824307165868987</v>
      </c>
      <c r="AC40" s="24">
        <f t="shared" si="3"/>
        <v>7.0988654877159929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28.4</v>
      </c>
      <c r="AI40" s="14">
        <f>IF('Données projet'!$A$62&gt;35,AI39+AH40-AQ39,IF(A40&lt;'Données projet'!$A$62,$AF$205^A40,IF(A40='Données projet'!$A$62,'Données projet'!$B$62,AI39+AH40-AQ39)))</f>
        <v>490.79999999999995</v>
      </c>
      <c r="AJ40" s="14">
        <f>AI40*VLOOKUP('Données projet'!$B$10,Paramètres!$A$1:$I$88,3,0)*VLOOKUP('Données projet'!$B$10,Paramètres!$A$1:$I$88,5,0)</f>
        <v>274.35719999999998</v>
      </c>
      <c r="AK40" s="14">
        <f t="shared" si="35"/>
        <v>65.773113764972635</v>
      </c>
      <c r="AL40" s="22">
        <f t="shared" si="4"/>
        <v>592.39362980732722</v>
      </c>
      <c r="AM40" s="62">
        <f t="shared" si="5"/>
        <v>885.72696314066047</v>
      </c>
      <c r="AN40" s="62">
        <f ca="1">AVERAGE(OFFSET($AM$3,0,0,'Données projet'!$E$10+1,1))-AVERAGE(OFFSET($H$3,0,0,'Données projet'!$E$10+1,1))</f>
        <v>583.31979399672844</v>
      </c>
      <c r="AO40" s="62">
        <f t="shared" si="36"/>
        <v>544.21514138474731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7.0562448919940861</v>
      </c>
      <c r="AV40" s="23">
        <f>EXP(-LN(2)/25)*AV39+(1-EXP(-LN(2)/25))/(LN(2)/25)*Calculateur!AQ40*Calculateur!AS40*VLOOKUP('Données projet'!$B$10,Paramètres!$A$1:$I$88,3,0)*0.475*44/12</f>
        <v>33.751973834570663</v>
      </c>
      <c r="AW40" s="23">
        <f>EXP(-LN(2)/2)*AW39+(1-EXP(-LN(2)/2))/(LN(2)/2)*AQ40*AT40*VLOOKUP('Données projet'!$B$10,Paramètres!$A$1:$I$88,3,0)*0.475*44/12</f>
        <v>11.68940882525043</v>
      </c>
      <c r="AX40" s="23">
        <f t="shared" si="6"/>
        <v>52.497627551815178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projet'!$B$11,Paramètres!$A$1:$I$88,3,0)*VLOOKUP('Données projet'!$B$11,Paramètres!$A$1:$I$88,5,0)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projet'!$B$11,Paramètres!$A$1:$I$88,3,0)*0.475*44/12</f>
        <v>#N/A</v>
      </c>
      <c r="BQ40" s="23" t="e">
        <f>EXP(-LN(2)/25)*BQ39+(1-EXP(-LN(2)/25))/(LN(2)/25)*Calculateur!BL40*Calculateur!BN40*VLOOKUP('Données projet'!$B$11,Paramètres!$A$1:$I$88,3,0)*0.475*44/12</f>
        <v>#N/A</v>
      </c>
      <c r="BR40" s="23" t="e">
        <f>EXP(-LN(2)/2)*BR39+(1-EXP(-LN(2)/2))/(LN(2)/2)*BL40*BO40*VLOOKUP('Données projet'!$B$11,Paramètres!$A$1:$I$88,3,0)*0.475*44/12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projet'!$B$12,Paramètres!$A$1:$I$88,3,0)*0.475*44/12</f>
        <v>#N/A</v>
      </c>
      <c r="CL40" s="23" t="e">
        <f>EXP(-LN(2)/25)*CL39+(1-EXP(-LN(2)/25))/(LN(2)/25)*Calculateur!CG40*Calculateur!CI40*VLOOKUP('Données projet'!$B$12,Paramètres!$A$1:$I$88,3,0)*0.475*44/12</f>
        <v>#N/A</v>
      </c>
      <c r="CM40" s="23" t="e">
        <f>EXP(-LN(2)/2)*CM39+(1-EXP(-LN(2)/2))/(LN(2)/2)*CG40*CJ40*VLOOKUP('Données projet'!$B$12,Paramètres!$A$1:$I$88,3,0)*0.475*44/12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</v>
      </c>
      <c r="N41" s="14">
        <f>IF('Données projet'!$A$36&gt;35,N40+M41-V40,IF(A41&lt;'Données projet'!$A$36,$K$205^A41,IF(A41='Données projet'!$A$36,'Données projet'!$B$36,N40+M41-V40)))</f>
        <v>210</v>
      </c>
      <c r="O41" s="14">
        <f>N41*VLOOKUP('Données projet'!$B$9,Paramètres!$A$1:$I$88,3,0)*VLOOKUP('Données projet'!$B$9,Paramètres!$A$1:$I$88,5,0)</f>
        <v>98.28</v>
      </c>
      <c r="P41" s="14">
        <f t="shared" si="33"/>
        <v>26.551818424463473</v>
      </c>
      <c r="Q41" s="22">
        <f t="shared" si="53"/>
        <v>217.41541708927389</v>
      </c>
      <c r="R41" s="62">
        <f t="shared" si="0"/>
        <v>510.7487504226072</v>
      </c>
      <c r="S41" s="62">
        <f ca="1">AVERAGE(OFFSET($R$3,0,0,'Données projet'!$E$9+1,1))-AVERAGE(OFFSET($H$3,0,0,'Données projet'!$E$9+1,1))</f>
        <v>316.04959780858269</v>
      </c>
      <c r="T41" s="62">
        <f t="shared" si="34"/>
        <v>213.60182977243113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6.1029801945714182</v>
      </c>
      <c r="AB41" s="23">
        <f>EXP(-LN(2)/2)*AB40+(1-EXP(-LN(2)/2))/(LN(2)/2)*V41*Y41*VLOOKUP('Données projet'!$B$9,Paramètres!$A$1:$I$88,3,0)*0.475*44/12</f>
        <v>0.58287318676662492</v>
      </c>
      <c r="AC41" s="24">
        <f t="shared" si="3"/>
        <v>6.6858533813380427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28.4</v>
      </c>
      <c r="AI41" s="14">
        <f>IF('Données projet'!$A$62&gt;35,AI40+AH41-AQ40,IF(A41&lt;'Données projet'!$A$62,$AF$205^A41,IF(A41='Données projet'!$A$62,'Données projet'!$B$62,AI40+AH41-AQ40)))</f>
        <v>519.19999999999993</v>
      </c>
      <c r="AJ41" s="14">
        <f>AI41*VLOOKUP('Données projet'!$B$10,Paramètres!$A$1:$I$88,3,0)*VLOOKUP('Données projet'!$B$10,Paramètres!$A$1:$I$88,5,0)</f>
        <v>290.2328</v>
      </c>
      <c r="AK41" s="14">
        <f t="shared" si="35"/>
        <v>69.124955529636495</v>
      </c>
      <c r="AL41" s="22">
        <f t="shared" si="4"/>
        <v>625.88142421411692</v>
      </c>
      <c r="AM41" s="62">
        <f t="shared" si="5"/>
        <v>919.21475754745029</v>
      </c>
      <c r="AN41" s="62">
        <f ca="1">AVERAGE(OFFSET($AM$3,0,0,'Données projet'!$E$10+1,1))-AVERAGE(OFFSET($H$3,0,0,'Données projet'!$E$10+1,1))</f>
        <v>583.31979399672844</v>
      </c>
      <c r="AO41" s="62">
        <f t="shared" si="36"/>
        <v>544.21514138474731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6.9178762335464929</v>
      </c>
      <c r="AV41" s="23">
        <f>EXP(-LN(2)/25)*AV40+(1-EXP(-LN(2)/25))/(LN(2)/25)*Calculateur!AQ41*Calculateur!AS41*VLOOKUP('Données projet'!$B$10,Paramètres!$A$1:$I$88,3,0)*0.475*44/12</f>
        <v>32.829024335125162</v>
      </c>
      <c r="AW41" s="23">
        <f>EXP(-LN(2)/2)*AW40+(1-EXP(-LN(2)/2))/(LN(2)/2)*AQ41*AT41*VLOOKUP('Données projet'!$B$10,Paramètres!$A$1:$I$88,3,0)*0.475*44/12</f>
        <v>8.2656602483964541</v>
      </c>
      <c r="AX41" s="23">
        <f t="shared" si="6"/>
        <v>48.012560817068106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projet'!$B$11,Paramètres!$A$1:$I$88,3,0)*VLOOKUP('Données projet'!$B$11,Paramètres!$A$1:$I$88,5,0)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projet'!$B$11,Paramètres!$A$1:$I$88,3,0)*0.475*44/12</f>
        <v>#N/A</v>
      </c>
      <c r="BQ41" s="23" t="e">
        <f>EXP(-LN(2)/25)*BQ40+(1-EXP(-LN(2)/25))/(LN(2)/25)*Calculateur!BL41*Calculateur!BN41*VLOOKUP('Données projet'!$B$11,Paramètres!$A$1:$I$88,3,0)*0.475*44/12</f>
        <v>#N/A</v>
      </c>
      <c r="BR41" s="23" t="e">
        <f>EXP(-LN(2)/2)*BR40+(1-EXP(-LN(2)/2))/(LN(2)/2)*BL41*BO41*VLOOKUP('Données projet'!$B$11,Paramètres!$A$1:$I$88,3,0)*0.475*44/12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projet'!$B$12,Paramètres!$A$1:$I$88,3,0)*0.475*44/12</f>
        <v>#N/A</v>
      </c>
      <c r="CL41" s="23" t="e">
        <f>EXP(-LN(2)/25)*CL40+(1-EXP(-LN(2)/25))/(LN(2)/25)*Calculateur!CG41*Calculateur!CI41*VLOOKUP('Données projet'!$B$12,Paramètres!$A$1:$I$88,3,0)*0.475*44/12</f>
        <v>#N/A</v>
      </c>
      <c r="CM41" s="23" t="e">
        <f>EXP(-LN(2)/2)*CM40+(1-EXP(-LN(2)/2))/(LN(2)/2)*CG41*CJ41*VLOOKUP('Données projet'!$B$12,Paramètres!$A$1:$I$88,3,0)*0.475*44/12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</v>
      </c>
      <c r="N42" s="14">
        <f>IF('Données projet'!$A$36&gt;35,N41+M42-V41,IF(A42&lt;'Données projet'!$A$36,$K$205^A42,IF(A42='Données projet'!$A$36,'Données projet'!$B$36,N41+M42-V41)))</f>
        <v>220</v>
      </c>
      <c r="O42" s="14">
        <f>N42*VLOOKUP('Données projet'!$B$9,Paramètres!$A$1:$I$88,3,0)*VLOOKUP('Données projet'!$B$9,Paramètres!$A$1:$I$88,5,0)</f>
        <v>102.96000000000001</v>
      </c>
      <c r="P42" s="14">
        <f t="shared" si="33"/>
        <v>27.665975080374633</v>
      </c>
      <c r="Q42" s="22">
        <f t="shared" si="53"/>
        <v>227.50690659831915</v>
      </c>
      <c r="R42" s="62">
        <f t="shared" si="0"/>
        <v>520.84023993165249</v>
      </c>
      <c r="S42" s="62">
        <f ca="1">AVERAGE(OFFSET($R$3,0,0,'Données projet'!$E$9+1,1))-AVERAGE(OFFSET($H$3,0,0,'Données projet'!$E$9+1,1))</f>
        <v>316.04959780858269</v>
      </c>
      <c r="T42" s="62">
        <f t="shared" si="34"/>
        <v>213.60182977243113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5.936093880209083</v>
      </c>
      <c r="AB42" s="23">
        <f>EXP(-LN(2)/2)*AB41+(1-EXP(-LN(2)/2))/(LN(2)/2)*V42*Y42*VLOOKUP('Données projet'!$B$9,Paramètres!$A$1:$I$88,3,0)*0.475*44/12</f>
        <v>0.4121535829344935</v>
      </c>
      <c r="AC42" s="24">
        <f t="shared" si="3"/>
        <v>6.3482474631435766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28.4</v>
      </c>
      <c r="AI42" s="14">
        <f>IF('Données projet'!$A$62&gt;35,AI41+AH42-AQ41,IF(A42&lt;'Données projet'!$A$62,$AF$205^A42,IF(A42='Données projet'!$A$62,'Données projet'!$B$62,AI41+AH42-AQ41)))</f>
        <v>547.59999999999991</v>
      </c>
      <c r="AJ42" s="14">
        <f>AI42*VLOOKUP('Données projet'!$B$10,Paramètres!$A$1:$I$88,3,0)*VLOOKUP('Données projet'!$B$10,Paramètres!$A$1:$I$88,5,0)</f>
        <v>306.10839999999996</v>
      </c>
      <c r="AK42" s="14">
        <f t="shared" si="35"/>
        <v>72.455512621968097</v>
      </c>
      <c r="AL42" s="22">
        <f t="shared" si="4"/>
        <v>659.33214781659433</v>
      </c>
      <c r="AM42" s="62">
        <f t="shared" si="5"/>
        <v>952.6654811499277</v>
      </c>
      <c r="AN42" s="62">
        <f ca="1">AVERAGE(OFFSET($AM$3,0,0,'Données projet'!$E$10+1,1))-AVERAGE(OFFSET($H$3,0,0,'Données projet'!$E$10+1,1))</f>
        <v>583.31979399672844</v>
      </c>
      <c r="AO42" s="62">
        <f t="shared" si="36"/>
        <v>544.21514138474731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6.7822209000945088</v>
      </c>
      <c r="AV42" s="23">
        <f>EXP(-LN(2)/25)*AV41+(1-EXP(-LN(2)/25))/(LN(2)/25)*Calculateur!AQ42*Calculateur!AS42*VLOOKUP('Données projet'!$B$10,Paramètres!$A$1:$I$88,3,0)*0.475*44/12</f>
        <v>31.931312938277806</v>
      </c>
      <c r="AW42" s="23">
        <f>EXP(-LN(2)/2)*AW41+(1-EXP(-LN(2)/2))/(LN(2)/2)*AQ42*AT42*VLOOKUP('Données projet'!$B$10,Paramètres!$A$1:$I$88,3,0)*0.475*44/12</f>
        <v>5.8447044126252159</v>
      </c>
      <c r="AX42" s="23">
        <f t="shared" si="6"/>
        <v>44.558238250997533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projet'!$B$11,Paramètres!$A$1:$I$88,3,0)*VLOOKUP('Données projet'!$B$11,Paramètres!$A$1:$I$88,5,0)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projet'!$B$11,Paramètres!$A$1:$I$88,3,0)*0.475*44/12</f>
        <v>#N/A</v>
      </c>
      <c r="BQ42" s="23" t="e">
        <f>EXP(-LN(2)/25)*BQ41+(1-EXP(-LN(2)/25))/(LN(2)/25)*Calculateur!BL42*Calculateur!BN42*VLOOKUP('Données projet'!$B$11,Paramètres!$A$1:$I$88,3,0)*0.475*44/12</f>
        <v>#N/A</v>
      </c>
      <c r="BR42" s="23" t="e">
        <f>EXP(-LN(2)/2)*BR41+(1-EXP(-LN(2)/2))/(LN(2)/2)*BL42*BO42*VLOOKUP('Données projet'!$B$11,Paramètres!$A$1:$I$88,3,0)*0.475*44/12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projet'!$B$12,Paramètres!$A$1:$I$88,3,0)*0.475*44/12</f>
        <v>#N/A</v>
      </c>
      <c r="CL42" s="23" t="e">
        <f>EXP(-LN(2)/25)*CL41+(1-EXP(-LN(2)/25))/(LN(2)/25)*Calculateur!CG42*Calculateur!CI42*VLOOKUP('Données projet'!$B$12,Paramètres!$A$1:$I$88,3,0)*0.475*44/12</f>
        <v>#N/A</v>
      </c>
      <c r="CM42" s="23" t="e">
        <f>EXP(-LN(2)/2)*CM41+(1-EXP(-LN(2)/2))/(LN(2)/2)*CG42*CJ42*VLOOKUP('Données projet'!$B$12,Paramètres!$A$1:$I$88,3,0)*0.475*44/12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230</v>
      </c>
      <c r="L43" s="13">
        <f>VLOOKUP(A43,'Données projet'!$A$35:$I$55,9,0)</f>
        <v>10</v>
      </c>
      <c r="M43" s="13">
        <f t="array" ref="M43">INDEX(L:L,MIN(IF(ISNUMBER(L43:L239),ROW(L43:L239),"")))</f>
        <v>10</v>
      </c>
      <c r="N43" s="14">
        <f>IF('Données projet'!$A$36&gt;35,N42+M43-V42,IF(A43&lt;'Données projet'!$A$36,$K$205^A43,IF(A43='Données projet'!$A$36,'Données projet'!$B$36,N42+M43-V42)))</f>
        <v>230</v>
      </c>
      <c r="O43" s="14">
        <f>N43*VLOOKUP('Données projet'!$B$9,Paramètres!$A$1:$I$88,3,0)*VLOOKUP('Données projet'!$B$9,Paramètres!$A$1:$I$88,5,0)</f>
        <v>107.64</v>
      </c>
      <c r="P43" s="14">
        <f t="shared" si="33"/>
        <v>28.774250263353583</v>
      </c>
      <c r="Q43" s="22">
        <f t="shared" si="53"/>
        <v>237.58815254200749</v>
      </c>
      <c r="R43" s="62">
        <f t="shared" si="0"/>
        <v>530.92148587534075</v>
      </c>
      <c r="S43" s="62">
        <f ca="1">AVERAGE(OFFSET($R$3,0,0,'Données projet'!$E$9+1,1))-AVERAGE(OFFSET($H$3,0,0,'Données projet'!$E$9+1,1))</f>
        <v>316.04959780858269</v>
      </c>
      <c r="T43" s="62">
        <f t="shared" si="34"/>
        <v>213.60182977243113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40</v>
      </c>
      <c r="W43" s="17">
        <f>IF(ISNA(VLOOKUP(A43,'Données projet'!$A$35:$I$55,5,0)),0%,VLOOKUP(A43,'Données projet'!$A$35:$I$55,5,0)*VLOOKUP('Données projet'!$B$9,Paramètres!$A$1:$I$88,7,0))</f>
        <v>0.11000000000000001</v>
      </c>
      <c r="X43" s="17">
        <f>IF(ISNA(VLOOKUP(A43,'Données projet'!$A$35:$I$55,6,0)),0%,VLOOKUP(A43,'Données projet'!$A$35:$I$55,6,0)*VLOOKUP('Données projet'!$B$9,Paramètres!$A$1:$I$88,7,0))</f>
        <v>0.24640000000000006</v>
      </c>
      <c r="Y43" s="17">
        <f>IF(ISNA(VLOOKUP(A43,'Données projet'!$A$35:$I$55,7,0)),0%,VLOOKUP(A43,'Données projet'!$A$35:$I$55,7,0))</f>
        <v>0.35200000000000004</v>
      </c>
      <c r="Z43" s="23">
        <f>EXP(-LN(2)/35)*Z42+(1-EXP(-LN(2)/35))/(LN(2)/35)*V43*W43*VLOOKUP('Données projet'!$B$9,Paramètres!$A$1:$I$88,3,0)*0.475*44/12</f>
        <v>2.7316615266411008</v>
      </c>
      <c r="AA43" s="23">
        <f>EXP(-LN(2)/25)*AA42+(1-EXP(-LN(2)/25))/(LN(2)/25)*Calculateur!V43*Calculateur!X43*VLOOKUP('Données projet'!$B$9,Paramètres!$A$1:$I$88,3,0)*0.475*44/12</f>
        <v>11.86860037386916</v>
      </c>
      <c r="AB43" s="23">
        <f>EXP(-LN(2)/2)*AB42+(1-EXP(-LN(2)/2))/(LN(2)/2)*V43*Y43*VLOOKUP('Données projet'!$B$9,Paramètres!$A$1:$I$88,3,0)*0.475*44/12</f>
        <v>7.7522133839961072</v>
      </c>
      <c r="AC43" s="24">
        <f t="shared" si="3"/>
        <v>22.352475284506369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576</v>
      </c>
      <c r="AG43" s="13">
        <f>VLOOKUP(A43,'Données projet'!$A$61:$I$81,9,0)</f>
        <v>28.4</v>
      </c>
      <c r="AH43" s="13">
        <f t="array" ref="AH43">INDEX(AG:AG,MIN(IF(ISNUMBER(AG43:AG239),ROW(AG43:AG239),"")))</f>
        <v>28.4</v>
      </c>
      <c r="AI43" s="14">
        <f>IF('Données projet'!$A$62&gt;35,AI42+AH43-AQ42,IF(A43&lt;'Données projet'!$A$62,$AF$205^A43,IF(A43='Données projet'!$A$62,'Données projet'!$B$62,AI42+AH43-AQ42)))</f>
        <v>575.99999999999989</v>
      </c>
      <c r="AJ43" s="14">
        <f>AI43*VLOOKUP('Données projet'!$B$10,Paramètres!$A$1:$I$88,3,0)*VLOOKUP('Données projet'!$B$10,Paramètres!$A$1:$I$88,5,0)</f>
        <v>321.98399999999992</v>
      </c>
      <c r="AK43" s="14">
        <f t="shared" si="35"/>
        <v>75.76601483154208</v>
      </c>
      <c r="AL43" s="22">
        <f t="shared" si="4"/>
        <v>692.74794249826891</v>
      </c>
      <c r="AM43" s="62">
        <f t="shared" si="5"/>
        <v>986.08127583160217</v>
      </c>
      <c r="AN43" s="62">
        <f ca="1">AVERAGE(OFFSET($AM$3,0,0,'Données projet'!$E$10+1,1))-AVERAGE(OFFSET($H$3,0,0,'Données projet'!$E$10+1,1))</f>
        <v>583.31979399672844</v>
      </c>
      <c r="AO43" s="62">
        <f t="shared" si="36"/>
        <v>544.21514138474731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72</v>
      </c>
      <c r="AR43" s="17">
        <f>IF(ISNA(VLOOKUP(A43,'Données projet'!$A$61:$I$81,5,0)),0%,VLOOKUP(A43,'Données projet'!$A$61:$I$81,5,0)*VLOOKUP('Données projet'!$B$10,Paramètres!$A$1:$I$88,7,0))</f>
        <v>0.11000000000000001</v>
      </c>
      <c r="AS43" s="17">
        <f>IF(ISNA(VLOOKUP(A43,'Données projet'!$A$61:$I$81,6,0)),0%,VLOOKUP(A43,'Données projet'!$A$61:$I$81,6,0)*VLOOKUP('Données projet'!$B$10,Paramètres!$A$1:$I$88,7,0))</f>
        <v>0.24640000000000006</v>
      </c>
      <c r="AT43" s="17">
        <f>IF(ISNA(VLOOKUP(A43,'Données projet'!$A$61:$I$81,7,0)),0%,VLOOKUP(A43,'Données projet'!$A$61:$I$81,7,0))</f>
        <v>0.35200000000000004</v>
      </c>
      <c r="AU43" s="23">
        <f>EXP(-LN(2)/35)*AU42+(1-EXP(-LN(2)/35))/(LN(2)/35)*AQ43*AR43*VLOOKUP('Données projet'!$B$10,Paramètres!$A$1:$I$88,3,0)*0.475*44/12</f>
        <v>12.522297967268303</v>
      </c>
      <c r="AV43" s="23">
        <f>EXP(-LN(2)/25)*AV42+(1-EXP(-LN(2)/25))/(LN(2)/25)*Calculateur!AQ43*Calculateur!AS43*VLOOKUP('Données projet'!$B$10,Paramètres!$A$1:$I$88,3,0)*0.475*44/12</f>
        <v>44.162032486692837</v>
      </c>
      <c r="AW43" s="23">
        <f>EXP(-LN(2)/2)*AW42+(1-EXP(-LN(2)/2))/(LN(2)/2)*AQ43*AT43*VLOOKUP('Données projet'!$B$10,Paramètres!$A$1:$I$88,3,0)*0.475*44/12</f>
        <v>20.173500224015736</v>
      </c>
      <c r="AX43" s="23">
        <f t="shared" si="6"/>
        <v>76.857830677976878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projet'!$B$11,Paramètres!$A$1:$I$88,3,0)*VLOOKUP('Données projet'!$B$11,Paramètres!$A$1:$I$88,5,0)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projet'!$B$11,Paramètres!$A$1:$I$88,3,0)*0.475*44/12</f>
        <v>#N/A</v>
      </c>
      <c r="BQ43" s="23" t="e">
        <f>EXP(-LN(2)/25)*BQ42+(1-EXP(-LN(2)/25))/(LN(2)/25)*Calculateur!BL43*Calculateur!BN43*VLOOKUP('Données projet'!$B$11,Paramètres!$A$1:$I$88,3,0)*0.475*44/12</f>
        <v>#N/A</v>
      </c>
      <c r="BR43" s="23" t="e">
        <f>EXP(-LN(2)/2)*BR42+(1-EXP(-LN(2)/2))/(LN(2)/2)*BL43*BO43*VLOOKUP('Données projet'!$B$11,Paramètres!$A$1:$I$88,3,0)*0.475*44/12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projet'!$B$12,Paramètres!$A$1:$I$88,3,0)*0.475*44/12</f>
        <v>#N/A</v>
      </c>
      <c r="CL43" s="23" t="e">
        <f>EXP(-LN(2)/25)*CL42+(1-EXP(-LN(2)/25))/(LN(2)/25)*Calculateur!CG43*Calculateur!CI43*VLOOKUP('Données projet'!$B$12,Paramètres!$A$1:$I$88,3,0)*0.475*44/12</f>
        <v>#N/A</v>
      </c>
      <c r="CM43" s="23" t="e">
        <f>EXP(-LN(2)/2)*CM42+(1-EXP(-LN(2)/2))/(LN(2)/2)*CG43*CJ43*VLOOKUP('Données projet'!$B$12,Paramètres!$A$1:$I$88,3,0)*0.475*44/12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10</v>
      </c>
      <c r="N44" s="14">
        <f>IF('Données projet'!$A$36&gt;35,N43+M44-V43,IF(A44&lt;'Données projet'!$A$36,$K$205^A44,IF(A44='Données projet'!$A$36,'Données projet'!$B$36,N43+M44-V43)))</f>
        <v>200</v>
      </c>
      <c r="O44" s="14">
        <f>N44*VLOOKUP('Données projet'!$B$9,Paramètres!$A$1:$I$88,3,0)*VLOOKUP('Données projet'!$B$9,Paramètres!$A$1:$I$88,5,0)</f>
        <v>93.600000000000009</v>
      </c>
      <c r="P44" s="14">
        <f t="shared" si="33"/>
        <v>25.431466524572937</v>
      </c>
      <c r="Q44" s="22">
        <f t="shared" si="53"/>
        <v>207.31313753029789</v>
      </c>
      <c r="R44" s="62">
        <f t="shared" si="0"/>
        <v>500.64647086363118</v>
      </c>
      <c r="S44" s="62">
        <f ca="1">AVERAGE(OFFSET($R$3,0,0,'Données projet'!$E$9+1,1))-AVERAGE(OFFSET($H$3,0,0,'Données projet'!$E$9+1,1))</f>
        <v>316.04959780858269</v>
      </c>
      <c r="T44" s="62">
        <f t="shared" si="34"/>
        <v>213.60182977243113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2.6780953102526817</v>
      </c>
      <c r="AA44" s="23">
        <f>EXP(-LN(2)/25)*AA43+(1-EXP(-LN(2)/25))/(LN(2)/25)*Calculateur!V44*Calculateur!X44*VLOOKUP('Données projet'!$B$9,Paramètres!$A$1:$I$88,3,0)*0.475*44/12</f>
        <v>11.544052872503141</v>
      </c>
      <c r="AB44" s="23">
        <f>EXP(-LN(2)/2)*AB43+(1-EXP(-LN(2)/2))/(LN(2)/2)*V44*Y44*VLOOKUP('Données projet'!$B$9,Paramètres!$A$1:$I$88,3,0)*0.475*44/12</f>
        <v>5.4816426530287607</v>
      </c>
      <c r="AC44" s="24">
        <f t="shared" si="3"/>
        <v>19.703790835784581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27</v>
      </c>
      <c r="AI44" s="14">
        <f>IF('Données projet'!$A$62&gt;35,AI43+AH44-AQ43,IF(A44&lt;'Données projet'!$A$62,$AF$205^A44,IF(A44='Données projet'!$A$62,'Données projet'!$B$62,AI43+AH44-AQ43)))</f>
        <v>530.99999999999989</v>
      </c>
      <c r="AJ44" s="14">
        <f>AI44*VLOOKUP('Données projet'!$B$10,Paramètres!$A$1:$I$88,3,0)*VLOOKUP('Données projet'!$B$10,Paramètres!$A$1:$I$88,5,0)</f>
        <v>296.82899999999995</v>
      </c>
      <c r="AK44" s="14">
        <f t="shared" si="35"/>
        <v>70.511289513454344</v>
      </c>
      <c r="AL44" s="22">
        <f t="shared" si="4"/>
        <v>639.78433756926631</v>
      </c>
      <c r="AM44" s="62">
        <f t="shared" si="5"/>
        <v>933.11767090259968</v>
      </c>
      <c r="AN44" s="62">
        <f ca="1">AVERAGE(OFFSET($AM$3,0,0,'Données projet'!$E$10+1,1))-AVERAGE(OFFSET($H$3,0,0,'Données projet'!$E$10+1,1))</f>
        <v>583.31979399672844</v>
      </c>
      <c r="AO44" s="62">
        <f t="shared" si="36"/>
        <v>544.21514138474731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12.276743341977756</v>
      </c>
      <c r="AV44" s="23">
        <f>EXP(-LN(2)/25)*AV43+(1-EXP(-LN(2)/25))/(LN(2)/25)*Calculateur!AQ44*Calculateur!AS44*VLOOKUP('Données projet'!$B$10,Paramètres!$A$1:$I$88,3,0)*0.475*44/12</f>
        <v>42.954419385963867</v>
      </c>
      <c r="AW44" s="23">
        <f>EXP(-LN(2)/2)*AW43+(1-EXP(-LN(2)/2))/(LN(2)/2)*AQ44*AT44*VLOOKUP('Données projet'!$B$10,Paramètres!$A$1:$I$88,3,0)*0.475*44/12</f>
        <v>14.264818808669864</v>
      </c>
      <c r="AX44" s="23">
        <f t="shared" si="6"/>
        <v>69.495981536611481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projet'!$B$11,Paramètres!$A$1:$I$88,3,0)*VLOOKUP('Données projet'!$B$11,Paramètres!$A$1:$I$88,5,0)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projet'!$B$11,Paramètres!$A$1:$I$88,3,0)*0.475*44/12</f>
        <v>#N/A</v>
      </c>
      <c r="BQ44" s="23" t="e">
        <f>EXP(-LN(2)/25)*BQ43+(1-EXP(-LN(2)/25))/(LN(2)/25)*Calculateur!BL44*Calculateur!BN44*VLOOKUP('Données projet'!$B$11,Paramètres!$A$1:$I$88,3,0)*0.475*44/12</f>
        <v>#N/A</v>
      </c>
      <c r="BR44" s="23" t="e">
        <f>EXP(-LN(2)/2)*BR43+(1-EXP(-LN(2)/2))/(LN(2)/2)*BL44*BO44*VLOOKUP('Données projet'!$B$11,Paramètres!$A$1:$I$88,3,0)*0.475*44/12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projet'!$B$12,Paramètres!$A$1:$I$88,3,0)*0.475*44/12</f>
        <v>#N/A</v>
      </c>
      <c r="CL44" s="23" t="e">
        <f>EXP(-LN(2)/25)*CL43+(1-EXP(-LN(2)/25))/(LN(2)/25)*Calculateur!CG44*Calculateur!CI44*VLOOKUP('Données projet'!$B$12,Paramètres!$A$1:$I$88,3,0)*0.475*44/12</f>
        <v>#N/A</v>
      </c>
      <c r="CM44" s="23" t="e">
        <f>EXP(-LN(2)/2)*CM43+(1-EXP(-LN(2)/2))/(LN(2)/2)*CG44*CJ44*VLOOKUP('Données projet'!$B$12,Paramètres!$A$1:$I$88,3,0)*0.475*44/12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10</v>
      </c>
      <c r="N45" s="14">
        <f>IF('Données projet'!$A$36&gt;35,N44+M45-V44,IF(A45&lt;'Données projet'!$A$36,$K$205^A45,IF(A45='Données projet'!$A$36,'Données projet'!$B$36,N44+M45-V44)))</f>
        <v>210</v>
      </c>
      <c r="O45" s="14">
        <f>N45*VLOOKUP('Données projet'!$B$9,Paramètres!$A$1:$I$88,3,0)*VLOOKUP('Données projet'!$B$9,Paramètres!$A$1:$I$88,5,0)</f>
        <v>98.28</v>
      </c>
      <c r="P45" s="14">
        <f t="shared" si="33"/>
        <v>26.551818424463473</v>
      </c>
      <c r="Q45" s="22">
        <f t="shared" si="53"/>
        <v>217.41541708927389</v>
      </c>
      <c r="R45" s="62">
        <f t="shared" si="0"/>
        <v>510.7487504226072</v>
      </c>
      <c r="S45" s="62">
        <f ca="1">AVERAGE(OFFSET($R$3,0,0,'Données projet'!$E$9+1,1))-AVERAGE(OFFSET($H$3,0,0,'Données projet'!$E$9+1,1))</f>
        <v>316.04959780858269</v>
      </c>
      <c r="T45" s="62">
        <f t="shared" si="34"/>
        <v>213.60182977243113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2.6255794946954736</v>
      </c>
      <c r="AA45" s="23">
        <f>EXP(-LN(2)/25)*AA44+(1-EXP(-LN(2)/25))/(LN(2)/25)*Calculateur!V45*Calculateur!X45*VLOOKUP('Données projet'!$B$9,Paramètres!$A$1:$I$88,3,0)*0.475*44/12</f>
        <v>11.228380139629186</v>
      </c>
      <c r="AB45" s="23">
        <f>EXP(-LN(2)/2)*AB44+(1-EXP(-LN(2)/2))/(LN(2)/2)*V45*Y45*VLOOKUP('Données projet'!$B$9,Paramètres!$A$1:$I$88,3,0)*0.475*44/12</f>
        <v>3.876106691998054</v>
      </c>
      <c r="AC45" s="24">
        <f t="shared" si="3"/>
        <v>17.730066326322714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27</v>
      </c>
      <c r="AI45" s="14">
        <f>IF('Données projet'!$A$62&gt;35,AI44+AH45-AQ44,IF(A45&lt;'Données projet'!$A$62,$AF$205^A45,IF(A45='Données projet'!$A$62,'Données projet'!$B$62,AI44+AH45-AQ44)))</f>
        <v>557.99999999999989</v>
      </c>
      <c r="AJ45" s="14">
        <f>AI45*VLOOKUP('Données projet'!$B$10,Paramètres!$A$1:$I$88,3,0)*VLOOKUP('Données projet'!$B$10,Paramètres!$A$1:$I$88,5,0)</f>
        <v>311.92199999999991</v>
      </c>
      <c r="AK45" s="14">
        <f t="shared" si="35"/>
        <v>73.670075764965745</v>
      </c>
      <c r="AL45" s="22">
        <f t="shared" si="4"/>
        <v>671.57286529064845</v>
      </c>
      <c r="AM45" s="62">
        <f t="shared" si="5"/>
        <v>964.90619862398171</v>
      </c>
      <c r="AN45" s="62">
        <f ca="1">AVERAGE(OFFSET($AM$3,0,0,'Données projet'!$E$10+1,1))-AVERAGE(OFFSET($H$3,0,0,'Données projet'!$E$10+1,1))</f>
        <v>583.31979399672844</v>
      </c>
      <c r="AO45" s="62">
        <f t="shared" si="36"/>
        <v>544.21514138474731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12.036003893115625</v>
      </c>
      <c r="AV45" s="23">
        <f>EXP(-LN(2)/25)*AV44+(1-EXP(-LN(2)/25))/(LN(2)/25)*Calculateur!AQ45*Calculateur!AS45*VLOOKUP('Données projet'!$B$10,Paramètres!$A$1:$I$88,3,0)*0.475*44/12</f>
        <v>41.779828528979941</v>
      </c>
      <c r="AW45" s="23">
        <f>EXP(-LN(2)/2)*AW44+(1-EXP(-LN(2)/2))/(LN(2)/2)*AQ45*AT45*VLOOKUP('Données projet'!$B$10,Paramètres!$A$1:$I$88,3,0)*0.475*44/12</f>
        <v>10.08675011200787</v>
      </c>
      <c r="AX45" s="23">
        <f t="shared" si="6"/>
        <v>63.902582534103438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projet'!$B$11,Paramètres!$A$1:$I$88,3,0)*VLOOKUP('Données projet'!$B$11,Paramètres!$A$1:$I$88,5,0)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projet'!$B$11,Paramètres!$A$1:$I$88,3,0)*0.475*44/12</f>
        <v>#N/A</v>
      </c>
      <c r="BQ45" s="23" t="e">
        <f>EXP(-LN(2)/25)*BQ44+(1-EXP(-LN(2)/25))/(LN(2)/25)*Calculateur!BL45*Calculateur!BN45*VLOOKUP('Données projet'!$B$11,Paramètres!$A$1:$I$88,3,0)*0.475*44/12</f>
        <v>#N/A</v>
      </c>
      <c r="BR45" s="23" t="e">
        <f>EXP(-LN(2)/2)*BR44+(1-EXP(-LN(2)/2))/(LN(2)/2)*BL45*BO45*VLOOKUP('Données projet'!$B$11,Paramètres!$A$1:$I$88,3,0)*0.475*44/12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projet'!$B$12,Paramètres!$A$1:$I$88,3,0)*0.475*44/12</f>
        <v>#N/A</v>
      </c>
      <c r="CL45" s="23" t="e">
        <f>EXP(-LN(2)/25)*CL44+(1-EXP(-LN(2)/25))/(LN(2)/25)*Calculateur!CG45*Calculateur!CI45*VLOOKUP('Données projet'!$B$12,Paramètres!$A$1:$I$88,3,0)*0.475*44/12</f>
        <v>#N/A</v>
      </c>
      <c r="CM45" s="23" t="e">
        <f>EXP(-LN(2)/2)*CM44+(1-EXP(-LN(2)/2))/(LN(2)/2)*CG45*CJ45*VLOOKUP('Données projet'!$B$12,Paramètres!$A$1:$I$88,3,0)*0.475*44/12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10</v>
      </c>
      <c r="N46" s="14">
        <f>IF('Données projet'!$A$36&gt;35,N45+M46-V45,IF(A46&lt;'Données projet'!$A$36,$K$205^A46,IF(A46='Données projet'!$A$36,'Données projet'!$B$36,N45+M46-V45)))</f>
        <v>220</v>
      </c>
      <c r="O46" s="14">
        <f>N46*VLOOKUP('Données projet'!$B$9,Paramètres!$A$1:$I$88,3,0)*VLOOKUP('Données projet'!$B$9,Paramètres!$A$1:$I$88,5,0)</f>
        <v>102.96000000000001</v>
      </c>
      <c r="P46" s="14">
        <f t="shared" si="33"/>
        <v>27.665975080374633</v>
      </c>
      <c r="Q46" s="22">
        <f t="shared" si="53"/>
        <v>227.50690659831915</v>
      </c>
      <c r="R46" s="62">
        <f t="shared" si="0"/>
        <v>520.84023993165249</v>
      </c>
      <c r="S46" s="62">
        <f ca="1">AVERAGE(OFFSET($R$3,0,0,'Données projet'!$E$9+1,1))-AVERAGE(OFFSET($H$3,0,0,'Données projet'!$E$9+1,1))</f>
        <v>316.04959780858269</v>
      </c>
      <c r="T46" s="62">
        <f t="shared" si="34"/>
        <v>213.60182977243113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2.5740934822498573</v>
      </c>
      <c r="AA46" s="23">
        <f>EXP(-LN(2)/25)*AA45+(1-EXP(-LN(2)/25))/(LN(2)/25)*Calculateur!V46*Calculateur!X46*VLOOKUP('Données projet'!$B$9,Paramètres!$A$1:$I$88,3,0)*0.475*44/12</f>
        <v>10.921339494236177</v>
      </c>
      <c r="AB46" s="23">
        <f>EXP(-LN(2)/2)*AB45+(1-EXP(-LN(2)/2))/(LN(2)/2)*V46*Y46*VLOOKUP('Données projet'!$B$9,Paramètres!$A$1:$I$88,3,0)*0.475*44/12</f>
        <v>2.7408213265143808</v>
      </c>
      <c r="AC46" s="24">
        <f t="shared" si="3"/>
        <v>16.236254303000415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27</v>
      </c>
      <c r="AI46" s="14">
        <f>IF('Données projet'!$A$62&gt;35,AI45+AH46-AQ45,IF(A46&lt;'Données projet'!$A$62,$AF$205^A46,IF(A46='Données projet'!$A$62,'Données projet'!$B$62,AI45+AH46-AQ45)))</f>
        <v>584.99999999999989</v>
      </c>
      <c r="AJ46" s="14">
        <f>AI46*VLOOKUP('Données projet'!$B$10,Paramètres!$A$1:$I$88,3,0)*VLOOKUP('Données projet'!$B$10,Paramètres!$A$1:$I$88,5,0)</f>
        <v>327.01499999999993</v>
      </c>
      <c r="AK46" s="14">
        <f t="shared" si="35"/>
        <v>76.811113612871907</v>
      </c>
      <c r="AL46" s="22">
        <f t="shared" si="4"/>
        <v>703.33048120908506</v>
      </c>
      <c r="AM46" s="62">
        <f t="shared" si="5"/>
        <v>996.66381454241832</v>
      </c>
      <c r="AN46" s="62">
        <f ca="1">AVERAGE(OFFSET($AM$3,0,0,'Données projet'!$E$10+1,1))-AVERAGE(OFFSET($H$3,0,0,'Données projet'!$E$10+1,1))</f>
        <v>583.31979399672844</v>
      </c>
      <c r="AO46" s="62">
        <f t="shared" si="36"/>
        <v>544.21514138474731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11.799985198009116</v>
      </c>
      <c r="AV46" s="23">
        <f>EXP(-LN(2)/25)*AV45+(1-EXP(-LN(2)/25))/(LN(2)/25)*Calculateur!AQ46*Calculateur!AS46*VLOOKUP('Données projet'!$B$10,Paramètres!$A$1:$I$88,3,0)*0.475*44/12</f>
        <v>40.637356920749291</v>
      </c>
      <c r="AW46" s="23">
        <f>EXP(-LN(2)/2)*AW45+(1-EXP(-LN(2)/2))/(LN(2)/2)*AQ46*AT46*VLOOKUP('Données projet'!$B$10,Paramètres!$A$1:$I$88,3,0)*0.475*44/12</f>
        <v>7.1324094043349335</v>
      </c>
      <c r="AX46" s="23">
        <f t="shared" si="6"/>
        <v>59.569751523093345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projet'!$B$11,Paramètres!$A$1:$I$88,3,0)*VLOOKUP('Données projet'!$B$11,Paramètres!$A$1:$I$88,5,0)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projet'!$B$11,Paramètres!$A$1:$I$88,3,0)*0.475*44/12</f>
        <v>#N/A</v>
      </c>
      <c r="BQ46" s="23" t="e">
        <f>EXP(-LN(2)/25)*BQ45+(1-EXP(-LN(2)/25))/(LN(2)/25)*Calculateur!BL46*Calculateur!BN46*VLOOKUP('Données projet'!$B$11,Paramètres!$A$1:$I$88,3,0)*0.475*44/12</f>
        <v>#N/A</v>
      </c>
      <c r="BR46" s="23" t="e">
        <f>EXP(-LN(2)/2)*BR45+(1-EXP(-LN(2)/2))/(LN(2)/2)*BL46*BO46*VLOOKUP('Données projet'!$B$11,Paramètres!$A$1:$I$88,3,0)*0.475*44/12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projet'!$B$12,Paramètres!$A$1:$I$88,3,0)*0.475*44/12</f>
        <v>#N/A</v>
      </c>
      <c r="CL46" s="23" t="e">
        <f>EXP(-LN(2)/25)*CL45+(1-EXP(-LN(2)/25))/(LN(2)/25)*Calculateur!CG46*Calculateur!CI46*VLOOKUP('Données projet'!$B$12,Paramètres!$A$1:$I$88,3,0)*0.475*44/12</f>
        <v>#N/A</v>
      </c>
      <c r="CM46" s="23" t="e">
        <f>EXP(-LN(2)/2)*CM45+(1-EXP(-LN(2)/2))/(LN(2)/2)*CG46*CJ46*VLOOKUP('Données projet'!$B$12,Paramètres!$A$1:$I$88,3,0)*0.475*44/12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10</v>
      </c>
      <c r="N47" s="14">
        <f>IF('Données projet'!$A$36&gt;35,N46+M47-V46,IF(A47&lt;'Données projet'!$A$36,$K$205^A47,IF(A47='Données projet'!$A$36,'Données projet'!$B$36,N46+M47-V46)))</f>
        <v>230</v>
      </c>
      <c r="O47" s="14">
        <f>N47*VLOOKUP('Données projet'!$B$9,Paramètres!$A$1:$I$88,3,0)*VLOOKUP('Données projet'!$B$9,Paramètres!$A$1:$I$88,5,0)</f>
        <v>107.64</v>
      </c>
      <c r="P47" s="14">
        <f t="shared" si="33"/>
        <v>28.774250263353583</v>
      </c>
      <c r="Q47" s="22">
        <f t="shared" si="53"/>
        <v>237.58815254200749</v>
      </c>
      <c r="R47" s="62">
        <f t="shared" si="0"/>
        <v>530.92148587534075</v>
      </c>
      <c r="S47" s="62">
        <f ca="1">AVERAGE(OFFSET($R$3,0,0,'Données projet'!$E$9+1,1))-AVERAGE(OFFSET($H$3,0,0,'Données projet'!$E$9+1,1))</f>
        <v>316.04959780858269</v>
      </c>
      <c r="T47" s="62">
        <f t="shared" si="34"/>
        <v>213.60182977243113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2.523617079104933</v>
      </c>
      <c r="AA47" s="23">
        <f>EXP(-LN(2)/25)*AA46+(1-EXP(-LN(2)/25))/(LN(2)/25)*Calculateur!V47*Calculateur!X47*VLOOKUP('Données projet'!$B$9,Paramètres!$A$1:$I$88,3,0)*0.475*44/12</f>
        <v>10.622694891438005</v>
      </c>
      <c r="AB47" s="23">
        <f>EXP(-LN(2)/2)*AB46+(1-EXP(-LN(2)/2))/(LN(2)/2)*V47*Y47*VLOOKUP('Données projet'!$B$9,Paramètres!$A$1:$I$88,3,0)*0.475*44/12</f>
        <v>1.9380533459990272</v>
      </c>
      <c r="AC47" s="24">
        <f t="shared" si="3"/>
        <v>15.084365316541966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27</v>
      </c>
      <c r="AI47" s="14">
        <f>IF('Données projet'!$A$62&gt;35,AI46+AH47-AQ46,IF(A47&lt;'Données projet'!$A$62,$AF$205^A47,IF(A47='Données projet'!$A$62,'Données projet'!$B$62,AI46+AH47-AQ46)))</f>
        <v>611.99999999999989</v>
      </c>
      <c r="AJ47" s="14">
        <f>AI47*VLOOKUP('Données projet'!$B$10,Paramètres!$A$1:$I$88,3,0)*VLOOKUP('Données projet'!$B$10,Paramètres!$A$1:$I$88,5,0)</f>
        <v>342.10799999999995</v>
      </c>
      <c r="AK47" s="14">
        <f t="shared" si="35"/>
        <v>79.935315774430151</v>
      </c>
      <c r="AL47" s="22">
        <f t="shared" si="4"/>
        <v>735.0587749737989</v>
      </c>
      <c r="AM47" s="62">
        <f t="shared" si="5"/>
        <v>1028.3921083071323</v>
      </c>
      <c r="AN47" s="62">
        <f ca="1">AVERAGE(OFFSET($AM$3,0,0,'Données projet'!$E$10+1,1))-AVERAGE(OFFSET($H$3,0,0,'Données projet'!$E$10+1,1))</f>
        <v>583.31979399672844</v>
      </c>
      <c r="AO47" s="62">
        <f t="shared" si="36"/>
        <v>544.21514138474731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11.568594685556455</v>
      </c>
      <c r="AV47" s="23">
        <f>EXP(-LN(2)/25)*AV46+(1-EXP(-LN(2)/25))/(LN(2)/25)*Calculateur!AQ47*Calculateur!AS47*VLOOKUP('Données projet'!$B$10,Paramètres!$A$1:$I$88,3,0)*0.475*44/12</f>
        <v>39.526126258725675</v>
      </c>
      <c r="AW47" s="23">
        <f>EXP(-LN(2)/2)*AW46+(1-EXP(-LN(2)/2))/(LN(2)/2)*AQ47*AT47*VLOOKUP('Données projet'!$B$10,Paramètres!$A$1:$I$88,3,0)*0.475*44/12</f>
        <v>5.0433750560039359</v>
      </c>
      <c r="AX47" s="23">
        <f t="shared" si="6"/>
        <v>56.138096000286069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projet'!$B$11,Paramètres!$A$1:$I$88,3,0)*VLOOKUP('Données projet'!$B$11,Paramètres!$A$1:$I$88,5,0)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projet'!$B$11,Paramètres!$A$1:$I$88,3,0)*0.475*44/12</f>
        <v>#N/A</v>
      </c>
      <c r="BQ47" s="23" t="e">
        <f>EXP(-LN(2)/25)*BQ46+(1-EXP(-LN(2)/25))/(LN(2)/25)*Calculateur!BL47*Calculateur!BN47*VLOOKUP('Données projet'!$B$11,Paramètres!$A$1:$I$88,3,0)*0.475*44/12</f>
        <v>#N/A</v>
      </c>
      <c r="BR47" s="23" t="e">
        <f>EXP(-LN(2)/2)*BR46+(1-EXP(-LN(2)/2))/(LN(2)/2)*BL47*BO47*VLOOKUP('Données projet'!$B$11,Paramètres!$A$1:$I$88,3,0)*0.475*44/12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projet'!$B$12,Paramètres!$A$1:$I$88,3,0)*0.475*44/12</f>
        <v>#N/A</v>
      </c>
      <c r="CL47" s="23" t="e">
        <f>EXP(-LN(2)/25)*CL46+(1-EXP(-LN(2)/25))/(LN(2)/25)*Calculateur!CG47*Calculateur!CI47*VLOOKUP('Données projet'!$B$12,Paramètres!$A$1:$I$88,3,0)*0.475*44/12</f>
        <v>#N/A</v>
      </c>
      <c r="CM47" s="23" t="e">
        <f>EXP(-LN(2)/2)*CM46+(1-EXP(-LN(2)/2))/(LN(2)/2)*CG47*CJ47*VLOOKUP('Données projet'!$B$12,Paramètres!$A$1:$I$88,3,0)*0.475*44/12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10</v>
      </c>
      <c r="N48" s="14">
        <f>IF('Données projet'!$A$36&gt;35,N47+M48-V47,IF(A48&lt;'Données projet'!$A$36,$K$205^A48,IF(A48='Données projet'!$A$36,'Données projet'!$B$36,N47+M48-V47)))</f>
        <v>240</v>
      </c>
      <c r="O48" s="14">
        <f>N48*VLOOKUP('Données projet'!$B$9,Paramètres!$A$1:$I$88,3,0)*VLOOKUP('Données projet'!$B$9,Paramètres!$A$1:$I$88,5,0)</f>
        <v>112.32</v>
      </c>
      <c r="P48" s="14">
        <f t="shared" si="33"/>
        <v>29.87692891707237</v>
      </c>
      <c r="Q48" s="22">
        <f t="shared" si="53"/>
        <v>247.65965119723435</v>
      </c>
      <c r="R48" s="62">
        <f t="shared" si="0"/>
        <v>540.9929845305677</v>
      </c>
      <c r="S48" s="62">
        <f ca="1">AVERAGE(OFFSET($R$3,0,0,'Données projet'!$E$9+1,1))-AVERAGE(OFFSET($H$3,0,0,'Données projet'!$E$9+1,1))</f>
        <v>316.04959780858269</v>
      </c>
      <c r="T48" s="62">
        <f t="shared" si="34"/>
        <v>213.60182977243113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2.4741304874381149</v>
      </c>
      <c r="AA48" s="23">
        <f>EXP(-LN(2)/25)*AA47+(1-EXP(-LN(2)/25))/(LN(2)/25)*Calculateur!V48*Calculateur!X48*VLOOKUP('Données projet'!$B$9,Paramètres!$A$1:$I$88,3,0)*0.475*44/12</f>
        <v>10.332216741008388</v>
      </c>
      <c r="AB48" s="23">
        <f>EXP(-LN(2)/2)*AB47+(1-EXP(-LN(2)/2))/(LN(2)/2)*V48*Y48*VLOOKUP('Données projet'!$B$9,Paramètres!$A$1:$I$88,3,0)*0.475*44/12</f>
        <v>1.3704106632571906</v>
      </c>
      <c r="AC48" s="24">
        <f t="shared" si="3"/>
        <v>14.176757891703694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639</v>
      </c>
      <c r="AG48" s="13">
        <f>VLOOKUP(A48,'Données projet'!$A$61:$I$81,9,0)</f>
        <v>27</v>
      </c>
      <c r="AH48" s="13">
        <f t="array" ref="AH48">INDEX(AG:AG,MIN(IF(ISNUMBER(AG48:AG244),ROW(AG48:AG244),"")))</f>
        <v>27</v>
      </c>
      <c r="AI48" s="14">
        <f>IF('Données projet'!$A$62&gt;35,AI47+AH48-AQ47,IF(A48&lt;'Données projet'!$A$62,$AF$205^A48,IF(A48='Données projet'!$A$62,'Données projet'!$B$62,AI47+AH48-AQ47)))</f>
        <v>638.99999999999989</v>
      </c>
      <c r="AJ48" s="14">
        <f>AI48*VLOOKUP('Données projet'!$B$10,Paramètres!$A$1:$I$88,3,0)*VLOOKUP('Données projet'!$B$10,Paramètres!$A$1:$I$88,5,0)</f>
        <v>357.20099999999991</v>
      </c>
      <c r="AK48" s="14">
        <f t="shared" si="35"/>
        <v>83.043509879488369</v>
      </c>
      <c r="AL48" s="22">
        <f t="shared" si="4"/>
        <v>766.75918804010871</v>
      </c>
      <c r="AM48" s="62">
        <f t="shared" si="5"/>
        <v>1060.092521373442</v>
      </c>
      <c r="AN48" s="62">
        <f ca="1">AVERAGE(OFFSET($AM$3,0,0,'Données projet'!$E$10+1,1))-AVERAGE(OFFSET($H$3,0,0,'Données projet'!$E$10+1,1))</f>
        <v>583.31979399672844</v>
      </c>
      <c r="AO48" s="62">
        <f t="shared" si="36"/>
        <v>544.21514138474731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77</v>
      </c>
      <c r="AR48" s="17">
        <f>IF(ISNA(VLOOKUP(A48,'Données projet'!$A$61:$I$81,5,0)),0%,VLOOKUP(A48,'Données projet'!$A$61:$I$81,5,0)*VLOOKUP('Données projet'!$B$10,Paramètres!$A$1:$I$88,7,0))</f>
        <v>0.22000000000000003</v>
      </c>
      <c r="AS48" s="17">
        <f>IF(ISNA(VLOOKUP(A48,'Données projet'!$A$61:$I$81,6,0)),0%,VLOOKUP(A48,'Données projet'!$A$61:$I$81,6,0)*VLOOKUP('Données projet'!$B$10,Paramètres!$A$1:$I$88,7,0))</f>
        <v>0.18480000000000002</v>
      </c>
      <c r="AT48" s="17">
        <f>IF(ISNA(VLOOKUP(A48,'Données projet'!$A$61:$I$81,7,0)),0%,VLOOKUP(A48,'Données projet'!$A$61:$I$81,7,0))</f>
        <v>0.26400000000000001</v>
      </c>
      <c r="AU48" s="23">
        <f>EXP(-LN(2)/35)*AU47+(1-EXP(-LN(2)/35))/(LN(2)/35)*AQ48*AR48*VLOOKUP('Données projet'!$B$10,Paramètres!$A$1:$I$88,3,0)*0.475*44/12</f>
        <v>23.90359064812522</v>
      </c>
      <c r="AV48" s="23">
        <f>EXP(-LN(2)/25)*AV47+(1-EXP(-LN(2)/25))/(LN(2)/25)*Calculateur!AQ48*Calculateur!AS48*VLOOKUP('Données projet'!$B$10,Paramètres!$A$1:$I$88,3,0)*0.475*44/12</f>
        <v>48.955688397725929</v>
      </c>
      <c r="AW48" s="23">
        <f>EXP(-LN(2)/2)*AW47+(1-EXP(-LN(2)/2))/(LN(2)/2)*AQ48*AT48*VLOOKUP('Données projet'!$B$10,Paramètres!$A$1:$I$88,3,0)*0.475*44/12</f>
        <v>16.432158844729425</v>
      </c>
      <c r="AX48" s="23">
        <f t="shared" si="6"/>
        <v>89.291437890580582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projet'!$B$11,Paramètres!$A$1:$I$88,3,0)*VLOOKUP('Données projet'!$B$11,Paramètres!$A$1:$I$88,5,0)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projet'!$B$11,Paramètres!$A$1:$I$88,3,0)*0.475*44/12</f>
        <v>#N/A</v>
      </c>
      <c r="BQ48" s="23" t="e">
        <f>EXP(-LN(2)/25)*BQ47+(1-EXP(-LN(2)/25))/(LN(2)/25)*Calculateur!BL48*Calculateur!BN48*VLOOKUP('Données projet'!$B$11,Paramètres!$A$1:$I$88,3,0)*0.475*44/12</f>
        <v>#N/A</v>
      </c>
      <c r="BR48" s="23" t="e">
        <f>EXP(-LN(2)/2)*BR47+(1-EXP(-LN(2)/2))/(LN(2)/2)*BL48*BO48*VLOOKUP('Données projet'!$B$11,Paramètres!$A$1:$I$88,3,0)*0.475*44/12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projet'!$B$12,Paramètres!$A$1:$I$88,3,0)*0.475*44/12</f>
        <v>#N/A</v>
      </c>
      <c r="CL48" s="23" t="e">
        <f>EXP(-LN(2)/25)*CL47+(1-EXP(-LN(2)/25))/(LN(2)/25)*Calculateur!CG48*Calculateur!CI48*VLOOKUP('Données projet'!$B$12,Paramètres!$A$1:$I$88,3,0)*0.475*44/12</f>
        <v>#N/A</v>
      </c>
      <c r="CM48" s="23" t="e">
        <f>EXP(-LN(2)/2)*CM47+(1-EXP(-LN(2)/2))/(LN(2)/2)*CG48*CJ48*VLOOKUP('Données projet'!$B$12,Paramètres!$A$1:$I$88,3,0)*0.475*44/12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10</v>
      </c>
      <c r="N49" s="14">
        <f>IF('Données projet'!$A$36&gt;35,N48+M49-V48,IF(A49&lt;'Données projet'!$A$36,$K$205^A49,IF(A49='Données projet'!$A$36,'Données projet'!$B$36,N48+M49-V48)))</f>
        <v>250</v>
      </c>
      <c r="O49" s="14">
        <f>N49*VLOOKUP('Données projet'!$B$9,Paramètres!$A$1:$I$88,3,0)*VLOOKUP('Données projet'!$B$9,Paramètres!$A$1:$I$88,5,0)</f>
        <v>117</v>
      </c>
      <c r="P49" s="14">
        <f t="shared" si="33"/>
        <v>30.974270896484146</v>
      </c>
      <c r="Q49" s="22">
        <f t="shared" si="53"/>
        <v>257.72185514470988</v>
      </c>
      <c r="R49" s="62">
        <f t="shared" si="0"/>
        <v>551.05518847804319</v>
      </c>
      <c r="S49" s="62">
        <f ca="1">AVERAGE(OFFSET($R$3,0,0,'Données projet'!$E$9+1,1))-AVERAGE(OFFSET($H$3,0,0,'Données projet'!$E$9+1,1))</f>
        <v>316.04959780858269</v>
      </c>
      <c r="T49" s="62">
        <f t="shared" si="34"/>
        <v>213.60182977243113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2.4256142976500423</v>
      </c>
      <c r="AA49" s="23">
        <f>EXP(-LN(2)/25)*AA48+(1-EXP(-LN(2)/25))/(LN(2)/25)*Calculateur!V49*Calculateur!X49*VLOOKUP('Données projet'!$B$9,Paramètres!$A$1:$I$88,3,0)*0.475*44/12</f>
        <v>10.04968173087785</v>
      </c>
      <c r="AB49" s="23">
        <f>EXP(-LN(2)/2)*AB48+(1-EXP(-LN(2)/2))/(LN(2)/2)*V49*Y49*VLOOKUP('Données projet'!$B$9,Paramètres!$A$1:$I$88,3,0)*0.475*44/12</f>
        <v>0.96902667299951384</v>
      </c>
      <c r="AC49" s="24">
        <f t="shared" si="3"/>
        <v>13.444322701527406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24.8</v>
      </c>
      <c r="AI49" s="14">
        <f>IF('Données projet'!$A$62&gt;35,AI48+AH49-AQ48,IF(A49&lt;'Données projet'!$A$62,$AF$205^A49,IF(A49='Données projet'!$A$62,'Données projet'!$B$62,AI48+AH49-AQ48)))</f>
        <v>586.79999999999984</v>
      </c>
      <c r="AJ49" s="14">
        <f>AI49*VLOOKUP('Données projet'!$B$10,Paramètres!$A$1:$I$88,3,0)*VLOOKUP('Données projet'!$B$10,Paramètres!$A$1:$I$88,5,0)</f>
        <v>328.02119999999991</v>
      </c>
      <c r="AK49" s="14">
        <f t="shared" si="35"/>
        <v>77.019907950957702</v>
      </c>
      <c r="AL49" s="22">
        <f t="shared" si="4"/>
        <v>705.44659634791776</v>
      </c>
      <c r="AM49" s="62">
        <f t="shared" si="5"/>
        <v>998.77992968125113</v>
      </c>
      <c r="AN49" s="62">
        <f ca="1">AVERAGE(OFFSET($AM$3,0,0,'Données projet'!$E$10+1,1))-AVERAGE(OFFSET($H$3,0,0,'Données projet'!$E$10+1,1))</f>
        <v>583.31979399672844</v>
      </c>
      <c r="AO49" s="62">
        <f t="shared" si="36"/>
        <v>544.21514138474731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23.43485581526615</v>
      </c>
      <c r="AV49" s="23">
        <f>EXP(-LN(2)/25)*AV48+(1-EXP(-LN(2)/25))/(LN(2)/25)*Calculateur!AQ49*Calculateur!AS49*VLOOKUP('Données projet'!$B$10,Paramètres!$A$1:$I$88,3,0)*0.475*44/12</f>
        <v>47.616992524022351</v>
      </c>
      <c r="AW49" s="23">
        <f>EXP(-LN(2)/2)*AW48+(1-EXP(-LN(2)/2))/(LN(2)/2)*AQ49*AT49*VLOOKUP('Données projet'!$B$10,Paramètres!$A$1:$I$88,3,0)*0.475*44/12</f>
        <v>11.619290948642682</v>
      </c>
      <c r="AX49" s="23">
        <f t="shared" si="6"/>
        <v>82.671139287931183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projet'!$B$11,Paramètres!$A$1:$I$88,3,0)*VLOOKUP('Données projet'!$B$11,Paramètres!$A$1:$I$88,5,0)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projet'!$B$11,Paramètres!$A$1:$I$88,3,0)*0.475*44/12</f>
        <v>#N/A</v>
      </c>
      <c r="BQ49" s="23" t="e">
        <f>EXP(-LN(2)/25)*BQ48+(1-EXP(-LN(2)/25))/(LN(2)/25)*Calculateur!BL49*Calculateur!BN49*VLOOKUP('Données projet'!$B$11,Paramètres!$A$1:$I$88,3,0)*0.475*44/12</f>
        <v>#N/A</v>
      </c>
      <c r="BR49" s="23" t="e">
        <f>EXP(-LN(2)/2)*BR48+(1-EXP(-LN(2)/2))/(LN(2)/2)*BL49*BO49*VLOOKUP('Données projet'!$B$11,Paramètres!$A$1:$I$88,3,0)*0.475*44/12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projet'!$B$12,Paramètres!$A$1:$I$88,3,0)*0.475*44/12</f>
        <v>#N/A</v>
      </c>
      <c r="CL49" s="23" t="e">
        <f>EXP(-LN(2)/25)*CL48+(1-EXP(-LN(2)/25))/(LN(2)/25)*Calculateur!CG49*Calculateur!CI49*VLOOKUP('Données projet'!$B$12,Paramètres!$A$1:$I$88,3,0)*0.475*44/12</f>
        <v>#N/A</v>
      </c>
      <c r="CM49" s="23" t="e">
        <f>EXP(-LN(2)/2)*CM48+(1-EXP(-LN(2)/2))/(LN(2)/2)*CG49*CJ49*VLOOKUP('Données projet'!$B$12,Paramètres!$A$1:$I$88,3,0)*0.475*44/12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10</v>
      </c>
      <c r="N50" s="14">
        <f>IF('Données projet'!$A$36&gt;35,N49+M50-V49,IF(A50&lt;'Données projet'!$A$36,$K$205^A50,IF(A50='Données projet'!$A$36,'Données projet'!$B$36,N49+M50-V49)))</f>
        <v>260</v>
      </c>
      <c r="O50" s="14">
        <f>N50*VLOOKUP('Données projet'!$B$9,Paramètres!$A$1:$I$88,3,0)*VLOOKUP('Données projet'!$B$9,Paramètres!$A$1:$I$88,5,0)</f>
        <v>121.67999999999999</v>
      </c>
      <c r="P50" s="14">
        <f t="shared" si="33"/>
        <v>32.066514091456256</v>
      </c>
      <c r="Q50" s="22">
        <f t="shared" si="53"/>
        <v>267.77517870928631</v>
      </c>
      <c r="R50" s="62">
        <f t="shared" si="0"/>
        <v>561.10851204261962</v>
      </c>
      <c r="S50" s="62">
        <f ca="1">AVERAGE(OFFSET($R$3,0,0,'Données projet'!$E$9+1,1))-AVERAGE(OFFSET($H$3,0,0,'Données projet'!$E$9+1,1))</f>
        <v>316.04959780858269</v>
      </c>
      <c r="T50" s="62">
        <f t="shared" si="34"/>
        <v>213.60182977243113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2.37804948075176</v>
      </c>
      <c r="AA50" s="23">
        <f>EXP(-LN(2)/25)*AA49+(1-EXP(-LN(2)/25))/(LN(2)/25)*Calculateur!V50*Calculateur!X50*VLOOKUP('Données projet'!$B$9,Paramètres!$A$1:$I$88,3,0)*0.475*44/12</f>
        <v>9.7748726554572016</v>
      </c>
      <c r="AB50" s="23">
        <f>EXP(-LN(2)/2)*AB49+(1-EXP(-LN(2)/2))/(LN(2)/2)*V50*Y50*VLOOKUP('Données projet'!$B$9,Paramètres!$A$1:$I$88,3,0)*0.475*44/12</f>
        <v>0.68520533162859543</v>
      </c>
      <c r="AC50" s="24">
        <f t="shared" si="3"/>
        <v>12.838127467837555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24.8</v>
      </c>
      <c r="AI50" s="14">
        <f>IF('Données projet'!$A$62&gt;35,AI49+AH50-AQ49,IF(A50&lt;'Données projet'!$A$62,$AF$205^A50,IF(A50='Données projet'!$A$62,'Données projet'!$B$62,AI49+AH50-AQ49)))</f>
        <v>611.5999999999998</v>
      </c>
      <c r="AJ50" s="14">
        <f>AI50*VLOOKUP('Données projet'!$B$10,Paramètres!$A$1:$I$88,3,0)*VLOOKUP('Données projet'!$B$10,Paramètres!$A$1:$I$88,5,0)</f>
        <v>341.88439999999986</v>
      </c>
      <c r="AK50" s="14">
        <f t="shared" si="35"/>
        <v>79.889150066970018</v>
      </c>
      <c r="AL50" s="22">
        <f t="shared" si="4"/>
        <v>734.58893303330581</v>
      </c>
      <c r="AM50" s="62">
        <f t="shared" si="5"/>
        <v>1027.9222663666392</v>
      </c>
      <c r="AN50" s="62">
        <f ca="1">AVERAGE(OFFSET($AM$3,0,0,'Données projet'!$E$10+1,1))-AVERAGE(OFFSET($H$3,0,0,'Données projet'!$E$10+1,1))</f>
        <v>583.31979399672844</v>
      </c>
      <c r="AO50" s="62">
        <f t="shared" si="36"/>
        <v>544.21514138474731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22.975312586579427</v>
      </c>
      <c r="AV50" s="23">
        <f>EXP(-LN(2)/25)*AV49+(1-EXP(-LN(2)/25))/(LN(2)/25)*Calculateur!AQ50*Calculateur!AS50*VLOOKUP('Données projet'!$B$10,Paramètres!$A$1:$I$88,3,0)*0.475*44/12</f>
        <v>46.314903359384154</v>
      </c>
      <c r="AW50" s="23">
        <f>EXP(-LN(2)/2)*AW49+(1-EXP(-LN(2)/2))/(LN(2)/2)*AQ50*AT50*VLOOKUP('Données projet'!$B$10,Paramètres!$A$1:$I$88,3,0)*0.475*44/12</f>
        <v>8.2160794223647144</v>
      </c>
      <c r="AX50" s="23">
        <f t="shared" si="6"/>
        <v>77.506295368328296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projet'!$B$11,Paramètres!$A$1:$I$88,3,0)*VLOOKUP('Données projet'!$B$11,Paramètres!$A$1:$I$88,5,0)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projet'!$B$11,Paramètres!$A$1:$I$88,3,0)*0.475*44/12</f>
        <v>#N/A</v>
      </c>
      <c r="BQ50" s="23" t="e">
        <f>EXP(-LN(2)/25)*BQ49+(1-EXP(-LN(2)/25))/(LN(2)/25)*Calculateur!BL50*Calculateur!BN50*VLOOKUP('Données projet'!$B$11,Paramètres!$A$1:$I$88,3,0)*0.475*44/12</f>
        <v>#N/A</v>
      </c>
      <c r="BR50" s="23" t="e">
        <f>EXP(-LN(2)/2)*BR49+(1-EXP(-LN(2)/2))/(LN(2)/2)*BL50*BO50*VLOOKUP('Données projet'!$B$11,Paramètres!$A$1:$I$88,3,0)*0.475*44/12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projet'!$B$12,Paramètres!$A$1:$I$88,3,0)*0.475*44/12</f>
        <v>#N/A</v>
      </c>
      <c r="CL50" s="23" t="e">
        <f>EXP(-LN(2)/25)*CL49+(1-EXP(-LN(2)/25))/(LN(2)/25)*Calculateur!CG50*Calculateur!CI50*VLOOKUP('Données projet'!$B$12,Paramètres!$A$1:$I$88,3,0)*0.475*44/12</f>
        <v>#N/A</v>
      </c>
      <c r="CM50" s="23" t="e">
        <f>EXP(-LN(2)/2)*CM49+(1-EXP(-LN(2)/2))/(LN(2)/2)*CG50*CJ50*VLOOKUP('Données projet'!$B$12,Paramètres!$A$1:$I$88,3,0)*0.475*44/12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10</v>
      </c>
      <c r="N51" s="14">
        <f>IF('Données projet'!$A$36&gt;35,N50+M51-V50,IF(A51&lt;'Données projet'!$A$36,$K$205^A51,IF(A51='Données projet'!$A$36,'Données projet'!$B$36,N50+M51-V50)))</f>
        <v>270</v>
      </c>
      <c r="O51" s="14">
        <f>N51*VLOOKUP('Données projet'!$B$9,Paramètres!$A$1:$I$88,3,0)*VLOOKUP('Données projet'!$B$9,Paramètres!$A$1:$I$88,5,0)</f>
        <v>126.36000000000001</v>
      </c>
      <c r="P51" s="14">
        <f t="shared" si="33"/>
        <v>33.153877056327453</v>
      </c>
      <c r="Q51" s="22">
        <f t="shared" si="53"/>
        <v>277.82000253977031</v>
      </c>
      <c r="R51" s="62">
        <f t="shared" si="0"/>
        <v>571.15333587310363</v>
      </c>
      <c r="S51" s="62">
        <f ca="1">AVERAGE(OFFSET($R$3,0,0,'Données projet'!$E$9+1,1))-AVERAGE(OFFSET($H$3,0,0,'Données projet'!$E$9+1,1))</f>
        <v>316.04959780858269</v>
      </c>
      <c r="T51" s="62">
        <f t="shared" si="34"/>
        <v>213.60182977243113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2.3314173809011796</v>
      </c>
      <c r="AA51" s="23">
        <f>EXP(-LN(2)/25)*AA50+(1-EXP(-LN(2)/25))/(LN(2)/25)*Calculateur!V51*Calculateur!X51*VLOOKUP('Données projet'!$B$9,Paramètres!$A$1:$I$88,3,0)*0.475*44/12</f>
        <v>9.5075782486555127</v>
      </c>
      <c r="AB51" s="23">
        <f>EXP(-LN(2)/2)*AB50+(1-EXP(-LN(2)/2))/(LN(2)/2)*V51*Y51*VLOOKUP('Données projet'!$B$9,Paramètres!$A$1:$I$88,3,0)*0.475*44/12</f>
        <v>0.48451333649975697</v>
      </c>
      <c r="AC51" s="24">
        <f t="shared" si="3"/>
        <v>12.323508966056449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24.8</v>
      </c>
      <c r="AI51" s="14">
        <f>IF('Données projet'!$A$62&gt;35,AI50+AH51-AQ50,IF(A51&lt;'Données projet'!$A$62,$AF$205^A51,IF(A51='Données projet'!$A$62,'Données projet'!$B$62,AI50+AH51-AQ50)))</f>
        <v>636.39999999999975</v>
      </c>
      <c r="AJ51" s="14">
        <f>AI51*VLOOKUP('Données projet'!$B$10,Paramètres!$A$1:$I$88,3,0)*VLOOKUP('Données projet'!$B$10,Paramètres!$A$1:$I$88,5,0)</f>
        <v>355.74759999999986</v>
      </c>
      <c r="AK51" s="14">
        <f t="shared" si="35"/>
        <v>82.744877508992289</v>
      </c>
      <c r="AL51" s="22">
        <f t="shared" si="4"/>
        <v>763.70773166149456</v>
      </c>
      <c r="AM51" s="62">
        <f t="shared" si="5"/>
        <v>1057.0410649948278</v>
      </c>
      <c r="AN51" s="62">
        <f ca="1">AVERAGE(OFFSET($AM$3,0,0,'Données projet'!$E$10+1,1))-AVERAGE(OFFSET($H$3,0,0,'Données projet'!$E$10+1,1))</f>
        <v>583.31979399672844</v>
      </c>
      <c r="AO51" s="62">
        <f t="shared" si="36"/>
        <v>544.21514138474731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22.524780720313558</v>
      </c>
      <c r="AV51" s="23">
        <f>EXP(-LN(2)/25)*AV50+(1-EXP(-LN(2)/25))/(LN(2)/25)*Calculateur!AQ51*Calculateur!AS51*VLOOKUP('Données projet'!$B$10,Paramètres!$A$1:$I$88,3,0)*0.475*44/12</f>
        <v>45.048419891426882</v>
      </c>
      <c r="AW51" s="23">
        <f>EXP(-LN(2)/2)*AW50+(1-EXP(-LN(2)/2))/(LN(2)/2)*AQ51*AT51*VLOOKUP('Données projet'!$B$10,Paramètres!$A$1:$I$88,3,0)*0.475*44/12</f>
        <v>5.8096454743213419</v>
      </c>
      <c r="AX51" s="23">
        <f t="shared" si="6"/>
        <v>73.382846086061789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projet'!$B$11,Paramètres!$A$1:$I$88,3,0)*VLOOKUP('Données projet'!$B$11,Paramètres!$A$1:$I$88,5,0)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projet'!$B$11,Paramètres!$A$1:$I$88,3,0)*0.475*44/12</f>
        <v>#N/A</v>
      </c>
      <c r="BQ51" s="23" t="e">
        <f>EXP(-LN(2)/25)*BQ50+(1-EXP(-LN(2)/25))/(LN(2)/25)*Calculateur!BL51*Calculateur!BN51*VLOOKUP('Données projet'!$B$11,Paramètres!$A$1:$I$88,3,0)*0.475*44/12</f>
        <v>#N/A</v>
      </c>
      <c r="BR51" s="23" t="e">
        <f>EXP(-LN(2)/2)*BR50+(1-EXP(-LN(2)/2))/(LN(2)/2)*BL51*BO51*VLOOKUP('Données projet'!$B$11,Paramètres!$A$1:$I$88,3,0)*0.475*44/12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projet'!$B$12,Paramètres!$A$1:$I$88,3,0)*0.475*44/12</f>
        <v>#N/A</v>
      </c>
      <c r="CL51" s="23" t="e">
        <f>EXP(-LN(2)/25)*CL50+(1-EXP(-LN(2)/25))/(LN(2)/25)*Calculateur!CG51*Calculateur!CI51*VLOOKUP('Données projet'!$B$12,Paramètres!$A$1:$I$88,3,0)*0.475*44/12</f>
        <v>#N/A</v>
      </c>
      <c r="CM51" s="23" t="e">
        <f>EXP(-LN(2)/2)*CM50+(1-EXP(-LN(2)/2))/(LN(2)/2)*CG51*CJ51*VLOOKUP('Données projet'!$B$12,Paramètres!$A$1:$I$88,3,0)*0.475*44/12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10</v>
      </c>
      <c r="N52" s="14">
        <f>IF('Données projet'!$A$36&gt;35,N51+M52-V51,IF(A52&lt;'Données projet'!$A$36,$K$205^A52,IF(A52='Données projet'!$A$36,'Données projet'!$B$36,N51+M52-V51)))</f>
        <v>280</v>
      </c>
      <c r="O52" s="14">
        <f>N52*VLOOKUP('Données projet'!$B$9,Paramètres!$A$1:$I$88,3,0)*VLOOKUP('Données projet'!$B$9,Paramètres!$A$1:$I$88,5,0)</f>
        <v>131.04</v>
      </c>
      <c r="P52" s="14">
        <f t="shared" si="33"/>
        <v>34.236561238949918</v>
      </c>
      <c r="Q52" s="22">
        <f t="shared" si="53"/>
        <v>287.85667749117107</v>
      </c>
      <c r="R52" s="62">
        <f t="shared" si="0"/>
        <v>581.19001082450438</v>
      </c>
      <c r="S52" s="62">
        <f ca="1">AVERAGE(OFFSET($R$3,0,0,'Données projet'!$E$9+1,1))-AVERAGE(OFFSET($H$3,0,0,'Données projet'!$E$9+1,1))</f>
        <v>316.04959780858269</v>
      </c>
      <c r="T52" s="62">
        <f t="shared" si="34"/>
        <v>213.60182977243113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2.2856997080858967</v>
      </c>
      <c r="AA52" s="23">
        <f>EXP(-LN(2)/25)*AA51+(1-EXP(-LN(2)/25))/(LN(2)/25)*Calculateur!V52*Calculateur!X52*VLOOKUP('Données projet'!$B$9,Paramètres!$A$1:$I$88,3,0)*0.475*44/12</f>
        <v>9.2475930214642172</v>
      </c>
      <c r="AB52" s="23">
        <f>EXP(-LN(2)/2)*AB51+(1-EXP(-LN(2)/2))/(LN(2)/2)*V52*Y52*VLOOKUP('Données projet'!$B$9,Paramètres!$A$1:$I$88,3,0)*0.475*44/12</f>
        <v>0.34260266581429777</v>
      </c>
      <c r="AC52" s="24">
        <f t="shared" si="3"/>
        <v>11.875895395364411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24.8</v>
      </c>
      <c r="AI52" s="14">
        <f>IF('Données projet'!$A$62&gt;35,AI51+AH52-AQ51,IF(A52&lt;'Données projet'!$A$62,$AF$205^A52,IF(A52='Données projet'!$A$62,'Données projet'!$B$62,AI51+AH52-AQ51)))</f>
        <v>661.1999999999997</v>
      </c>
      <c r="AJ52" s="14">
        <f>AI52*VLOOKUP('Données projet'!$B$10,Paramètres!$A$1:$I$88,3,0)*VLOOKUP('Données projet'!$B$10,Paramètres!$A$1:$I$88,5,0)</f>
        <v>369.61079999999981</v>
      </c>
      <c r="AK52" s="14">
        <f t="shared" si="35"/>
        <v>85.587677206936931</v>
      </c>
      <c r="AL52" s="22">
        <f t="shared" si="4"/>
        <v>792.80401446874805</v>
      </c>
      <c r="AM52" s="62">
        <f t="shared" si="5"/>
        <v>1086.1373478020814</v>
      </c>
      <c r="AN52" s="62">
        <f ca="1">AVERAGE(OFFSET($AM$3,0,0,'Données projet'!$E$10+1,1))-AVERAGE(OFFSET($H$3,0,0,'Données projet'!$E$10+1,1))</f>
        <v>583.31979399672844</v>
      </c>
      <c r="AO52" s="62">
        <f t="shared" si="36"/>
        <v>544.21514138474731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22.083083509147858</v>
      </c>
      <c r="AV52" s="23">
        <f>EXP(-LN(2)/25)*AV51+(1-EXP(-LN(2)/25))/(LN(2)/25)*Calculateur!AQ52*Calculateur!AS52*VLOOKUP('Données projet'!$B$10,Paramètres!$A$1:$I$88,3,0)*0.475*44/12</f>
        <v>43.816568480502369</v>
      </c>
      <c r="AW52" s="23">
        <f>EXP(-LN(2)/2)*AW51+(1-EXP(-LN(2)/2))/(LN(2)/2)*AQ52*AT52*VLOOKUP('Données projet'!$B$10,Paramètres!$A$1:$I$88,3,0)*0.475*44/12</f>
        <v>4.1080397111823572</v>
      </c>
      <c r="AX52" s="23">
        <f t="shared" si="6"/>
        <v>70.007691700832581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projet'!$B$11,Paramètres!$A$1:$I$88,3,0)*VLOOKUP('Données projet'!$B$11,Paramètres!$A$1:$I$88,5,0)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projet'!$B$11,Paramètres!$A$1:$I$88,3,0)*0.475*44/12</f>
        <v>#N/A</v>
      </c>
      <c r="BQ52" s="23" t="e">
        <f>EXP(-LN(2)/25)*BQ51+(1-EXP(-LN(2)/25))/(LN(2)/25)*Calculateur!BL52*Calculateur!BN52*VLOOKUP('Données projet'!$B$11,Paramètres!$A$1:$I$88,3,0)*0.475*44/12</f>
        <v>#N/A</v>
      </c>
      <c r="BR52" s="23" t="e">
        <f>EXP(-LN(2)/2)*BR51+(1-EXP(-LN(2)/2))/(LN(2)/2)*BL52*BO52*VLOOKUP('Données projet'!$B$11,Paramètres!$A$1:$I$88,3,0)*0.475*44/12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projet'!$B$12,Paramètres!$A$1:$I$88,3,0)*0.475*44/12</f>
        <v>#N/A</v>
      </c>
      <c r="CL52" s="23" t="e">
        <f>EXP(-LN(2)/25)*CL51+(1-EXP(-LN(2)/25))/(LN(2)/25)*Calculateur!CG52*Calculateur!CI52*VLOOKUP('Données projet'!$B$12,Paramètres!$A$1:$I$88,3,0)*0.475*44/12</f>
        <v>#N/A</v>
      </c>
      <c r="CM52" s="23" t="e">
        <f>EXP(-LN(2)/2)*CM51+(1-EXP(-LN(2)/2))/(LN(2)/2)*CG52*CJ52*VLOOKUP('Données projet'!$B$12,Paramètres!$A$1:$I$88,3,0)*0.475*44/12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290</v>
      </c>
      <c r="L53" s="13">
        <f>VLOOKUP(A53,'Données projet'!$A$35:$I$55,9,0)</f>
        <v>10</v>
      </c>
      <c r="M53" s="13">
        <f t="array" ref="M53">INDEX(L:L,MIN(IF(ISNUMBER(L53:L249),ROW(L53:L249),"")))</f>
        <v>10</v>
      </c>
      <c r="N53" s="14">
        <f>IF('Données projet'!$A$36&gt;35,N52+M53-V52,IF(A53&lt;'Données projet'!$A$36,$K$205^A53,IF(A53='Données projet'!$A$36,'Données projet'!$B$36,N52+M53-V52)))</f>
        <v>290</v>
      </c>
      <c r="O53" s="14">
        <f>N53*VLOOKUP('Données projet'!$B$9,Paramètres!$A$1:$I$88,3,0)*VLOOKUP('Données projet'!$B$9,Paramètres!$A$1:$I$88,5,0)</f>
        <v>135.72</v>
      </c>
      <c r="P53" s="14">
        <f t="shared" si="33"/>
        <v>35.314752882348131</v>
      </c>
      <c r="Q53" s="22">
        <f t="shared" si="53"/>
        <v>297.88552793675632</v>
      </c>
      <c r="R53" s="62">
        <f t="shared" si="0"/>
        <v>591.21886127008963</v>
      </c>
      <c r="S53" s="62">
        <f ca="1">AVERAGE(OFFSET($R$3,0,0,'Données projet'!$E$9+1,1))-AVERAGE(OFFSET($H$3,0,0,'Données projet'!$E$9+1,1))</f>
        <v>316.04959780858269</v>
      </c>
      <c r="T53" s="62">
        <f t="shared" si="34"/>
        <v>213.60182977243113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30</v>
      </c>
      <c r="W53" s="17">
        <f>IF(ISNA(VLOOKUP(A53,'Données projet'!$A$35:$I$55,5,0)),0%,VLOOKUP(A53,'Données projet'!$A$35:$I$55,5,0)*VLOOKUP('Données projet'!$B$9,Paramètres!$A$1:$I$88,7,0))</f>
        <v>0.22000000000000003</v>
      </c>
      <c r="X53" s="17">
        <f>IF(ISNA(VLOOKUP(A53,'Données projet'!$A$35:$I$55,6,0)),0%,VLOOKUP(A53,'Données projet'!$A$35:$I$55,6,0)*VLOOKUP('Données projet'!$B$9,Paramètres!$A$1:$I$88,7,0))</f>
        <v>0.18480000000000002</v>
      </c>
      <c r="Y53" s="17">
        <f>IF(ISNA(VLOOKUP(A53,'Données projet'!$A$35:$I$55,7,0)),0%,VLOOKUP(A53,'Données projet'!$A$35:$I$55,7,0))</f>
        <v>0.26400000000000001</v>
      </c>
      <c r="Z53" s="23">
        <f>EXP(-LN(2)/35)*Z52+(1-EXP(-LN(2)/35))/(LN(2)/35)*V53*W53*VLOOKUP('Données projet'!$B$9,Paramètres!$A$1:$I$88,3,0)*0.475*44/12</f>
        <v>6.3383708209111465</v>
      </c>
      <c r="AA53" s="23">
        <f>EXP(-LN(2)/25)*AA52+(1-EXP(-LN(2)/25))/(LN(2)/25)*Calculateur!V53*Calculateur!X53*VLOOKUP('Données projet'!$B$9,Paramètres!$A$1:$I$88,3,0)*0.475*44/12</f>
        <v>12.423058581283748</v>
      </c>
      <c r="AB53" s="23">
        <f>EXP(-LN(2)/2)*AB52+(1-EXP(-LN(2)/2))/(LN(2)/2)*V53*Y53*VLOOKUP('Données projet'!$B$9,Paramètres!$A$1:$I$88,3,0)*0.475*44/12</f>
        <v>4.4389436129695756</v>
      </c>
      <c r="AC53" s="24">
        <f t="shared" si="3"/>
        <v>23.200373015164466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686</v>
      </c>
      <c r="AG53" s="13">
        <f>VLOOKUP(A53,'Données projet'!$A$61:$I$81,9,0)</f>
        <v>24.8</v>
      </c>
      <c r="AH53" s="13">
        <f t="array" ref="AH53">INDEX(AG:AG,MIN(IF(ISNUMBER(AG53:AG249),ROW(AG53:AG249),"")))</f>
        <v>24.8</v>
      </c>
      <c r="AI53" s="14">
        <f>IF('Données projet'!$A$62&gt;35,AI52+AH53-AQ52,IF(A53&lt;'Données projet'!$A$62,$AF$205^A53,IF(A53='Données projet'!$A$62,'Données projet'!$B$62,AI52+AH53-AQ52)))</f>
        <v>685.99999999999966</v>
      </c>
      <c r="AJ53" s="14">
        <f>AI53*VLOOKUP('Données projet'!$B$10,Paramètres!$A$1:$I$88,3,0)*VLOOKUP('Données projet'!$B$10,Paramètres!$A$1:$I$88,5,0)</f>
        <v>383.47399999999982</v>
      </c>
      <c r="AK53" s="14">
        <f t="shared" si="35"/>
        <v>88.418089567872116</v>
      </c>
      <c r="AL53" s="22">
        <f t="shared" si="4"/>
        <v>821.87872266404372</v>
      </c>
      <c r="AM53" s="62">
        <f t="shared" si="5"/>
        <v>1115.2120559973771</v>
      </c>
      <c r="AN53" s="62">
        <f ca="1">AVERAGE(OFFSET($AM$3,0,0,'Données projet'!$E$10+1,1))-AVERAGE(OFFSET($H$3,0,0,'Données projet'!$E$10+1,1))</f>
        <v>583.31979399672844</v>
      </c>
      <c r="AO53" s="62">
        <f t="shared" si="36"/>
        <v>544.21514138474731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64</v>
      </c>
      <c r="AR53" s="17">
        <f>IF(ISNA(VLOOKUP(A53,'Données projet'!$A$61:$I$81,5,0)),0%,VLOOKUP(A53,'Données projet'!$A$61:$I$81,5,0)*VLOOKUP('Données projet'!$B$10,Paramètres!$A$1:$I$88,7,0))</f>
        <v>0.22000000000000003</v>
      </c>
      <c r="AS53" s="17">
        <f>IF(ISNA(VLOOKUP(A53,'Données projet'!$A$61:$I$81,6,0)),0%,VLOOKUP(A53,'Données projet'!$A$61:$I$81,6,0)*VLOOKUP('Données projet'!$B$10,Paramètres!$A$1:$I$88,7,0))</f>
        <v>0.18480000000000002</v>
      </c>
      <c r="AT53" s="17">
        <f>IF(ISNA(VLOOKUP(A53,'Données projet'!$A$61:$I$81,7,0)),0%,VLOOKUP(A53,'Données projet'!$A$61:$I$81,7,0))</f>
        <v>0.26400000000000001</v>
      </c>
      <c r="AU53" s="23">
        <f>EXP(-LN(2)/35)*AU52+(1-EXP(-LN(2)/35))/(LN(2)/35)*AQ53*AR53*VLOOKUP('Données projet'!$B$10,Paramètres!$A$1:$I$88,3,0)*0.475*44/12</f>
        <v>32.091065101601522</v>
      </c>
      <c r="AV53" s="23">
        <f>EXP(-LN(2)/25)*AV52+(1-EXP(-LN(2)/25))/(LN(2)/25)*Calculateur!AQ53*Calculateur!AS53*VLOOKUP('Données projet'!$B$10,Paramètres!$A$1:$I$88,3,0)*0.475*44/12</f>
        <v>51.35432409779451</v>
      </c>
      <c r="AW53" s="23">
        <f>EXP(-LN(2)/2)*AW52+(1-EXP(-LN(2)/2))/(LN(2)/2)*AQ53*AT53*VLOOKUP('Données projet'!$B$10,Paramètres!$A$1:$I$88,3,0)*0.475*44/12</f>
        <v>13.598602803705676</v>
      </c>
      <c r="AX53" s="23">
        <f t="shared" si="6"/>
        <v>97.043992003101707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projet'!$B$11,Paramètres!$A$1:$I$88,3,0)*VLOOKUP('Données projet'!$B$11,Paramètres!$A$1:$I$88,5,0)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projet'!$B$11,Paramètres!$A$1:$I$88,3,0)*0.475*44/12</f>
        <v>#N/A</v>
      </c>
      <c r="BQ53" s="23" t="e">
        <f>EXP(-LN(2)/25)*BQ52+(1-EXP(-LN(2)/25))/(LN(2)/25)*Calculateur!BL53*Calculateur!BN53*VLOOKUP('Données projet'!$B$11,Paramètres!$A$1:$I$88,3,0)*0.475*44/12</f>
        <v>#N/A</v>
      </c>
      <c r="BR53" s="23" t="e">
        <f>EXP(-LN(2)/2)*BR52+(1-EXP(-LN(2)/2))/(LN(2)/2)*BL53*BO53*VLOOKUP('Données projet'!$B$11,Paramètres!$A$1:$I$88,3,0)*0.475*44/12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projet'!$B$12,Paramètres!$A$1:$I$88,3,0)*0.475*44/12</f>
        <v>#N/A</v>
      </c>
      <c r="CL53" s="23" t="e">
        <f>EXP(-LN(2)/25)*CL52+(1-EXP(-LN(2)/25))/(LN(2)/25)*Calculateur!CG53*Calculateur!CI53*VLOOKUP('Données projet'!$B$12,Paramètres!$A$1:$I$88,3,0)*0.475*44/12</f>
        <v>#N/A</v>
      </c>
      <c r="CM53" s="23" t="e">
        <f>EXP(-LN(2)/2)*CM52+(1-EXP(-LN(2)/2))/(LN(2)/2)*CG53*CJ53*VLOOKUP('Données projet'!$B$12,Paramètres!$A$1:$I$88,3,0)*0.475*44/12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</v>
      </c>
      <c r="N54" s="14">
        <f>IF('Données projet'!$A$36&gt;35,N53+M54-V53,IF(A54&lt;'Données projet'!$A$36,$K$205^A54,IF(A54='Données projet'!$A$36,'Données projet'!$B$36,N53+M54-V53)))</f>
        <v>270</v>
      </c>
      <c r="O54" s="14">
        <f>N54*VLOOKUP('Données projet'!$B$9,Paramètres!$A$1:$I$88,3,0)*VLOOKUP('Données projet'!$B$9,Paramètres!$A$1:$I$88,5,0)</f>
        <v>126.36000000000001</v>
      </c>
      <c r="P54" s="14">
        <f t="shared" si="33"/>
        <v>33.153877056327453</v>
      </c>
      <c r="Q54" s="22">
        <f t="shared" si="53"/>
        <v>277.82000253977031</v>
      </c>
      <c r="R54" s="62">
        <f t="shared" si="0"/>
        <v>571.15333587310363</v>
      </c>
      <c r="S54" s="62">
        <f ca="1">AVERAGE(OFFSET($R$3,0,0,'Données projet'!$E$9+1,1))-AVERAGE(OFFSET($H$3,0,0,'Données projet'!$E$9+1,1))</f>
        <v>316.04959780858269</v>
      </c>
      <c r="T54" s="62">
        <f t="shared" si="34"/>
        <v>213.60182977243113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6.2140792351375413</v>
      </c>
      <c r="AA54" s="23">
        <f>EXP(-LN(2)/25)*AA53+(1-EXP(-LN(2)/25))/(LN(2)/25)*Calculateur!V54*Calculateur!X54*VLOOKUP('Données projet'!$B$9,Paramètres!$A$1:$I$88,3,0)*0.475*44/12</f>
        <v>12.083349391078286</v>
      </c>
      <c r="AB54" s="23">
        <f>EXP(-LN(2)/2)*AB53+(1-EXP(-LN(2)/2))/(LN(2)/2)*V54*Y54*VLOOKUP('Données projet'!$B$9,Paramètres!$A$1:$I$88,3,0)*0.475*44/12</f>
        <v>3.1388071300355005</v>
      </c>
      <c r="AC54" s="24">
        <f t="shared" si="3"/>
        <v>21.436235756251328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20.399999999999999</v>
      </c>
      <c r="AI54" s="14">
        <f>IF('Données projet'!$A$62&gt;35,AI53+AH54-AQ53,IF(A54&lt;'Données projet'!$A$62,$AF$205^A54,IF(A54='Données projet'!$A$62,'Données projet'!$B$62,AI53+AH54-AQ53)))</f>
        <v>642.39999999999964</v>
      </c>
      <c r="AJ54" s="14">
        <f>AI54*VLOOKUP('Données projet'!$B$10,Paramètres!$A$1:$I$88,3,0)*VLOOKUP('Données projet'!$B$10,Paramètres!$A$1:$I$88,5,0)</f>
        <v>359.10159999999985</v>
      </c>
      <c r="AK54" s="14">
        <f t="shared" si="35"/>
        <v>83.433815871723468</v>
      </c>
      <c r="AL54" s="22">
        <f t="shared" si="4"/>
        <v>770.74918264325152</v>
      </c>
      <c r="AM54" s="62">
        <f t="shared" si="5"/>
        <v>1064.0825159765848</v>
      </c>
      <c r="AN54" s="62">
        <f ca="1">AVERAGE(OFFSET($AM$3,0,0,'Données projet'!$E$10+1,1))-AVERAGE(OFFSET($H$3,0,0,'Données projet'!$E$10+1,1))</f>
        <v>583.31979399672844</v>
      </c>
      <c r="AO54" s="62">
        <f t="shared" si="36"/>
        <v>544.21514138474731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31.461778888576095</v>
      </c>
      <c r="AV54" s="23">
        <f>EXP(-LN(2)/25)*AV53+(1-EXP(-LN(2)/25))/(LN(2)/25)*Calculateur!AQ54*Calculateur!AS54*VLOOKUP('Données projet'!$B$10,Paramètres!$A$1:$I$88,3,0)*0.475*44/12</f>
        <v>49.950037404733784</v>
      </c>
      <c r="AW54" s="23">
        <f>EXP(-LN(2)/2)*AW53+(1-EXP(-LN(2)/2))/(LN(2)/2)*AQ54*AT54*VLOOKUP('Données projet'!$B$10,Paramètres!$A$1:$I$88,3,0)*0.475*44/12</f>
        <v>9.6156642571626811</v>
      </c>
      <c r="AX54" s="23">
        <f t="shared" si="6"/>
        <v>91.027480550472561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projet'!$B$11,Paramètres!$A$1:$I$88,3,0)*VLOOKUP('Données projet'!$B$11,Paramètres!$A$1:$I$88,5,0)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projet'!$B$11,Paramètres!$A$1:$I$88,3,0)*0.475*44/12</f>
        <v>#N/A</v>
      </c>
      <c r="BQ54" s="23" t="e">
        <f>EXP(-LN(2)/25)*BQ53+(1-EXP(-LN(2)/25))/(LN(2)/25)*Calculateur!BL54*Calculateur!BN54*VLOOKUP('Données projet'!$B$11,Paramètres!$A$1:$I$88,3,0)*0.475*44/12</f>
        <v>#N/A</v>
      </c>
      <c r="BR54" s="23" t="e">
        <f>EXP(-LN(2)/2)*BR53+(1-EXP(-LN(2)/2))/(LN(2)/2)*BL54*BO54*VLOOKUP('Données projet'!$B$11,Paramètres!$A$1:$I$88,3,0)*0.475*44/12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projet'!$B$12,Paramètres!$A$1:$I$88,3,0)*0.475*44/12</f>
        <v>#N/A</v>
      </c>
      <c r="CL54" s="23" t="e">
        <f>EXP(-LN(2)/25)*CL53+(1-EXP(-LN(2)/25))/(LN(2)/25)*Calculateur!CG54*Calculateur!CI54*VLOOKUP('Données projet'!$B$12,Paramètres!$A$1:$I$88,3,0)*0.475*44/12</f>
        <v>#N/A</v>
      </c>
      <c r="CM54" s="23" t="e">
        <f>EXP(-LN(2)/2)*CM53+(1-EXP(-LN(2)/2))/(LN(2)/2)*CG54*CJ54*VLOOKUP('Données projet'!$B$12,Paramètres!$A$1:$I$88,3,0)*0.475*44/12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</v>
      </c>
      <c r="N55" s="14">
        <f>IF('Données projet'!$A$36&gt;35,N54+M55-V54,IF(A55&lt;'Données projet'!$A$36,$K$205^A55,IF(A55='Données projet'!$A$36,'Données projet'!$B$36,N54+M55-V54)))</f>
        <v>280</v>
      </c>
      <c r="O55" s="14">
        <f>N55*VLOOKUP('Données projet'!$B$9,Paramètres!$A$1:$I$88,3,0)*VLOOKUP('Données projet'!$B$9,Paramètres!$A$1:$I$88,5,0)</f>
        <v>131.04</v>
      </c>
      <c r="P55" s="14">
        <f t="shared" si="33"/>
        <v>34.236561238949918</v>
      </c>
      <c r="Q55" s="22">
        <f t="shared" si="53"/>
        <v>287.85667749117107</v>
      </c>
      <c r="R55" s="62">
        <f t="shared" si="0"/>
        <v>581.19001082450438</v>
      </c>
      <c r="S55" s="62">
        <f ca="1">AVERAGE(OFFSET($R$3,0,0,'Données projet'!$E$9+1,1))-AVERAGE(OFFSET($H$3,0,0,'Données projet'!$E$9+1,1))</f>
        <v>316.04959780858269</v>
      </c>
      <c r="T55" s="62">
        <f t="shared" si="34"/>
        <v>213.60182977243113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6.0922249315505752</v>
      </c>
      <c r="AA55" s="23">
        <f>EXP(-LN(2)/25)*AA54+(1-EXP(-LN(2)/25))/(LN(2)/25)*Calculateur!V55*Calculateur!X55*VLOOKUP('Données projet'!$B$9,Paramètres!$A$1:$I$88,3,0)*0.475*44/12</f>
        <v>11.752929566543523</v>
      </c>
      <c r="AB55" s="23">
        <f>EXP(-LN(2)/2)*AB54+(1-EXP(-LN(2)/2))/(LN(2)/2)*V55*Y55*VLOOKUP('Données projet'!$B$9,Paramètres!$A$1:$I$88,3,0)*0.475*44/12</f>
        <v>2.2194718064847878</v>
      </c>
      <c r="AC55" s="24">
        <f t="shared" si="3"/>
        <v>20.064626304578884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20.399999999999999</v>
      </c>
      <c r="AI55" s="14">
        <f>IF('Données projet'!$A$62&gt;35,AI54+AH55-AQ54,IF(A55&lt;'Données projet'!$A$62,$AF$205^A55,IF(A55='Données projet'!$A$62,'Données projet'!$B$62,AI54+AH55-AQ54)))</f>
        <v>662.79999999999961</v>
      </c>
      <c r="AJ55" s="14">
        <f>AI55*VLOOKUP('Données projet'!$B$10,Paramètres!$A$1:$I$88,3,0)*VLOOKUP('Données projet'!$B$10,Paramètres!$A$1:$I$88,5,0)</f>
        <v>370.50519999999983</v>
      </c>
      <c r="AK55" s="14">
        <f t="shared" si="35"/>
        <v>85.770652719303072</v>
      </c>
      <c r="AL55" s="22">
        <f t="shared" si="4"/>
        <v>794.6804434861192</v>
      </c>
      <c r="AM55" s="62">
        <f t="shared" si="5"/>
        <v>1088.0137768194525</v>
      </c>
      <c r="AN55" s="62">
        <f ca="1">AVERAGE(OFFSET($AM$3,0,0,'Données projet'!$E$10+1,1))-AVERAGE(OFFSET($H$3,0,0,'Données projet'!$E$10+1,1))</f>
        <v>583.31979399672844</v>
      </c>
      <c r="AO55" s="62">
        <f t="shared" si="36"/>
        <v>544.21514138474731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30.844832594361407</v>
      </c>
      <c r="AV55" s="23">
        <f>EXP(-LN(2)/25)*AV54+(1-EXP(-LN(2)/25))/(LN(2)/25)*Calculateur!AQ55*Calculateur!AS55*VLOOKUP('Données projet'!$B$10,Paramètres!$A$1:$I$88,3,0)*0.475*44/12</f>
        <v>48.584151005143035</v>
      </c>
      <c r="AW55" s="23">
        <f>EXP(-LN(2)/2)*AW54+(1-EXP(-LN(2)/2))/(LN(2)/2)*AQ55*AT55*VLOOKUP('Données projet'!$B$10,Paramètres!$A$1:$I$88,3,0)*0.475*44/12</f>
        <v>6.7993014018528388</v>
      </c>
      <c r="AX55" s="23">
        <f t="shared" si="6"/>
        <v>86.228285001357293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projet'!$B$11,Paramètres!$A$1:$I$88,3,0)*VLOOKUP('Données projet'!$B$11,Paramètres!$A$1:$I$88,5,0)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projet'!$B$11,Paramètres!$A$1:$I$88,3,0)*0.475*44/12</f>
        <v>#N/A</v>
      </c>
      <c r="BQ55" s="23" t="e">
        <f>EXP(-LN(2)/25)*BQ54+(1-EXP(-LN(2)/25))/(LN(2)/25)*Calculateur!BL55*Calculateur!BN55*VLOOKUP('Données projet'!$B$11,Paramètres!$A$1:$I$88,3,0)*0.475*44/12</f>
        <v>#N/A</v>
      </c>
      <c r="BR55" s="23" t="e">
        <f>EXP(-LN(2)/2)*BR54+(1-EXP(-LN(2)/2))/(LN(2)/2)*BL55*BO55*VLOOKUP('Données projet'!$B$11,Paramètres!$A$1:$I$88,3,0)*0.475*44/12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projet'!$B$12,Paramètres!$A$1:$I$88,3,0)*0.475*44/12</f>
        <v>#N/A</v>
      </c>
      <c r="CL55" s="23" t="e">
        <f>EXP(-LN(2)/25)*CL54+(1-EXP(-LN(2)/25))/(LN(2)/25)*Calculateur!CG55*Calculateur!CI55*VLOOKUP('Données projet'!$B$12,Paramètres!$A$1:$I$88,3,0)*0.475*44/12</f>
        <v>#N/A</v>
      </c>
      <c r="CM55" s="23" t="e">
        <f>EXP(-LN(2)/2)*CM54+(1-EXP(-LN(2)/2))/(LN(2)/2)*CG55*CJ55*VLOOKUP('Données projet'!$B$12,Paramètres!$A$1:$I$88,3,0)*0.475*44/12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</v>
      </c>
      <c r="N56" s="14">
        <f>IF('Données projet'!$A$36&gt;35,N55+M56-V55,IF(A56&lt;'Données projet'!$A$36,$K$205^A56,IF(A56='Données projet'!$A$36,'Données projet'!$B$36,N55+M56-V55)))</f>
        <v>290</v>
      </c>
      <c r="O56" s="14">
        <f>N56*VLOOKUP('Données projet'!$B$9,Paramètres!$A$1:$I$88,3,0)*VLOOKUP('Données projet'!$B$9,Paramètres!$A$1:$I$88,5,0)</f>
        <v>135.72</v>
      </c>
      <c r="P56" s="14">
        <f t="shared" si="33"/>
        <v>35.314752882348131</v>
      </c>
      <c r="Q56" s="22">
        <f t="shared" si="53"/>
        <v>297.88552793675632</v>
      </c>
      <c r="R56" s="62">
        <f t="shared" si="0"/>
        <v>591.21886127008963</v>
      </c>
      <c r="S56" s="62">
        <f ca="1">AVERAGE(OFFSET($R$3,0,0,'Données projet'!$E$9+1,1))-AVERAGE(OFFSET($H$3,0,0,'Données projet'!$E$9+1,1))</f>
        <v>316.04959780858269</v>
      </c>
      <c r="T56" s="62">
        <f t="shared" si="34"/>
        <v>213.60182977243113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5.9727601165331627</v>
      </c>
      <c r="AA56" s="23">
        <f>EXP(-LN(2)/25)*AA55+(1-EXP(-LN(2)/25))/(LN(2)/25)*Calculateur!V56*Calculateur!X56*VLOOKUP('Données projet'!$B$9,Paramètres!$A$1:$I$88,3,0)*0.475*44/12</f>
        <v>11.431545089486686</v>
      </c>
      <c r="AB56" s="23">
        <f>EXP(-LN(2)/2)*AB55+(1-EXP(-LN(2)/2))/(LN(2)/2)*V56*Y56*VLOOKUP('Données projet'!$B$9,Paramètres!$A$1:$I$88,3,0)*0.475*44/12</f>
        <v>1.5694035650177502</v>
      </c>
      <c r="AC56" s="24">
        <f t="shared" si="3"/>
        <v>18.9737087710376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20.399999999999999</v>
      </c>
      <c r="AI56" s="14">
        <f>IF('Données projet'!$A$62&gt;35,AI55+AH56-AQ55,IF(A56&lt;'Données projet'!$A$62,$AF$205^A56,IF(A56='Données projet'!$A$62,'Données projet'!$B$62,AI55+AH56-AQ55)))</f>
        <v>683.19999999999959</v>
      </c>
      <c r="AJ56" s="14">
        <f>AI56*VLOOKUP('Données projet'!$B$10,Paramètres!$A$1:$I$88,3,0)*VLOOKUP('Données projet'!$B$10,Paramètres!$A$1:$I$88,5,0)</f>
        <v>381.90879999999981</v>
      </c>
      <c r="AK56" s="14">
        <f t="shared" si="35"/>
        <v>88.099131154986978</v>
      </c>
      <c r="AL56" s="22">
        <f t="shared" si="4"/>
        <v>818.59714676160195</v>
      </c>
      <c r="AM56" s="62">
        <f t="shared" si="5"/>
        <v>1111.9304800949353</v>
      </c>
      <c r="AN56" s="62">
        <f ca="1">AVERAGE(OFFSET($AM$3,0,0,'Données projet'!$E$10+1,1))-AVERAGE(OFFSET($H$3,0,0,'Données projet'!$E$10+1,1))</f>
        <v>583.31979399672844</v>
      </c>
      <c r="AO56" s="62">
        <f t="shared" si="36"/>
        <v>544.21514138474731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30.239984240676183</v>
      </c>
      <c r="AV56" s="23">
        <f>EXP(-LN(2)/25)*AV55+(1-EXP(-LN(2)/25))/(LN(2)/25)*Calculateur!AQ56*Calculateur!AS56*VLOOKUP('Données projet'!$B$10,Paramètres!$A$1:$I$88,3,0)*0.475*44/12</f>
        <v>47.255614840977941</v>
      </c>
      <c r="AW56" s="23">
        <f>EXP(-LN(2)/2)*AW55+(1-EXP(-LN(2)/2))/(LN(2)/2)*AQ56*AT56*VLOOKUP('Données projet'!$B$10,Paramètres!$A$1:$I$88,3,0)*0.475*44/12</f>
        <v>4.8078321285813415</v>
      </c>
      <c r="AX56" s="23">
        <f t="shared" si="6"/>
        <v>82.303431210235459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projet'!$B$11,Paramètres!$A$1:$I$88,3,0)*VLOOKUP('Données projet'!$B$11,Paramètres!$A$1:$I$88,5,0)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projet'!$B$11,Paramètres!$A$1:$I$88,3,0)*0.475*44/12</f>
        <v>#N/A</v>
      </c>
      <c r="BQ56" s="23" t="e">
        <f>EXP(-LN(2)/25)*BQ55+(1-EXP(-LN(2)/25))/(LN(2)/25)*Calculateur!BL56*Calculateur!BN56*VLOOKUP('Données projet'!$B$11,Paramètres!$A$1:$I$88,3,0)*0.475*44/12</f>
        <v>#N/A</v>
      </c>
      <c r="BR56" s="23" t="e">
        <f>EXP(-LN(2)/2)*BR55+(1-EXP(-LN(2)/2))/(LN(2)/2)*BL56*BO56*VLOOKUP('Données projet'!$B$11,Paramètres!$A$1:$I$88,3,0)*0.475*44/12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projet'!$B$12,Paramètres!$A$1:$I$88,3,0)*0.475*44/12</f>
        <v>#N/A</v>
      </c>
      <c r="CL56" s="23" t="e">
        <f>EXP(-LN(2)/25)*CL55+(1-EXP(-LN(2)/25))/(LN(2)/25)*Calculateur!CG56*Calculateur!CI56*VLOOKUP('Données projet'!$B$12,Paramètres!$A$1:$I$88,3,0)*0.475*44/12</f>
        <v>#N/A</v>
      </c>
      <c r="CM56" s="23" t="e">
        <f>EXP(-LN(2)/2)*CM55+(1-EXP(-LN(2)/2))/(LN(2)/2)*CG56*CJ56*VLOOKUP('Données projet'!$B$12,Paramètres!$A$1:$I$88,3,0)*0.475*44/12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</v>
      </c>
      <c r="N57" s="14">
        <f>IF('Données projet'!$A$36&gt;35,N56+M57-V56,IF(A57&lt;'Données projet'!$A$36,$K$205^A57,IF(A57='Données projet'!$A$36,'Données projet'!$B$36,N56+M57-V56)))</f>
        <v>300</v>
      </c>
      <c r="O57" s="14">
        <f>N57*VLOOKUP('Données projet'!$B$9,Paramètres!$A$1:$I$88,3,0)*VLOOKUP('Données projet'!$B$9,Paramètres!$A$1:$I$88,5,0)</f>
        <v>140.4</v>
      </c>
      <c r="P57" s="14">
        <f t="shared" si="33"/>
        <v>36.388624656711201</v>
      </c>
      <c r="Q57" s="22">
        <f t="shared" si="53"/>
        <v>307.90685461043864</v>
      </c>
      <c r="R57" s="62">
        <f t="shared" si="0"/>
        <v>601.24018794377196</v>
      </c>
      <c r="S57" s="62">
        <f ca="1">AVERAGE(OFFSET($R$3,0,0,'Données projet'!$E$9+1,1))-AVERAGE(OFFSET($H$3,0,0,'Données projet'!$E$9+1,1))</f>
        <v>316.04959780858269</v>
      </c>
      <c r="T57" s="62">
        <f t="shared" si="34"/>
        <v>213.60182977243113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5.8556379336718996</v>
      </c>
      <c r="AA57" s="23">
        <f>EXP(-LN(2)/25)*AA56+(1-EXP(-LN(2)/25))/(LN(2)/25)*Calculateur!V57*Calculateur!X57*VLOOKUP('Données projet'!$B$9,Paramètres!$A$1:$I$88,3,0)*0.475*44/12</f>
        <v>11.118948887855844</v>
      </c>
      <c r="AB57" s="23">
        <f>EXP(-LN(2)/2)*AB56+(1-EXP(-LN(2)/2))/(LN(2)/2)*V57*Y57*VLOOKUP('Données projet'!$B$9,Paramètres!$A$1:$I$88,3,0)*0.475*44/12</f>
        <v>1.1097359032423939</v>
      </c>
      <c r="AC57" s="24">
        <f t="shared" si="3"/>
        <v>18.084322724770139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20.399999999999999</v>
      </c>
      <c r="AI57" s="14">
        <f>IF('Données projet'!$A$62&gt;35,AI56+AH57-AQ56,IF(A57&lt;'Données projet'!$A$62,$AF$205^A57,IF(A57='Données projet'!$A$62,'Données projet'!$B$62,AI56+AH57-AQ56)))</f>
        <v>703.59999999999957</v>
      </c>
      <c r="AJ57" s="14">
        <f>AI57*VLOOKUP('Données projet'!$B$10,Paramètres!$A$1:$I$88,3,0)*VLOOKUP('Données projet'!$B$10,Paramètres!$A$1:$I$88,5,0)</f>
        <v>393.3123999999998</v>
      </c>
      <c r="AK57" s="14">
        <f t="shared" si="35"/>
        <v>90.419529407700907</v>
      </c>
      <c r="AL57" s="22">
        <f t="shared" si="4"/>
        <v>842.49977705174535</v>
      </c>
      <c r="AM57" s="62">
        <f t="shared" si="5"/>
        <v>1135.8331103850787</v>
      </c>
      <c r="AN57" s="62">
        <f ca="1">AVERAGE(OFFSET($AM$3,0,0,'Données projet'!$E$10+1,1))-AVERAGE(OFFSET($H$3,0,0,'Données projet'!$E$10+1,1))</f>
        <v>583.31979399672844</v>
      </c>
      <c r="AO57" s="62">
        <f t="shared" si="36"/>
        <v>544.21514138474731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29.64699659428566</v>
      </c>
      <c r="AV57" s="23">
        <f>EXP(-LN(2)/25)*AV56+(1-EXP(-LN(2)/25))/(LN(2)/25)*Calculateur!AQ57*Calculateur!AS57*VLOOKUP('Données projet'!$B$10,Paramètres!$A$1:$I$88,3,0)*0.475*44/12</f>
        <v>45.963407568086616</v>
      </c>
      <c r="AW57" s="23">
        <f>EXP(-LN(2)/2)*AW56+(1-EXP(-LN(2)/2))/(LN(2)/2)*AQ57*AT57*VLOOKUP('Données projet'!$B$10,Paramètres!$A$1:$I$88,3,0)*0.475*44/12</f>
        <v>3.3996507009264199</v>
      </c>
      <c r="AX57" s="23">
        <f t="shared" si="6"/>
        <v>79.010054863298691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projet'!$B$11,Paramètres!$A$1:$I$88,3,0)*VLOOKUP('Données projet'!$B$11,Paramètres!$A$1:$I$88,5,0)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projet'!$B$11,Paramètres!$A$1:$I$88,3,0)*0.475*44/12</f>
        <v>#N/A</v>
      </c>
      <c r="BQ57" s="23" t="e">
        <f>EXP(-LN(2)/25)*BQ56+(1-EXP(-LN(2)/25))/(LN(2)/25)*Calculateur!BL57*Calculateur!BN57*VLOOKUP('Données projet'!$B$11,Paramètres!$A$1:$I$88,3,0)*0.475*44/12</f>
        <v>#N/A</v>
      </c>
      <c r="BR57" s="23" t="e">
        <f>EXP(-LN(2)/2)*BR56+(1-EXP(-LN(2)/2))/(LN(2)/2)*BL57*BO57*VLOOKUP('Données projet'!$B$11,Paramètres!$A$1:$I$88,3,0)*0.475*44/12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projet'!$B$12,Paramètres!$A$1:$I$88,3,0)*0.475*44/12</f>
        <v>#N/A</v>
      </c>
      <c r="CL57" s="23" t="e">
        <f>EXP(-LN(2)/25)*CL56+(1-EXP(-LN(2)/25))/(LN(2)/25)*Calculateur!CG57*Calculateur!CI57*VLOOKUP('Données projet'!$B$12,Paramètres!$A$1:$I$88,3,0)*0.475*44/12</f>
        <v>#N/A</v>
      </c>
      <c r="CM57" s="23" t="e">
        <f>EXP(-LN(2)/2)*CM56+(1-EXP(-LN(2)/2))/(LN(2)/2)*CG57*CJ57*VLOOKUP('Données projet'!$B$12,Paramètres!$A$1:$I$88,3,0)*0.475*44/12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10</v>
      </c>
      <c r="N58" s="14">
        <f>IF('Données projet'!$A$36&gt;35,N57+M58-V57,IF(A58&lt;'Données projet'!$A$36,$K$205^A58,IF(A58='Données projet'!$A$36,'Données projet'!$B$36,N57+M58-V57)))</f>
        <v>310</v>
      </c>
      <c r="O58" s="14">
        <f>N58*VLOOKUP('Données projet'!$B$9,Paramètres!$A$1:$I$88,3,0)*VLOOKUP('Données projet'!$B$9,Paramètres!$A$1:$I$88,5,0)</f>
        <v>145.07999999999998</v>
      </c>
      <c r="P58" s="14">
        <f t="shared" si="33"/>
        <v>37.458337067672986</v>
      </c>
      <c r="Q58" s="22">
        <f t="shared" si="53"/>
        <v>317.92093705953039</v>
      </c>
      <c r="R58" s="62">
        <f t="shared" si="0"/>
        <v>611.25427039286365</v>
      </c>
      <c r="S58" s="62">
        <f ca="1">AVERAGE(OFFSET($R$3,0,0,'Données projet'!$E$9+1,1))-AVERAGE(OFFSET($H$3,0,0,'Données projet'!$E$9+1,1))</f>
        <v>316.04959780858269</v>
      </c>
      <c r="T58" s="62">
        <f t="shared" si="34"/>
        <v>213.60182977243113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5.7408124453790679</v>
      </c>
      <c r="AA58" s="23">
        <f>EXP(-LN(2)/25)*AA57+(1-EXP(-LN(2)/25))/(LN(2)/25)*Calculateur!V58*Calculateur!X58*VLOOKUP('Données projet'!$B$9,Paramètres!$A$1:$I$88,3,0)*0.475*44/12</f>
        <v>10.814900645797316</v>
      </c>
      <c r="AB58" s="23">
        <f>EXP(-LN(2)/2)*AB57+(1-EXP(-LN(2)/2))/(LN(2)/2)*V58*Y58*VLOOKUP('Données projet'!$B$9,Paramètres!$A$1:$I$88,3,0)*0.475*44/12</f>
        <v>0.78470178250887512</v>
      </c>
      <c r="AC58" s="24">
        <f t="shared" si="3"/>
        <v>17.340414873685258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724</v>
      </c>
      <c r="AG58" s="13">
        <f>VLOOKUP(A58,'Données projet'!$A$61:$I$81,9,0)</f>
        <v>20.399999999999999</v>
      </c>
      <c r="AH58" s="13">
        <f t="array" ref="AH58">INDEX(AG:AG,MIN(IF(ISNUMBER(AG58:AG254),ROW(AG58:AG254),"")))</f>
        <v>20.399999999999999</v>
      </c>
      <c r="AI58" s="14">
        <f>IF('Données projet'!$A$62&gt;35,AI57+AH58-AQ57,IF(A58&lt;'Données projet'!$A$62,$AF$205^A58,IF(A58='Données projet'!$A$62,'Données projet'!$B$62,AI57+AH58-AQ57)))</f>
        <v>723.99999999999955</v>
      </c>
      <c r="AJ58" s="14">
        <f>AI58*VLOOKUP('Données projet'!$B$10,Paramètres!$A$1:$I$88,3,0)*VLOOKUP('Données projet'!$B$10,Paramètres!$A$1:$I$88,5,0)</f>
        <v>404.71599999999978</v>
      </c>
      <c r="AK58" s="14">
        <f t="shared" si="35"/>
        <v>92.732108655131142</v>
      </c>
      <c r="AL58" s="22">
        <f t="shared" si="4"/>
        <v>866.38878924101971</v>
      </c>
      <c r="AM58" s="62">
        <f t="shared" si="5"/>
        <v>1159.7221225743531</v>
      </c>
      <c r="AN58" s="62">
        <f ca="1">AVERAGE(OFFSET($AM$3,0,0,'Données projet'!$E$10+1,1))-AVERAGE(OFFSET($H$3,0,0,'Données projet'!$E$10+1,1))</f>
        <v>583.31979399672844</v>
      </c>
      <c r="AO58" s="62">
        <f t="shared" si="36"/>
        <v>544.21514138474731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62</v>
      </c>
      <c r="AR58" s="17">
        <f>IF(ISNA(VLOOKUP(A58,'Données projet'!$A$61:$I$81,5,0)),0%,VLOOKUP(A58,'Données projet'!$A$61:$I$81,5,0)*VLOOKUP('Données projet'!$B$10,Paramètres!$A$1:$I$88,7,0))</f>
        <v>0.33</v>
      </c>
      <c r="AS58" s="17">
        <f>IF(ISNA(VLOOKUP(A58,'Données projet'!$A$61:$I$81,6,0)),0%,VLOOKUP(A58,'Données projet'!$A$61:$I$81,6,0)*VLOOKUP('Données projet'!$B$10,Paramètres!$A$1:$I$88,7,0))</f>
        <v>0.12320000000000003</v>
      </c>
      <c r="AT58" s="17">
        <f>IF(ISNA(VLOOKUP(A58,'Données projet'!$A$61:$I$81,7,0)),0%,VLOOKUP(A58,'Données projet'!$A$61:$I$81,7,0))</f>
        <v>0.17600000000000002</v>
      </c>
      <c r="AU58" s="23">
        <f>EXP(-LN(2)/35)*AU57+(1-EXP(-LN(2)/35))/(LN(2)/35)*AQ58*AR58*VLOOKUP('Données projet'!$B$10,Paramètres!$A$1:$I$88,3,0)*0.475*44/12</f>
        <v>44.237740469839892</v>
      </c>
      <c r="AV58" s="23">
        <f>EXP(-LN(2)/25)*AV57+(1-EXP(-LN(2)/25))/(LN(2)/25)*Calculateur!AQ58*Calculateur!AS58*VLOOKUP('Données projet'!$B$10,Paramètres!$A$1:$I$88,3,0)*0.475*44/12</f>
        <v>50.34848538737559</v>
      </c>
      <c r="AW58" s="23">
        <f>EXP(-LN(2)/2)*AW57+(1-EXP(-LN(2)/2))/(LN(2)/2)*AQ58*AT58*VLOOKUP('Données projet'!$B$10,Paramètres!$A$1:$I$88,3,0)*0.475*44/12</f>
        <v>9.3103156906009872</v>
      </c>
      <c r="AX58" s="23">
        <f t="shared" si="6"/>
        <v>103.89654154781647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projet'!$B$11,Paramètres!$A$1:$I$88,3,0)*VLOOKUP('Données projet'!$B$11,Paramètres!$A$1:$I$88,5,0)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projet'!$B$11,Paramètres!$A$1:$I$88,3,0)*0.475*44/12</f>
        <v>#N/A</v>
      </c>
      <c r="BQ58" s="23" t="e">
        <f>EXP(-LN(2)/25)*BQ57+(1-EXP(-LN(2)/25))/(LN(2)/25)*Calculateur!BL58*Calculateur!BN58*VLOOKUP('Données projet'!$B$11,Paramètres!$A$1:$I$88,3,0)*0.475*44/12</f>
        <v>#N/A</v>
      </c>
      <c r="BR58" s="23" t="e">
        <f>EXP(-LN(2)/2)*BR57+(1-EXP(-LN(2)/2))/(LN(2)/2)*BL58*BO58*VLOOKUP('Données projet'!$B$11,Paramètres!$A$1:$I$88,3,0)*0.475*44/12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projet'!$B$12,Paramètres!$A$1:$I$88,3,0)*0.475*44/12</f>
        <v>#N/A</v>
      </c>
      <c r="CL58" s="23" t="e">
        <f>EXP(-LN(2)/25)*CL57+(1-EXP(-LN(2)/25))/(LN(2)/25)*Calculateur!CG58*Calculateur!CI58*VLOOKUP('Données projet'!$B$12,Paramètres!$A$1:$I$88,3,0)*0.475*44/12</f>
        <v>#N/A</v>
      </c>
      <c r="CM58" s="23" t="e">
        <f>EXP(-LN(2)/2)*CM57+(1-EXP(-LN(2)/2))/(LN(2)/2)*CG58*CJ58*VLOOKUP('Données projet'!$B$12,Paramètres!$A$1:$I$88,3,0)*0.475*44/12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</v>
      </c>
      <c r="N59" s="14">
        <f>IF('Données projet'!$A$36&gt;35,N58+M59-V58,IF(A59&lt;'Données projet'!$A$36,$K$205^A59,IF(A59='Données projet'!$A$36,'Données projet'!$B$36,N58+M59-V58)))</f>
        <v>320</v>
      </c>
      <c r="O59" s="14">
        <f>N59*VLOOKUP('Données projet'!$B$9,Paramètres!$A$1:$I$88,3,0)*VLOOKUP('Données projet'!$B$9,Paramètres!$A$1:$I$88,5,0)</f>
        <v>149.76</v>
      </c>
      <c r="P59" s="14">
        <f t="shared" si="33"/>
        <v>38.524039677774802</v>
      </c>
      <c r="Q59" s="22">
        <f t="shared" si="53"/>
        <v>327.92803577212442</v>
      </c>
      <c r="R59" s="62">
        <f t="shared" si="0"/>
        <v>621.26136910545779</v>
      </c>
      <c r="S59" s="62">
        <f ca="1">AVERAGE(OFFSET($R$3,0,0,'Données projet'!$E$9+1,1))-AVERAGE(OFFSET($H$3,0,0,'Données projet'!$E$9+1,1))</f>
        <v>316.04959780858269</v>
      </c>
      <c r="T59" s="62">
        <f t="shared" si="34"/>
        <v>213.60182977243113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5.628238614875027</v>
      </c>
      <c r="AA59" s="23">
        <f>EXP(-LN(2)/25)*AA58+(1-EXP(-LN(2)/25))/(LN(2)/25)*Calculateur!V59*Calculateur!X59*VLOOKUP('Données projet'!$B$9,Paramètres!$A$1:$I$88,3,0)*0.475*44/12</f>
        <v>10.51916661890708</v>
      </c>
      <c r="AB59" s="23">
        <f>EXP(-LN(2)/2)*AB58+(1-EXP(-LN(2)/2))/(LN(2)/2)*V59*Y59*VLOOKUP('Données projet'!$B$9,Paramètres!$A$1:$I$88,3,0)*0.475*44/12</f>
        <v>0.55486795162119695</v>
      </c>
      <c r="AC59" s="24">
        <f t="shared" si="3"/>
        <v>16.702273185403307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15.4</v>
      </c>
      <c r="AI59" s="14">
        <f>IF('Données projet'!$A$62&gt;35,AI58+AH59-AQ58,IF(A59&lt;'Données projet'!$A$62,$AF$205^A59,IF(A59='Données projet'!$A$62,'Données projet'!$B$62,AI58+AH59-AQ58)))</f>
        <v>677.39999999999952</v>
      </c>
      <c r="AJ59" s="14">
        <f>AI59*VLOOKUP('Données projet'!$B$10,Paramètres!$A$1:$I$88,3,0)*VLOOKUP('Données projet'!$B$10,Paramètres!$A$1:$I$88,5,0)</f>
        <v>378.66659999999979</v>
      </c>
      <c r="AK59" s="14">
        <f t="shared" si="35"/>
        <v>87.437946637883755</v>
      </c>
      <c r="AL59" s="22">
        <f t="shared" si="4"/>
        <v>811.79875206098052</v>
      </c>
      <c r="AM59" s="62">
        <f t="shared" si="5"/>
        <v>1105.1320853943139</v>
      </c>
      <c r="AN59" s="62">
        <f ca="1">AVERAGE(OFFSET($AM$3,0,0,'Données projet'!$E$10+1,1))-AVERAGE(OFFSET($H$3,0,0,'Données projet'!$E$10+1,1))</f>
        <v>583.31979399672844</v>
      </c>
      <c r="AO59" s="62">
        <f t="shared" si="36"/>
        <v>544.21514138474731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43.370265361583733</v>
      </c>
      <c r="AV59" s="23">
        <f>EXP(-LN(2)/25)*AV58+(1-EXP(-LN(2)/25))/(LN(2)/25)*Calculateur!AQ59*Calculateur!AS59*VLOOKUP('Données projet'!$B$10,Paramètres!$A$1:$I$88,3,0)*0.475*44/12</f>
        <v>48.97170340674603</v>
      </c>
      <c r="AW59" s="23">
        <f>EXP(-LN(2)/2)*AW58+(1-EXP(-LN(2)/2))/(LN(2)/2)*AQ59*AT59*VLOOKUP('Données projet'!$B$10,Paramètres!$A$1:$I$88,3,0)*0.475*44/12</f>
        <v>6.5833873598114732</v>
      </c>
      <c r="AX59" s="23">
        <f t="shared" si="6"/>
        <v>98.925356128141232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projet'!$B$11,Paramètres!$A$1:$I$88,3,0)*VLOOKUP('Données projet'!$B$11,Paramètres!$A$1:$I$88,5,0)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projet'!$B$11,Paramètres!$A$1:$I$88,3,0)*0.475*44/12</f>
        <v>#N/A</v>
      </c>
      <c r="BQ59" s="23" t="e">
        <f>EXP(-LN(2)/25)*BQ58+(1-EXP(-LN(2)/25))/(LN(2)/25)*Calculateur!BL59*Calculateur!BN59*VLOOKUP('Données projet'!$B$11,Paramètres!$A$1:$I$88,3,0)*0.475*44/12</f>
        <v>#N/A</v>
      </c>
      <c r="BR59" s="23" t="e">
        <f>EXP(-LN(2)/2)*BR58+(1-EXP(-LN(2)/2))/(LN(2)/2)*BL59*BO59*VLOOKUP('Données projet'!$B$11,Paramètres!$A$1:$I$88,3,0)*0.475*44/12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projet'!$B$12,Paramètres!$A$1:$I$88,3,0)*0.475*44/12</f>
        <v>#N/A</v>
      </c>
      <c r="CL59" s="23" t="e">
        <f>EXP(-LN(2)/25)*CL58+(1-EXP(-LN(2)/25))/(LN(2)/25)*Calculateur!CG59*Calculateur!CI59*VLOOKUP('Données projet'!$B$12,Paramètres!$A$1:$I$88,3,0)*0.475*44/12</f>
        <v>#N/A</v>
      </c>
      <c r="CM59" s="23" t="e">
        <f>EXP(-LN(2)/2)*CM58+(1-EXP(-LN(2)/2))/(LN(2)/2)*CG59*CJ59*VLOOKUP('Données projet'!$B$12,Paramètres!$A$1:$I$88,3,0)*0.475*44/12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</v>
      </c>
      <c r="N60" s="14">
        <f>IF('Données projet'!$A$36&gt;35,N59+M60-V59,IF(A60&lt;'Données projet'!$A$36,$K$205^A60,IF(A60='Données projet'!$A$36,'Données projet'!$B$36,N59+M60-V59)))</f>
        <v>330</v>
      </c>
      <c r="O60" s="14">
        <f>N60*VLOOKUP('Données projet'!$B$9,Paramètres!$A$1:$I$88,3,0)*VLOOKUP('Données projet'!$B$9,Paramètres!$A$1:$I$88,5,0)</f>
        <v>154.44</v>
      </c>
      <c r="P60" s="14">
        <f t="shared" si="33"/>
        <v>39.58587217095549</v>
      </c>
      <c r="Q60" s="22">
        <f t="shared" si="53"/>
        <v>337.92839403108081</v>
      </c>
      <c r="R60" s="62">
        <f t="shared" si="0"/>
        <v>631.26172736441413</v>
      </c>
      <c r="S60" s="62">
        <f ca="1">AVERAGE(OFFSET($R$3,0,0,'Données projet'!$E$9+1,1))-AVERAGE(OFFSET($H$3,0,0,'Données projet'!$E$9+1,1))</f>
        <v>316.04959780858269</v>
      </c>
      <c r="T60" s="62">
        <f t="shared" si="34"/>
        <v>213.60182977243113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5.5178722885239138</v>
      </c>
      <c r="AA60" s="23">
        <f>EXP(-LN(2)/25)*AA59+(1-EXP(-LN(2)/25))/(LN(2)/25)*Calculateur!V60*Calculateur!X60*VLOOKUP('Données projet'!$B$9,Paramètres!$A$1:$I$88,3,0)*0.475*44/12</f>
        <v>10.231519454534135</v>
      </c>
      <c r="AB60" s="23">
        <f>EXP(-LN(2)/2)*AB59+(1-EXP(-LN(2)/2))/(LN(2)/2)*V60*Y60*VLOOKUP('Données projet'!$B$9,Paramètres!$A$1:$I$88,3,0)*0.475*44/12</f>
        <v>0.39235089125443756</v>
      </c>
      <c r="AC60" s="24">
        <f t="shared" si="3"/>
        <v>16.141742634312486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15.4</v>
      </c>
      <c r="AI60" s="14">
        <f>IF('Données projet'!$A$62&gt;35,AI59+AH60-AQ59,IF(A60&lt;'Données projet'!$A$62,$AF$205^A60,IF(A60='Données projet'!$A$62,'Données projet'!$B$62,AI59+AH60-AQ59)))</f>
        <v>692.7999999999995</v>
      </c>
      <c r="AJ60" s="14">
        <f>AI60*VLOOKUP('Données projet'!$B$10,Paramètres!$A$1:$I$88,3,0)*VLOOKUP('Données projet'!$B$10,Paramètres!$A$1:$I$88,5,0)</f>
        <v>387.2751999999997</v>
      </c>
      <c r="AK60" s="14">
        <f t="shared" si="35"/>
        <v>89.192073473767834</v>
      </c>
      <c r="AL60" s="22">
        <f t="shared" si="4"/>
        <v>829.84716796681175</v>
      </c>
      <c r="AM60" s="62">
        <f t="shared" si="5"/>
        <v>1123.1805013001451</v>
      </c>
      <c r="AN60" s="62">
        <f ca="1">AVERAGE(OFFSET($AM$3,0,0,'Données projet'!$E$10+1,1))-AVERAGE(OFFSET($H$3,0,0,'Données projet'!$E$10+1,1))</f>
        <v>583.31979399672844</v>
      </c>
      <c r="AO60" s="62">
        <f t="shared" si="36"/>
        <v>544.21514138474731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42.519800911092908</v>
      </c>
      <c r="AV60" s="23">
        <f>EXP(-LN(2)/25)*AV59+(1-EXP(-LN(2)/25))/(LN(2)/25)*Calculateur!AQ60*Calculateur!AS60*VLOOKUP('Données projet'!$B$10,Paramètres!$A$1:$I$88,3,0)*0.475*44/12</f>
        <v>47.632569601778606</v>
      </c>
      <c r="AW60" s="23">
        <f>EXP(-LN(2)/2)*AW59+(1-EXP(-LN(2)/2))/(LN(2)/2)*AQ60*AT60*VLOOKUP('Données projet'!$B$10,Paramètres!$A$1:$I$88,3,0)*0.475*44/12</f>
        <v>4.6551578453004945</v>
      </c>
      <c r="AX60" s="23">
        <f t="shared" si="6"/>
        <v>94.807528358172007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projet'!$B$11,Paramètres!$A$1:$I$88,3,0)*VLOOKUP('Données projet'!$B$11,Paramètres!$A$1:$I$88,5,0)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projet'!$B$11,Paramètres!$A$1:$I$88,3,0)*0.475*44/12</f>
        <v>#N/A</v>
      </c>
      <c r="BQ60" s="23" t="e">
        <f>EXP(-LN(2)/25)*BQ59+(1-EXP(-LN(2)/25))/(LN(2)/25)*Calculateur!BL60*Calculateur!BN60*VLOOKUP('Données projet'!$B$11,Paramètres!$A$1:$I$88,3,0)*0.475*44/12</f>
        <v>#N/A</v>
      </c>
      <c r="BR60" s="23" t="e">
        <f>EXP(-LN(2)/2)*BR59+(1-EXP(-LN(2)/2))/(LN(2)/2)*BL60*BO60*VLOOKUP('Données projet'!$B$11,Paramètres!$A$1:$I$88,3,0)*0.475*44/12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projet'!$B$12,Paramètres!$A$1:$I$88,3,0)*0.475*44/12</f>
        <v>#N/A</v>
      </c>
      <c r="CL60" s="23" t="e">
        <f>EXP(-LN(2)/25)*CL59+(1-EXP(-LN(2)/25))/(LN(2)/25)*Calculateur!CG60*Calculateur!CI60*VLOOKUP('Données projet'!$B$12,Paramètres!$A$1:$I$88,3,0)*0.475*44/12</f>
        <v>#N/A</v>
      </c>
      <c r="CM60" s="23" t="e">
        <f>EXP(-LN(2)/2)*CM59+(1-EXP(-LN(2)/2))/(LN(2)/2)*CG60*CJ60*VLOOKUP('Données projet'!$B$12,Paramètres!$A$1:$I$88,3,0)*0.475*44/12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</v>
      </c>
      <c r="N61" s="14">
        <f>IF('Données projet'!$A$36&gt;35,N60+M61-V60,IF(A61&lt;'Données projet'!$A$36,$K$205^A61,IF(A61='Données projet'!$A$36,'Données projet'!$B$36,N60+M61-V60)))</f>
        <v>340</v>
      </c>
      <c r="O61" s="14">
        <f>N61*VLOOKUP('Données projet'!$B$9,Paramètres!$A$1:$I$88,3,0)*VLOOKUP('Données projet'!$B$9,Paramètres!$A$1:$I$88,5,0)</f>
        <v>159.12</v>
      </c>
      <c r="P61" s="14">
        <f t="shared" si="33"/>
        <v>40.643965284387697</v>
      </c>
      <c r="Q61" s="22">
        <f t="shared" si="53"/>
        <v>347.92223953697521</v>
      </c>
      <c r="R61" s="62">
        <f t="shared" si="0"/>
        <v>641.25557287030847</v>
      </c>
      <c r="S61" s="62">
        <f ca="1">AVERAGE(OFFSET($R$3,0,0,'Données projet'!$E$9+1,1))-AVERAGE(OFFSET($H$3,0,0,'Données projet'!$E$9+1,1))</f>
        <v>316.04959780858269</v>
      </c>
      <c r="T61" s="62">
        <f t="shared" si="34"/>
        <v>213.60182977243113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5.4096701785157331</v>
      </c>
      <c r="AA61" s="23">
        <f>EXP(-LN(2)/25)*AA60+(1-EXP(-LN(2)/25))/(LN(2)/25)*Calculateur!V61*Calculateur!X61*VLOOKUP('Données projet'!$B$9,Paramètres!$A$1:$I$88,3,0)*0.475*44/12</f>
        <v>9.951738016997675</v>
      </c>
      <c r="AB61" s="23">
        <f>EXP(-LN(2)/2)*AB60+(1-EXP(-LN(2)/2))/(LN(2)/2)*V61*Y61*VLOOKUP('Données projet'!$B$9,Paramètres!$A$1:$I$88,3,0)*0.475*44/12</f>
        <v>0.27743397581059848</v>
      </c>
      <c r="AC61" s="24">
        <f t="shared" si="3"/>
        <v>15.638842171324008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15.4</v>
      </c>
      <c r="AI61" s="14">
        <f>IF('Données projet'!$A$62&gt;35,AI60+AH61-AQ60,IF(A61&lt;'Données projet'!$A$62,$AF$205^A61,IF(A61='Données projet'!$A$62,'Données projet'!$B$62,AI60+AH61-AQ60)))</f>
        <v>708.19999999999948</v>
      </c>
      <c r="AJ61" s="14">
        <f>AI61*VLOOKUP('Données projet'!$B$10,Paramètres!$A$1:$I$88,3,0)*VLOOKUP('Données projet'!$B$10,Paramètres!$A$1:$I$88,5,0)</f>
        <v>395.88379999999972</v>
      </c>
      <c r="AK61" s="14">
        <f t="shared" si="35"/>
        <v>90.941667130422957</v>
      </c>
      <c r="AL61" s="22">
        <f t="shared" si="4"/>
        <v>847.8876885854861</v>
      </c>
      <c r="AM61" s="62">
        <f t="shared" si="5"/>
        <v>1141.2210219188194</v>
      </c>
      <c r="AN61" s="62">
        <f ca="1">AVERAGE(OFFSET($AM$3,0,0,'Données projet'!$E$10+1,1))-AVERAGE(OFFSET($H$3,0,0,'Données projet'!$E$10+1,1))</f>
        <v>583.31979399672844</v>
      </c>
      <c r="AO61" s="62">
        <f t="shared" si="36"/>
        <v>544.21514138474731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41.686013549744111</v>
      </c>
      <c r="AV61" s="23">
        <f>EXP(-LN(2)/25)*AV60+(1-EXP(-LN(2)/25))/(LN(2)/25)*Calculateur!AQ61*Calculateur!AS61*VLOOKUP('Données projet'!$B$10,Paramètres!$A$1:$I$88,3,0)*0.475*44/12</f>
        <v>46.330054481129999</v>
      </c>
      <c r="AW61" s="23">
        <f>EXP(-LN(2)/2)*AW60+(1-EXP(-LN(2)/2))/(LN(2)/2)*AQ61*AT61*VLOOKUP('Données projet'!$B$10,Paramètres!$A$1:$I$88,3,0)*0.475*44/12</f>
        <v>3.291693679905737</v>
      </c>
      <c r="AX61" s="23">
        <f t="shared" si="6"/>
        <v>91.307761710779843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projet'!$B$11,Paramètres!$A$1:$I$88,3,0)*VLOOKUP('Données projet'!$B$11,Paramètres!$A$1:$I$88,5,0)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projet'!$B$11,Paramètres!$A$1:$I$88,3,0)*0.475*44/12</f>
        <v>#N/A</v>
      </c>
      <c r="BQ61" s="23" t="e">
        <f>EXP(-LN(2)/25)*BQ60+(1-EXP(-LN(2)/25))/(LN(2)/25)*Calculateur!BL61*Calculateur!BN61*VLOOKUP('Données projet'!$B$11,Paramètres!$A$1:$I$88,3,0)*0.475*44/12</f>
        <v>#N/A</v>
      </c>
      <c r="BR61" s="23" t="e">
        <f>EXP(-LN(2)/2)*BR60+(1-EXP(-LN(2)/2))/(LN(2)/2)*BL61*BO61*VLOOKUP('Données projet'!$B$11,Paramètres!$A$1:$I$88,3,0)*0.475*44/12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projet'!$B$12,Paramètres!$A$1:$I$88,3,0)*0.475*44/12</f>
        <v>#N/A</v>
      </c>
      <c r="CL61" s="23" t="e">
        <f>EXP(-LN(2)/25)*CL60+(1-EXP(-LN(2)/25))/(LN(2)/25)*Calculateur!CG61*Calculateur!CI61*VLOOKUP('Données projet'!$B$12,Paramètres!$A$1:$I$88,3,0)*0.475*44/12</f>
        <v>#N/A</v>
      </c>
      <c r="CM61" s="23" t="e">
        <f>EXP(-LN(2)/2)*CM60+(1-EXP(-LN(2)/2))/(LN(2)/2)*CG61*CJ61*VLOOKUP('Données projet'!$B$12,Paramètres!$A$1:$I$88,3,0)*0.475*44/12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</v>
      </c>
      <c r="N62" s="14">
        <f>IF('Données projet'!$A$36&gt;35,N61+M62-V61,IF(A62&lt;'Données projet'!$A$36,$K$205^A62,IF(A62='Données projet'!$A$36,'Données projet'!$B$36,N61+M62-V61)))</f>
        <v>350</v>
      </c>
      <c r="O62" s="14">
        <f>N62*VLOOKUP('Données projet'!$B$9,Paramètres!$A$1:$I$88,3,0)*VLOOKUP('Données projet'!$B$9,Paramètres!$A$1:$I$88,5,0)</f>
        <v>163.80000000000001</v>
      </c>
      <c r="P62" s="14">
        <f t="shared" si="33"/>
        <v>41.698441627605334</v>
      </c>
      <c r="Q62" s="22">
        <f t="shared" si="53"/>
        <v>357.90978583474595</v>
      </c>
      <c r="R62" s="62">
        <f t="shared" si="0"/>
        <v>651.24311916807926</v>
      </c>
      <c r="S62" s="62">
        <f ca="1">AVERAGE(OFFSET($R$3,0,0,'Données projet'!$E$9+1,1))-AVERAGE(OFFSET($H$3,0,0,'Données projet'!$E$9+1,1))</f>
        <v>316.04959780858269</v>
      </c>
      <c r="T62" s="62">
        <f t="shared" si="34"/>
        <v>213.60182977243113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5.3035898458880428</v>
      </c>
      <c r="AA62" s="23">
        <f>EXP(-LN(2)/25)*AA61+(1-EXP(-LN(2)/25))/(LN(2)/25)*Calculateur!V62*Calculateur!X62*VLOOKUP('Données projet'!$B$9,Paramètres!$A$1:$I$88,3,0)*0.475*44/12</f>
        <v>9.6796072175837171</v>
      </c>
      <c r="AB62" s="23">
        <f>EXP(-LN(2)/2)*AB61+(1-EXP(-LN(2)/2))/(LN(2)/2)*V62*Y62*VLOOKUP('Données projet'!$B$9,Paramètres!$A$1:$I$88,3,0)*0.475*44/12</f>
        <v>0.19617544562721878</v>
      </c>
      <c r="AC62" s="24">
        <f t="shared" si="3"/>
        <v>15.179372509098979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15.4</v>
      </c>
      <c r="AI62" s="14">
        <f>IF('Données projet'!$A$62&gt;35,AI61+AH62-AQ61,IF(A62&lt;'Données projet'!$A$62,$AF$205^A62,IF(A62='Données projet'!$A$62,'Données projet'!$B$62,AI61+AH62-AQ61)))</f>
        <v>723.59999999999945</v>
      </c>
      <c r="AJ62" s="14">
        <f>AI62*VLOOKUP('Données projet'!$B$10,Paramètres!$A$1:$I$88,3,0)*VLOOKUP('Données projet'!$B$10,Paramètres!$A$1:$I$88,5,0)</f>
        <v>404.49239999999969</v>
      </c>
      <c r="AK62" s="14">
        <f t="shared" si="35"/>
        <v>92.686837535548761</v>
      </c>
      <c r="AL62" s="22">
        <f t="shared" si="4"/>
        <v>865.92050537441344</v>
      </c>
      <c r="AM62" s="62">
        <f t="shared" si="5"/>
        <v>1159.2538387077468</v>
      </c>
      <c r="AN62" s="62">
        <f ca="1">AVERAGE(OFFSET($AM$3,0,0,'Données projet'!$E$10+1,1))-AVERAGE(OFFSET($H$3,0,0,'Données projet'!$E$10+1,1))</f>
        <v>583.31979399672844</v>
      </c>
      <c r="AO62" s="62">
        <f t="shared" si="36"/>
        <v>544.21514138474731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40.868576249991293</v>
      </c>
      <c r="AV62" s="23">
        <f>EXP(-LN(2)/25)*AV61+(1-EXP(-LN(2)/25))/(LN(2)/25)*Calculateur!AQ62*Calculateur!AS62*VLOOKUP('Données projet'!$B$10,Paramètres!$A$1:$I$88,3,0)*0.475*44/12</f>
        <v>45.063156704951822</v>
      </c>
      <c r="AW62" s="23">
        <f>EXP(-LN(2)/2)*AW61+(1-EXP(-LN(2)/2))/(LN(2)/2)*AQ62*AT62*VLOOKUP('Données projet'!$B$10,Paramètres!$A$1:$I$88,3,0)*0.475*44/12</f>
        <v>2.3275789226502477</v>
      </c>
      <c r="AX62" s="23">
        <f t="shared" si="6"/>
        <v>88.259311877593362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projet'!$B$11,Paramètres!$A$1:$I$88,3,0)*VLOOKUP('Données projet'!$B$11,Paramètres!$A$1:$I$88,5,0)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projet'!$B$11,Paramètres!$A$1:$I$88,3,0)*0.475*44/12</f>
        <v>#N/A</v>
      </c>
      <c r="BQ62" s="23" t="e">
        <f>EXP(-LN(2)/25)*BQ61+(1-EXP(-LN(2)/25))/(LN(2)/25)*Calculateur!BL62*Calculateur!BN62*VLOOKUP('Données projet'!$B$11,Paramètres!$A$1:$I$88,3,0)*0.475*44/12</f>
        <v>#N/A</v>
      </c>
      <c r="BR62" s="23" t="e">
        <f>EXP(-LN(2)/2)*BR61+(1-EXP(-LN(2)/2))/(LN(2)/2)*BL62*BO62*VLOOKUP('Données projet'!$B$11,Paramètres!$A$1:$I$88,3,0)*0.475*44/12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projet'!$B$12,Paramètres!$A$1:$I$88,3,0)*0.475*44/12</f>
        <v>#N/A</v>
      </c>
      <c r="CL62" s="23" t="e">
        <f>EXP(-LN(2)/25)*CL61+(1-EXP(-LN(2)/25))/(LN(2)/25)*Calculateur!CG62*Calculateur!CI62*VLOOKUP('Données projet'!$B$12,Paramètres!$A$1:$I$88,3,0)*0.475*44/12</f>
        <v>#N/A</v>
      </c>
      <c r="CM62" s="23" t="e">
        <f>EXP(-LN(2)/2)*CM61+(1-EXP(-LN(2)/2))/(LN(2)/2)*CG62*CJ62*VLOOKUP('Données projet'!$B$12,Paramètres!$A$1:$I$88,3,0)*0.475*44/12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360</v>
      </c>
      <c r="L63" s="13">
        <f>VLOOKUP(A63,'Données projet'!$A$35:$I$55,9,0)</f>
        <v>10</v>
      </c>
      <c r="M63" s="13">
        <f t="array" ref="M63">INDEX(L:L,MIN(IF(ISNUMBER(L63:L259),ROW(L63:L259),"")))</f>
        <v>10</v>
      </c>
      <c r="N63" s="14">
        <f>IF('Données projet'!$A$36&gt;35,N62+M63-V62,IF(A63&lt;'Données projet'!$A$36,$K$205^A63,IF(A63='Données projet'!$A$36,'Données projet'!$B$36,N62+M63-V62)))</f>
        <v>360</v>
      </c>
      <c r="O63" s="14">
        <f>N63*VLOOKUP('Données projet'!$B$9,Paramètres!$A$1:$I$88,3,0)*VLOOKUP('Données projet'!$B$9,Paramètres!$A$1:$I$88,5,0)</f>
        <v>168.48</v>
      </c>
      <c r="P63" s="14">
        <f t="shared" si="33"/>
        <v>42.74941640538534</v>
      </c>
      <c r="Q63" s="22">
        <f t="shared" si="53"/>
        <v>367.89123357271274</v>
      </c>
      <c r="R63" s="62">
        <f t="shared" si="0"/>
        <v>661.22456690604599</v>
      </c>
      <c r="S63" s="62">
        <f ca="1">AVERAGE(OFFSET($R$3,0,0,'Données projet'!$E$9+1,1))-AVERAGE(OFFSET($H$3,0,0,'Données projet'!$E$9+1,1))</f>
        <v>316.04959780858269</v>
      </c>
      <c r="T63" s="62">
        <f t="shared" si="34"/>
        <v>213.60182977243113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30</v>
      </c>
      <c r="W63" s="17">
        <f>IF(ISNA(VLOOKUP(A63,'Données projet'!$A$35:$I$55,5,0)),0%,VLOOKUP(A63,'Données projet'!$A$35:$I$55,5,0)*VLOOKUP('Données projet'!$B$9,Paramètres!$A$1:$I$88,7,0))</f>
        <v>0.22000000000000003</v>
      </c>
      <c r="X63" s="17">
        <f>IF(ISNA(VLOOKUP(A63,'Données projet'!$A$35:$I$55,6,0)),0%,VLOOKUP(A63,'Données projet'!$A$35:$I$55,6,0)*VLOOKUP('Données projet'!$B$9,Paramètres!$A$1:$I$88,7,0))</f>
        <v>0.18480000000000002</v>
      </c>
      <c r="Y63" s="17">
        <f>IF(ISNA(VLOOKUP(A63,'Données projet'!$A$35:$I$55,7,0)),0%,VLOOKUP(A63,'Données projet'!$A$35:$I$55,7,0))</f>
        <v>0.26400000000000001</v>
      </c>
      <c r="Z63" s="23">
        <f>EXP(-LN(2)/35)*Z62+(1-EXP(-LN(2)/35))/(LN(2)/35)*V63*W63*VLOOKUP('Données projet'!$B$9,Paramètres!$A$1:$I$88,3,0)*0.475*44/12</f>
        <v>9.2970819738422197</v>
      </c>
      <c r="AA63" s="23">
        <f>EXP(-LN(2)/25)*AA62+(1-EXP(-LN(2)/25))/(LN(2)/25)*Calculateur!V63*Calculateur!X63*VLOOKUP('Données projet'!$B$9,Paramètres!$A$1:$I$88,3,0)*0.475*44/12</f>
        <v>12.843259326491721</v>
      </c>
      <c r="AB63" s="23">
        <f>EXP(-LN(2)/2)*AB62+(1-EXP(-LN(2)/2))/(LN(2)/2)*V63*Y63*VLOOKUP('Données projet'!$B$9,Paramètres!$A$1:$I$88,3,0)*0.475*44/12</f>
        <v>4.3354039326249962</v>
      </c>
      <c r="AC63" s="24">
        <f t="shared" si="3"/>
        <v>26.475745232958936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739</v>
      </c>
      <c r="AG63" s="13">
        <f>VLOOKUP(A63,'Données projet'!$A$61:$I$81,9,0)</f>
        <v>15.4</v>
      </c>
      <c r="AH63" s="13">
        <f t="array" ref="AH63">INDEX(AG:AG,MIN(IF(ISNUMBER(AG63:AG259),ROW(AG63:AG259),"")))</f>
        <v>15.4</v>
      </c>
      <c r="AI63" s="14">
        <f>IF('Données projet'!$A$62&gt;35,AI62+AH63-AQ62,IF(A63&lt;'Données projet'!$A$62,$AF$205^A63,IF(A63='Données projet'!$A$62,'Données projet'!$B$62,AI62+AH63-AQ62)))</f>
        <v>738.99999999999943</v>
      </c>
      <c r="AJ63" s="14">
        <f>AI63*VLOOKUP('Données projet'!$B$10,Paramètres!$A$1:$I$88,3,0)*VLOOKUP('Données projet'!$B$10,Paramètres!$A$1:$I$88,5,0)</f>
        <v>413.10099999999971</v>
      </c>
      <c r="AK63" s="14">
        <f t="shared" si="35"/>
        <v>94.427689670462271</v>
      </c>
      <c r="AL63" s="22">
        <f t="shared" si="4"/>
        <v>883.94580117605472</v>
      </c>
      <c r="AM63" s="62">
        <f t="shared" si="5"/>
        <v>1177.2791345093881</v>
      </c>
      <c r="AN63" s="62">
        <f ca="1">AVERAGE(OFFSET($AM$3,0,0,'Données projet'!$E$10+1,1))-AVERAGE(OFFSET($H$3,0,0,'Données projet'!$E$10+1,1))</f>
        <v>583.31979399672844</v>
      </c>
      <c r="AO63" s="62">
        <f t="shared" si="36"/>
        <v>544.21514138474731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46</v>
      </c>
      <c r="AR63" s="17">
        <f>IF(ISNA(VLOOKUP(A63,'Données projet'!$A$61:$I$81,5,0)),0%,VLOOKUP(A63,'Données projet'!$A$61:$I$81,5,0)*VLOOKUP('Données projet'!$B$10,Paramètres!$A$1:$I$88,7,0))</f>
        <v>0.33</v>
      </c>
      <c r="AS63" s="17">
        <f>IF(ISNA(VLOOKUP(A63,'Données projet'!$A$61:$I$81,6,0)),0%,VLOOKUP(A63,'Données projet'!$A$61:$I$81,6,0)*VLOOKUP('Données projet'!$B$10,Paramètres!$A$1:$I$88,7,0))</f>
        <v>0.12320000000000003</v>
      </c>
      <c r="AT63" s="17">
        <f>IF(ISNA(VLOOKUP(A63,'Données projet'!$A$61:$I$81,7,0)),0%,VLOOKUP(A63,'Données projet'!$A$61:$I$81,7,0))</f>
        <v>0.17600000000000002</v>
      </c>
      <c r="AU63" s="23">
        <f>EXP(-LN(2)/35)*AU62+(1-EXP(-LN(2)/35))/(LN(2)/35)*AQ63*AR63*VLOOKUP('Données projet'!$B$10,Paramètres!$A$1:$I$88,3,0)*0.475*44/12</f>
        <v>51.32389027146597</v>
      </c>
      <c r="AV63" s="23">
        <f>EXP(-LN(2)/25)*AV62+(1-EXP(-LN(2)/25))/(LN(2)/25)*Calculateur!AQ63*Calculateur!AS63*VLOOKUP('Données projet'!$B$10,Paramètres!$A$1:$I$88,3,0)*0.475*44/12</f>
        <v>48.016864933667904</v>
      </c>
      <c r="AW63" s="23">
        <f>EXP(-LN(2)/2)*AW62+(1-EXP(-LN(2)/2))/(LN(2)/2)*AQ63*AT63*VLOOKUP('Données projet'!$B$10,Paramètres!$A$1:$I$88,3,0)*0.475*44/12</f>
        <v>6.7699497885056852</v>
      </c>
      <c r="AX63" s="23">
        <f t="shared" si="6"/>
        <v>106.11070499363956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projet'!$B$11,Paramètres!$A$1:$I$88,3,0)*VLOOKUP('Données projet'!$B$11,Paramètres!$A$1:$I$88,5,0)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projet'!$B$11,Paramètres!$A$1:$I$88,3,0)*0.475*44/12</f>
        <v>#N/A</v>
      </c>
      <c r="BQ63" s="23" t="e">
        <f>EXP(-LN(2)/25)*BQ62+(1-EXP(-LN(2)/25))/(LN(2)/25)*Calculateur!BL63*Calculateur!BN63*VLOOKUP('Données projet'!$B$11,Paramètres!$A$1:$I$88,3,0)*0.475*44/12</f>
        <v>#N/A</v>
      </c>
      <c r="BR63" s="23" t="e">
        <f>EXP(-LN(2)/2)*BR62+(1-EXP(-LN(2)/2))/(LN(2)/2)*BL63*BO63*VLOOKUP('Données projet'!$B$11,Paramètres!$A$1:$I$88,3,0)*0.475*44/12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projet'!$B$12,Paramètres!$A$1:$I$88,3,0)*0.475*44/12</f>
        <v>#N/A</v>
      </c>
      <c r="CL63" s="23" t="e">
        <f>EXP(-LN(2)/25)*CL62+(1-EXP(-LN(2)/25))/(LN(2)/25)*Calculateur!CG63*Calculateur!CI63*VLOOKUP('Données projet'!$B$12,Paramètres!$A$1:$I$88,3,0)*0.475*44/12</f>
        <v>#N/A</v>
      </c>
      <c r="CM63" s="23" t="e">
        <f>EXP(-LN(2)/2)*CM62+(1-EXP(-LN(2)/2))/(LN(2)/2)*CG63*CJ63*VLOOKUP('Données projet'!$B$12,Paramètres!$A$1:$I$88,3,0)*0.475*44/12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9</v>
      </c>
      <c r="N64" s="14">
        <f>IF('Données projet'!$A$36&gt;35,N63+M64-V63,IF(A64&lt;'Données projet'!$A$36,$K$205^A64,IF(A64='Données projet'!$A$36,'Données projet'!$B$36,N63+M64-V63)))</f>
        <v>339</v>
      </c>
      <c r="O64" s="14">
        <f>N64*VLOOKUP('Données projet'!$B$9,Paramètres!$A$1:$I$88,3,0)*VLOOKUP('Données projet'!$B$9,Paramètres!$A$1:$I$88,5,0)</f>
        <v>158.65199999999999</v>
      </c>
      <c r="P64" s="14">
        <f t="shared" si="33"/>
        <v>40.538320690487296</v>
      </c>
      <c r="Q64" s="22">
        <f t="shared" si="53"/>
        <v>346.92314186926529</v>
      </c>
      <c r="R64" s="62">
        <f t="shared" si="0"/>
        <v>640.25647520259861</v>
      </c>
      <c r="S64" s="62">
        <f ca="1">AVERAGE(OFFSET($R$3,0,0,'Données projet'!$E$9+1,1))-AVERAGE(OFFSET($H$3,0,0,'Données projet'!$E$9+1,1))</f>
        <v>316.04959780858269</v>
      </c>
      <c r="T64" s="62">
        <f t="shared" si="34"/>
        <v>213.60182977243113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9.1147718669952464</v>
      </c>
      <c r="AA64" s="23">
        <f>EXP(-LN(2)/25)*AA63+(1-EXP(-LN(2)/25))/(LN(2)/25)*Calculateur!V64*Calculateur!X64*VLOOKUP('Données projet'!$B$9,Paramètres!$A$1:$I$88,3,0)*0.475*44/12</f>
        <v>12.492059724811151</v>
      </c>
      <c r="AB64" s="23">
        <f>EXP(-LN(2)/2)*AB63+(1-EXP(-LN(2)/2))/(LN(2)/2)*V64*Y64*VLOOKUP('Données projet'!$B$9,Paramètres!$A$1:$I$88,3,0)*0.475*44/12</f>
        <v>3.0655935199419608</v>
      </c>
      <c r="AC64" s="24">
        <f t="shared" si="3"/>
        <v>24.672425111748357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12.2</v>
      </c>
      <c r="AI64" s="14">
        <f>IF('Données projet'!$A$62&gt;35,AI63+AH64-AQ63,IF(A64&lt;'Données projet'!$A$62,$AF$205^A64,IF(A64='Données projet'!$A$62,'Données projet'!$B$62,AI63+AH64-AQ63)))</f>
        <v>705.19999999999948</v>
      </c>
      <c r="AJ64" s="14">
        <f>AI64*VLOOKUP('Données projet'!$B$10,Paramètres!$A$1:$I$88,3,0)*VLOOKUP('Données projet'!$B$10,Paramètres!$A$1:$I$88,5,0)</f>
        <v>394.2067999999997</v>
      </c>
      <c r="AK64" s="14">
        <f t="shared" si="35"/>
        <v>90.601187466199292</v>
      </c>
      <c r="AL64" s="22">
        <f t="shared" si="4"/>
        <v>844.37391150362998</v>
      </c>
      <c r="AM64" s="62">
        <f t="shared" si="5"/>
        <v>1137.7072448369634</v>
      </c>
      <c r="AN64" s="62">
        <f ca="1">AVERAGE(OFFSET($AM$3,0,0,'Données projet'!$E$10+1,1))-AVERAGE(OFFSET($H$3,0,0,'Données projet'!$E$10+1,1))</f>
        <v>583.31979399672844</v>
      </c>
      <c r="AO64" s="62">
        <f t="shared" si="36"/>
        <v>544.21514138474731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50.317460087724527</v>
      </c>
      <c r="AV64" s="23">
        <f>EXP(-LN(2)/25)*AV63+(1-EXP(-LN(2)/25))/(LN(2)/25)*Calculateur!AQ64*Calculateur!AS64*VLOOKUP('Données projet'!$B$10,Paramètres!$A$1:$I$88,3,0)*0.475*44/12</f>
        <v>46.703841236959569</v>
      </c>
      <c r="AW64" s="23">
        <f>EXP(-LN(2)/2)*AW63+(1-EXP(-LN(2)/2))/(LN(2)/2)*AQ64*AT64*VLOOKUP('Données projet'!$B$10,Paramètres!$A$1:$I$88,3,0)*0.475*44/12</f>
        <v>4.7870774037448038</v>
      </c>
      <c r="AX64" s="23">
        <f t="shared" si="6"/>
        <v>101.80837872842889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projet'!$B$11,Paramètres!$A$1:$I$88,3,0)*VLOOKUP('Données projet'!$B$11,Paramètres!$A$1:$I$88,5,0)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projet'!$B$11,Paramètres!$A$1:$I$88,3,0)*0.475*44/12</f>
        <v>#N/A</v>
      </c>
      <c r="BQ64" s="23" t="e">
        <f>EXP(-LN(2)/25)*BQ63+(1-EXP(-LN(2)/25))/(LN(2)/25)*Calculateur!BL64*Calculateur!BN64*VLOOKUP('Données projet'!$B$11,Paramètres!$A$1:$I$88,3,0)*0.475*44/12</f>
        <v>#N/A</v>
      </c>
      <c r="BR64" s="23" t="e">
        <f>EXP(-LN(2)/2)*BR63+(1-EXP(-LN(2)/2))/(LN(2)/2)*BL64*BO64*VLOOKUP('Données projet'!$B$11,Paramètres!$A$1:$I$88,3,0)*0.475*44/12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projet'!$B$12,Paramètres!$A$1:$I$88,3,0)*0.475*44/12</f>
        <v>#N/A</v>
      </c>
      <c r="CL64" s="23" t="e">
        <f>EXP(-LN(2)/25)*CL63+(1-EXP(-LN(2)/25))/(LN(2)/25)*Calculateur!CG64*Calculateur!CI64*VLOOKUP('Données projet'!$B$12,Paramètres!$A$1:$I$88,3,0)*0.475*44/12</f>
        <v>#N/A</v>
      </c>
      <c r="CM64" s="23" t="e">
        <f>EXP(-LN(2)/2)*CM63+(1-EXP(-LN(2)/2))/(LN(2)/2)*CG64*CJ64*VLOOKUP('Données projet'!$B$12,Paramètres!$A$1:$I$88,3,0)*0.475*44/12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9</v>
      </c>
      <c r="N65" s="14">
        <f>IF('Données projet'!$A$36&gt;35,N64+M65-V64,IF(A65&lt;'Données projet'!$A$36,$K$205^A65,IF(A65='Données projet'!$A$36,'Données projet'!$B$36,N64+M65-V64)))</f>
        <v>348</v>
      </c>
      <c r="O65" s="14">
        <f>N65*VLOOKUP('Données projet'!$B$9,Paramètres!$A$1:$I$88,3,0)*VLOOKUP('Données projet'!$B$9,Paramètres!$A$1:$I$88,5,0)</f>
        <v>162.864</v>
      </c>
      <c r="P65" s="14">
        <f t="shared" si="33"/>
        <v>41.487830069509123</v>
      </c>
      <c r="Q65" s="22">
        <f t="shared" si="53"/>
        <v>355.91277070439509</v>
      </c>
      <c r="R65" s="62">
        <f t="shared" si="0"/>
        <v>649.2461040377284</v>
      </c>
      <c r="S65" s="62">
        <f ca="1">AVERAGE(OFFSET($R$3,0,0,'Données projet'!$E$9+1,1))-AVERAGE(OFFSET($H$3,0,0,'Données projet'!$E$9+1,1))</f>
        <v>316.04959780858269</v>
      </c>
      <c r="T65" s="62">
        <f t="shared" si="34"/>
        <v>213.60182977243113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8.936036750145357</v>
      </c>
      <c r="AA65" s="23">
        <f>EXP(-LN(2)/25)*AA64+(1-EXP(-LN(2)/25))/(LN(2)/25)*Calculateur!V65*Calculateur!X65*VLOOKUP('Données projet'!$B$9,Paramètres!$A$1:$I$88,3,0)*0.475*44/12</f>
        <v>12.150463694707319</v>
      </c>
      <c r="AB65" s="23">
        <f>EXP(-LN(2)/2)*AB64+(1-EXP(-LN(2)/2))/(LN(2)/2)*V65*Y65*VLOOKUP('Données projet'!$B$9,Paramètres!$A$1:$I$88,3,0)*0.475*44/12</f>
        <v>2.1677019663124981</v>
      </c>
      <c r="AC65" s="24">
        <f t="shared" si="3"/>
        <v>23.254202411165174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12.2</v>
      </c>
      <c r="AI65" s="14">
        <f>IF('Données projet'!$A$62&gt;35,AI64+AH65-AQ64,IF(A65&lt;'Données projet'!$A$62,$AF$205^A65,IF(A65='Données projet'!$A$62,'Données projet'!$B$62,AI64+AH65-AQ64)))</f>
        <v>717.39999999999952</v>
      </c>
      <c r="AJ65" s="14">
        <f>AI65*VLOOKUP('Données projet'!$B$10,Paramètres!$A$1:$I$88,3,0)*VLOOKUP('Données projet'!$B$10,Paramètres!$A$1:$I$88,5,0)</f>
        <v>401.02659999999975</v>
      </c>
      <c r="AK65" s="14">
        <f t="shared" si="35"/>
        <v>91.984761558101539</v>
      </c>
      <c r="AL65" s="22">
        <f t="shared" si="4"/>
        <v>858.66145471369293</v>
      </c>
      <c r="AM65" s="62">
        <f t="shared" si="5"/>
        <v>1151.9947880470263</v>
      </c>
      <c r="AN65" s="62">
        <f ca="1">AVERAGE(OFFSET($AM$3,0,0,'Données projet'!$E$10+1,1))-AVERAGE(OFFSET($H$3,0,0,'Données projet'!$E$10+1,1))</f>
        <v>583.31979399672844</v>
      </c>
      <c r="AO65" s="62">
        <f t="shared" si="36"/>
        <v>544.21514138474731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49.330765386024453</v>
      </c>
      <c r="AV65" s="23">
        <f>EXP(-LN(2)/25)*AV64+(1-EXP(-LN(2)/25))/(LN(2)/25)*Calculateur!AQ65*Calculateur!AS65*VLOOKUP('Données projet'!$B$10,Paramètres!$A$1:$I$88,3,0)*0.475*44/12</f>
        <v>45.426722242286644</v>
      </c>
      <c r="AW65" s="23">
        <f>EXP(-LN(2)/2)*AW64+(1-EXP(-LN(2)/2))/(LN(2)/2)*AQ65*AT65*VLOOKUP('Données projet'!$B$10,Paramètres!$A$1:$I$88,3,0)*0.475*44/12</f>
        <v>3.384974894252843</v>
      </c>
      <c r="AX65" s="23">
        <f t="shared" si="6"/>
        <v>98.142462522563946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projet'!$B$11,Paramètres!$A$1:$I$88,3,0)*VLOOKUP('Données projet'!$B$11,Paramètres!$A$1:$I$88,5,0)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projet'!$B$11,Paramètres!$A$1:$I$88,3,0)*0.475*44/12</f>
        <v>#N/A</v>
      </c>
      <c r="BQ65" s="23" t="e">
        <f>EXP(-LN(2)/25)*BQ64+(1-EXP(-LN(2)/25))/(LN(2)/25)*Calculateur!BL65*Calculateur!BN65*VLOOKUP('Données projet'!$B$11,Paramètres!$A$1:$I$88,3,0)*0.475*44/12</f>
        <v>#N/A</v>
      </c>
      <c r="BR65" s="23" t="e">
        <f>EXP(-LN(2)/2)*BR64+(1-EXP(-LN(2)/2))/(LN(2)/2)*BL65*BO65*VLOOKUP('Données projet'!$B$11,Paramètres!$A$1:$I$88,3,0)*0.475*44/12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projet'!$B$12,Paramètres!$A$1:$I$88,3,0)*0.475*44/12</f>
        <v>#N/A</v>
      </c>
      <c r="CL65" s="23" t="e">
        <f>EXP(-LN(2)/25)*CL64+(1-EXP(-LN(2)/25))/(LN(2)/25)*Calculateur!CG65*Calculateur!CI65*VLOOKUP('Données projet'!$B$12,Paramètres!$A$1:$I$88,3,0)*0.475*44/12</f>
        <v>#N/A</v>
      </c>
      <c r="CM65" s="23" t="e">
        <f>EXP(-LN(2)/2)*CM64+(1-EXP(-LN(2)/2))/(LN(2)/2)*CG65*CJ65*VLOOKUP('Données projet'!$B$12,Paramètres!$A$1:$I$88,3,0)*0.475*44/12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9</v>
      </c>
      <c r="N66" s="14">
        <f>IF('Données projet'!$A$36&gt;35,N65+M66-V65,IF(A66&lt;'Données projet'!$A$36,$K$205^A66,IF(A66='Données projet'!$A$36,'Données projet'!$B$36,N65+M66-V65)))</f>
        <v>357</v>
      </c>
      <c r="O66" s="14">
        <f>N66*VLOOKUP('Données projet'!$B$9,Paramètres!$A$1:$I$88,3,0)*VLOOKUP('Données projet'!$B$9,Paramètres!$A$1:$I$88,5,0)</f>
        <v>167.07599999999999</v>
      </c>
      <c r="P66" s="14">
        <f t="shared" si="33"/>
        <v>42.434485059621672</v>
      </c>
      <c r="Q66" s="22">
        <f t="shared" si="53"/>
        <v>364.89742814550772</v>
      </c>
      <c r="R66" s="62">
        <f t="shared" si="0"/>
        <v>658.23076147884103</v>
      </c>
      <c r="S66" s="62">
        <f ca="1">AVERAGE(OFFSET($R$3,0,0,'Données projet'!$E$9+1,1))-AVERAGE(OFFSET($H$3,0,0,'Données projet'!$E$9+1,1))</f>
        <v>316.04959780858269</v>
      </c>
      <c r="T66" s="62">
        <f t="shared" si="34"/>
        <v>213.60182977243113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8.7608065199192371</v>
      </c>
      <c r="AA66" s="23">
        <f>EXP(-LN(2)/25)*AA65+(1-EXP(-LN(2)/25))/(LN(2)/25)*Calculateur!V66*Calculateur!X66*VLOOKUP('Données projet'!$B$9,Paramètres!$A$1:$I$88,3,0)*0.475*44/12</f>
        <v>11.818208626010433</v>
      </c>
      <c r="AB66" s="23">
        <f>EXP(-LN(2)/2)*AB65+(1-EXP(-LN(2)/2))/(LN(2)/2)*V66*Y66*VLOOKUP('Données projet'!$B$9,Paramètres!$A$1:$I$88,3,0)*0.475*44/12</f>
        <v>1.5327967599709804</v>
      </c>
      <c r="AC66" s="24">
        <f t="shared" si="3"/>
        <v>22.111811905900652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12.2</v>
      </c>
      <c r="AI66" s="14">
        <f>IF('Données projet'!$A$62&gt;35,AI65+AH66-AQ65,IF(A66&lt;'Données projet'!$A$62,$AF$205^A66,IF(A66='Données projet'!$A$62,'Données projet'!$B$62,AI65+AH66-AQ65)))</f>
        <v>729.59999999999957</v>
      </c>
      <c r="AJ66" s="14">
        <f>AI66*VLOOKUP('Données projet'!$B$10,Paramètres!$A$1:$I$88,3,0)*VLOOKUP('Données projet'!$B$10,Paramètres!$A$1:$I$88,5,0)</f>
        <v>407.84639999999973</v>
      </c>
      <c r="AK66" s="14">
        <f t="shared" si="35"/>
        <v>93.365599460181741</v>
      </c>
      <c r="AL66" s="22">
        <f t="shared" si="4"/>
        <v>872.94423239314926</v>
      </c>
      <c r="AM66" s="62">
        <f t="shared" si="5"/>
        <v>1166.2775657264826</v>
      </c>
      <c r="AN66" s="62">
        <f ca="1">AVERAGE(OFFSET($AM$3,0,0,'Données projet'!$E$10+1,1))-AVERAGE(OFFSET($H$3,0,0,'Données projet'!$E$10+1,1))</f>
        <v>583.31979399672844</v>
      </c>
      <c r="AO66" s="62">
        <f t="shared" si="36"/>
        <v>544.21514138474731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48.363419165600376</v>
      </c>
      <c r="AV66" s="23">
        <f>EXP(-LN(2)/25)*AV65+(1-EXP(-LN(2)/25))/(LN(2)/25)*Calculateur!AQ66*Calculateur!AS66*VLOOKUP('Données projet'!$B$10,Paramètres!$A$1:$I$88,3,0)*0.475*44/12</f>
        <v>44.184526133683818</v>
      </c>
      <c r="AW66" s="23">
        <f>EXP(-LN(2)/2)*AW65+(1-EXP(-LN(2)/2))/(LN(2)/2)*AQ66*AT66*VLOOKUP('Données projet'!$B$10,Paramètres!$A$1:$I$88,3,0)*0.475*44/12</f>
        <v>2.3935387018724019</v>
      </c>
      <c r="AX66" s="23">
        <f t="shared" si="6"/>
        <v>94.941484001156596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projet'!$B$11,Paramètres!$A$1:$I$88,3,0)*VLOOKUP('Données projet'!$B$11,Paramètres!$A$1:$I$88,5,0)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projet'!$B$11,Paramètres!$A$1:$I$88,3,0)*0.475*44/12</f>
        <v>#N/A</v>
      </c>
      <c r="BQ66" s="23" t="e">
        <f>EXP(-LN(2)/25)*BQ65+(1-EXP(-LN(2)/25))/(LN(2)/25)*Calculateur!BL66*Calculateur!BN66*VLOOKUP('Données projet'!$B$11,Paramètres!$A$1:$I$88,3,0)*0.475*44/12</f>
        <v>#N/A</v>
      </c>
      <c r="BR66" s="23" t="e">
        <f>EXP(-LN(2)/2)*BR65+(1-EXP(-LN(2)/2))/(LN(2)/2)*BL66*BO66*VLOOKUP('Données projet'!$B$11,Paramètres!$A$1:$I$88,3,0)*0.475*44/12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projet'!$B$12,Paramètres!$A$1:$I$88,3,0)*0.475*44/12</f>
        <v>#N/A</v>
      </c>
      <c r="CL66" s="23" t="e">
        <f>EXP(-LN(2)/25)*CL65+(1-EXP(-LN(2)/25))/(LN(2)/25)*Calculateur!CG66*Calculateur!CI66*VLOOKUP('Données projet'!$B$12,Paramètres!$A$1:$I$88,3,0)*0.475*44/12</f>
        <v>#N/A</v>
      </c>
      <c r="CM66" s="23" t="e">
        <f>EXP(-LN(2)/2)*CM65+(1-EXP(-LN(2)/2))/(LN(2)/2)*CG66*CJ66*VLOOKUP('Données projet'!$B$12,Paramètres!$A$1:$I$88,3,0)*0.475*44/12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9</v>
      </c>
      <c r="N67" s="14">
        <f>IF('Données projet'!$A$36&gt;35,N66+M67-V66,IF(A67&lt;'Données projet'!$A$36,$K$205^A67,IF(A67='Données projet'!$A$36,'Données projet'!$B$36,N66+M67-V66)))</f>
        <v>366</v>
      </c>
      <c r="O67" s="14">
        <f>N67*VLOOKUP('Données projet'!$B$9,Paramètres!$A$1:$I$88,3,0)*VLOOKUP('Données projet'!$B$9,Paramètres!$A$1:$I$88,5,0)</f>
        <v>171.28799999999998</v>
      </c>
      <c r="P67" s="14">
        <f t="shared" si="33"/>
        <v>43.37836589572138</v>
      </c>
      <c r="Q67" s="22">
        <f t="shared" ref="Q67:Q98" si="54">(O67+P67)*0.475*44/12</f>
        <v>373.87725393504803</v>
      </c>
      <c r="R67" s="62">
        <f t="shared" ref="R67:R130" si="55">Q67+(I67+J67)*44/12</f>
        <v>667.21058726838135</v>
      </c>
      <c r="S67" s="62">
        <f ca="1">AVERAGE(OFFSET($R$3,0,0,'Données projet'!$E$9+1,1))-AVERAGE(OFFSET($H$3,0,0,'Données projet'!$E$9+1,1))</f>
        <v>316.04959780858269</v>
      </c>
      <c r="T67" s="62">
        <f t="shared" si="34"/>
        <v>213.60182977243113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8.5890124476279652</v>
      </c>
      <c r="AA67" s="23">
        <f>EXP(-LN(2)/25)*AA66+(1-EXP(-LN(2)/25))/(LN(2)/25)*Calculateur!V67*Calculateur!X67*VLOOKUP('Données projet'!$B$9,Paramètres!$A$1:$I$88,3,0)*0.475*44/12</f>
        <v>11.495039089639597</v>
      </c>
      <c r="AB67" s="23">
        <f>EXP(-LN(2)/2)*AB66+(1-EXP(-LN(2)/2))/(LN(2)/2)*V67*Y67*VLOOKUP('Données projet'!$B$9,Paramètres!$A$1:$I$88,3,0)*0.475*44/12</f>
        <v>1.0838509831562491</v>
      </c>
      <c r="AC67" s="24">
        <f t="shared" si="3"/>
        <v>21.167902520423812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12.2</v>
      </c>
      <c r="AI67" s="14">
        <f>IF('Données projet'!$A$62&gt;35,AI66+AH67-AQ66,IF(A67&lt;'Données projet'!$A$62,$AF$205^A67,IF(A67='Données projet'!$A$62,'Données projet'!$B$62,AI66+AH67-AQ66)))</f>
        <v>741.79999999999961</v>
      </c>
      <c r="AJ67" s="14">
        <f>AI67*VLOOKUP('Données projet'!$B$10,Paramètres!$A$1:$I$88,3,0)*VLOOKUP('Données projet'!$B$10,Paramètres!$A$1:$I$88,5,0)</f>
        <v>414.66619999999978</v>
      </c>
      <c r="AK67" s="14">
        <f t="shared" si="35"/>
        <v>94.743752206399009</v>
      </c>
      <c r="AL67" s="22">
        <f t="shared" si="4"/>
        <v>887.22233342614447</v>
      </c>
      <c r="AM67" s="62">
        <f t="shared" si="5"/>
        <v>1180.5556667594778</v>
      </c>
      <c r="AN67" s="62">
        <f ca="1">AVERAGE(OFFSET($AM$3,0,0,'Données projet'!$E$10+1,1))-AVERAGE(OFFSET($H$3,0,0,'Données projet'!$E$10+1,1))</f>
        <v>583.31979399672844</v>
      </c>
      <c r="AO67" s="62">
        <f t="shared" si="36"/>
        <v>544.21514138474731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47.415042014535885</v>
      </c>
      <c r="AV67" s="23">
        <f>EXP(-LN(2)/25)*AV66+(1-EXP(-LN(2)/25))/(LN(2)/25)*Calculateur!AQ67*Calculateur!AS67*VLOOKUP('Données projet'!$B$10,Paramètres!$A$1:$I$88,3,0)*0.475*44/12</f>
        <v>42.976297942994989</v>
      </c>
      <c r="AW67" s="23">
        <f>EXP(-LN(2)/2)*AW66+(1-EXP(-LN(2)/2))/(LN(2)/2)*AQ67*AT67*VLOOKUP('Données projet'!$B$10,Paramètres!$A$1:$I$88,3,0)*0.475*44/12</f>
        <v>1.6924874471264215</v>
      </c>
      <c r="AX67" s="23">
        <f t="shared" si="6"/>
        <v>92.083827404657299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projet'!$B$11,Paramètres!$A$1:$I$88,3,0)*VLOOKUP('Données projet'!$B$11,Paramètres!$A$1:$I$88,5,0)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projet'!$B$11,Paramètres!$A$1:$I$88,3,0)*0.475*44/12</f>
        <v>#N/A</v>
      </c>
      <c r="BQ67" s="23" t="e">
        <f>EXP(-LN(2)/25)*BQ66+(1-EXP(-LN(2)/25))/(LN(2)/25)*Calculateur!BL67*Calculateur!BN67*VLOOKUP('Données projet'!$B$11,Paramètres!$A$1:$I$88,3,0)*0.475*44/12</f>
        <v>#N/A</v>
      </c>
      <c r="BR67" s="23" t="e">
        <f>EXP(-LN(2)/2)*BR66+(1-EXP(-LN(2)/2))/(LN(2)/2)*BL67*BO67*VLOOKUP('Données projet'!$B$11,Paramètres!$A$1:$I$88,3,0)*0.475*44/12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projet'!$B$12,Paramètres!$A$1:$I$88,3,0)*0.475*44/12</f>
        <v>#N/A</v>
      </c>
      <c r="CL67" s="23" t="e">
        <f>EXP(-LN(2)/25)*CL66+(1-EXP(-LN(2)/25))/(LN(2)/25)*Calculateur!CG67*Calculateur!CI67*VLOOKUP('Données projet'!$B$12,Paramètres!$A$1:$I$88,3,0)*0.475*44/12</f>
        <v>#N/A</v>
      </c>
      <c r="CM67" s="23" t="e">
        <f>EXP(-LN(2)/2)*CM66+(1-EXP(-LN(2)/2))/(LN(2)/2)*CG67*CJ67*VLOOKUP('Données projet'!$B$12,Paramètres!$A$1:$I$88,3,0)*0.475*44/12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9</v>
      </c>
      <c r="N68" s="14">
        <f>IF('Données projet'!$A$36&gt;35,N67+M68-V67,IF(A68&lt;'Données projet'!$A$36,$K$205^A68,IF(A68='Données projet'!$A$36,'Données projet'!$B$36,N67+M68-V67)))</f>
        <v>375</v>
      </c>
      <c r="O68" s="14">
        <f>N68*VLOOKUP('Données projet'!$B$9,Paramètres!$A$1:$I$88,3,0)*VLOOKUP('Données projet'!$B$9,Paramètres!$A$1:$I$88,5,0)</f>
        <v>175.5</v>
      </c>
      <c r="P68" s="14">
        <f t="shared" si="33"/>
        <v>44.319548641773906</v>
      </c>
      <c r="Q68" s="22">
        <f t="shared" si="54"/>
        <v>382.85238055108954</v>
      </c>
      <c r="R68" s="62">
        <f t="shared" si="55"/>
        <v>676.18571388442285</v>
      </c>
      <c r="S68" s="62">
        <f ca="1">AVERAGE(OFFSET($R$3,0,0,'Données projet'!$E$9+1,1))-AVERAGE(OFFSET($H$3,0,0,'Données projet'!$E$9+1,1))</f>
        <v>316.04959780858269</v>
      </c>
      <c r="T68" s="62">
        <f t="shared" si="34"/>
        <v>213.60182977243113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8.4205871523102864</v>
      </c>
      <c r="AA68" s="23">
        <f>EXP(-LN(2)/25)*AA67+(1-EXP(-LN(2)/25))/(LN(2)/25)*Calculateur!V68*Calculateur!X68*VLOOKUP('Données projet'!$B$9,Paramètres!$A$1:$I$88,3,0)*0.475*44/12</f>
        <v>11.180706641235568</v>
      </c>
      <c r="AB68" s="23">
        <f>EXP(-LN(2)/2)*AB67+(1-EXP(-LN(2)/2))/(LN(2)/2)*V68*Y68*VLOOKUP('Données projet'!$B$9,Paramètres!$A$1:$I$88,3,0)*0.475*44/12</f>
        <v>0.76639837998549021</v>
      </c>
      <c r="AC68" s="24">
        <f t="shared" ref="AC68:AC131" si="57">SUM(Z68:AB68)</f>
        <v>20.367692173531346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754</v>
      </c>
      <c r="AG68" s="13">
        <f>VLOOKUP(A68,'Données projet'!$A$61:$I$81,9,0)</f>
        <v>12.2</v>
      </c>
      <c r="AH68" s="13">
        <f t="array" ref="AH68">INDEX(AG:AG,MIN(IF(ISNUMBER(AG68:AG264),ROW(AG68:AG264),"")))</f>
        <v>12.2</v>
      </c>
      <c r="AI68" s="14">
        <f>IF('Données projet'!$A$62&gt;35,AI67+AH68-AQ67,IF(A68&lt;'Données projet'!$A$62,$AF$205^A68,IF(A68='Données projet'!$A$62,'Données projet'!$B$62,AI67+AH68-AQ67)))</f>
        <v>753.99999999999966</v>
      </c>
      <c r="AJ68" s="14">
        <f>AI68*VLOOKUP('Données projet'!$B$10,Paramètres!$A$1:$I$88,3,0)*VLOOKUP('Données projet'!$B$10,Paramètres!$A$1:$I$88,5,0)</f>
        <v>421.48599999999982</v>
      </c>
      <c r="AK68" s="14">
        <f t="shared" si="35"/>
        <v>96.119269055816147</v>
      </c>
      <c r="AL68" s="22">
        <f t="shared" ref="AL68:AL131" si="58">(AJ68+AK68)*0.475*44/12</f>
        <v>901.49584360554616</v>
      </c>
      <c r="AM68" s="62">
        <f t="shared" ref="AM68:AM131" si="59">AL68+(AD68+AE68)*44/12</f>
        <v>1194.8291769388795</v>
      </c>
      <c r="AN68" s="62">
        <f ca="1">AVERAGE(OFFSET($AM$3,0,0,'Données projet'!$E$10+1,1))-AVERAGE(OFFSET($H$3,0,0,'Données projet'!$E$10+1,1))</f>
        <v>583.31979399672844</v>
      </c>
      <c r="AO68" s="62">
        <f t="shared" si="36"/>
        <v>544.21514138474731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35</v>
      </c>
      <c r="AR68" s="17">
        <f>IF(ISNA(VLOOKUP(A68,'Données projet'!$A$61:$I$81,5,0)),0%,VLOOKUP(A68,'Données projet'!$A$61:$I$81,5,0)*VLOOKUP('Données projet'!$B$10,Paramètres!$A$1:$I$88,7,0))</f>
        <v>0.38500000000000001</v>
      </c>
      <c r="AS68" s="17">
        <f>IF(ISNA(VLOOKUP(A68,'Données projet'!$A$61:$I$81,6,0)),0%,VLOOKUP(A68,'Données projet'!$A$61:$I$81,6,0)*VLOOKUP('Données projet'!$B$10,Paramètres!$A$1:$I$88,7,0))</f>
        <v>9.240000000000001E-2</v>
      </c>
      <c r="AT68" s="17">
        <f>IF(ISNA(VLOOKUP(A68,'Données projet'!$A$61:$I$81,7,0)),0%,VLOOKUP(A68,'Données projet'!$A$61:$I$81,7,0))</f>
        <v>0.13200000000000001</v>
      </c>
      <c r="AU68" s="23">
        <f>EXP(-LN(2)/35)*AU67+(1-EXP(-LN(2)/35))/(LN(2)/35)*AQ68*AR68*VLOOKUP('Données projet'!$B$10,Paramètres!$A$1:$I$88,3,0)*0.475*44/12</f>
        <v>56.477641885660546</v>
      </c>
      <c r="AV68" s="23">
        <f>EXP(-LN(2)/25)*AV67+(1-EXP(-LN(2)/25))/(LN(2)/25)*Calculateur!AQ68*Calculateur!AS68*VLOOKUP('Données projet'!$B$10,Paramètres!$A$1:$I$88,3,0)*0.475*44/12</f>
        <v>44.189837483930724</v>
      </c>
      <c r="AW68" s="23">
        <f>EXP(-LN(2)/2)*AW67+(1-EXP(-LN(2)/2))/(LN(2)/2)*AQ68*AT68*VLOOKUP('Données projet'!$B$10,Paramètres!$A$1:$I$88,3,0)*0.475*44/12</f>
        <v>4.1208498378821012</v>
      </c>
      <c r="AX68" s="23">
        <f t="shared" ref="AX68:AX131" si="60">SUM(AU68:AW68)</f>
        <v>104.78832920747337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projet'!$B$11,Paramètres!$A$1:$I$88,3,0)*VLOOKUP('Données projet'!$B$11,Paramètres!$A$1:$I$88,5,0)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projet'!$B$11,Paramètres!$A$1:$I$88,3,0)*0.475*44/12</f>
        <v>#N/A</v>
      </c>
      <c r="BQ68" s="23" t="e">
        <f>EXP(-LN(2)/25)*BQ67+(1-EXP(-LN(2)/25))/(LN(2)/25)*Calculateur!BL68*Calculateur!BN68*VLOOKUP('Données projet'!$B$11,Paramètres!$A$1:$I$88,3,0)*0.475*44/12</f>
        <v>#N/A</v>
      </c>
      <c r="BR68" s="23" t="e">
        <f>EXP(-LN(2)/2)*BR67+(1-EXP(-LN(2)/2))/(LN(2)/2)*BL68*BO68*VLOOKUP('Données projet'!$B$11,Paramètres!$A$1:$I$88,3,0)*0.475*44/12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projet'!$B$12,Paramètres!$A$1:$I$88,3,0)*0.475*44/12</f>
        <v>#N/A</v>
      </c>
      <c r="CL68" s="23" t="e">
        <f>EXP(-LN(2)/25)*CL67+(1-EXP(-LN(2)/25))/(LN(2)/25)*Calculateur!CG68*Calculateur!CI68*VLOOKUP('Données projet'!$B$12,Paramètres!$A$1:$I$88,3,0)*0.475*44/12</f>
        <v>#N/A</v>
      </c>
      <c r="CM68" s="23" t="e">
        <f>EXP(-LN(2)/2)*CM67+(1-EXP(-LN(2)/2))/(LN(2)/2)*CG68*CJ68*VLOOKUP('Données projet'!$B$12,Paramètres!$A$1:$I$88,3,0)*0.475*44/12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9</v>
      </c>
      <c r="N69" s="14">
        <f>IF('Données projet'!$A$36&gt;35,N68+M69-V68,IF(A69&lt;'Données projet'!$A$36,$K$205^A69,IF(A69='Données projet'!$A$36,'Données projet'!$B$36,N68+M69-V68)))</f>
        <v>384</v>
      </c>
      <c r="O69" s="14">
        <f>N69*VLOOKUP('Données projet'!$B$9,Paramètres!$A$1:$I$88,3,0)*VLOOKUP('Données projet'!$B$9,Paramètres!$A$1:$I$88,5,0)</f>
        <v>179.71200000000002</v>
      </c>
      <c r="P69" s="14">
        <f t="shared" ref="P69:P132" si="87">EXP(-1.0587+0.8836*LN(O69)+0.284)</f>
        <v>45.258105502458051</v>
      </c>
      <c r="Q69" s="22">
        <f t="shared" si="54"/>
        <v>391.82293375011449</v>
      </c>
      <c r="R69" s="62">
        <f t="shared" si="55"/>
        <v>685.1562670834478</v>
      </c>
      <c r="S69" s="62">
        <f ca="1">AVERAGE(OFFSET($R$3,0,0,'Données projet'!$E$9+1,1))-AVERAGE(OFFSET($H$3,0,0,'Données projet'!$E$9+1,1))</f>
        <v>316.04959780858269</v>
      </c>
      <c r="T69" s="62">
        <f t="shared" ref="T69:T132" si="88">$T$3</f>
        <v>213.60182977243113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8.2554645743045025</v>
      </c>
      <c r="AA69" s="23">
        <f>EXP(-LN(2)/25)*AA68+(1-EXP(-LN(2)/25))/(LN(2)/25)*Calculateur!V69*Calculateur!X69*VLOOKUP('Données projet'!$B$9,Paramètres!$A$1:$I$88,3,0)*0.475*44/12</f>
        <v>10.874969630163173</v>
      </c>
      <c r="AB69" s="23">
        <f>EXP(-LN(2)/2)*AB68+(1-EXP(-LN(2)/2))/(LN(2)/2)*V69*Y69*VLOOKUP('Données projet'!$B$9,Paramètres!$A$1:$I$88,3,0)*0.475*44/12</f>
        <v>0.54192549157812453</v>
      </c>
      <c r="AC69" s="24">
        <f t="shared" si="57"/>
        <v>19.672359696045799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10</v>
      </c>
      <c r="AI69" s="14">
        <f>IF('Données projet'!$A$62&gt;35,AI68+AH69-AQ68,IF(A69&lt;'Données projet'!$A$62,$AF$205^A69,IF(A69='Données projet'!$A$62,'Données projet'!$B$62,AI68+AH69-AQ68)))</f>
        <v>728.99999999999966</v>
      </c>
      <c r="AJ69" s="14">
        <f>AI69*VLOOKUP('Données projet'!$B$10,Paramètres!$A$1:$I$88,3,0)*VLOOKUP('Données projet'!$B$10,Paramètres!$A$1:$I$88,5,0)</f>
        <v>407.51099999999985</v>
      </c>
      <c r="AK69" s="14">
        <f t="shared" ref="AK69:AK132" si="89">EXP(-1.0587+0.8836*LN(AJ69)+0.284)</f>
        <v>93.297752590617137</v>
      </c>
      <c r="AL69" s="22">
        <f t="shared" si="58"/>
        <v>872.24191076199133</v>
      </c>
      <c r="AM69" s="62">
        <f t="shared" si="59"/>
        <v>1165.5752440953247</v>
      </c>
      <c r="AN69" s="62">
        <f ca="1">AVERAGE(OFFSET($AM$3,0,0,'Données projet'!$E$10+1,1))-AVERAGE(OFFSET($H$3,0,0,'Données projet'!$E$10+1,1))</f>
        <v>583.31979399672844</v>
      </c>
      <c r="AO69" s="62">
        <f t="shared" ref="AO69:AO132" si="90">$AO$3</f>
        <v>544.21514138474731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55.37014977624284</v>
      </c>
      <c r="AV69" s="23">
        <f>EXP(-LN(2)/25)*AV68+(1-EXP(-LN(2)/25))/(LN(2)/25)*Calculateur!AQ69*Calculateur!AS69*VLOOKUP('Données projet'!$B$10,Paramètres!$A$1:$I$88,3,0)*0.475*44/12</f>
        <v>42.981464054090083</v>
      </c>
      <c r="AW69" s="23">
        <f>EXP(-LN(2)/2)*AW68+(1-EXP(-LN(2)/2))/(LN(2)/2)*AQ69*AT69*VLOOKUP('Données projet'!$B$10,Paramètres!$A$1:$I$88,3,0)*0.475*44/12</f>
        <v>2.9138808646179188</v>
      </c>
      <c r="AX69" s="23">
        <f t="shared" si="60"/>
        <v>101.26549469495085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projet'!$B$11,Paramètres!$A$1:$I$88,3,0)*VLOOKUP('Données projet'!$B$11,Paramètres!$A$1:$I$88,5,0)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projet'!$B$11,Paramètres!$A$1:$I$88,3,0)*0.475*44/12</f>
        <v>#N/A</v>
      </c>
      <c r="BQ69" s="23" t="e">
        <f>EXP(-LN(2)/25)*BQ68+(1-EXP(-LN(2)/25))/(LN(2)/25)*Calculateur!BL69*Calculateur!BN69*VLOOKUP('Données projet'!$B$11,Paramètres!$A$1:$I$88,3,0)*0.475*44/12</f>
        <v>#N/A</v>
      </c>
      <c r="BR69" s="23" t="e">
        <f>EXP(-LN(2)/2)*BR68+(1-EXP(-LN(2)/2))/(LN(2)/2)*BL69*BO69*VLOOKUP('Données projet'!$B$11,Paramètres!$A$1:$I$88,3,0)*0.475*44/12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projet'!$B$12,Paramètres!$A$1:$I$88,3,0)*0.475*44/12</f>
        <v>#N/A</v>
      </c>
      <c r="CL69" s="23" t="e">
        <f>EXP(-LN(2)/25)*CL68+(1-EXP(-LN(2)/25))/(LN(2)/25)*Calculateur!CG69*Calculateur!CI69*VLOOKUP('Données projet'!$B$12,Paramètres!$A$1:$I$88,3,0)*0.475*44/12</f>
        <v>#N/A</v>
      </c>
      <c r="CM69" s="23" t="e">
        <f>EXP(-LN(2)/2)*CM68+(1-EXP(-LN(2)/2))/(LN(2)/2)*CG69*CJ69*VLOOKUP('Données projet'!$B$12,Paramètres!$A$1:$I$88,3,0)*0.475*44/12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9</v>
      </c>
      <c r="N70" s="14">
        <f>IF('Données projet'!$A$36&gt;35,N69+M70-V69,IF(A70&lt;'Données projet'!$A$36,$K$205^A70,IF(A70='Données projet'!$A$36,'Données projet'!$B$36,N69+M70-V69)))</f>
        <v>393</v>
      </c>
      <c r="O70" s="14">
        <f>N70*VLOOKUP('Données projet'!$B$9,Paramètres!$A$1:$I$88,3,0)*VLOOKUP('Données projet'!$B$9,Paramètres!$A$1:$I$88,5,0)</f>
        <v>183.92400000000001</v>
      </c>
      <c r="P70" s="14">
        <f t="shared" si="87"/>
        <v>46.194105104770117</v>
      </c>
      <c r="Q70" s="22">
        <f t="shared" si="54"/>
        <v>400.78903305747463</v>
      </c>
      <c r="R70" s="62">
        <f t="shared" si="55"/>
        <v>694.12236639080788</v>
      </c>
      <c r="S70" s="62">
        <f ca="1">AVERAGE(OFFSET($R$3,0,0,'Données projet'!$E$9+1,1))-AVERAGE(OFFSET($H$3,0,0,'Données projet'!$E$9+1,1))</f>
        <v>316.04959780858269</v>
      </c>
      <c r="T70" s="62">
        <f t="shared" si="88"/>
        <v>213.60182977243113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8.0935799493385829</v>
      </c>
      <c r="AA70" s="23">
        <f>EXP(-LN(2)/25)*AA69+(1-EXP(-LN(2)/25))/(LN(2)/25)*Calculateur!V70*Calculateur!X70*VLOOKUP('Données projet'!$B$9,Paramètres!$A$1:$I$88,3,0)*0.475*44/12</f>
        <v>10.577593013736564</v>
      </c>
      <c r="AB70" s="23">
        <f>EXP(-LN(2)/2)*AB69+(1-EXP(-LN(2)/2))/(LN(2)/2)*V70*Y70*VLOOKUP('Données projet'!$B$9,Paramètres!$A$1:$I$88,3,0)*0.475*44/12</f>
        <v>0.3831991899927451</v>
      </c>
      <c r="AC70" s="24">
        <f t="shared" si="57"/>
        <v>19.054372153067892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10</v>
      </c>
      <c r="AI70" s="14">
        <f>IF('Données projet'!$A$62&gt;35,AI69+AH70-AQ69,IF(A70&lt;'Données projet'!$A$62,$AF$205^A70,IF(A70='Données projet'!$A$62,'Données projet'!$B$62,AI69+AH70-AQ69)))</f>
        <v>738.99999999999966</v>
      </c>
      <c r="AJ70" s="14">
        <f>AI70*VLOOKUP('Données projet'!$B$10,Paramètres!$A$1:$I$88,3,0)*VLOOKUP('Données projet'!$B$10,Paramètres!$A$1:$I$88,5,0)</f>
        <v>413.10099999999983</v>
      </c>
      <c r="AK70" s="14">
        <f t="shared" si="89"/>
        <v>94.427689670462357</v>
      </c>
      <c r="AL70" s="22">
        <f t="shared" si="58"/>
        <v>883.94580117605494</v>
      </c>
      <c r="AM70" s="62">
        <f t="shared" si="59"/>
        <v>1177.2791345093883</v>
      </c>
      <c r="AN70" s="62">
        <f ca="1">AVERAGE(OFFSET($AM$3,0,0,'Données projet'!$E$10+1,1))-AVERAGE(OFFSET($H$3,0,0,'Données projet'!$E$10+1,1))</f>
        <v>583.31979399672844</v>
      </c>
      <c r="AO70" s="62">
        <f t="shared" si="90"/>
        <v>544.21514138474731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54.284374911587328</v>
      </c>
      <c r="AV70" s="23">
        <f>EXP(-LN(2)/25)*AV69+(1-EXP(-LN(2)/25))/(LN(2)/25)*Calculateur!AQ70*Calculateur!AS70*VLOOKUP('Données projet'!$B$10,Paramètres!$A$1:$I$88,3,0)*0.475*44/12</f>
        <v>41.806133659234028</v>
      </c>
      <c r="AW70" s="23">
        <f>EXP(-LN(2)/2)*AW69+(1-EXP(-LN(2)/2))/(LN(2)/2)*AQ70*AT70*VLOOKUP('Données projet'!$B$10,Paramètres!$A$1:$I$88,3,0)*0.475*44/12</f>
        <v>2.0604249189410506</v>
      </c>
      <c r="AX70" s="23">
        <f t="shared" si="60"/>
        <v>98.150933489762409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projet'!$B$11,Paramètres!$A$1:$I$88,3,0)*VLOOKUP('Données projet'!$B$11,Paramètres!$A$1:$I$88,5,0)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projet'!$B$11,Paramètres!$A$1:$I$88,3,0)*0.475*44/12</f>
        <v>#N/A</v>
      </c>
      <c r="BQ70" s="23" t="e">
        <f>EXP(-LN(2)/25)*BQ69+(1-EXP(-LN(2)/25))/(LN(2)/25)*Calculateur!BL70*Calculateur!BN70*VLOOKUP('Données projet'!$B$11,Paramètres!$A$1:$I$88,3,0)*0.475*44/12</f>
        <v>#N/A</v>
      </c>
      <c r="BR70" s="23" t="e">
        <f>EXP(-LN(2)/2)*BR69+(1-EXP(-LN(2)/2))/(LN(2)/2)*BL70*BO70*VLOOKUP('Données projet'!$B$11,Paramètres!$A$1:$I$88,3,0)*0.475*44/12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projet'!$B$12,Paramètres!$A$1:$I$88,3,0)*0.475*44/12</f>
        <v>#N/A</v>
      </c>
      <c r="CL70" s="23" t="e">
        <f>EXP(-LN(2)/25)*CL69+(1-EXP(-LN(2)/25))/(LN(2)/25)*Calculateur!CG70*Calculateur!CI70*VLOOKUP('Données projet'!$B$12,Paramètres!$A$1:$I$88,3,0)*0.475*44/12</f>
        <v>#N/A</v>
      </c>
      <c r="CM70" s="23" t="e">
        <f>EXP(-LN(2)/2)*CM69+(1-EXP(-LN(2)/2))/(LN(2)/2)*CG70*CJ70*VLOOKUP('Données projet'!$B$12,Paramètres!$A$1:$I$88,3,0)*0.475*44/12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9</v>
      </c>
      <c r="N71" s="14">
        <f>IF('Données projet'!$A$36&gt;35,N70+M71-V70,IF(A71&lt;'Données projet'!$A$36,$K$205^A71,IF(A71='Données projet'!$A$36,'Données projet'!$B$36,N70+M71-V70)))</f>
        <v>402</v>
      </c>
      <c r="O71" s="14">
        <f>N71*VLOOKUP('Données projet'!$B$9,Paramètres!$A$1:$I$88,3,0)*VLOOKUP('Données projet'!$B$9,Paramètres!$A$1:$I$88,5,0)</f>
        <v>188.136</v>
      </c>
      <c r="P71" s="14">
        <f t="shared" si="87"/>
        <v>47.127612753105289</v>
      </c>
      <c r="Q71" s="22">
        <f t="shared" si="54"/>
        <v>409.75079221165839</v>
      </c>
      <c r="R71" s="62">
        <f t="shared" si="55"/>
        <v>703.08412554499171</v>
      </c>
      <c r="S71" s="62">
        <f ca="1">AVERAGE(OFFSET($R$3,0,0,'Données projet'!$E$9+1,1))-AVERAGE(OFFSET($H$3,0,0,'Données projet'!$E$9+1,1))</f>
        <v>316.04959780858269</v>
      </c>
      <c r="T71" s="62">
        <f t="shared" si="88"/>
        <v>213.60182977243113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7.9348697831283737</v>
      </c>
      <c r="AA71" s="23">
        <f>EXP(-LN(2)/25)*AA70+(1-EXP(-LN(2)/25))/(LN(2)/25)*Calculateur!V71*Calculateur!X71*VLOOKUP('Données projet'!$B$9,Paramètres!$A$1:$I$88,3,0)*0.475*44/12</f>
        <v>10.288348176524497</v>
      </c>
      <c r="AB71" s="23">
        <f>EXP(-LN(2)/2)*AB70+(1-EXP(-LN(2)/2))/(LN(2)/2)*V71*Y71*VLOOKUP('Données projet'!$B$9,Paramètres!$A$1:$I$88,3,0)*0.475*44/12</f>
        <v>0.27096274578906226</v>
      </c>
      <c r="AC71" s="24">
        <f t="shared" si="57"/>
        <v>18.494180705441934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10</v>
      </c>
      <c r="AI71" s="14">
        <f>IF('Données projet'!$A$62&gt;35,AI70+AH71-AQ70,IF(A71&lt;'Données projet'!$A$62,$AF$205^A71,IF(A71='Données projet'!$A$62,'Données projet'!$B$62,AI70+AH71-AQ70)))</f>
        <v>748.99999999999966</v>
      </c>
      <c r="AJ71" s="14">
        <f>AI71*VLOOKUP('Données projet'!$B$10,Paramètres!$A$1:$I$88,3,0)*VLOOKUP('Données projet'!$B$10,Paramètres!$A$1:$I$88,5,0)</f>
        <v>418.6909999999998</v>
      </c>
      <c r="AK71" s="14">
        <f t="shared" si="89"/>
        <v>95.555848328260851</v>
      </c>
      <c r="AL71" s="22">
        <f t="shared" si="58"/>
        <v>895.64659417172061</v>
      </c>
      <c r="AM71" s="62">
        <f t="shared" si="59"/>
        <v>1188.9799275050539</v>
      </c>
      <c r="AN71" s="62">
        <f ca="1">AVERAGE(OFFSET($AM$3,0,0,'Données projet'!$E$10+1,1))-AVERAGE(OFFSET($H$3,0,0,'Données projet'!$E$10+1,1))</f>
        <v>583.31979399672844</v>
      </c>
      <c r="AO71" s="62">
        <f t="shared" si="90"/>
        <v>544.21514138474731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53.219891429770435</v>
      </c>
      <c r="AV71" s="23">
        <f>EXP(-LN(2)/25)*AV70+(1-EXP(-LN(2)/25))/(LN(2)/25)*Calculateur!AQ71*Calculateur!AS71*VLOOKUP('Données projet'!$B$10,Paramètres!$A$1:$I$88,3,0)*0.475*44/12</f>
        <v>40.662942735833255</v>
      </c>
      <c r="AW71" s="23">
        <f>EXP(-LN(2)/2)*AW70+(1-EXP(-LN(2)/2))/(LN(2)/2)*AQ71*AT71*VLOOKUP('Données projet'!$B$10,Paramètres!$A$1:$I$88,3,0)*0.475*44/12</f>
        <v>1.4569404323089594</v>
      </c>
      <c r="AX71" s="23">
        <f t="shared" si="60"/>
        <v>95.339774597912651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projet'!$B$11,Paramètres!$A$1:$I$88,3,0)*VLOOKUP('Données projet'!$B$11,Paramètres!$A$1:$I$88,5,0)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projet'!$B$11,Paramètres!$A$1:$I$88,3,0)*0.475*44/12</f>
        <v>#N/A</v>
      </c>
      <c r="BQ71" s="23" t="e">
        <f>EXP(-LN(2)/25)*BQ70+(1-EXP(-LN(2)/25))/(LN(2)/25)*Calculateur!BL71*Calculateur!BN71*VLOOKUP('Données projet'!$B$11,Paramètres!$A$1:$I$88,3,0)*0.475*44/12</f>
        <v>#N/A</v>
      </c>
      <c r="BR71" s="23" t="e">
        <f>EXP(-LN(2)/2)*BR70+(1-EXP(-LN(2)/2))/(LN(2)/2)*BL71*BO71*VLOOKUP('Données projet'!$B$11,Paramètres!$A$1:$I$88,3,0)*0.475*44/12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projet'!$B$12,Paramètres!$A$1:$I$88,3,0)*0.475*44/12</f>
        <v>#N/A</v>
      </c>
      <c r="CL71" s="23" t="e">
        <f>EXP(-LN(2)/25)*CL70+(1-EXP(-LN(2)/25))/(LN(2)/25)*Calculateur!CG71*Calculateur!CI71*VLOOKUP('Données projet'!$B$12,Paramètres!$A$1:$I$88,3,0)*0.475*44/12</f>
        <v>#N/A</v>
      </c>
      <c r="CM71" s="23" t="e">
        <f>EXP(-LN(2)/2)*CM70+(1-EXP(-LN(2)/2))/(LN(2)/2)*CG71*CJ71*VLOOKUP('Données projet'!$B$12,Paramètres!$A$1:$I$88,3,0)*0.475*44/12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9</v>
      </c>
      <c r="N72" s="14">
        <f>IF('Données projet'!$A$36&gt;35,N71+M72-V71,IF(A72&lt;'Données projet'!$A$36,$K$205^A72,IF(A72='Données projet'!$A$36,'Données projet'!$B$36,N71+M72-V71)))</f>
        <v>411</v>
      </c>
      <c r="O72" s="14">
        <f>N72*VLOOKUP('Données projet'!$B$9,Paramètres!$A$1:$I$88,3,0)*VLOOKUP('Données projet'!$B$9,Paramètres!$A$1:$I$88,5,0)</f>
        <v>192.34800000000001</v>
      </c>
      <c r="P72" s="14">
        <f t="shared" si="87"/>
        <v>48.058690660851909</v>
      </c>
      <c r="Q72" s="22">
        <f t="shared" si="54"/>
        <v>418.70831956765045</v>
      </c>
      <c r="R72" s="62">
        <f t="shared" si="55"/>
        <v>712.04165290098376</v>
      </c>
      <c r="S72" s="62">
        <f ca="1">AVERAGE(OFFSET($R$3,0,0,'Données projet'!$E$9+1,1))-AVERAGE(OFFSET($H$3,0,0,'Données projet'!$E$9+1,1))</f>
        <v>316.04959780858269</v>
      </c>
      <c r="T72" s="62">
        <f t="shared" si="88"/>
        <v>213.60182977243113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7.779271826473904</v>
      </c>
      <c r="AA72" s="23">
        <f>EXP(-LN(2)/25)*AA71+(1-EXP(-LN(2)/25))/(LN(2)/25)*Calculateur!V72*Calculateur!X72*VLOOKUP('Données projet'!$B$9,Paramètres!$A$1:$I$88,3,0)*0.475*44/12</f>
        <v>10.007012754596719</v>
      </c>
      <c r="AB72" s="23">
        <f>EXP(-LN(2)/2)*AB71+(1-EXP(-LN(2)/2))/(LN(2)/2)*V72*Y72*VLOOKUP('Données projet'!$B$9,Paramètres!$A$1:$I$88,3,0)*0.475*44/12</f>
        <v>0.19159959499637255</v>
      </c>
      <c r="AC72" s="24">
        <f t="shared" si="57"/>
        <v>17.977884176066997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10</v>
      </c>
      <c r="AI72" s="14">
        <f>IF('Données projet'!$A$62&gt;35,AI71+AH72-AQ71,IF(A72&lt;'Données projet'!$A$62,$AF$205^A72,IF(A72='Données projet'!$A$62,'Données projet'!$B$62,AI71+AH72-AQ71)))</f>
        <v>758.99999999999966</v>
      </c>
      <c r="AJ72" s="14">
        <f>AI72*VLOOKUP('Données projet'!$B$10,Paramètres!$A$1:$I$88,3,0)*VLOOKUP('Données projet'!$B$10,Paramètres!$A$1:$I$88,5,0)</f>
        <v>424.28099999999978</v>
      </c>
      <c r="AK72" s="14">
        <f t="shared" si="89"/>
        <v>96.682255052757768</v>
      </c>
      <c r="AL72" s="22">
        <f t="shared" si="58"/>
        <v>907.34433588355262</v>
      </c>
      <c r="AM72" s="62">
        <f t="shared" si="59"/>
        <v>1200.677669216886</v>
      </c>
      <c r="AN72" s="62">
        <f ca="1">AVERAGE(OFFSET($AM$3,0,0,'Données projet'!$E$10+1,1))-AVERAGE(OFFSET($H$3,0,0,'Données projet'!$E$10+1,1))</f>
        <v>583.31979399672844</v>
      </c>
      <c r="AO72" s="62">
        <f t="shared" si="90"/>
        <v>544.21514138474731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52.176281819761158</v>
      </c>
      <c r="AV72" s="23">
        <f>EXP(-LN(2)/25)*AV71+(1-EXP(-LN(2)/25))/(LN(2)/25)*Calculateur!AQ72*Calculateur!AS72*VLOOKUP('Données projet'!$B$10,Paramètres!$A$1:$I$88,3,0)*0.475*44/12</f>
        <v>39.551012428350674</v>
      </c>
      <c r="AW72" s="23">
        <f>EXP(-LN(2)/2)*AW71+(1-EXP(-LN(2)/2))/(LN(2)/2)*AQ72*AT72*VLOOKUP('Données projet'!$B$10,Paramètres!$A$1:$I$88,3,0)*0.475*44/12</f>
        <v>1.0302124594705253</v>
      </c>
      <c r="AX72" s="23">
        <f t="shared" si="60"/>
        <v>92.757506707582351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projet'!$B$11,Paramètres!$A$1:$I$88,3,0)*VLOOKUP('Données projet'!$B$11,Paramètres!$A$1:$I$88,5,0)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projet'!$B$11,Paramètres!$A$1:$I$88,3,0)*0.475*44/12</f>
        <v>#N/A</v>
      </c>
      <c r="BQ72" s="23" t="e">
        <f>EXP(-LN(2)/25)*BQ71+(1-EXP(-LN(2)/25))/(LN(2)/25)*Calculateur!BL72*Calculateur!BN72*VLOOKUP('Données projet'!$B$11,Paramètres!$A$1:$I$88,3,0)*0.475*44/12</f>
        <v>#N/A</v>
      </c>
      <c r="BR72" s="23" t="e">
        <f>EXP(-LN(2)/2)*BR71+(1-EXP(-LN(2)/2))/(LN(2)/2)*BL72*BO72*VLOOKUP('Données projet'!$B$11,Paramètres!$A$1:$I$88,3,0)*0.475*44/12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projet'!$B$12,Paramètres!$A$1:$I$88,3,0)*0.475*44/12</f>
        <v>#N/A</v>
      </c>
      <c r="CL72" s="23" t="e">
        <f>EXP(-LN(2)/25)*CL71+(1-EXP(-LN(2)/25))/(LN(2)/25)*Calculateur!CG72*Calculateur!CI72*VLOOKUP('Données projet'!$B$12,Paramètres!$A$1:$I$88,3,0)*0.475*44/12</f>
        <v>#N/A</v>
      </c>
      <c r="CM72" s="23" t="e">
        <f>EXP(-LN(2)/2)*CM71+(1-EXP(-LN(2)/2))/(LN(2)/2)*CG72*CJ72*VLOOKUP('Données projet'!$B$12,Paramètres!$A$1:$I$88,3,0)*0.475*44/12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420</v>
      </c>
      <c r="L73" s="13">
        <f>VLOOKUP(A73,'Données projet'!$A$35:$I$55,9,0)</f>
        <v>9</v>
      </c>
      <c r="M73" s="13">
        <f t="array" ref="M73">INDEX(L:L,MIN(IF(ISNUMBER(L73:L269),ROW(L73:L269),"")))</f>
        <v>9</v>
      </c>
      <c r="N73" s="14">
        <f>IF('Données projet'!$A$36&gt;35,N72+M73-V72,IF(A73&lt;'Données projet'!$A$36,$K$205^A73,IF(A73='Données projet'!$A$36,'Données projet'!$B$36,N72+M73-V72)))</f>
        <v>420</v>
      </c>
      <c r="O73" s="14">
        <f>N73*VLOOKUP('Données projet'!$B$9,Paramètres!$A$1:$I$88,3,0)*VLOOKUP('Données projet'!$B$9,Paramètres!$A$1:$I$88,5,0)</f>
        <v>196.56</v>
      </c>
      <c r="P73" s="14">
        <f t="shared" si="87"/>
        <v>48.987398161128091</v>
      </c>
      <c r="Q73" s="22">
        <f t="shared" si="54"/>
        <v>427.66171846396475</v>
      </c>
      <c r="R73" s="62">
        <f t="shared" si="55"/>
        <v>720.99505179729806</v>
      </c>
      <c r="S73" s="62">
        <f ca="1">AVERAGE(OFFSET($R$3,0,0,'Données projet'!$E$9+1,1))-AVERAGE(OFFSET($H$3,0,0,'Données projet'!$E$9+1,1))</f>
        <v>316.04959780858269</v>
      </c>
      <c r="T73" s="62">
        <f t="shared" si="88"/>
        <v>213.60182977243113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30</v>
      </c>
      <c r="W73" s="17">
        <f>IF(ISNA(VLOOKUP(A73,'Données projet'!$A$35:$I$55,5,0)),0%,VLOOKUP(A73,'Données projet'!$A$35:$I$55,5,0)*VLOOKUP('Données projet'!$B$9,Paramètres!$A$1:$I$88,7,0))</f>
        <v>0.33</v>
      </c>
      <c r="X73" s="17">
        <f>IF(ISNA(VLOOKUP(A73,'Données projet'!$A$35:$I$55,6,0)),0%,VLOOKUP(A73,'Données projet'!$A$35:$I$55,6,0)*VLOOKUP('Données projet'!$B$9,Paramètres!$A$1:$I$88,7,0))</f>
        <v>0.12320000000000003</v>
      </c>
      <c r="Y73" s="17">
        <f>IF(ISNA(VLOOKUP(A73,'Données projet'!$A$35:$I$55,7,0)),0%,VLOOKUP(A73,'Données projet'!$A$35:$I$55,7,0))</f>
        <v>0.17600000000000002</v>
      </c>
      <c r="Z73" s="23">
        <f>EXP(-LN(2)/35)*Z72+(1-EXP(-LN(2)/35))/(LN(2)/35)*V73*W73*VLOOKUP('Données projet'!$B$9,Paramètres!$A$1:$I$88,3,0)*0.475*44/12</f>
        <v>13.772963485786523</v>
      </c>
      <c r="AA73" s="23">
        <f>EXP(-LN(2)/25)*AA72+(1-EXP(-LN(2)/25))/(LN(2)/25)*Calculateur!V73*Calculateur!X73*VLOOKUP('Données projet'!$B$9,Paramètres!$A$1:$I$88,3,0)*0.475*44/12</f>
        <v>12.018931449443844</v>
      </c>
      <c r="AB73" s="23">
        <f>EXP(-LN(2)/2)*AB72+(1-EXP(-LN(2)/2))/(LN(2)/2)*V73*Y73*VLOOKUP('Données projet'!$B$9,Paramètres!$A$1:$I$88,3,0)*0.475*44/12</f>
        <v>2.9332726693743298</v>
      </c>
      <c r="AC73" s="24">
        <f t="shared" si="57"/>
        <v>28.725167604604696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769</v>
      </c>
      <c r="AG73" s="13">
        <f>VLOOKUP(A73,'Données projet'!$A$61:$I$81,9,0)</f>
        <v>10</v>
      </c>
      <c r="AH73" s="13">
        <f t="array" ref="AH73">INDEX(AG:AG,MIN(IF(ISNUMBER(AG73:AG269),ROW(AG73:AG269),"")))</f>
        <v>10</v>
      </c>
      <c r="AI73" s="14">
        <f>IF('Données projet'!$A$62&gt;35,AI72+AH73-AQ72,IF(A73&lt;'Données projet'!$A$62,$AF$205^A73,IF(A73='Données projet'!$A$62,'Données projet'!$B$62,AI72+AH73-AQ72)))</f>
        <v>768.99999999999966</v>
      </c>
      <c r="AJ73" s="14">
        <f>AI73*VLOOKUP('Données projet'!$B$10,Paramètres!$A$1:$I$88,3,0)*VLOOKUP('Données projet'!$B$10,Paramètres!$A$1:$I$88,5,0)</f>
        <v>429.87099999999981</v>
      </c>
      <c r="AK73" s="14">
        <f t="shared" si="89"/>
        <v>97.806935594587088</v>
      </c>
      <c r="AL73" s="22">
        <f t="shared" si="58"/>
        <v>919.03907116057201</v>
      </c>
      <c r="AM73" s="62">
        <f t="shared" si="59"/>
        <v>1212.3724044939054</v>
      </c>
      <c r="AN73" s="62">
        <f ca="1">AVERAGE(OFFSET($AM$3,0,0,'Données projet'!$E$10+1,1))-AVERAGE(OFFSET($H$3,0,0,'Données projet'!$E$10+1,1))</f>
        <v>583.31979399672844</v>
      </c>
      <c r="AO73" s="62">
        <f t="shared" si="90"/>
        <v>544.21514138474731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29</v>
      </c>
      <c r="AR73" s="17">
        <f>IF(ISNA(VLOOKUP(A73,'Données projet'!$A$61:$I$81,5,0)),0%,VLOOKUP(A73,'Données projet'!$A$61:$I$81,5,0)*VLOOKUP('Données projet'!$B$10,Paramètres!$A$1:$I$88,7,0))</f>
        <v>0.38500000000000001</v>
      </c>
      <c r="AS73" s="17">
        <f>IF(ISNA(VLOOKUP(A73,'Données projet'!$A$61:$I$81,6,0)),0%,VLOOKUP(A73,'Données projet'!$A$61:$I$81,6,0)*VLOOKUP('Données projet'!$B$10,Paramètres!$A$1:$I$88,7,0))</f>
        <v>9.240000000000001E-2</v>
      </c>
      <c r="AT73" s="17">
        <f>IF(ISNA(VLOOKUP(A73,'Données projet'!$A$61:$I$81,7,0)),0%,VLOOKUP(A73,'Données projet'!$A$61:$I$81,7,0))</f>
        <v>0.13200000000000001</v>
      </c>
      <c r="AU73" s="23">
        <f>EXP(-LN(2)/35)*AU72+(1-EXP(-LN(2)/35))/(LN(2)/35)*AQ73*AR73*VLOOKUP('Données projet'!$B$10,Paramètres!$A$1:$I$88,3,0)*0.475*44/12</f>
        <v>59.432537266710348</v>
      </c>
      <c r="AV73" s="23">
        <f>EXP(-LN(2)/25)*AV72+(1-EXP(-LN(2)/25))/(LN(2)/25)*Calculateur!AQ73*Calculateur!AS73*VLOOKUP('Données projet'!$B$10,Paramètres!$A$1:$I$88,3,0)*0.475*44/12</f>
        <v>40.4487202386902</v>
      </c>
      <c r="AW73" s="23">
        <f>EXP(-LN(2)/2)*AW72+(1-EXP(-LN(2)/2))/(LN(2)/2)*AQ73*AT73*VLOOKUP('Données projet'!$B$10,Paramètres!$A$1:$I$88,3,0)*0.475*44/12</f>
        <v>3.1512797624810833</v>
      </c>
      <c r="AX73" s="23">
        <f t="shared" si="60"/>
        <v>103.03253726788164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projet'!$B$11,Paramètres!$A$1:$I$88,3,0)*VLOOKUP('Données projet'!$B$11,Paramètres!$A$1:$I$88,5,0)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projet'!$B$11,Paramètres!$A$1:$I$88,3,0)*0.475*44/12</f>
        <v>#N/A</v>
      </c>
      <c r="BQ73" s="23" t="e">
        <f>EXP(-LN(2)/25)*BQ72+(1-EXP(-LN(2)/25))/(LN(2)/25)*Calculateur!BL73*Calculateur!BN73*VLOOKUP('Données projet'!$B$11,Paramètres!$A$1:$I$88,3,0)*0.475*44/12</f>
        <v>#N/A</v>
      </c>
      <c r="BR73" s="23" t="e">
        <f>EXP(-LN(2)/2)*BR72+(1-EXP(-LN(2)/2))/(LN(2)/2)*BL73*BO73*VLOOKUP('Données projet'!$B$11,Paramètres!$A$1:$I$88,3,0)*0.475*44/12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projet'!$B$12,Paramètres!$A$1:$I$88,3,0)*0.475*44/12</f>
        <v>#N/A</v>
      </c>
      <c r="CL73" s="23" t="e">
        <f>EXP(-LN(2)/25)*CL72+(1-EXP(-LN(2)/25))/(LN(2)/25)*Calculateur!CG73*Calculateur!CI73*VLOOKUP('Données projet'!$B$12,Paramètres!$A$1:$I$88,3,0)*0.475*44/12</f>
        <v>#N/A</v>
      </c>
      <c r="CM73" s="23" t="e">
        <f>EXP(-LN(2)/2)*CM72+(1-EXP(-LN(2)/2))/(LN(2)/2)*CG73*CJ73*VLOOKUP('Données projet'!$B$12,Paramètres!$A$1:$I$88,3,0)*0.475*44/12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8</v>
      </c>
      <c r="N74" s="14">
        <f>IF('Données projet'!$A$36&gt;35,N73+M74-V73,IF(A74&lt;'Données projet'!$A$36,$K$205^A74,IF(A74='Données projet'!$A$36,'Données projet'!$B$36,N73+M74-V73)))</f>
        <v>398</v>
      </c>
      <c r="O74" s="14">
        <f>N74*VLOOKUP('Données projet'!$B$9,Paramètres!$A$1:$I$88,3,0)*VLOOKUP('Données projet'!$B$9,Paramètres!$A$1:$I$88,5,0)</f>
        <v>186.26400000000001</v>
      </c>
      <c r="P74" s="14">
        <f t="shared" si="87"/>
        <v>46.713024062159668</v>
      </c>
      <c r="Q74" s="22">
        <f t="shared" si="54"/>
        <v>405.7683169082614</v>
      </c>
      <c r="R74" s="62">
        <f t="shared" si="55"/>
        <v>699.10165024159471</v>
      </c>
      <c r="S74" s="62">
        <f ca="1">AVERAGE(OFFSET($R$3,0,0,'Données projet'!$E$9+1,1))-AVERAGE(OFFSET($H$3,0,0,'Données projet'!$E$9+1,1))</f>
        <v>316.04959780858269</v>
      </c>
      <c r="T74" s="62">
        <f t="shared" si="88"/>
        <v>213.60182977243113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13.502884072508477</v>
      </c>
      <c r="AA74" s="23">
        <f>EXP(-LN(2)/25)*AA73+(1-EXP(-LN(2)/25))/(LN(2)/25)*Calculateur!V74*Calculateur!X74*VLOOKUP('Données projet'!$B$9,Paramètres!$A$1:$I$88,3,0)*0.475*44/12</f>
        <v>11.690273136910667</v>
      </c>
      <c r="AB74" s="23">
        <f>EXP(-LN(2)/2)*AB73+(1-EXP(-LN(2)/2))/(LN(2)/2)*V74*Y74*VLOOKUP('Données projet'!$B$9,Paramètres!$A$1:$I$88,3,0)*0.475*44/12</f>
        <v>2.0741369955837548</v>
      </c>
      <c r="AC74" s="24">
        <f t="shared" si="57"/>
        <v>27.267294205002898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5.8</v>
      </c>
      <c r="AI74" s="14">
        <f>IF('Données projet'!$A$62&gt;35,AI73+AH74-AQ73,IF(A74&lt;'Données projet'!$A$62,$AF$205^A74,IF(A74='Données projet'!$A$62,'Données projet'!$B$62,AI73+AH74-AQ73)))</f>
        <v>745.79999999999961</v>
      </c>
      <c r="AJ74" s="14">
        <f>AI74*VLOOKUP('Données projet'!$B$10,Paramètres!$A$1:$I$88,3,0)*VLOOKUP('Données projet'!$B$10,Paramètres!$A$1:$I$88,5,0)</f>
        <v>416.90219999999982</v>
      </c>
      <c r="AK74" s="14">
        <f t="shared" si="89"/>
        <v>95.195029421049711</v>
      </c>
      <c r="AL74" s="22">
        <f t="shared" si="58"/>
        <v>891.90267457499442</v>
      </c>
      <c r="AM74" s="62">
        <f t="shared" si="59"/>
        <v>1185.2360079083278</v>
      </c>
      <c r="AN74" s="62">
        <f ca="1">AVERAGE(OFFSET($AM$3,0,0,'Données projet'!$E$10+1,1))-AVERAGE(OFFSET($H$3,0,0,'Données projet'!$E$10+1,1))</f>
        <v>583.31979399672844</v>
      </c>
      <c r="AO74" s="62">
        <f t="shared" si="90"/>
        <v>544.21514138474731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58.267101461178477</v>
      </c>
      <c r="AV74" s="23">
        <f>EXP(-LN(2)/25)*AV73+(1-EXP(-LN(2)/25))/(LN(2)/25)*Calculateur!AQ74*Calculateur!AS74*VLOOKUP('Données projet'!$B$10,Paramètres!$A$1:$I$88,3,0)*0.475*44/12</f>
        <v>39.342647856657464</v>
      </c>
      <c r="AW74" s="23">
        <f>EXP(-LN(2)/2)*AW73+(1-EXP(-LN(2)/2))/(LN(2)/2)*AQ74*AT74*VLOOKUP('Données projet'!$B$10,Paramètres!$A$1:$I$88,3,0)*0.475*44/12</f>
        <v>2.2282912894663069</v>
      </c>
      <c r="AX74" s="23">
        <f t="shared" si="60"/>
        <v>99.838040607302247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projet'!$B$11,Paramètres!$A$1:$I$88,3,0)*VLOOKUP('Données projet'!$B$11,Paramètres!$A$1:$I$88,5,0)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projet'!$B$11,Paramètres!$A$1:$I$88,3,0)*0.475*44/12</f>
        <v>#N/A</v>
      </c>
      <c r="BQ74" s="23" t="e">
        <f>EXP(-LN(2)/25)*BQ73+(1-EXP(-LN(2)/25))/(LN(2)/25)*Calculateur!BL74*Calculateur!BN74*VLOOKUP('Données projet'!$B$11,Paramètres!$A$1:$I$88,3,0)*0.475*44/12</f>
        <v>#N/A</v>
      </c>
      <c r="BR74" s="23" t="e">
        <f>EXP(-LN(2)/2)*BR73+(1-EXP(-LN(2)/2))/(LN(2)/2)*BL74*BO74*VLOOKUP('Données projet'!$B$11,Paramètres!$A$1:$I$88,3,0)*0.475*44/12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projet'!$B$12,Paramètres!$A$1:$I$88,3,0)*0.475*44/12</f>
        <v>#N/A</v>
      </c>
      <c r="CL74" s="23" t="e">
        <f>EXP(-LN(2)/25)*CL73+(1-EXP(-LN(2)/25))/(LN(2)/25)*Calculateur!CG74*Calculateur!CI74*VLOOKUP('Données projet'!$B$12,Paramètres!$A$1:$I$88,3,0)*0.475*44/12</f>
        <v>#N/A</v>
      </c>
      <c r="CM74" s="23" t="e">
        <f>EXP(-LN(2)/2)*CM73+(1-EXP(-LN(2)/2))/(LN(2)/2)*CG74*CJ74*VLOOKUP('Données projet'!$B$12,Paramètres!$A$1:$I$88,3,0)*0.475*44/12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8</v>
      </c>
      <c r="N75" s="14">
        <f>IF('Données projet'!$A$36&gt;35,N74+M75-V74,IF(A75&lt;'Données projet'!$A$36,$K$205^A75,IF(A75='Données projet'!$A$36,'Données projet'!$B$36,N74+M75-V74)))</f>
        <v>406</v>
      </c>
      <c r="O75" s="14">
        <f>N75*VLOOKUP('Données projet'!$B$9,Paramètres!$A$1:$I$88,3,0)*VLOOKUP('Données projet'!$B$9,Paramètres!$A$1:$I$88,5,0)</f>
        <v>190.00800000000001</v>
      </c>
      <c r="P75" s="14">
        <f t="shared" si="87"/>
        <v>47.541721533308163</v>
      </c>
      <c r="Q75" s="22">
        <f t="shared" si="54"/>
        <v>413.73243167051174</v>
      </c>
      <c r="R75" s="62">
        <f t="shared" si="55"/>
        <v>707.06576500384506</v>
      </c>
      <c r="S75" s="62">
        <f ca="1">AVERAGE(OFFSET($R$3,0,0,'Données projet'!$E$9+1,1))-AVERAGE(OFFSET($H$3,0,0,'Données projet'!$E$9+1,1))</f>
        <v>316.04959780858269</v>
      </c>
      <c r="T75" s="62">
        <f t="shared" si="88"/>
        <v>213.60182977243113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13.238100751792638</v>
      </c>
      <c r="AA75" s="23">
        <f>EXP(-LN(2)/25)*AA74+(1-EXP(-LN(2)/25))/(LN(2)/25)*Calculateur!V75*Calculateur!X75*VLOOKUP('Données projet'!$B$9,Paramètres!$A$1:$I$88,3,0)*0.475*44/12</f>
        <v>11.370602003217099</v>
      </c>
      <c r="AB75" s="23">
        <f>EXP(-LN(2)/2)*AB74+(1-EXP(-LN(2)/2))/(LN(2)/2)*V75*Y75*VLOOKUP('Données projet'!$B$9,Paramètres!$A$1:$I$88,3,0)*0.475*44/12</f>
        <v>1.4666363346871654</v>
      </c>
      <c r="AC75" s="24">
        <f t="shared" si="57"/>
        <v>26.075339089696904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5.8</v>
      </c>
      <c r="AI75" s="14">
        <f>IF('Données projet'!$A$62&gt;35,AI74+AH75-AQ74,IF(A75&lt;'Données projet'!$A$62,$AF$205^A75,IF(A75='Données projet'!$A$62,'Données projet'!$B$62,AI74+AH75-AQ74)))</f>
        <v>751.59999999999957</v>
      </c>
      <c r="AJ75" s="14">
        <f>AI75*VLOOKUP('Données projet'!$B$10,Paramètres!$A$1:$I$88,3,0)*VLOOKUP('Données projet'!$B$10,Paramètres!$A$1:$I$88,5,0)</f>
        <v>420.14439999999979</v>
      </c>
      <c r="AK75" s="14">
        <f t="shared" si="89"/>
        <v>95.848881559455592</v>
      </c>
      <c r="AL75" s="22">
        <f t="shared" si="58"/>
        <v>898.68829871605124</v>
      </c>
      <c r="AM75" s="62">
        <f t="shared" si="59"/>
        <v>1192.0216320493846</v>
      </c>
      <c r="AN75" s="62">
        <f ca="1">AVERAGE(OFFSET($AM$3,0,0,'Données projet'!$E$10+1,1))-AVERAGE(OFFSET($H$3,0,0,'Données projet'!$E$10+1,1))</f>
        <v>583.31979399672844</v>
      </c>
      <c r="AO75" s="62">
        <f t="shared" si="90"/>
        <v>544.21514138474731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57.124519140947434</v>
      </c>
      <c r="AV75" s="23">
        <f>EXP(-LN(2)/25)*AV74+(1-EXP(-LN(2)/25))/(LN(2)/25)*Calculateur!AQ75*Calculateur!AS75*VLOOKUP('Données projet'!$B$10,Paramètres!$A$1:$I$88,3,0)*0.475*44/12</f>
        <v>38.266821082077236</v>
      </c>
      <c r="AW75" s="23">
        <f>EXP(-LN(2)/2)*AW74+(1-EXP(-LN(2)/2))/(LN(2)/2)*AQ75*AT75*VLOOKUP('Données projet'!$B$10,Paramètres!$A$1:$I$88,3,0)*0.475*44/12</f>
        <v>1.5756398812405419</v>
      </c>
      <c r="AX75" s="23">
        <f t="shared" si="60"/>
        <v>96.966980104265218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projet'!$B$11,Paramètres!$A$1:$I$88,3,0)*VLOOKUP('Données projet'!$B$11,Paramètres!$A$1:$I$88,5,0)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projet'!$B$11,Paramètres!$A$1:$I$88,3,0)*0.475*44/12</f>
        <v>#N/A</v>
      </c>
      <c r="BQ75" s="23" t="e">
        <f>EXP(-LN(2)/25)*BQ74+(1-EXP(-LN(2)/25))/(LN(2)/25)*Calculateur!BL75*Calculateur!BN75*VLOOKUP('Données projet'!$B$11,Paramètres!$A$1:$I$88,3,0)*0.475*44/12</f>
        <v>#N/A</v>
      </c>
      <c r="BR75" s="23" t="e">
        <f>EXP(-LN(2)/2)*BR74+(1-EXP(-LN(2)/2))/(LN(2)/2)*BL75*BO75*VLOOKUP('Données projet'!$B$11,Paramètres!$A$1:$I$88,3,0)*0.475*44/12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projet'!$B$12,Paramètres!$A$1:$I$88,3,0)*0.475*44/12</f>
        <v>#N/A</v>
      </c>
      <c r="CL75" s="23" t="e">
        <f>EXP(-LN(2)/25)*CL74+(1-EXP(-LN(2)/25))/(LN(2)/25)*Calculateur!CG75*Calculateur!CI75*VLOOKUP('Données projet'!$B$12,Paramètres!$A$1:$I$88,3,0)*0.475*44/12</f>
        <v>#N/A</v>
      </c>
      <c r="CM75" s="23" t="e">
        <f>EXP(-LN(2)/2)*CM74+(1-EXP(-LN(2)/2))/(LN(2)/2)*CG75*CJ75*VLOOKUP('Données projet'!$B$12,Paramètres!$A$1:$I$88,3,0)*0.475*44/12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8</v>
      </c>
      <c r="N76" s="14">
        <f>IF('Données projet'!$A$36&gt;35,N75+M76-V75,IF(A76&lt;'Données projet'!$A$36,$K$205^A76,IF(A76='Données projet'!$A$36,'Données projet'!$B$36,N75+M76-V75)))</f>
        <v>414</v>
      </c>
      <c r="O76" s="14">
        <f>N76*VLOOKUP('Données projet'!$B$9,Paramètres!$A$1:$I$88,3,0)*VLOOKUP('Données projet'!$B$9,Paramètres!$A$1:$I$88,5,0)</f>
        <v>193.75200000000001</v>
      </c>
      <c r="P76" s="14">
        <f t="shared" si="87"/>
        <v>48.368520355376113</v>
      </c>
      <c r="Q76" s="22">
        <f t="shared" si="54"/>
        <v>421.69323961894673</v>
      </c>
      <c r="R76" s="62">
        <f t="shared" si="55"/>
        <v>715.02657295228005</v>
      </c>
      <c r="S76" s="62">
        <f ca="1">AVERAGE(OFFSET($R$3,0,0,'Données projet'!$E$9+1,1))-AVERAGE(OFFSET($H$3,0,0,'Données projet'!$E$9+1,1))</f>
        <v>316.04959780858269</v>
      </c>
      <c r="T76" s="62">
        <f t="shared" si="88"/>
        <v>213.60182977243113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12.978509670494159</v>
      </c>
      <c r="AA76" s="23">
        <f>EXP(-LN(2)/25)*AA75+(1-EXP(-LN(2)/25))/(LN(2)/25)*Calculateur!V76*Calculateur!X76*VLOOKUP('Données projet'!$B$9,Paramètres!$A$1:$I$88,3,0)*0.475*44/12</f>
        <v>11.059672293485157</v>
      </c>
      <c r="AB76" s="23">
        <f>EXP(-LN(2)/2)*AB75+(1-EXP(-LN(2)/2))/(LN(2)/2)*V76*Y76*VLOOKUP('Données projet'!$B$9,Paramètres!$A$1:$I$88,3,0)*0.475*44/12</f>
        <v>1.0370684977918776</v>
      </c>
      <c r="AC76" s="24">
        <f t="shared" si="57"/>
        <v>25.075250461771194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5.8</v>
      </c>
      <c r="AI76" s="14">
        <f>IF('Données projet'!$A$62&gt;35,AI75+AH76-AQ75,IF(A76&lt;'Données projet'!$A$62,$AF$205^A76,IF(A76='Données projet'!$A$62,'Données projet'!$B$62,AI75+AH76-AQ75)))</f>
        <v>757.39999999999952</v>
      </c>
      <c r="AJ76" s="14">
        <f>AI76*VLOOKUP('Données projet'!$B$10,Paramètres!$A$1:$I$88,3,0)*VLOOKUP('Données projet'!$B$10,Paramètres!$A$1:$I$88,5,0)</f>
        <v>423.38659999999976</v>
      </c>
      <c r="AK76" s="14">
        <f t="shared" si="89"/>
        <v>96.50214663680255</v>
      </c>
      <c r="AL76" s="22">
        <f t="shared" si="58"/>
        <v>905.4729003924308</v>
      </c>
      <c r="AM76" s="62">
        <f t="shared" si="59"/>
        <v>1198.8062337257641</v>
      </c>
      <c r="AN76" s="62">
        <f ca="1">AVERAGE(OFFSET($AM$3,0,0,'Données projet'!$E$10+1,1))-AVERAGE(OFFSET($H$3,0,0,'Données projet'!$E$10+1,1))</f>
        <v>583.31979399672844</v>
      </c>
      <c r="AO76" s="62">
        <f t="shared" si="90"/>
        <v>544.21514138474731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56.004342163109719</v>
      </c>
      <c r="AV76" s="23">
        <f>EXP(-LN(2)/25)*AV75+(1-EXP(-LN(2)/25))/(LN(2)/25)*Calculateur!AQ76*Calculateur!AS76*VLOOKUP('Données projet'!$B$10,Paramètres!$A$1:$I$88,3,0)*0.475*44/12</f>
        <v>37.220412847223173</v>
      </c>
      <c r="AW76" s="23">
        <f>EXP(-LN(2)/2)*AW75+(1-EXP(-LN(2)/2))/(LN(2)/2)*AQ76*AT76*VLOOKUP('Données projet'!$B$10,Paramètres!$A$1:$I$88,3,0)*0.475*44/12</f>
        <v>1.1141456447331537</v>
      </c>
      <c r="AX76" s="23">
        <f t="shared" si="60"/>
        <v>94.338900655066055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projet'!$B$11,Paramètres!$A$1:$I$88,3,0)*VLOOKUP('Données projet'!$B$11,Paramètres!$A$1:$I$88,5,0)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projet'!$B$11,Paramètres!$A$1:$I$88,3,0)*0.475*44/12</f>
        <v>#N/A</v>
      </c>
      <c r="BQ76" s="23" t="e">
        <f>EXP(-LN(2)/25)*BQ75+(1-EXP(-LN(2)/25))/(LN(2)/25)*Calculateur!BL76*Calculateur!BN76*VLOOKUP('Données projet'!$B$11,Paramètres!$A$1:$I$88,3,0)*0.475*44/12</f>
        <v>#N/A</v>
      </c>
      <c r="BR76" s="23" t="e">
        <f>EXP(-LN(2)/2)*BR75+(1-EXP(-LN(2)/2))/(LN(2)/2)*BL76*BO76*VLOOKUP('Données projet'!$B$11,Paramètres!$A$1:$I$88,3,0)*0.475*44/12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projet'!$B$12,Paramètres!$A$1:$I$88,3,0)*0.475*44/12</f>
        <v>#N/A</v>
      </c>
      <c r="CL76" s="23" t="e">
        <f>EXP(-LN(2)/25)*CL75+(1-EXP(-LN(2)/25))/(LN(2)/25)*Calculateur!CG76*Calculateur!CI76*VLOOKUP('Données projet'!$B$12,Paramètres!$A$1:$I$88,3,0)*0.475*44/12</f>
        <v>#N/A</v>
      </c>
      <c r="CM76" s="23" t="e">
        <f>EXP(-LN(2)/2)*CM75+(1-EXP(-LN(2)/2))/(LN(2)/2)*CG76*CJ76*VLOOKUP('Données projet'!$B$12,Paramètres!$A$1:$I$88,3,0)*0.475*44/12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8</v>
      </c>
      <c r="N77" s="14">
        <f>IF('Données projet'!$A$36&gt;35,N76+M77-V76,IF(A77&lt;'Données projet'!$A$36,$K$205^A77,IF(A77='Données projet'!$A$36,'Données projet'!$B$36,N76+M77-V76)))</f>
        <v>422</v>
      </c>
      <c r="O77" s="14">
        <f>N77*VLOOKUP('Données projet'!$B$9,Paramètres!$A$1:$I$88,3,0)*VLOOKUP('Données projet'!$B$9,Paramètres!$A$1:$I$88,5,0)</f>
        <v>197.49599999999998</v>
      </c>
      <c r="P77" s="14">
        <f t="shared" si="87"/>
        <v>49.193461446927081</v>
      </c>
      <c r="Q77" s="22">
        <f t="shared" si="54"/>
        <v>429.65081202006462</v>
      </c>
      <c r="R77" s="62">
        <f t="shared" si="55"/>
        <v>722.98414535339793</v>
      </c>
      <c r="S77" s="62">
        <f ca="1">AVERAGE(OFFSET($R$3,0,0,'Données projet'!$E$9+1,1))-AVERAGE(OFFSET($H$3,0,0,'Données projet'!$E$9+1,1))</f>
        <v>316.04959780858269</v>
      </c>
      <c r="T77" s="62">
        <f t="shared" si="88"/>
        <v>213.60182977243113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12.724009011965016</v>
      </c>
      <c r="AA77" s="23">
        <f>EXP(-LN(2)/25)*AA76+(1-EXP(-LN(2)/25))/(LN(2)/25)*Calculateur!V77*Calculateur!X77*VLOOKUP('Données projet'!$B$9,Paramètres!$A$1:$I$88,3,0)*0.475*44/12</f>
        <v>10.757244973016917</v>
      </c>
      <c r="AB77" s="23">
        <f>EXP(-LN(2)/2)*AB76+(1-EXP(-LN(2)/2))/(LN(2)/2)*V77*Y77*VLOOKUP('Données projet'!$B$9,Paramètres!$A$1:$I$88,3,0)*0.475*44/12</f>
        <v>0.73331816734358279</v>
      </c>
      <c r="AC77" s="24">
        <f t="shared" si="57"/>
        <v>24.214572152325516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5.8</v>
      </c>
      <c r="AI77" s="14">
        <f>IF('Données projet'!$A$62&gt;35,AI76+AH77-AQ76,IF(A77&lt;'Données projet'!$A$62,$AF$205^A77,IF(A77='Données projet'!$A$62,'Données projet'!$B$62,AI76+AH77-AQ76)))</f>
        <v>763.19999999999948</v>
      </c>
      <c r="AJ77" s="14">
        <f>AI77*VLOOKUP('Données projet'!$B$10,Paramètres!$A$1:$I$88,3,0)*VLOOKUP('Données projet'!$B$10,Paramètres!$A$1:$I$88,5,0)</f>
        <v>426.62879999999973</v>
      </c>
      <c r="AK77" s="14">
        <f t="shared" si="89"/>
        <v>97.154829669821012</v>
      </c>
      <c r="AL77" s="22">
        <f t="shared" si="58"/>
        <v>912.25648834160438</v>
      </c>
      <c r="AM77" s="62">
        <f t="shared" si="59"/>
        <v>1205.5898216749376</v>
      </c>
      <c r="AN77" s="62">
        <f ca="1">AVERAGE(OFFSET($AM$3,0,0,'Données projet'!$E$10+1,1))-AVERAGE(OFFSET($H$3,0,0,'Données projet'!$E$10+1,1))</f>
        <v>583.31979399672844</v>
      </c>
      <c r="AO77" s="62">
        <f t="shared" si="90"/>
        <v>544.21514138474731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54.906131172566909</v>
      </c>
      <c r="AV77" s="23">
        <f>EXP(-LN(2)/25)*AV76+(1-EXP(-LN(2)/25))/(LN(2)/25)*Calculateur!AQ77*Calculateur!AS77*VLOOKUP('Données projet'!$B$10,Paramètres!$A$1:$I$88,3,0)*0.475*44/12</f>
        <v>36.202618700579414</v>
      </c>
      <c r="AW77" s="23">
        <f>EXP(-LN(2)/2)*AW76+(1-EXP(-LN(2)/2))/(LN(2)/2)*AQ77*AT77*VLOOKUP('Données projet'!$B$10,Paramètres!$A$1:$I$88,3,0)*0.475*44/12</f>
        <v>0.78781994062027105</v>
      </c>
      <c r="AX77" s="23">
        <f t="shared" si="60"/>
        <v>91.89656981376659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projet'!$B$11,Paramètres!$A$1:$I$88,3,0)*VLOOKUP('Données projet'!$B$11,Paramètres!$A$1:$I$88,5,0)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projet'!$B$11,Paramètres!$A$1:$I$88,3,0)*0.475*44/12</f>
        <v>#N/A</v>
      </c>
      <c r="BQ77" s="23" t="e">
        <f>EXP(-LN(2)/25)*BQ76+(1-EXP(-LN(2)/25))/(LN(2)/25)*Calculateur!BL77*Calculateur!BN77*VLOOKUP('Données projet'!$B$11,Paramètres!$A$1:$I$88,3,0)*0.475*44/12</f>
        <v>#N/A</v>
      </c>
      <c r="BR77" s="23" t="e">
        <f>EXP(-LN(2)/2)*BR76+(1-EXP(-LN(2)/2))/(LN(2)/2)*BL77*BO77*VLOOKUP('Données projet'!$B$11,Paramètres!$A$1:$I$88,3,0)*0.475*44/12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projet'!$B$12,Paramètres!$A$1:$I$88,3,0)*0.475*44/12</f>
        <v>#N/A</v>
      </c>
      <c r="CL77" s="23" t="e">
        <f>EXP(-LN(2)/25)*CL76+(1-EXP(-LN(2)/25))/(LN(2)/25)*Calculateur!CG77*Calculateur!CI77*VLOOKUP('Données projet'!$B$12,Paramètres!$A$1:$I$88,3,0)*0.475*44/12</f>
        <v>#N/A</v>
      </c>
      <c r="CM77" s="23" t="e">
        <f>EXP(-LN(2)/2)*CM76+(1-EXP(-LN(2)/2))/(LN(2)/2)*CG77*CJ77*VLOOKUP('Données projet'!$B$12,Paramètres!$A$1:$I$88,3,0)*0.475*44/12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8</v>
      </c>
      <c r="N78" s="14">
        <f>IF('Données projet'!$A$36&gt;35,N77+M78-V77,IF(A78&lt;'Données projet'!$A$36,$K$205^A78,IF(A78='Données projet'!$A$36,'Données projet'!$B$36,N77+M78-V77)))</f>
        <v>430</v>
      </c>
      <c r="O78" s="14">
        <f>N78*VLOOKUP('Données projet'!$B$9,Paramètres!$A$1:$I$88,3,0)*VLOOKUP('Données projet'!$B$9,Paramètres!$A$1:$I$88,5,0)</f>
        <v>201.23999999999998</v>
      </c>
      <c r="P78" s="14">
        <f t="shared" si="87"/>
        <v>50.016584086333268</v>
      </c>
      <c r="Q78" s="22">
        <f t="shared" si="54"/>
        <v>437.60521728369707</v>
      </c>
      <c r="R78" s="62">
        <f t="shared" si="55"/>
        <v>730.93855061703039</v>
      </c>
      <c r="S78" s="62">
        <f ca="1">AVERAGE(OFFSET($R$3,0,0,'Données projet'!$E$9+1,1))-AVERAGE(OFFSET($H$3,0,0,'Données projet'!$E$9+1,1))</f>
        <v>316.04959780858269</v>
      </c>
      <c r="T78" s="62">
        <f t="shared" si="88"/>
        <v>213.60182977243113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12.474498956119556</v>
      </c>
      <c r="AA78" s="23">
        <f>EXP(-LN(2)/25)*AA77+(1-EXP(-LN(2)/25))/(LN(2)/25)*Calculateur!V78*Calculateur!X78*VLOOKUP('Données projet'!$B$9,Paramètres!$A$1:$I$88,3,0)*0.475*44/12</f>
        <v>10.463087543530841</v>
      </c>
      <c r="AB78" s="23">
        <f>EXP(-LN(2)/2)*AB77+(1-EXP(-LN(2)/2))/(LN(2)/2)*V78*Y78*VLOOKUP('Données projet'!$B$9,Paramètres!$A$1:$I$88,3,0)*0.475*44/12</f>
        <v>0.51853424889593891</v>
      </c>
      <c r="AC78" s="24">
        <f t="shared" si="57"/>
        <v>23.456120748546336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769</v>
      </c>
      <c r="AG78" s="13">
        <f>VLOOKUP(A78,'Données projet'!$A$61:$I$81,9,0)</f>
        <v>5.8</v>
      </c>
      <c r="AH78" s="13">
        <f t="array" ref="AH78">INDEX(AG:AG,MIN(IF(ISNUMBER(AG78:AG274),ROW(AG78:AG274),"")))</f>
        <v>5.8</v>
      </c>
      <c r="AI78" s="14">
        <f>IF('Données projet'!$A$62&gt;35,AI77+AH78-AQ77,IF(A78&lt;'Données projet'!$A$62,$AF$205^A78,IF(A78='Données projet'!$A$62,'Données projet'!$B$62,AI77+AH78-AQ77)))</f>
        <v>768.99999999999943</v>
      </c>
      <c r="AJ78" s="14">
        <f>AI78*VLOOKUP('Données projet'!$B$10,Paramètres!$A$1:$I$88,3,0)*VLOOKUP('Données projet'!$B$10,Paramètres!$A$1:$I$88,5,0)</f>
        <v>429.87099999999964</v>
      </c>
      <c r="AK78" s="14">
        <f t="shared" si="89"/>
        <v>97.806935594586989</v>
      </c>
      <c r="AL78" s="22">
        <f t="shared" si="58"/>
        <v>919.03907116057178</v>
      </c>
      <c r="AM78" s="62">
        <f t="shared" si="59"/>
        <v>1212.3724044939052</v>
      </c>
      <c r="AN78" s="62">
        <f ca="1">AVERAGE(OFFSET($AM$3,0,0,'Données projet'!$E$10+1,1))-AVERAGE(OFFSET($H$3,0,0,'Données projet'!$E$10+1,1))</f>
        <v>583.31979399672844</v>
      </c>
      <c r="AO78" s="62">
        <f t="shared" si="90"/>
        <v>544.21514138474731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29</v>
      </c>
      <c r="AR78" s="17">
        <f>IF(ISNA(VLOOKUP(A78,'Données projet'!$A$61:$I$81,5,0)),0%,VLOOKUP(A78,'Données projet'!$A$61:$I$81,5,0)*VLOOKUP('Données projet'!$B$10,Paramètres!$A$1:$I$88,7,0))</f>
        <v>0.44000000000000006</v>
      </c>
      <c r="AS78" s="17">
        <f>IF(ISNA(VLOOKUP(A78,'Données projet'!$A$61:$I$81,6,0)),0%,VLOOKUP(A78,'Données projet'!$A$61:$I$81,6,0)*VLOOKUP('Données projet'!$B$10,Paramètres!$A$1:$I$88,7,0))</f>
        <v>6.0500000000000005E-2</v>
      </c>
      <c r="AT78" s="17">
        <f>IF(ISNA(VLOOKUP(A78,'Données projet'!$A$61:$I$81,7,0)),0%,VLOOKUP(A78,'Données projet'!$A$61:$I$81,7,0))</f>
        <v>0.09</v>
      </c>
      <c r="AU78" s="23">
        <f>EXP(-LN(2)/35)*AU77+(1-EXP(-LN(2)/35))/(LN(2)/35)*AQ78*AR78*VLOOKUP('Données projet'!$B$10,Paramètres!$A$1:$I$88,3,0)*0.475*44/12</f>
        <v>63.291627440043449</v>
      </c>
      <c r="AV78" s="23">
        <f>EXP(-LN(2)/25)*AV77+(1-EXP(-LN(2)/25))/(LN(2)/25)*Calculateur!AQ78*Calculateur!AS78*VLOOKUP('Données projet'!$B$10,Paramètres!$A$1:$I$88,3,0)*0.475*44/12</f>
        <v>36.508582115541437</v>
      </c>
      <c r="AW78" s="23">
        <f>EXP(-LN(2)/2)*AW77+(1-EXP(-LN(2)/2))/(LN(2)/2)*AQ78*AT78*VLOOKUP('Données projet'!$B$10,Paramètres!$A$1:$I$88,3,0)*0.475*44/12</f>
        <v>2.2089884221347154</v>
      </c>
      <c r="AX78" s="23">
        <f t="shared" si="60"/>
        <v>102.00919797771959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projet'!$B$11,Paramètres!$A$1:$I$88,3,0)*VLOOKUP('Données projet'!$B$11,Paramètres!$A$1:$I$88,5,0)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projet'!$B$11,Paramètres!$A$1:$I$88,3,0)*0.475*44/12</f>
        <v>#N/A</v>
      </c>
      <c r="BQ78" s="23" t="e">
        <f>EXP(-LN(2)/25)*BQ77+(1-EXP(-LN(2)/25))/(LN(2)/25)*Calculateur!BL78*Calculateur!BN78*VLOOKUP('Données projet'!$B$11,Paramètres!$A$1:$I$88,3,0)*0.475*44/12</f>
        <v>#N/A</v>
      </c>
      <c r="BR78" s="23" t="e">
        <f>EXP(-LN(2)/2)*BR77+(1-EXP(-LN(2)/2))/(LN(2)/2)*BL78*BO78*VLOOKUP('Données projet'!$B$11,Paramètres!$A$1:$I$88,3,0)*0.475*44/12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projet'!$B$12,Paramètres!$A$1:$I$88,3,0)*0.475*44/12</f>
        <v>#N/A</v>
      </c>
      <c r="CL78" s="23" t="e">
        <f>EXP(-LN(2)/25)*CL77+(1-EXP(-LN(2)/25))/(LN(2)/25)*Calculateur!CG78*Calculateur!CI78*VLOOKUP('Données projet'!$B$12,Paramètres!$A$1:$I$88,3,0)*0.475*44/12</f>
        <v>#N/A</v>
      </c>
      <c r="CM78" s="23" t="e">
        <f>EXP(-LN(2)/2)*CM77+(1-EXP(-LN(2)/2))/(LN(2)/2)*CG78*CJ78*VLOOKUP('Données projet'!$B$12,Paramètres!$A$1:$I$88,3,0)*0.475*44/12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8</v>
      </c>
      <c r="N79" s="14">
        <f>IF('Données projet'!$A$36&gt;35,N78+M79-V78,IF(A79&lt;'Données projet'!$A$36,$K$205^A79,IF(A79='Données projet'!$A$36,'Données projet'!$B$36,N78+M79-V78)))</f>
        <v>438</v>
      </c>
      <c r="O79" s="14">
        <f>N79*VLOOKUP('Données projet'!$B$9,Paramètres!$A$1:$I$88,3,0)*VLOOKUP('Données projet'!$B$9,Paramètres!$A$1:$I$88,5,0)</f>
        <v>204.98400000000001</v>
      </c>
      <c r="P79" s="14">
        <f t="shared" si="87"/>
        <v>50.837926006791818</v>
      </c>
      <c r="Q79" s="22">
        <f t="shared" si="54"/>
        <v>445.55652112849572</v>
      </c>
      <c r="R79" s="62">
        <f t="shared" si="55"/>
        <v>738.88985446182903</v>
      </c>
      <c r="S79" s="62">
        <f ca="1">AVERAGE(OFFSET($R$3,0,0,'Données projet'!$E$9+1,1))-AVERAGE(OFFSET($H$3,0,0,'Données projet'!$E$9+1,1))</f>
        <v>316.04959780858269</v>
      </c>
      <c r="T79" s="62">
        <f t="shared" si="88"/>
        <v>213.60182977243113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12.229881640283118</v>
      </c>
      <c r="AA79" s="23">
        <f>EXP(-LN(2)/25)*AA78+(1-EXP(-LN(2)/25))/(LN(2)/25)*Calculateur!V79*Calculateur!X79*VLOOKUP('Données projet'!$B$9,Paramètres!$A$1:$I$88,3,0)*0.475*44/12</f>
        <v>10.176973864423131</v>
      </c>
      <c r="AB79" s="23">
        <f>EXP(-LN(2)/2)*AB78+(1-EXP(-LN(2)/2))/(LN(2)/2)*V79*Y79*VLOOKUP('Données projet'!$B$9,Paramètres!$A$1:$I$88,3,0)*0.475*44/12</f>
        <v>0.36665908367179145</v>
      </c>
      <c r="AC79" s="24">
        <f t="shared" si="57"/>
        <v>22.773514588378042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5.8</v>
      </c>
      <c r="AI79" s="14">
        <f>IF('Données projet'!$A$62&gt;35,AI78+AH79-AQ78,IF(A79&lt;'Données projet'!$A$62,$AF$205^A79,IF(A79='Données projet'!$A$62,'Données projet'!$B$62,AI78+AH79-AQ78)))</f>
        <v>745.79999999999939</v>
      </c>
      <c r="AJ79" s="14">
        <f>AI79*VLOOKUP('Données projet'!$B$10,Paramètres!$A$1:$I$88,3,0)*VLOOKUP('Données projet'!$B$10,Paramètres!$A$1:$I$88,5,0)</f>
        <v>416.90219999999965</v>
      </c>
      <c r="AK79" s="14">
        <f t="shared" si="89"/>
        <v>95.195029421049625</v>
      </c>
      <c r="AL79" s="22">
        <f t="shared" si="58"/>
        <v>891.90267457499419</v>
      </c>
      <c r="AM79" s="62">
        <f t="shared" si="59"/>
        <v>1185.2360079083276</v>
      </c>
      <c r="AN79" s="62">
        <f ca="1">AVERAGE(OFFSET($AM$3,0,0,'Données projet'!$E$10+1,1))-AVERAGE(OFFSET($H$3,0,0,'Données projet'!$E$10+1,1))</f>
        <v>583.31979399672844</v>
      </c>
      <c r="AO79" s="62">
        <f t="shared" si="90"/>
        <v>544.21514138474731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62.0505172300251</v>
      </c>
      <c r="AV79" s="23">
        <f>EXP(-LN(2)/25)*AV78+(1-EXP(-LN(2)/25))/(LN(2)/25)*Calculateur!AQ79*Calculateur!AS79*VLOOKUP('Données projet'!$B$10,Paramètres!$A$1:$I$88,3,0)*0.475*44/12</f>
        <v>35.510253017689067</v>
      </c>
      <c r="AW79" s="23">
        <f>EXP(-LN(2)/2)*AW78+(1-EXP(-LN(2)/2))/(LN(2)/2)*AQ79*AT79*VLOOKUP('Données projet'!$B$10,Paramètres!$A$1:$I$88,3,0)*0.475*44/12</f>
        <v>1.5619906928540293</v>
      </c>
      <c r="AX79" s="23">
        <f t="shared" si="60"/>
        <v>99.122760940568199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projet'!$B$11,Paramètres!$A$1:$I$88,3,0)*VLOOKUP('Données projet'!$B$11,Paramètres!$A$1:$I$88,5,0)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projet'!$B$11,Paramètres!$A$1:$I$88,3,0)*0.475*44/12</f>
        <v>#N/A</v>
      </c>
      <c r="BQ79" s="23" t="e">
        <f>EXP(-LN(2)/25)*BQ78+(1-EXP(-LN(2)/25))/(LN(2)/25)*Calculateur!BL79*Calculateur!BN79*VLOOKUP('Données projet'!$B$11,Paramètres!$A$1:$I$88,3,0)*0.475*44/12</f>
        <v>#N/A</v>
      </c>
      <c r="BR79" s="23" t="e">
        <f>EXP(-LN(2)/2)*BR78+(1-EXP(-LN(2)/2))/(LN(2)/2)*BL79*BO79*VLOOKUP('Données projet'!$B$11,Paramètres!$A$1:$I$88,3,0)*0.475*44/12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projet'!$B$12,Paramètres!$A$1:$I$88,3,0)*0.475*44/12</f>
        <v>#N/A</v>
      </c>
      <c r="CL79" s="23" t="e">
        <f>EXP(-LN(2)/25)*CL78+(1-EXP(-LN(2)/25))/(LN(2)/25)*Calculateur!CG79*Calculateur!CI79*VLOOKUP('Données projet'!$B$12,Paramètres!$A$1:$I$88,3,0)*0.475*44/12</f>
        <v>#N/A</v>
      </c>
      <c r="CM79" s="23" t="e">
        <f>EXP(-LN(2)/2)*CM78+(1-EXP(-LN(2)/2))/(LN(2)/2)*CG79*CJ79*VLOOKUP('Données projet'!$B$12,Paramètres!$A$1:$I$88,3,0)*0.475*44/12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8</v>
      </c>
      <c r="N80" s="14">
        <f>IF('Données projet'!$A$36&gt;35,N79+M80-V79,IF(A80&lt;'Données projet'!$A$36,$K$205^A80,IF(A80='Données projet'!$A$36,'Données projet'!$B$36,N79+M80-V79)))</f>
        <v>446</v>
      </c>
      <c r="O80" s="14">
        <f>N80*VLOOKUP('Données projet'!$B$9,Paramètres!$A$1:$I$88,3,0)*VLOOKUP('Données projet'!$B$9,Paramètres!$A$1:$I$88,5,0)</f>
        <v>208.72800000000001</v>
      </c>
      <c r="P80" s="14">
        <f t="shared" si="87"/>
        <v>51.657523484203345</v>
      </c>
      <c r="Q80" s="22">
        <f t="shared" si="54"/>
        <v>453.50478673498748</v>
      </c>
      <c r="R80" s="62">
        <f t="shared" si="55"/>
        <v>746.83812006832079</v>
      </c>
      <c r="S80" s="62">
        <f ca="1">AVERAGE(OFFSET($R$3,0,0,'Données projet'!$E$9+1,1))-AVERAGE(OFFSET($H$3,0,0,'Données projet'!$E$9+1,1))</f>
        <v>316.04959780858269</v>
      </c>
      <c r="T80" s="62">
        <f t="shared" si="88"/>
        <v>213.60182977243113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11.990061120808402</v>
      </c>
      <c r="AA80" s="23">
        <f>EXP(-LN(2)/25)*AA79+(1-EXP(-LN(2)/25))/(LN(2)/25)*Calculateur!V80*Calculateur!X80*VLOOKUP('Données projet'!$B$9,Paramètres!$A$1:$I$88,3,0)*0.475*44/12</f>
        <v>9.8986839789166847</v>
      </c>
      <c r="AB80" s="23">
        <f>EXP(-LN(2)/2)*AB79+(1-EXP(-LN(2)/2))/(LN(2)/2)*V80*Y80*VLOOKUP('Données projet'!$B$9,Paramètres!$A$1:$I$88,3,0)*0.475*44/12</f>
        <v>0.25926712444796945</v>
      </c>
      <c r="AC80" s="24">
        <f t="shared" si="57"/>
        <v>22.148012224173055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5.8</v>
      </c>
      <c r="AI80" s="14">
        <f>IF('Données projet'!$A$62&gt;35,AI79+AH80-AQ79,IF(A80&lt;'Données projet'!$A$62,$AF$205^A80,IF(A80='Données projet'!$A$62,'Données projet'!$B$62,AI79+AH80-AQ79)))</f>
        <v>751.59999999999934</v>
      </c>
      <c r="AJ80" s="14">
        <f>AI80*VLOOKUP('Données projet'!$B$10,Paramètres!$A$1:$I$88,3,0)*VLOOKUP('Données projet'!$B$10,Paramètres!$A$1:$I$88,5,0)</f>
        <v>420.14439999999962</v>
      </c>
      <c r="AK80" s="14">
        <f t="shared" si="89"/>
        <v>95.848881559455506</v>
      </c>
      <c r="AL80" s="22">
        <f t="shared" si="58"/>
        <v>898.68829871605101</v>
      </c>
      <c r="AM80" s="62">
        <f t="shared" si="59"/>
        <v>1192.0216320493844</v>
      </c>
      <c r="AN80" s="62">
        <f ca="1">AVERAGE(OFFSET($AM$3,0,0,'Données projet'!$E$10+1,1))-AVERAGE(OFFSET($H$3,0,0,'Données projet'!$E$10+1,1))</f>
        <v>583.31979399672844</v>
      </c>
      <c r="AO80" s="62">
        <f t="shared" si="90"/>
        <v>544.21514138474731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60.83374443422273</v>
      </c>
      <c r="AV80" s="23">
        <f>EXP(-LN(2)/25)*AV79+(1-EXP(-LN(2)/25))/(LN(2)/25)*Calculateur!AQ80*Calculateur!AS80*VLOOKUP('Données projet'!$B$10,Paramètres!$A$1:$I$88,3,0)*0.475*44/12</f>
        <v>34.539223281517316</v>
      </c>
      <c r="AW80" s="23">
        <f>EXP(-LN(2)/2)*AW79+(1-EXP(-LN(2)/2))/(LN(2)/2)*AQ80*AT80*VLOOKUP('Données projet'!$B$10,Paramètres!$A$1:$I$88,3,0)*0.475*44/12</f>
        <v>1.1044942110673579</v>
      </c>
      <c r="AX80" s="23">
        <f t="shared" si="60"/>
        <v>96.477461926807408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projet'!$B$11,Paramètres!$A$1:$I$88,3,0)*VLOOKUP('Données projet'!$B$11,Paramètres!$A$1:$I$88,5,0)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projet'!$B$11,Paramètres!$A$1:$I$88,3,0)*0.475*44/12</f>
        <v>#N/A</v>
      </c>
      <c r="BQ80" s="23" t="e">
        <f>EXP(-LN(2)/25)*BQ79+(1-EXP(-LN(2)/25))/(LN(2)/25)*Calculateur!BL80*Calculateur!BN80*VLOOKUP('Données projet'!$B$11,Paramètres!$A$1:$I$88,3,0)*0.475*44/12</f>
        <v>#N/A</v>
      </c>
      <c r="BR80" s="23" t="e">
        <f>EXP(-LN(2)/2)*BR79+(1-EXP(-LN(2)/2))/(LN(2)/2)*BL80*BO80*VLOOKUP('Données projet'!$B$11,Paramètres!$A$1:$I$88,3,0)*0.475*44/12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projet'!$B$12,Paramètres!$A$1:$I$88,3,0)*0.475*44/12</f>
        <v>#N/A</v>
      </c>
      <c r="CL80" s="23" t="e">
        <f>EXP(-LN(2)/25)*CL79+(1-EXP(-LN(2)/25))/(LN(2)/25)*Calculateur!CG80*Calculateur!CI80*VLOOKUP('Données projet'!$B$12,Paramètres!$A$1:$I$88,3,0)*0.475*44/12</f>
        <v>#N/A</v>
      </c>
      <c r="CM80" s="23" t="e">
        <f>EXP(-LN(2)/2)*CM79+(1-EXP(-LN(2)/2))/(LN(2)/2)*CG80*CJ80*VLOOKUP('Données projet'!$B$12,Paramètres!$A$1:$I$88,3,0)*0.475*44/12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8</v>
      </c>
      <c r="N81" s="14">
        <f>IF('Données projet'!$A$36&gt;35,N80+M81-V80,IF(A81&lt;'Données projet'!$A$36,$K$205^A81,IF(A81='Données projet'!$A$36,'Données projet'!$B$36,N80+M81-V80)))</f>
        <v>454</v>
      </c>
      <c r="O81" s="14">
        <f>N81*VLOOKUP('Données projet'!$B$9,Paramètres!$A$1:$I$88,3,0)*VLOOKUP('Données projet'!$B$9,Paramètres!$A$1:$I$88,5,0)</f>
        <v>212.47200000000001</v>
      </c>
      <c r="P81" s="14">
        <f t="shared" si="87"/>
        <v>52.475411418566523</v>
      </c>
      <c r="Q81" s="22">
        <f t="shared" si="54"/>
        <v>461.45007488733671</v>
      </c>
      <c r="R81" s="62">
        <f t="shared" si="55"/>
        <v>754.78340822067003</v>
      </c>
      <c r="S81" s="62">
        <f ca="1">AVERAGE(OFFSET($R$3,0,0,'Données projet'!$E$9+1,1))-AVERAGE(OFFSET($H$3,0,0,'Données projet'!$E$9+1,1))</f>
        <v>316.04959780858269</v>
      </c>
      <c r="T81" s="62">
        <f t="shared" si="88"/>
        <v>213.60182977243113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11.754943335444514</v>
      </c>
      <c r="AA81" s="23">
        <f>EXP(-LN(2)/25)*AA80+(1-EXP(-LN(2)/25))/(LN(2)/25)*Calculateur!V81*Calculateur!X81*VLOOKUP('Données projet'!$B$9,Paramètres!$A$1:$I$88,3,0)*0.475*44/12</f>
        <v>9.6280039449640409</v>
      </c>
      <c r="AB81" s="23">
        <f>EXP(-LN(2)/2)*AB80+(1-EXP(-LN(2)/2))/(LN(2)/2)*V81*Y81*VLOOKUP('Données projet'!$B$9,Paramètres!$A$1:$I$88,3,0)*0.475*44/12</f>
        <v>0.18332954183589573</v>
      </c>
      <c r="AC81" s="24">
        <f t="shared" si="57"/>
        <v>21.566276822244451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5.8</v>
      </c>
      <c r="AI81" s="14">
        <f>IF('Données projet'!$A$62&gt;35,AI80+AH81-AQ80,IF(A81&lt;'Données projet'!$A$62,$AF$205^A81,IF(A81='Données projet'!$A$62,'Données projet'!$B$62,AI80+AH81-AQ80)))</f>
        <v>757.3999999999993</v>
      </c>
      <c r="AJ81" s="14">
        <f>AI81*VLOOKUP('Données projet'!$B$10,Paramètres!$A$1:$I$88,3,0)*VLOOKUP('Données projet'!$B$10,Paramètres!$A$1:$I$88,5,0)</f>
        <v>423.38659999999959</v>
      </c>
      <c r="AK81" s="14">
        <f t="shared" si="89"/>
        <v>96.502146636802465</v>
      </c>
      <c r="AL81" s="22">
        <f t="shared" si="58"/>
        <v>905.47290039243023</v>
      </c>
      <c r="AM81" s="62">
        <f t="shared" si="59"/>
        <v>1198.8062337257636</v>
      </c>
      <c r="AN81" s="62">
        <f ca="1">AVERAGE(OFFSET($AM$3,0,0,'Données projet'!$E$10+1,1))-AVERAGE(OFFSET($H$3,0,0,'Données projet'!$E$10+1,1))</f>
        <v>583.31979399672844</v>
      </c>
      <c r="AO81" s="62">
        <f t="shared" si="90"/>
        <v>544.21514138474731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59.640831810787923</v>
      </c>
      <c r="AV81" s="23">
        <f>EXP(-LN(2)/25)*AV80+(1-EXP(-LN(2)/25))/(LN(2)/25)*Calculateur!AQ81*Calculateur!AS81*VLOOKUP('Données projet'!$B$10,Paramètres!$A$1:$I$88,3,0)*0.475*44/12</f>
        <v>33.594746404545411</v>
      </c>
      <c r="AW81" s="23">
        <f>EXP(-LN(2)/2)*AW80+(1-EXP(-LN(2)/2))/(LN(2)/2)*AQ81*AT81*VLOOKUP('Données projet'!$B$10,Paramètres!$A$1:$I$88,3,0)*0.475*44/12</f>
        <v>0.78099534642701474</v>
      </c>
      <c r="AX81" s="23">
        <f t="shared" si="60"/>
        <v>94.016573561760353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projet'!$B$11,Paramètres!$A$1:$I$88,3,0)*VLOOKUP('Données projet'!$B$11,Paramètres!$A$1:$I$88,5,0)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projet'!$B$11,Paramètres!$A$1:$I$88,3,0)*0.475*44/12</f>
        <v>#N/A</v>
      </c>
      <c r="BQ81" s="23" t="e">
        <f>EXP(-LN(2)/25)*BQ80+(1-EXP(-LN(2)/25))/(LN(2)/25)*Calculateur!BL81*Calculateur!BN81*VLOOKUP('Données projet'!$B$11,Paramètres!$A$1:$I$88,3,0)*0.475*44/12</f>
        <v>#N/A</v>
      </c>
      <c r="BR81" s="23" t="e">
        <f>EXP(-LN(2)/2)*BR80+(1-EXP(-LN(2)/2))/(LN(2)/2)*BL81*BO81*VLOOKUP('Données projet'!$B$11,Paramètres!$A$1:$I$88,3,0)*0.475*44/12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projet'!$B$12,Paramètres!$A$1:$I$88,3,0)*0.475*44/12</f>
        <v>#N/A</v>
      </c>
      <c r="CL81" s="23" t="e">
        <f>EXP(-LN(2)/25)*CL80+(1-EXP(-LN(2)/25))/(LN(2)/25)*Calculateur!CG81*Calculateur!CI81*VLOOKUP('Données projet'!$B$12,Paramètres!$A$1:$I$88,3,0)*0.475*44/12</f>
        <v>#N/A</v>
      </c>
      <c r="CM81" s="23" t="e">
        <f>EXP(-LN(2)/2)*CM80+(1-EXP(-LN(2)/2))/(LN(2)/2)*CG81*CJ81*VLOOKUP('Données projet'!$B$12,Paramètres!$A$1:$I$88,3,0)*0.475*44/12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8</v>
      </c>
      <c r="N82" s="14">
        <f>IF('Données projet'!$A$36&gt;35,N81+M82-V81,IF(A82&lt;'Données projet'!$A$36,$K$205^A82,IF(A82='Données projet'!$A$36,'Données projet'!$B$36,N81+M82-V81)))</f>
        <v>462</v>
      </c>
      <c r="O82" s="14">
        <f>N82*VLOOKUP('Données projet'!$B$9,Paramètres!$A$1:$I$88,3,0)*VLOOKUP('Données projet'!$B$9,Paramètres!$A$1:$I$88,5,0)</f>
        <v>216.21600000000001</v>
      </c>
      <c r="P82" s="14">
        <f t="shared" si="87"/>
        <v>53.291623409473033</v>
      </c>
      <c r="Q82" s="22">
        <f t="shared" si="54"/>
        <v>469.39244410483212</v>
      </c>
      <c r="R82" s="62">
        <f t="shared" si="55"/>
        <v>762.72577743816544</v>
      </c>
      <c r="S82" s="62">
        <f ca="1">AVERAGE(OFFSET($R$3,0,0,'Données projet'!$E$9+1,1))-AVERAGE(OFFSET($H$3,0,0,'Données projet'!$E$9+1,1))</f>
        <v>316.04959780858269</v>
      </c>
      <c r="T82" s="62">
        <f t="shared" si="88"/>
        <v>213.60182977243113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11.524436066443922</v>
      </c>
      <c r="AA82" s="23">
        <f>EXP(-LN(2)/25)*AA81+(1-EXP(-LN(2)/25))/(LN(2)/25)*Calculateur!V82*Calculateur!X82*VLOOKUP('Données projet'!$B$9,Paramètres!$A$1:$I$88,3,0)*0.475*44/12</f>
        <v>9.364725670774277</v>
      </c>
      <c r="AB82" s="23">
        <f>EXP(-LN(2)/2)*AB81+(1-EXP(-LN(2)/2))/(LN(2)/2)*V82*Y82*VLOOKUP('Données projet'!$B$9,Paramètres!$A$1:$I$88,3,0)*0.475*44/12</f>
        <v>0.12963356222398473</v>
      </c>
      <c r="AC82" s="24">
        <f t="shared" si="57"/>
        <v>21.018795299442182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5.8</v>
      </c>
      <c r="AI82" s="14">
        <f>IF('Données projet'!$A$62&gt;35,AI81+AH82-AQ81,IF(A82&lt;'Données projet'!$A$62,$AF$205^A82,IF(A82='Données projet'!$A$62,'Données projet'!$B$62,AI81+AH82-AQ81)))</f>
        <v>763.19999999999925</v>
      </c>
      <c r="AJ82" s="14">
        <f>AI82*VLOOKUP('Données projet'!$B$10,Paramètres!$A$1:$I$88,3,0)*VLOOKUP('Données projet'!$B$10,Paramètres!$A$1:$I$88,5,0)</f>
        <v>426.62879999999956</v>
      </c>
      <c r="AK82" s="14">
        <f t="shared" si="89"/>
        <v>97.154829669820927</v>
      </c>
      <c r="AL82" s="22">
        <f t="shared" si="58"/>
        <v>912.25648834160393</v>
      </c>
      <c r="AM82" s="62">
        <f t="shared" si="59"/>
        <v>1205.5898216749372</v>
      </c>
      <c r="AN82" s="62">
        <f ca="1">AVERAGE(OFFSET($AM$3,0,0,'Données projet'!$E$10+1,1))-AVERAGE(OFFSET($H$3,0,0,'Données projet'!$E$10+1,1))</f>
        <v>583.31979399672844</v>
      </c>
      <c r="AO82" s="62">
        <f t="shared" si="90"/>
        <v>544.21514138474731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58.471311476293813</v>
      </c>
      <c r="AV82" s="23">
        <f>EXP(-LN(2)/25)*AV81+(1-EXP(-LN(2)/25))/(LN(2)/25)*Calculateur!AQ82*Calculateur!AS82*VLOOKUP('Données projet'!$B$10,Paramètres!$A$1:$I$88,3,0)*0.475*44/12</f>
        <v>32.676096297442186</v>
      </c>
      <c r="AW82" s="23">
        <f>EXP(-LN(2)/2)*AW81+(1-EXP(-LN(2)/2))/(LN(2)/2)*AQ82*AT82*VLOOKUP('Données projet'!$B$10,Paramètres!$A$1:$I$88,3,0)*0.475*44/12</f>
        <v>0.55224710553367906</v>
      </c>
      <c r="AX82" s="23">
        <f t="shared" si="60"/>
        <v>91.699654879269687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projet'!$B$11,Paramètres!$A$1:$I$88,3,0)*VLOOKUP('Données projet'!$B$11,Paramètres!$A$1:$I$88,5,0)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projet'!$B$11,Paramètres!$A$1:$I$88,3,0)*0.475*44/12</f>
        <v>#N/A</v>
      </c>
      <c r="BQ82" s="23" t="e">
        <f>EXP(-LN(2)/25)*BQ81+(1-EXP(-LN(2)/25))/(LN(2)/25)*Calculateur!BL82*Calculateur!BN82*VLOOKUP('Données projet'!$B$11,Paramètres!$A$1:$I$88,3,0)*0.475*44/12</f>
        <v>#N/A</v>
      </c>
      <c r="BR82" s="23" t="e">
        <f>EXP(-LN(2)/2)*BR81+(1-EXP(-LN(2)/2))/(LN(2)/2)*BL82*BO82*VLOOKUP('Données projet'!$B$11,Paramètres!$A$1:$I$88,3,0)*0.475*44/12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projet'!$B$12,Paramètres!$A$1:$I$88,3,0)*0.475*44/12</f>
        <v>#N/A</v>
      </c>
      <c r="CL82" s="23" t="e">
        <f>EXP(-LN(2)/25)*CL81+(1-EXP(-LN(2)/25))/(LN(2)/25)*Calculateur!CG82*Calculateur!CI82*VLOOKUP('Données projet'!$B$12,Paramètres!$A$1:$I$88,3,0)*0.475*44/12</f>
        <v>#N/A</v>
      </c>
      <c r="CM82" s="23" t="e">
        <f>EXP(-LN(2)/2)*CM81+(1-EXP(-LN(2)/2))/(LN(2)/2)*CG82*CJ82*VLOOKUP('Données projet'!$B$12,Paramètres!$A$1:$I$88,3,0)*0.475*44/12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470</v>
      </c>
      <c r="L83" s="13">
        <f>VLOOKUP(A83,'Données projet'!$A$35:$I$55,9,0)</f>
        <v>8</v>
      </c>
      <c r="M83" s="13">
        <f t="array" ref="M83">INDEX(L:L,MIN(IF(ISNUMBER(L83:L279),ROW(L83:L279),"")))</f>
        <v>8</v>
      </c>
      <c r="N83" s="14">
        <f>IF('Données projet'!$A$36&gt;35,N82+M83-V82,IF(A83&lt;'Données projet'!$A$36,$K$205^A83,IF(A83='Données projet'!$A$36,'Données projet'!$B$36,N82+M83-V82)))</f>
        <v>470</v>
      </c>
      <c r="O83" s="14">
        <f>N83*VLOOKUP('Données projet'!$B$9,Paramètres!$A$1:$I$88,3,0)*VLOOKUP('Données projet'!$B$9,Paramètres!$A$1:$I$88,5,0)</f>
        <v>219.95999999999998</v>
      </c>
      <c r="P83" s="14">
        <f t="shared" si="87"/>
        <v>54.106191826225746</v>
      </c>
      <c r="Q83" s="22">
        <f t="shared" si="54"/>
        <v>477.33195076400972</v>
      </c>
      <c r="R83" s="62">
        <f t="shared" si="55"/>
        <v>770.66528409734303</v>
      </c>
      <c r="S83" s="62">
        <f ca="1">AVERAGE(OFFSET($R$3,0,0,'Données projet'!$E$9+1,1))-AVERAGE(OFFSET($H$3,0,0,'Données projet'!$E$9+1,1))</f>
        <v>316.04959780858269</v>
      </c>
      <c r="T83" s="62">
        <f t="shared" si="88"/>
        <v>213.60182977243113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30</v>
      </c>
      <c r="W83" s="17">
        <f>IF(ISNA(VLOOKUP(A83,'Données projet'!$A$35:$I$55,5,0)),0%,VLOOKUP(A83,'Données projet'!$A$35:$I$55,5,0)*VLOOKUP('Données projet'!$B$9,Paramètres!$A$1:$I$88,7,0))</f>
        <v>0.33</v>
      </c>
      <c r="X83" s="17">
        <f>IF(ISNA(VLOOKUP(A83,'Données projet'!$A$35:$I$55,6,0)),0%,VLOOKUP(A83,'Données projet'!$A$35:$I$55,6,0)*VLOOKUP('Données projet'!$B$9,Paramètres!$A$1:$I$88,7,0))</f>
        <v>0.12320000000000003</v>
      </c>
      <c r="Y83" s="17">
        <f>IF(ISNA(VLOOKUP(A83,'Données projet'!$A$35:$I$55,7,0)),0%,VLOOKUP(A83,'Données projet'!$A$35:$I$55,7,0))</f>
        <v>0.17600000000000002</v>
      </c>
      <c r="Z83" s="23">
        <f>EXP(-LN(2)/35)*Z82+(1-EXP(-LN(2)/35))/(LN(2)/35)*V83*W83*VLOOKUP('Données projet'!$B$9,Paramètres!$A$1:$I$88,3,0)*0.475*44/12</f>
        <v>17.44468733933536</v>
      </c>
      <c r="AA83" s="23">
        <f>EXP(-LN(2)/25)*AA82+(1-EXP(-LN(2)/25))/(LN(2)/25)*Calculateur!V83*Calculateur!X83*VLOOKUP('Données projet'!$B$9,Paramètres!$A$1:$I$88,3,0)*0.475*44/12</f>
        <v>11.394207739704937</v>
      </c>
      <c r="AB83" s="23">
        <f>EXP(-LN(2)/2)*AB82+(1-EXP(-LN(2)/2))/(LN(2)/2)*V83*Y83*VLOOKUP('Données projet'!$B$9,Paramètres!$A$1:$I$88,3,0)*0.475*44/12</f>
        <v>2.8894560673977465</v>
      </c>
      <c r="AC83" s="24">
        <f t="shared" si="57"/>
        <v>31.728351146438044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769</v>
      </c>
      <c r="AG83" s="13">
        <f>VLOOKUP(A83,'Données projet'!$A$61:$I$81,9,0)</f>
        <v>5.8</v>
      </c>
      <c r="AH83" s="13">
        <f t="array" ref="AH83">INDEX(AG:AG,MIN(IF(ISNUMBER(AG83:AG279),ROW(AG83:AG279),"")))</f>
        <v>5.8</v>
      </c>
      <c r="AI83" s="14">
        <f>IF('Données projet'!$A$62&gt;35,AI82+AH83-AQ82,IF(A83&lt;'Données projet'!$A$62,$AF$205^A83,IF(A83='Données projet'!$A$62,'Données projet'!$B$62,AI82+AH83-AQ82)))</f>
        <v>768.9999999999992</v>
      </c>
      <c r="AJ83" s="14">
        <f>AI83*VLOOKUP('Données projet'!$B$10,Paramètres!$A$1:$I$88,3,0)*VLOOKUP('Données projet'!$B$10,Paramètres!$A$1:$I$88,5,0)</f>
        <v>429.87099999999958</v>
      </c>
      <c r="AK83" s="14">
        <f t="shared" si="89"/>
        <v>97.806935594586989</v>
      </c>
      <c r="AL83" s="22">
        <f t="shared" si="58"/>
        <v>919.03907116057144</v>
      </c>
      <c r="AM83" s="62">
        <f t="shared" si="59"/>
        <v>1212.3724044939047</v>
      </c>
      <c r="AN83" s="62">
        <f ca="1">AVERAGE(OFFSET($AM$3,0,0,'Données projet'!$E$10+1,1))-AVERAGE(OFFSET($H$3,0,0,'Données projet'!$E$10+1,1))</f>
        <v>583.31979399672844</v>
      </c>
      <c r="AO83" s="62">
        <f t="shared" si="90"/>
        <v>544.21514138474731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769</v>
      </c>
      <c r="AR83" s="17">
        <f>IF(ISNA(VLOOKUP(A83,'Données projet'!$A$61:$I$81,5,0)),0%,VLOOKUP(A83,'Données projet'!$A$61:$I$81,5,0)*VLOOKUP('Données projet'!$B$10,Paramètres!$A$1:$I$88,7,0))</f>
        <v>0.44000000000000006</v>
      </c>
      <c r="AS83" s="17">
        <f>IF(ISNA(VLOOKUP(A83,'Données projet'!$A$61:$I$81,6,0)),0%,VLOOKUP(A83,'Données projet'!$A$61:$I$81,6,0)*VLOOKUP('Données projet'!$B$10,Paramètres!$A$1:$I$88,7,0))</f>
        <v>6.0500000000000005E-2</v>
      </c>
      <c r="AT83" s="17">
        <f>IF(ISNA(VLOOKUP(A83,'Données projet'!$A$61:$I$81,7,0)),0%,VLOOKUP(A83,'Données projet'!$A$61:$I$81,7,0))</f>
        <v>0.09</v>
      </c>
      <c r="AU83" s="23">
        <f>EXP(-LN(2)/35)*AU82+(1-EXP(-LN(2)/35))/(LN(2)/35)*AQ83*AR83*VLOOKUP('Données projet'!$B$10,Paramètres!$A$1:$I$88,3,0)*0.475*44/12</f>
        <v>308.23542389289247</v>
      </c>
      <c r="AV83" s="23">
        <f>EXP(-LN(2)/25)*AV82+(1-EXP(-LN(2)/25))/(LN(2)/25)*Calculateur!AQ83*Calculateur!AS83*VLOOKUP('Données projet'!$B$10,Paramètres!$A$1:$I$88,3,0)*0.475*44/12</f>
        <v>66.146947345567412</v>
      </c>
      <c r="AW83" s="23">
        <f>EXP(-LN(2)/2)*AW82+(1-EXP(-LN(2)/2))/(LN(2)/2)*AQ83*AT83*VLOOKUP('Données projet'!$B$10,Paramètres!$A$1:$I$88,3,0)*0.475*44/12</f>
        <v>44.194742370513453</v>
      </c>
      <c r="AX83" s="23">
        <f t="shared" si="60"/>
        <v>418.57711360897332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projet'!$B$11,Paramètres!$A$1:$I$88,3,0)*VLOOKUP('Données projet'!$B$11,Paramètres!$A$1:$I$88,5,0)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projet'!$B$11,Paramètres!$A$1:$I$88,3,0)*0.475*44/12</f>
        <v>#N/A</v>
      </c>
      <c r="BQ83" s="23" t="e">
        <f>EXP(-LN(2)/25)*BQ82+(1-EXP(-LN(2)/25))/(LN(2)/25)*Calculateur!BL83*Calculateur!BN83*VLOOKUP('Données projet'!$B$11,Paramètres!$A$1:$I$88,3,0)*0.475*44/12</f>
        <v>#N/A</v>
      </c>
      <c r="BR83" s="23" t="e">
        <f>EXP(-LN(2)/2)*BR82+(1-EXP(-LN(2)/2))/(LN(2)/2)*BL83*BO83*VLOOKUP('Données projet'!$B$11,Paramètres!$A$1:$I$88,3,0)*0.475*44/12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projet'!$B$12,Paramètres!$A$1:$I$88,3,0)*0.475*44/12</f>
        <v>#N/A</v>
      </c>
      <c r="CL83" s="23" t="e">
        <f>EXP(-LN(2)/25)*CL82+(1-EXP(-LN(2)/25))/(LN(2)/25)*Calculateur!CG83*Calculateur!CI83*VLOOKUP('Données projet'!$B$12,Paramètres!$A$1:$I$88,3,0)*0.475*44/12</f>
        <v>#N/A</v>
      </c>
      <c r="CM83" s="23" t="e">
        <f>EXP(-LN(2)/2)*CM82+(1-EXP(-LN(2)/2))/(LN(2)/2)*CG83*CJ83*VLOOKUP('Données projet'!$B$12,Paramètres!$A$1:$I$88,3,0)*0.475*44/12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</v>
      </c>
      <c r="N84" s="14">
        <f>IF('Données projet'!$A$36&gt;35,N83+M84-V83,IF(A84&lt;'Données projet'!$A$36,$K$205^A84,IF(A84='Données projet'!$A$36,'Données projet'!$B$36,N83+M84-V83)))</f>
        <v>445</v>
      </c>
      <c r="O84" s="14">
        <f>N84*VLOOKUP('Données projet'!$B$9,Paramètres!$A$1:$I$88,3,0)*VLOOKUP('Données projet'!$B$9,Paramètres!$A$1:$I$88,5,0)</f>
        <v>208.26</v>
      </c>
      <c r="P84" s="14">
        <f t="shared" si="87"/>
        <v>51.555167993086684</v>
      </c>
      <c r="Q84" s="22">
        <f t="shared" si="54"/>
        <v>452.51141758795933</v>
      </c>
      <c r="R84" s="62">
        <f t="shared" si="55"/>
        <v>745.84475092129264</v>
      </c>
      <c r="S84" s="62">
        <f ca="1">AVERAGE(OFFSET($R$3,0,0,'Données projet'!$E$9+1,1))-AVERAGE(OFFSET($H$3,0,0,'Données projet'!$E$9+1,1))</f>
        <v>316.04959780858269</v>
      </c>
      <c r="T84" s="62">
        <f t="shared" si="88"/>
        <v>213.60182977243113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17.102607660819636</v>
      </c>
      <c r="AA84" s="23">
        <f>EXP(-LN(2)/25)*AA83+(1-EXP(-LN(2)/25))/(LN(2)/25)*Calculateur!V84*Calculateur!X84*VLOOKUP('Données projet'!$B$9,Paramètres!$A$1:$I$88,3,0)*0.475*44/12</f>
        <v>11.082632529867363</v>
      </c>
      <c r="AB84" s="23">
        <f>EXP(-LN(2)/2)*AB83+(1-EXP(-LN(2)/2))/(LN(2)/2)*V84*Y84*VLOOKUP('Données projet'!$B$9,Paramètres!$A$1:$I$88,3,0)*0.475*44/12</f>
        <v>2.0431539791975606</v>
      </c>
      <c r="AC84" s="24">
        <f t="shared" si="57"/>
        <v>30.22839416988456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-7.9580786405131221E-13</v>
      </c>
      <c r="AJ84" s="14">
        <f>AI84*VLOOKUP('Données projet'!$B$10,Paramètres!$A$1:$I$88,3,0)*VLOOKUP('Données projet'!$B$10,Paramètres!$A$1:$I$88,5,0)</f>
        <v>-4.448565960046835E-13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583.31979399672844</v>
      </c>
      <c r="AO84" s="62">
        <f t="shared" si="90"/>
        <v>544.21514138474731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302.19111523539749</v>
      </c>
      <c r="AV84" s="23">
        <f>EXP(-LN(2)/25)*AV83+(1-EXP(-LN(2)/25))/(LN(2)/25)*Calculateur!AQ84*Calculateur!AS84*VLOOKUP('Données projet'!$B$10,Paramètres!$A$1:$I$88,3,0)*0.475*44/12</f>
        <v>64.338155591886093</v>
      </c>
      <c r="AW84" s="23">
        <f>EXP(-LN(2)/2)*AW83+(1-EXP(-LN(2)/2))/(LN(2)/2)*AQ84*AT84*VLOOKUP('Données projet'!$B$10,Paramètres!$A$1:$I$88,3,0)*0.475*44/12</f>
        <v>31.250402022982499</v>
      </c>
      <c r="AX84" s="23">
        <f t="shared" si="60"/>
        <v>397.77967285026608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projet'!$B$11,Paramètres!$A$1:$I$88,3,0)*VLOOKUP('Données projet'!$B$11,Paramètres!$A$1:$I$88,5,0)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projet'!$B$11,Paramètres!$A$1:$I$88,3,0)*0.475*44/12</f>
        <v>#N/A</v>
      </c>
      <c r="BQ84" s="23" t="e">
        <f>EXP(-LN(2)/25)*BQ83+(1-EXP(-LN(2)/25))/(LN(2)/25)*Calculateur!BL84*Calculateur!BN84*VLOOKUP('Données projet'!$B$11,Paramètres!$A$1:$I$88,3,0)*0.475*44/12</f>
        <v>#N/A</v>
      </c>
      <c r="BR84" s="23" t="e">
        <f>EXP(-LN(2)/2)*BR83+(1-EXP(-LN(2)/2))/(LN(2)/2)*BL84*BO84*VLOOKUP('Données projet'!$B$11,Paramètres!$A$1:$I$88,3,0)*0.475*44/12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projet'!$B$12,Paramètres!$A$1:$I$88,3,0)*0.475*44/12</f>
        <v>#N/A</v>
      </c>
      <c r="CL84" s="23" t="e">
        <f>EXP(-LN(2)/25)*CL83+(1-EXP(-LN(2)/25))/(LN(2)/25)*Calculateur!CG84*Calculateur!CI84*VLOOKUP('Données projet'!$B$12,Paramètres!$A$1:$I$88,3,0)*0.475*44/12</f>
        <v>#N/A</v>
      </c>
      <c r="CM84" s="23" t="e">
        <f>EXP(-LN(2)/2)*CM83+(1-EXP(-LN(2)/2))/(LN(2)/2)*CG84*CJ84*VLOOKUP('Données projet'!$B$12,Paramètres!$A$1:$I$88,3,0)*0.475*44/12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</v>
      </c>
      <c r="N85" s="14">
        <f>IF('Données projet'!$A$36&gt;35,N84+M85-V84,IF(A85&lt;'Données projet'!$A$36,$K$205^A85,IF(A85='Données projet'!$A$36,'Données projet'!$B$36,N84+M85-V84)))</f>
        <v>450</v>
      </c>
      <c r="O85" s="14">
        <f>N85*VLOOKUP('Données projet'!$B$9,Paramètres!$A$1:$I$88,3,0)*VLOOKUP('Données projet'!$B$9,Paramètres!$A$1:$I$88,5,0)</f>
        <v>210.6</v>
      </c>
      <c r="P85" s="14">
        <f t="shared" si="87"/>
        <v>52.066679014659961</v>
      </c>
      <c r="Q85" s="22">
        <f t="shared" si="54"/>
        <v>457.47779928386609</v>
      </c>
      <c r="R85" s="62">
        <f t="shared" si="55"/>
        <v>750.81113261719941</v>
      </c>
      <c r="S85" s="62">
        <f ca="1">AVERAGE(OFFSET($R$3,0,0,'Données projet'!$E$9+1,1))-AVERAGE(OFFSET($H$3,0,0,'Données projet'!$E$9+1,1))</f>
        <v>316.04959780858269</v>
      </c>
      <c r="T85" s="62">
        <f t="shared" si="88"/>
        <v>213.60182977243113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16.767235956151605</v>
      </c>
      <c r="AA85" s="23">
        <f>EXP(-LN(2)/25)*AA84+(1-EXP(-LN(2)/25))/(LN(2)/25)*Calculateur!V85*Calculateur!X85*VLOOKUP('Données projet'!$B$9,Paramètres!$A$1:$I$88,3,0)*0.475*44/12</f>
        <v>10.779577360527824</v>
      </c>
      <c r="AB85" s="23">
        <f>EXP(-LN(2)/2)*AB84+(1-EXP(-LN(2)/2))/(LN(2)/2)*V85*Y85*VLOOKUP('Données projet'!$B$9,Paramètres!$A$1:$I$88,3,0)*0.475*44/12</f>
        <v>1.4447280336988735</v>
      </c>
      <c r="AC85" s="24">
        <f t="shared" si="57"/>
        <v>28.991541350378302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-7.9580786405131221E-13</v>
      </c>
      <c r="AJ85" s="14">
        <f>AI85*VLOOKUP('Données projet'!$B$10,Paramètres!$A$1:$I$88,3,0)*VLOOKUP('Données projet'!$B$10,Paramètres!$A$1:$I$88,5,0)</f>
        <v>-4.448565960046835E-13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583.31979399672844</v>
      </c>
      <c r="AO85" s="62">
        <f t="shared" si="90"/>
        <v>544.21514138474731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296.26533178401172</v>
      </c>
      <c r="AV85" s="23">
        <f>EXP(-LN(2)/25)*AV84+(1-EXP(-LN(2)/25))/(LN(2)/25)*Calculateur!AQ85*Calculateur!AS85*VLOOKUP('Données projet'!$B$10,Paramètres!$A$1:$I$88,3,0)*0.475*44/12</f>
        <v>62.578825343829415</v>
      </c>
      <c r="AW85" s="23">
        <f>EXP(-LN(2)/2)*AW84+(1-EXP(-LN(2)/2))/(LN(2)/2)*AQ85*AT85*VLOOKUP('Données projet'!$B$10,Paramètres!$A$1:$I$88,3,0)*0.475*44/12</f>
        <v>22.09737118525673</v>
      </c>
      <c r="AX85" s="23">
        <f t="shared" si="60"/>
        <v>380.94152831309788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projet'!$B$11,Paramètres!$A$1:$I$88,3,0)*VLOOKUP('Données projet'!$B$11,Paramètres!$A$1:$I$88,5,0)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projet'!$B$11,Paramètres!$A$1:$I$88,3,0)*0.475*44/12</f>
        <v>#N/A</v>
      </c>
      <c r="BQ85" s="23" t="e">
        <f>EXP(-LN(2)/25)*BQ84+(1-EXP(-LN(2)/25))/(LN(2)/25)*Calculateur!BL85*Calculateur!BN85*VLOOKUP('Données projet'!$B$11,Paramètres!$A$1:$I$88,3,0)*0.475*44/12</f>
        <v>#N/A</v>
      </c>
      <c r="BR85" s="23" t="e">
        <f>EXP(-LN(2)/2)*BR84+(1-EXP(-LN(2)/2))/(LN(2)/2)*BL85*BO85*VLOOKUP('Données projet'!$B$11,Paramètres!$A$1:$I$88,3,0)*0.475*44/12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projet'!$B$12,Paramètres!$A$1:$I$88,3,0)*0.475*44/12</f>
        <v>#N/A</v>
      </c>
      <c r="CL85" s="23" t="e">
        <f>EXP(-LN(2)/25)*CL84+(1-EXP(-LN(2)/25))/(LN(2)/25)*Calculateur!CG85*Calculateur!CI85*VLOOKUP('Données projet'!$B$12,Paramètres!$A$1:$I$88,3,0)*0.475*44/12</f>
        <v>#N/A</v>
      </c>
      <c r="CM85" s="23" t="e">
        <f>EXP(-LN(2)/2)*CM84+(1-EXP(-LN(2)/2))/(LN(2)/2)*CG85*CJ85*VLOOKUP('Données projet'!$B$12,Paramètres!$A$1:$I$88,3,0)*0.475*44/12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</v>
      </c>
      <c r="N86" s="14">
        <f>IF('Données projet'!$A$36&gt;35,N85+M86-V85,IF(A86&lt;'Données projet'!$A$36,$K$205^A86,IF(A86='Données projet'!$A$36,'Données projet'!$B$36,N85+M86-V85)))</f>
        <v>455</v>
      </c>
      <c r="O86" s="14">
        <f>N86*VLOOKUP('Données projet'!$B$9,Paramètres!$A$1:$I$88,3,0)*VLOOKUP('Données projet'!$B$9,Paramètres!$A$1:$I$88,5,0)</f>
        <v>212.94</v>
      </c>
      <c r="P86" s="14">
        <f t="shared" si="87"/>
        <v>52.577528895212865</v>
      </c>
      <c r="Q86" s="22">
        <f t="shared" si="54"/>
        <v>462.44302949249573</v>
      </c>
      <c r="R86" s="62">
        <f t="shared" si="55"/>
        <v>755.77636282582898</v>
      </c>
      <c r="S86" s="62">
        <f ca="1">AVERAGE(OFFSET($R$3,0,0,'Données projet'!$E$9+1,1))-AVERAGE(OFFSET($H$3,0,0,'Données projet'!$E$9+1,1))</f>
        <v>316.04959780858269</v>
      </c>
      <c r="T86" s="62">
        <f t="shared" si="88"/>
        <v>213.60182977243113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16.438440686055571</v>
      </c>
      <c r="AA86" s="23">
        <f>EXP(-LN(2)/25)*AA85+(1-EXP(-LN(2)/25))/(LN(2)/25)*Calculateur!V86*Calculateur!X86*VLOOKUP('Données projet'!$B$9,Paramètres!$A$1:$I$88,3,0)*0.475*44/12</f>
        <v>10.484809250730855</v>
      </c>
      <c r="AB86" s="23">
        <f>EXP(-LN(2)/2)*AB85+(1-EXP(-LN(2)/2))/(LN(2)/2)*V86*Y86*VLOOKUP('Données projet'!$B$9,Paramètres!$A$1:$I$88,3,0)*0.475*44/12</f>
        <v>1.0215769895987805</v>
      </c>
      <c r="AC86" s="24">
        <f t="shared" si="57"/>
        <v>27.944826926385208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-7.9580786405131221E-13</v>
      </c>
      <c r="AJ86" s="14">
        <f>AI86*VLOOKUP('Données projet'!$B$10,Paramètres!$A$1:$I$88,3,0)*VLOOKUP('Données projet'!$B$10,Paramètres!$A$1:$I$88,5,0)</f>
        <v>-4.448565960046835E-13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583.31979399672844</v>
      </c>
      <c r="AO86" s="62">
        <f t="shared" si="90"/>
        <v>544.21514138474731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290.45574933173663</v>
      </c>
      <c r="AV86" s="23">
        <f>EXP(-LN(2)/25)*AV85+(1-EXP(-LN(2)/25))/(LN(2)/25)*Calculateur!AQ86*Calculateur!AS86*VLOOKUP('Données projet'!$B$10,Paramètres!$A$1:$I$88,3,0)*0.475*44/12</f>
        <v>60.867604073925001</v>
      </c>
      <c r="AW86" s="23">
        <f>EXP(-LN(2)/2)*AW85+(1-EXP(-LN(2)/2))/(LN(2)/2)*AQ86*AT86*VLOOKUP('Données projet'!$B$10,Paramètres!$A$1:$I$88,3,0)*0.475*44/12</f>
        <v>15.625201011491251</v>
      </c>
      <c r="AX86" s="23">
        <f t="shared" si="60"/>
        <v>366.94855441715288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projet'!$B$11,Paramètres!$A$1:$I$88,3,0)*VLOOKUP('Données projet'!$B$11,Paramètres!$A$1:$I$88,5,0)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projet'!$B$11,Paramètres!$A$1:$I$88,3,0)*0.475*44/12</f>
        <v>#N/A</v>
      </c>
      <c r="BQ86" s="23" t="e">
        <f>EXP(-LN(2)/25)*BQ85+(1-EXP(-LN(2)/25))/(LN(2)/25)*Calculateur!BL86*Calculateur!BN86*VLOOKUP('Données projet'!$B$11,Paramètres!$A$1:$I$88,3,0)*0.475*44/12</f>
        <v>#N/A</v>
      </c>
      <c r="BR86" s="23" t="e">
        <f>EXP(-LN(2)/2)*BR85+(1-EXP(-LN(2)/2))/(LN(2)/2)*BL86*BO86*VLOOKUP('Données projet'!$B$11,Paramètres!$A$1:$I$88,3,0)*0.475*44/12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projet'!$B$12,Paramètres!$A$1:$I$88,3,0)*0.475*44/12</f>
        <v>#N/A</v>
      </c>
      <c r="CL86" s="23" t="e">
        <f>EXP(-LN(2)/25)*CL85+(1-EXP(-LN(2)/25))/(LN(2)/25)*Calculateur!CG86*Calculateur!CI86*VLOOKUP('Données projet'!$B$12,Paramètres!$A$1:$I$88,3,0)*0.475*44/12</f>
        <v>#N/A</v>
      </c>
      <c r="CM86" s="23" t="e">
        <f>EXP(-LN(2)/2)*CM85+(1-EXP(-LN(2)/2))/(LN(2)/2)*CG86*CJ86*VLOOKUP('Données projet'!$B$12,Paramètres!$A$1:$I$88,3,0)*0.475*44/12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</v>
      </c>
      <c r="N87" s="14">
        <f>IF('Données projet'!$A$36&gt;35,N86+M87-V86,IF(A87&lt;'Données projet'!$A$36,$K$205^A87,IF(A87='Données projet'!$A$36,'Données projet'!$B$36,N86+M87-V86)))</f>
        <v>460</v>
      </c>
      <c r="O87" s="14">
        <f>N87*VLOOKUP('Données projet'!$B$9,Paramètres!$A$1:$I$88,3,0)*VLOOKUP('Données projet'!$B$9,Paramètres!$A$1:$I$88,5,0)</f>
        <v>215.28</v>
      </c>
      <c r="P87" s="14">
        <f t="shared" si="87"/>
        <v>53.087725740853138</v>
      </c>
      <c r="Q87" s="22">
        <f t="shared" si="54"/>
        <v>467.40712233198587</v>
      </c>
      <c r="R87" s="62">
        <f t="shared" si="55"/>
        <v>760.74045566531913</v>
      </c>
      <c r="S87" s="62">
        <f ca="1">AVERAGE(OFFSET($R$3,0,0,'Données projet'!$E$9+1,1))-AVERAGE(OFFSET($H$3,0,0,'Données projet'!$E$9+1,1))</f>
        <v>316.04959780858269</v>
      </c>
      <c r="T87" s="62">
        <f t="shared" si="88"/>
        <v>213.60182977243113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16.116092890660809</v>
      </c>
      <c r="AA87" s="23">
        <f>EXP(-LN(2)/25)*AA86+(1-EXP(-LN(2)/25))/(LN(2)/25)*Calculateur!V87*Calculateur!X87*VLOOKUP('Données projet'!$B$9,Paramètres!$A$1:$I$88,3,0)*0.475*44/12</f>
        <v>10.198101590397465</v>
      </c>
      <c r="AB87" s="23">
        <f>EXP(-LN(2)/2)*AB86+(1-EXP(-LN(2)/2))/(LN(2)/2)*V87*Y87*VLOOKUP('Données projet'!$B$9,Paramètres!$A$1:$I$88,3,0)*0.475*44/12</f>
        <v>0.72236401684943685</v>
      </c>
      <c r="AC87" s="24">
        <f t="shared" si="57"/>
        <v>27.036558497907709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-7.9580786405131221E-13</v>
      </c>
      <c r="AJ87" s="14">
        <f>AI87*VLOOKUP('Données projet'!$B$10,Paramètres!$A$1:$I$88,3,0)*VLOOKUP('Données projet'!$B$10,Paramètres!$A$1:$I$88,5,0)</f>
        <v>-4.448565960046835E-13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583.31979399672844</v>
      </c>
      <c r="AO87" s="62">
        <f t="shared" si="90"/>
        <v>544.21514138474731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284.76008924785521</v>
      </c>
      <c r="AV87" s="23">
        <f>EXP(-LN(2)/25)*AV86+(1-EXP(-LN(2)/25))/(LN(2)/25)*Calculateur!AQ87*Calculateur!AS87*VLOOKUP('Données projet'!$B$10,Paramètres!$A$1:$I$88,3,0)*0.475*44/12</f>
        <v>59.20317623963534</v>
      </c>
      <c r="AW87" s="23">
        <f>EXP(-LN(2)/2)*AW86+(1-EXP(-LN(2)/2))/(LN(2)/2)*AQ87*AT87*VLOOKUP('Données projet'!$B$10,Paramètres!$A$1:$I$88,3,0)*0.475*44/12</f>
        <v>11.048685592628367</v>
      </c>
      <c r="AX87" s="23">
        <f t="shared" si="60"/>
        <v>355.01195108011893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projet'!$B$11,Paramètres!$A$1:$I$88,3,0)*VLOOKUP('Données projet'!$B$11,Paramètres!$A$1:$I$88,5,0)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projet'!$B$11,Paramètres!$A$1:$I$88,3,0)*0.475*44/12</f>
        <v>#N/A</v>
      </c>
      <c r="BQ87" s="23" t="e">
        <f>EXP(-LN(2)/25)*BQ86+(1-EXP(-LN(2)/25))/(LN(2)/25)*Calculateur!BL87*Calculateur!BN87*VLOOKUP('Données projet'!$B$11,Paramètres!$A$1:$I$88,3,0)*0.475*44/12</f>
        <v>#N/A</v>
      </c>
      <c r="BR87" s="23" t="e">
        <f>EXP(-LN(2)/2)*BR86+(1-EXP(-LN(2)/2))/(LN(2)/2)*BL87*BO87*VLOOKUP('Données projet'!$B$11,Paramètres!$A$1:$I$88,3,0)*0.475*44/12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projet'!$B$12,Paramètres!$A$1:$I$88,3,0)*0.475*44/12</f>
        <v>#N/A</v>
      </c>
      <c r="CL87" s="23" t="e">
        <f>EXP(-LN(2)/25)*CL86+(1-EXP(-LN(2)/25))/(LN(2)/25)*Calculateur!CG87*Calculateur!CI87*VLOOKUP('Données projet'!$B$12,Paramètres!$A$1:$I$88,3,0)*0.475*44/12</f>
        <v>#N/A</v>
      </c>
      <c r="CM87" s="23" t="e">
        <f>EXP(-LN(2)/2)*CM86+(1-EXP(-LN(2)/2))/(LN(2)/2)*CG87*CJ87*VLOOKUP('Données projet'!$B$12,Paramètres!$A$1:$I$88,3,0)*0.475*44/12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</v>
      </c>
      <c r="N88" s="14">
        <f>IF('Données projet'!$A$36&gt;35,N87+M88-V87,IF(A88&lt;'Données projet'!$A$36,$K$205^A88,IF(A88='Données projet'!$A$36,'Données projet'!$B$36,N87+M88-V87)))</f>
        <v>465</v>
      </c>
      <c r="O88" s="14">
        <f>N88*VLOOKUP('Données projet'!$B$9,Paramètres!$A$1:$I$88,3,0)*VLOOKUP('Données projet'!$B$9,Paramètres!$A$1:$I$88,5,0)</f>
        <v>217.62</v>
      </c>
      <c r="P88" s="14">
        <f t="shared" si="87"/>
        <v>53.597277471320098</v>
      </c>
      <c r="Q88" s="22">
        <f t="shared" si="54"/>
        <v>472.37009159588257</v>
      </c>
      <c r="R88" s="62">
        <f t="shared" si="55"/>
        <v>765.70342492921588</v>
      </c>
      <c r="S88" s="62">
        <f ca="1">AVERAGE(OFFSET($R$3,0,0,'Données projet'!$E$9+1,1))-AVERAGE(OFFSET($H$3,0,0,'Données projet'!$E$9+1,1))</f>
        <v>316.04959780858269</v>
      </c>
      <c r="T88" s="62">
        <f t="shared" si="88"/>
        <v>213.60182977243113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15.800066138920997</v>
      </c>
      <c r="AA88" s="23">
        <f>EXP(-LN(2)/25)*AA87+(1-EXP(-LN(2)/25))/(LN(2)/25)*Calculateur!V88*Calculateur!X88*VLOOKUP('Données projet'!$B$9,Paramètres!$A$1:$I$88,3,0)*0.475*44/12</f>
        <v>9.9192339661131914</v>
      </c>
      <c r="AB88" s="23">
        <f>EXP(-LN(2)/2)*AB87+(1-EXP(-LN(2)/2))/(LN(2)/2)*V88*Y88*VLOOKUP('Données projet'!$B$9,Paramètres!$A$1:$I$88,3,0)*0.475*44/12</f>
        <v>0.51078849479939026</v>
      </c>
      <c r="AC88" s="24">
        <f t="shared" si="57"/>
        <v>26.230088599833575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-7.9580786405131221E-13</v>
      </c>
      <c r="AJ88" s="14">
        <f>AI88*VLOOKUP('Données projet'!$B$10,Paramètres!$A$1:$I$88,3,0)*VLOOKUP('Données projet'!$B$10,Paramètres!$A$1:$I$88,5,0)</f>
        <v>-4.448565960046835E-13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583.31979399672844</v>
      </c>
      <c r="AO88" s="62">
        <f t="shared" si="90"/>
        <v>544.21514138474731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279.17611758420907</v>
      </c>
      <c r="AV88" s="23">
        <f>EXP(-LN(2)/25)*AV87+(1-EXP(-LN(2)/25))/(LN(2)/25)*Calculateur!AQ88*Calculateur!AS88*VLOOKUP('Données projet'!$B$10,Paramètres!$A$1:$I$88,3,0)*0.475*44/12</f>
        <v>57.584262272002782</v>
      </c>
      <c r="AW88" s="23">
        <f>EXP(-LN(2)/2)*AW87+(1-EXP(-LN(2)/2))/(LN(2)/2)*AQ88*AT88*VLOOKUP('Données projet'!$B$10,Paramètres!$A$1:$I$88,3,0)*0.475*44/12</f>
        <v>7.8126005057456274</v>
      </c>
      <c r="AX88" s="23">
        <f t="shared" si="60"/>
        <v>344.57298036195749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projet'!$B$11,Paramètres!$A$1:$I$88,3,0)*VLOOKUP('Données projet'!$B$11,Paramètres!$A$1:$I$88,5,0)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projet'!$B$11,Paramètres!$A$1:$I$88,3,0)*0.475*44/12</f>
        <v>#N/A</v>
      </c>
      <c r="BQ88" s="23" t="e">
        <f>EXP(-LN(2)/25)*BQ87+(1-EXP(-LN(2)/25))/(LN(2)/25)*Calculateur!BL88*Calculateur!BN88*VLOOKUP('Données projet'!$B$11,Paramètres!$A$1:$I$88,3,0)*0.475*44/12</f>
        <v>#N/A</v>
      </c>
      <c r="BR88" s="23" t="e">
        <f>EXP(-LN(2)/2)*BR87+(1-EXP(-LN(2)/2))/(LN(2)/2)*BL88*BO88*VLOOKUP('Données projet'!$B$11,Paramètres!$A$1:$I$88,3,0)*0.475*44/12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projet'!$B$12,Paramètres!$A$1:$I$88,3,0)*0.475*44/12</f>
        <v>#N/A</v>
      </c>
      <c r="CL88" s="23" t="e">
        <f>EXP(-LN(2)/25)*CL87+(1-EXP(-LN(2)/25))/(LN(2)/25)*Calculateur!CG88*Calculateur!CI88*VLOOKUP('Données projet'!$B$12,Paramètres!$A$1:$I$88,3,0)*0.475*44/12</f>
        <v>#N/A</v>
      </c>
      <c r="CM88" s="23" t="e">
        <f>EXP(-LN(2)/2)*CM87+(1-EXP(-LN(2)/2))/(LN(2)/2)*CG88*CJ88*VLOOKUP('Données projet'!$B$12,Paramètres!$A$1:$I$88,3,0)*0.475*44/12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</v>
      </c>
      <c r="N89" s="14">
        <f>IF('Données projet'!$A$36&gt;35,N88+M89-V88,IF(A89&lt;'Données projet'!$A$36,$K$205^A89,IF(A89='Données projet'!$A$36,'Données projet'!$B$36,N88+M89-V88)))</f>
        <v>470</v>
      </c>
      <c r="O89" s="14">
        <f>N89*VLOOKUP('Données projet'!$B$9,Paramètres!$A$1:$I$88,3,0)*VLOOKUP('Données projet'!$B$9,Paramètres!$A$1:$I$88,5,0)</f>
        <v>219.95999999999998</v>
      </c>
      <c r="P89" s="14">
        <f t="shared" si="87"/>
        <v>54.106191826225746</v>
      </c>
      <c r="Q89" s="22">
        <f t="shared" si="54"/>
        <v>477.33195076400972</v>
      </c>
      <c r="R89" s="62">
        <f t="shared" si="55"/>
        <v>770.66528409734303</v>
      </c>
      <c r="S89" s="62">
        <f ca="1">AVERAGE(OFFSET($R$3,0,0,'Données projet'!$E$9+1,1))-AVERAGE(OFFSET($H$3,0,0,'Données projet'!$E$9+1,1))</f>
        <v>316.04959780858269</v>
      </c>
      <c r="T89" s="62">
        <f t="shared" si="88"/>
        <v>213.60182977243113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15.490236479025517</v>
      </c>
      <c r="AA89" s="23">
        <f>EXP(-LN(2)/25)*AA88+(1-EXP(-LN(2)/25))/(LN(2)/25)*Calculateur!V89*Calculateur!X89*VLOOKUP('Données projet'!$B$9,Paramètres!$A$1:$I$88,3,0)*0.475*44/12</f>
        <v>9.6479919916799819</v>
      </c>
      <c r="AB89" s="23">
        <f>EXP(-LN(2)/2)*AB88+(1-EXP(-LN(2)/2))/(LN(2)/2)*V89*Y89*VLOOKUP('Données projet'!$B$9,Paramètres!$A$1:$I$88,3,0)*0.475*44/12</f>
        <v>0.36118200842471843</v>
      </c>
      <c r="AC89" s="24">
        <f t="shared" si="57"/>
        <v>25.499410479130219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-7.9580786405131221E-13</v>
      </c>
      <c r="AJ89" s="14">
        <f>AI89*VLOOKUP('Données projet'!$B$10,Paramètres!$A$1:$I$88,3,0)*VLOOKUP('Données projet'!$B$10,Paramètres!$A$1:$I$88,5,0)</f>
        <v>-4.448565960046835E-13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583.31979399672844</v>
      </c>
      <c r="AO89" s="62">
        <f t="shared" si="90"/>
        <v>544.21514138474731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273.70164419900061</v>
      </c>
      <c r="AV89" s="23">
        <f>EXP(-LN(2)/25)*AV88+(1-EXP(-LN(2)/25))/(LN(2)/25)*Calculateur!AQ89*Calculateur!AS89*VLOOKUP('Données projet'!$B$10,Paramètres!$A$1:$I$88,3,0)*0.475*44/12</f>
        <v>56.009617591950125</v>
      </c>
      <c r="AW89" s="23">
        <f>EXP(-LN(2)/2)*AW88+(1-EXP(-LN(2)/2))/(LN(2)/2)*AQ89*AT89*VLOOKUP('Données projet'!$B$10,Paramètres!$A$1:$I$88,3,0)*0.475*44/12</f>
        <v>5.5243427963141842</v>
      </c>
      <c r="AX89" s="23">
        <f t="shared" si="60"/>
        <v>335.2356045872649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projet'!$B$11,Paramètres!$A$1:$I$88,3,0)*VLOOKUP('Données projet'!$B$11,Paramètres!$A$1:$I$88,5,0)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projet'!$B$11,Paramètres!$A$1:$I$88,3,0)*0.475*44/12</f>
        <v>#N/A</v>
      </c>
      <c r="BQ89" s="23" t="e">
        <f>EXP(-LN(2)/25)*BQ88+(1-EXP(-LN(2)/25))/(LN(2)/25)*Calculateur!BL89*Calculateur!BN89*VLOOKUP('Données projet'!$B$11,Paramètres!$A$1:$I$88,3,0)*0.475*44/12</f>
        <v>#N/A</v>
      </c>
      <c r="BR89" s="23" t="e">
        <f>EXP(-LN(2)/2)*BR88+(1-EXP(-LN(2)/2))/(LN(2)/2)*BL89*BO89*VLOOKUP('Données projet'!$B$11,Paramètres!$A$1:$I$88,3,0)*0.475*44/12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projet'!$B$12,Paramètres!$A$1:$I$88,3,0)*0.475*44/12</f>
        <v>#N/A</v>
      </c>
      <c r="CL89" s="23" t="e">
        <f>EXP(-LN(2)/25)*CL88+(1-EXP(-LN(2)/25))/(LN(2)/25)*Calculateur!CG89*Calculateur!CI89*VLOOKUP('Données projet'!$B$12,Paramètres!$A$1:$I$88,3,0)*0.475*44/12</f>
        <v>#N/A</v>
      </c>
      <c r="CM89" s="23" t="e">
        <f>EXP(-LN(2)/2)*CM88+(1-EXP(-LN(2)/2))/(LN(2)/2)*CG89*CJ89*VLOOKUP('Données projet'!$B$12,Paramètres!$A$1:$I$88,3,0)*0.475*44/12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</v>
      </c>
      <c r="N90" s="14">
        <f>IF('Données projet'!$A$36&gt;35,N89+M90-V89,IF(A90&lt;'Données projet'!$A$36,$K$205^A90,IF(A90='Données projet'!$A$36,'Données projet'!$B$36,N89+M90-V89)))</f>
        <v>475</v>
      </c>
      <c r="O90" s="14">
        <f>N90*VLOOKUP('Données projet'!$B$9,Paramètres!$A$1:$I$88,3,0)*VLOOKUP('Données projet'!$B$9,Paramètres!$A$1:$I$88,5,0)</f>
        <v>222.3</v>
      </c>
      <c r="P90" s="14">
        <f t="shared" si="87"/>
        <v>54.61447637102394</v>
      </c>
      <c r="Q90" s="22">
        <f t="shared" si="54"/>
        <v>482.29271301286667</v>
      </c>
      <c r="R90" s="62">
        <f t="shared" si="55"/>
        <v>775.62604634619993</v>
      </c>
      <c r="S90" s="62">
        <f ca="1">AVERAGE(OFFSET($R$3,0,0,'Données projet'!$E$9+1,1))-AVERAGE(OFFSET($H$3,0,0,'Données projet'!$E$9+1,1))</f>
        <v>316.04959780858269</v>
      </c>
      <c r="T90" s="62">
        <f t="shared" si="88"/>
        <v>213.60182977243113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15.186482389783155</v>
      </c>
      <c r="AA90" s="23">
        <f>EXP(-LN(2)/25)*AA89+(1-EXP(-LN(2)/25))/(LN(2)/25)*Calculateur!V90*Calculateur!X90*VLOOKUP('Données projet'!$B$9,Paramètres!$A$1:$I$88,3,0)*0.475*44/12</f>
        <v>9.384167143301644</v>
      </c>
      <c r="AB90" s="23">
        <f>EXP(-LN(2)/2)*AB89+(1-EXP(-LN(2)/2))/(LN(2)/2)*V90*Y90*VLOOKUP('Données projet'!$B$9,Paramètres!$A$1:$I$88,3,0)*0.475*44/12</f>
        <v>0.25539424739969513</v>
      </c>
      <c r="AC90" s="24">
        <f t="shared" si="57"/>
        <v>24.826043780484493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-7.9580786405131221E-13</v>
      </c>
      <c r="AJ90" s="14">
        <f>AI90*VLOOKUP('Données projet'!$B$10,Paramètres!$A$1:$I$88,3,0)*VLOOKUP('Données projet'!$B$10,Paramètres!$A$1:$I$88,5,0)</f>
        <v>-4.448565960046835E-13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583.31979399672844</v>
      </c>
      <c r="AO90" s="62">
        <f t="shared" si="90"/>
        <v>544.21514138474731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268.33452189777705</v>
      </c>
      <c r="AV90" s="23">
        <f>EXP(-LN(2)/25)*AV89+(1-EXP(-LN(2)/25))/(LN(2)/25)*Calculateur!AQ90*Calculateur!AS90*VLOOKUP('Données projet'!$B$10,Paramètres!$A$1:$I$88,3,0)*0.475*44/12</f>
        <v>54.478031653480471</v>
      </c>
      <c r="AW90" s="23">
        <f>EXP(-LN(2)/2)*AW89+(1-EXP(-LN(2)/2))/(LN(2)/2)*AQ90*AT90*VLOOKUP('Données projet'!$B$10,Paramètres!$A$1:$I$88,3,0)*0.475*44/12</f>
        <v>3.9063002528728141</v>
      </c>
      <c r="AX90" s="23">
        <f t="shared" si="60"/>
        <v>326.71885380413033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projet'!$B$11,Paramètres!$A$1:$I$88,3,0)*VLOOKUP('Données projet'!$B$11,Paramètres!$A$1:$I$88,5,0)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projet'!$B$11,Paramètres!$A$1:$I$88,3,0)*0.475*44/12</f>
        <v>#N/A</v>
      </c>
      <c r="BQ90" s="23" t="e">
        <f>EXP(-LN(2)/25)*BQ89+(1-EXP(-LN(2)/25))/(LN(2)/25)*Calculateur!BL90*Calculateur!BN90*VLOOKUP('Données projet'!$B$11,Paramètres!$A$1:$I$88,3,0)*0.475*44/12</f>
        <v>#N/A</v>
      </c>
      <c r="BR90" s="23" t="e">
        <f>EXP(-LN(2)/2)*BR89+(1-EXP(-LN(2)/2))/(LN(2)/2)*BL90*BO90*VLOOKUP('Données projet'!$B$11,Paramètres!$A$1:$I$88,3,0)*0.475*44/12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projet'!$B$12,Paramètres!$A$1:$I$88,3,0)*0.475*44/12</f>
        <v>#N/A</v>
      </c>
      <c r="CL90" s="23" t="e">
        <f>EXP(-LN(2)/25)*CL89+(1-EXP(-LN(2)/25))/(LN(2)/25)*Calculateur!CG90*Calculateur!CI90*VLOOKUP('Données projet'!$B$12,Paramètres!$A$1:$I$88,3,0)*0.475*44/12</f>
        <v>#N/A</v>
      </c>
      <c r="CM90" s="23" t="e">
        <f>EXP(-LN(2)/2)*CM89+(1-EXP(-LN(2)/2))/(LN(2)/2)*CG90*CJ90*VLOOKUP('Données projet'!$B$12,Paramètres!$A$1:$I$88,3,0)*0.475*44/12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</v>
      </c>
      <c r="N91" s="14">
        <f>IF('Données projet'!$A$36&gt;35,N90+M91-V90,IF(A91&lt;'Données projet'!$A$36,$K$205^A91,IF(A91='Données projet'!$A$36,'Données projet'!$B$36,N90+M91-V90)))</f>
        <v>480</v>
      </c>
      <c r="O91" s="14">
        <f>N91*VLOOKUP('Données projet'!$B$9,Paramètres!$A$1:$I$88,3,0)*VLOOKUP('Données projet'!$B$9,Paramètres!$A$1:$I$88,5,0)</f>
        <v>224.64</v>
      </c>
      <c r="P91" s="14">
        <f t="shared" si="87"/>
        <v>55.122138502719949</v>
      </c>
      <c r="Q91" s="22">
        <f t="shared" si="54"/>
        <v>487.25239122557053</v>
      </c>
      <c r="R91" s="62">
        <f t="shared" si="55"/>
        <v>780.58572455890385</v>
      </c>
      <c r="S91" s="62">
        <f ca="1">AVERAGE(OFFSET($R$3,0,0,'Données projet'!$E$9+1,1))-AVERAGE(OFFSET($H$3,0,0,'Données projet'!$E$9+1,1))</f>
        <v>316.04959780858269</v>
      </c>
      <c r="T91" s="62">
        <f t="shared" si="88"/>
        <v>213.60182977243113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14.888684732959135</v>
      </c>
      <c r="AA91" s="23">
        <f>EXP(-LN(2)/25)*AA90+(1-EXP(-LN(2)/25))/(LN(2)/25)*Calculateur!V91*Calculateur!X91*VLOOKUP('Données projet'!$B$9,Paramètres!$A$1:$I$88,3,0)*0.475*44/12</f>
        <v>9.1275565992761578</v>
      </c>
      <c r="AB91" s="23">
        <f>EXP(-LN(2)/2)*AB90+(1-EXP(-LN(2)/2))/(LN(2)/2)*V91*Y91*VLOOKUP('Données projet'!$B$9,Paramètres!$A$1:$I$88,3,0)*0.475*44/12</f>
        <v>0.18059100421235921</v>
      </c>
      <c r="AC91" s="24">
        <f t="shared" si="57"/>
        <v>24.196832336447653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-7.9580786405131221E-13</v>
      </c>
      <c r="AJ91" s="14">
        <f>AI91*VLOOKUP('Données projet'!$B$10,Paramètres!$A$1:$I$88,3,0)*VLOOKUP('Données projet'!$B$10,Paramètres!$A$1:$I$88,5,0)</f>
        <v>-4.448565960046835E-13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583.31979399672844</v>
      </c>
      <c r="AO91" s="62">
        <f t="shared" si="90"/>
        <v>544.21514138474731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263.07264559125912</v>
      </c>
      <c r="AV91" s="23">
        <f>EXP(-LN(2)/25)*AV90+(1-EXP(-LN(2)/25))/(LN(2)/25)*Calculateur!AQ91*Calculateur!AS91*VLOOKUP('Données projet'!$B$10,Paramètres!$A$1:$I$88,3,0)*0.475*44/12</f>
        <v>52.988327013040873</v>
      </c>
      <c r="AW91" s="23">
        <f>EXP(-LN(2)/2)*AW90+(1-EXP(-LN(2)/2))/(LN(2)/2)*AQ91*AT91*VLOOKUP('Données projet'!$B$10,Paramètres!$A$1:$I$88,3,0)*0.475*44/12</f>
        <v>2.7621713981570926</v>
      </c>
      <c r="AX91" s="23">
        <f t="shared" si="60"/>
        <v>318.82314400245707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projet'!$B$11,Paramètres!$A$1:$I$88,3,0)*VLOOKUP('Données projet'!$B$11,Paramètres!$A$1:$I$88,5,0)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projet'!$B$11,Paramètres!$A$1:$I$88,3,0)*0.475*44/12</f>
        <v>#N/A</v>
      </c>
      <c r="BQ91" s="23" t="e">
        <f>EXP(-LN(2)/25)*BQ90+(1-EXP(-LN(2)/25))/(LN(2)/25)*Calculateur!BL91*Calculateur!BN91*VLOOKUP('Données projet'!$B$11,Paramètres!$A$1:$I$88,3,0)*0.475*44/12</f>
        <v>#N/A</v>
      </c>
      <c r="BR91" s="23" t="e">
        <f>EXP(-LN(2)/2)*BR90+(1-EXP(-LN(2)/2))/(LN(2)/2)*BL91*BO91*VLOOKUP('Données projet'!$B$11,Paramètres!$A$1:$I$88,3,0)*0.475*44/12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projet'!$B$12,Paramètres!$A$1:$I$88,3,0)*0.475*44/12</f>
        <v>#N/A</v>
      </c>
      <c r="CL91" s="23" t="e">
        <f>EXP(-LN(2)/25)*CL90+(1-EXP(-LN(2)/25))/(LN(2)/25)*Calculateur!CG91*Calculateur!CI91*VLOOKUP('Données projet'!$B$12,Paramètres!$A$1:$I$88,3,0)*0.475*44/12</f>
        <v>#N/A</v>
      </c>
      <c r="CM91" s="23" t="e">
        <f>EXP(-LN(2)/2)*CM90+(1-EXP(-LN(2)/2))/(LN(2)/2)*CG91*CJ91*VLOOKUP('Données projet'!$B$12,Paramètres!$A$1:$I$88,3,0)*0.475*44/12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</v>
      </c>
      <c r="N92" s="14">
        <f>IF('Données projet'!$A$36&gt;35,N91+M92-V91,IF(A92&lt;'Données projet'!$A$36,$K$205^A92,IF(A92='Données projet'!$A$36,'Données projet'!$B$36,N91+M92-V91)))</f>
        <v>485</v>
      </c>
      <c r="O92" s="14">
        <f>N92*VLOOKUP('Données projet'!$B$9,Paramètres!$A$1:$I$88,3,0)*VLOOKUP('Données projet'!$B$9,Paramètres!$A$1:$I$88,5,0)</f>
        <v>226.98</v>
      </c>
      <c r="P92" s="14">
        <f t="shared" si="87"/>
        <v>55.629185455335929</v>
      </c>
      <c r="Q92" s="22">
        <f t="shared" si="54"/>
        <v>492.21099800137671</v>
      </c>
      <c r="R92" s="62">
        <f t="shared" si="55"/>
        <v>785.54433133471002</v>
      </c>
      <c r="S92" s="62">
        <f ca="1">AVERAGE(OFFSET($R$3,0,0,'Données projet'!$E$9+1,1))-AVERAGE(OFFSET($H$3,0,0,'Données projet'!$E$9+1,1))</f>
        <v>316.04959780858269</v>
      </c>
      <c r="T92" s="62">
        <f t="shared" si="88"/>
        <v>213.60182977243113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14.596726706546798</v>
      </c>
      <c r="AA92" s="23">
        <f>EXP(-LN(2)/25)*AA91+(1-EXP(-LN(2)/25))/(LN(2)/25)*Calculateur!V92*Calculateur!X92*VLOOKUP('Données projet'!$B$9,Paramètres!$A$1:$I$88,3,0)*0.475*44/12</f>
        <v>8.8779630840716113</v>
      </c>
      <c r="AB92" s="23">
        <f>EXP(-LN(2)/2)*AB91+(1-EXP(-LN(2)/2))/(LN(2)/2)*V92*Y92*VLOOKUP('Données projet'!$B$9,Paramètres!$A$1:$I$88,3,0)*0.475*44/12</f>
        <v>0.12769712369984756</v>
      </c>
      <c r="AC92" s="24">
        <f t="shared" si="57"/>
        <v>23.602386914318256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-7.9580786405131221E-13</v>
      </c>
      <c r="AJ92" s="14">
        <f>AI92*VLOOKUP('Données projet'!$B$10,Paramètres!$A$1:$I$88,3,0)*VLOOKUP('Données projet'!$B$10,Paramètres!$A$1:$I$88,5,0)</f>
        <v>-4.448565960046835E-13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583.31979399672844</v>
      </c>
      <c r="AO92" s="62">
        <f t="shared" si="90"/>
        <v>544.21514138474731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257.91395146968438</v>
      </c>
      <c r="AV92" s="23">
        <f>EXP(-LN(2)/25)*AV91+(1-EXP(-LN(2)/25))/(LN(2)/25)*Calculateur!AQ92*Calculateur!AS92*VLOOKUP('Données projet'!$B$10,Paramètres!$A$1:$I$88,3,0)*0.475*44/12</f>
        <v>51.53935842433426</v>
      </c>
      <c r="AW92" s="23">
        <f>EXP(-LN(2)/2)*AW91+(1-EXP(-LN(2)/2))/(LN(2)/2)*AQ92*AT92*VLOOKUP('Données projet'!$B$10,Paramètres!$A$1:$I$88,3,0)*0.475*44/12</f>
        <v>1.9531501264364075</v>
      </c>
      <c r="AX92" s="23">
        <f t="shared" si="60"/>
        <v>311.40646002045503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projet'!$B$11,Paramètres!$A$1:$I$88,3,0)*VLOOKUP('Données projet'!$B$11,Paramètres!$A$1:$I$88,5,0)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projet'!$B$11,Paramètres!$A$1:$I$88,3,0)*0.475*44/12</f>
        <v>#N/A</v>
      </c>
      <c r="BQ92" s="23" t="e">
        <f>EXP(-LN(2)/25)*BQ91+(1-EXP(-LN(2)/25))/(LN(2)/25)*Calculateur!BL92*Calculateur!BN92*VLOOKUP('Données projet'!$B$11,Paramètres!$A$1:$I$88,3,0)*0.475*44/12</f>
        <v>#N/A</v>
      </c>
      <c r="BR92" s="23" t="e">
        <f>EXP(-LN(2)/2)*BR91+(1-EXP(-LN(2)/2))/(LN(2)/2)*BL92*BO92*VLOOKUP('Données projet'!$B$11,Paramètres!$A$1:$I$88,3,0)*0.475*44/12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projet'!$B$12,Paramètres!$A$1:$I$88,3,0)*0.475*44/12</f>
        <v>#N/A</v>
      </c>
      <c r="CL92" s="23" t="e">
        <f>EXP(-LN(2)/25)*CL91+(1-EXP(-LN(2)/25))/(LN(2)/25)*Calculateur!CG92*Calculateur!CI92*VLOOKUP('Données projet'!$B$12,Paramètres!$A$1:$I$88,3,0)*0.475*44/12</f>
        <v>#N/A</v>
      </c>
      <c r="CM92" s="23" t="e">
        <f>EXP(-LN(2)/2)*CM91+(1-EXP(-LN(2)/2))/(LN(2)/2)*CG92*CJ92*VLOOKUP('Données projet'!$B$12,Paramètres!$A$1:$I$88,3,0)*0.475*44/12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490</v>
      </c>
      <c r="L93" s="13">
        <f>VLOOKUP(A93,'Données projet'!$A$35:$I$55,9,0)</f>
        <v>5</v>
      </c>
      <c r="M93" s="13">
        <f t="array" ref="M93">INDEX(L:L,MIN(IF(ISNUMBER(L93:L289),ROW(L93:L289),"")))</f>
        <v>5</v>
      </c>
      <c r="N93" s="14">
        <f>IF('Données projet'!$A$36&gt;35,N92+M93-V92,IF(A93&lt;'Données projet'!$A$36,$K$205^A93,IF(A93='Données projet'!$A$36,'Données projet'!$B$36,N92+M93-V92)))</f>
        <v>490</v>
      </c>
      <c r="O93" s="14">
        <f>N93*VLOOKUP('Données projet'!$B$9,Paramètres!$A$1:$I$88,3,0)*VLOOKUP('Données projet'!$B$9,Paramètres!$A$1:$I$88,5,0)</f>
        <v>229.32000000000002</v>
      </c>
      <c r="P93" s="14">
        <f t="shared" si="87"/>
        <v>56.135624305144624</v>
      </c>
      <c r="Q93" s="22">
        <f t="shared" si="54"/>
        <v>497.16854566479356</v>
      </c>
      <c r="R93" s="62">
        <f t="shared" si="55"/>
        <v>790.50187899812681</v>
      </c>
      <c r="S93" s="62">
        <f ca="1">AVERAGE(OFFSET($R$3,0,0,'Données projet'!$E$9+1,1))-AVERAGE(OFFSET($H$3,0,0,'Données projet'!$E$9+1,1))</f>
        <v>316.04959780858269</v>
      </c>
      <c r="T93" s="62">
        <f t="shared" si="88"/>
        <v>213.60182977243113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30</v>
      </c>
      <c r="W93" s="17">
        <f>IF(ISNA(VLOOKUP(A93,'Données projet'!$A$35:$I$55,5,0)),0%,VLOOKUP(A93,'Données projet'!$A$35:$I$55,5,0)*VLOOKUP('Données projet'!$B$9,Paramètres!$A$1:$I$88,7,0))</f>
        <v>0.44000000000000006</v>
      </c>
      <c r="X93" s="17">
        <f>IF(ISNA(VLOOKUP(A93,'Données projet'!$A$35:$I$55,6,0)),0%,VLOOKUP(A93,'Données projet'!$A$35:$I$55,6,0)*VLOOKUP('Données projet'!$B$9,Paramètres!$A$1:$I$88,7,0))</f>
        <v>6.0500000000000005E-2</v>
      </c>
      <c r="Y93" s="17">
        <f>IF(ISNA(VLOOKUP(A93,'Données projet'!$A$35:$I$55,7,0)),0%,VLOOKUP(A93,'Données projet'!$A$35:$I$55,7,0))</f>
        <v>0.09</v>
      </c>
      <c r="Z93" s="23">
        <f>EXP(-LN(2)/35)*Z92+(1-EXP(-LN(2)/35))/(LN(2)/35)*V93*W93*VLOOKUP('Données projet'!$B$9,Paramètres!$A$1:$I$88,3,0)*0.475*44/12</f>
        <v>22.505478378878898</v>
      </c>
      <c r="AA93" s="23">
        <f>EXP(-LN(2)/25)*AA92+(1-EXP(-LN(2)/25))/(LN(2)/25)*Calculateur!V93*Calculateur!X93*VLOOKUP('Données projet'!$B$9,Paramètres!$A$1:$I$88,3,0)*0.475*44/12</f>
        <v>9.7575684145918906</v>
      </c>
      <c r="AB93" s="23">
        <f>EXP(-LN(2)/2)*AB92+(1-EXP(-LN(2)/2))/(LN(2)/2)*V93*Y93*VLOOKUP('Données projet'!$B$9,Paramètres!$A$1:$I$88,3,0)*0.475*44/12</f>
        <v>1.5209842332606214</v>
      </c>
      <c r="AC93" s="24">
        <f t="shared" si="57"/>
        <v>33.784031026731412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-7.9580786405131221E-13</v>
      </c>
      <c r="AJ93" s="14">
        <f>AI93*VLOOKUP('Données projet'!$B$10,Paramètres!$A$1:$I$88,3,0)*VLOOKUP('Données projet'!$B$10,Paramètres!$A$1:$I$88,5,0)</f>
        <v>-4.448565960046835E-13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583.31979399672844</v>
      </c>
      <c r="AO93" s="62">
        <f t="shared" si="90"/>
        <v>544.21514138474731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252.856416193341</v>
      </c>
      <c r="AV93" s="23">
        <f>EXP(-LN(2)/25)*AV92+(1-EXP(-LN(2)/25))/(LN(2)/25)*Calculateur!AQ93*Calculateur!AS93*VLOOKUP('Données projet'!$B$10,Paramètres!$A$1:$I$88,3,0)*0.475*44/12</f>
        <v>50.130011957883774</v>
      </c>
      <c r="AW93" s="23">
        <f>EXP(-LN(2)/2)*AW92+(1-EXP(-LN(2)/2))/(LN(2)/2)*AQ93*AT93*VLOOKUP('Données projet'!$B$10,Paramètres!$A$1:$I$88,3,0)*0.475*44/12</f>
        <v>1.3810856990785465</v>
      </c>
      <c r="AX93" s="23">
        <f t="shared" si="60"/>
        <v>304.36751385030334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projet'!$B$11,Paramètres!$A$1:$I$88,3,0)*VLOOKUP('Données projet'!$B$11,Paramètres!$A$1:$I$88,5,0)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projet'!$B$11,Paramètres!$A$1:$I$88,3,0)*0.475*44/12</f>
        <v>#N/A</v>
      </c>
      <c r="BQ93" s="23" t="e">
        <f>EXP(-LN(2)/25)*BQ92+(1-EXP(-LN(2)/25))/(LN(2)/25)*Calculateur!BL93*Calculateur!BN93*VLOOKUP('Données projet'!$B$11,Paramètres!$A$1:$I$88,3,0)*0.475*44/12</f>
        <v>#N/A</v>
      </c>
      <c r="BR93" s="23" t="e">
        <f>EXP(-LN(2)/2)*BR92+(1-EXP(-LN(2)/2))/(LN(2)/2)*BL93*BO93*VLOOKUP('Données projet'!$B$11,Paramètres!$A$1:$I$88,3,0)*0.475*44/12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projet'!$B$12,Paramètres!$A$1:$I$88,3,0)*0.475*44/12</f>
        <v>#N/A</v>
      </c>
      <c r="CL93" s="23" t="e">
        <f>EXP(-LN(2)/25)*CL92+(1-EXP(-LN(2)/25))/(LN(2)/25)*Calculateur!CG93*Calculateur!CI93*VLOOKUP('Données projet'!$B$12,Paramètres!$A$1:$I$88,3,0)*0.475*44/12</f>
        <v>#N/A</v>
      </c>
      <c r="CM93" s="23" t="e">
        <f>EXP(-LN(2)/2)*CM92+(1-EXP(-LN(2)/2))/(LN(2)/2)*CG93*CJ93*VLOOKUP('Données projet'!$B$12,Paramètres!$A$1:$I$88,3,0)*0.475*44/12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3</v>
      </c>
      <c r="N94" s="14">
        <f>IF('Données projet'!$A$36&gt;35,N93+M94-V93,IF(A94&lt;'Données projet'!$A$36,$K$205^A94,IF(A94='Données projet'!$A$36,'Données projet'!$B$36,N93+M94-V93)))</f>
        <v>463</v>
      </c>
      <c r="O94" s="14">
        <f>N94*VLOOKUP('Données projet'!$B$9,Paramètres!$A$1:$I$88,3,0)*VLOOKUP('Données projet'!$B$9,Paramètres!$A$1:$I$88,5,0)</f>
        <v>216.68400000000003</v>
      </c>
      <c r="P94" s="14">
        <f t="shared" si="87"/>
        <v>53.393533693654852</v>
      </c>
      <c r="Q94" s="22">
        <f t="shared" si="54"/>
        <v>470.38503784978212</v>
      </c>
      <c r="R94" s="62">
        <f t="shared" si="55"/>
        <v>763.71837118311544</v>
      </c>
      <c r="S94" s="62">
        <f ca="1">AVERAGE(OFFSET($R$3,0,0,'Données projet'!$E$9+1,1))-AVERAGE(OFFSET($H$3,0,0,'Données projet'!$E$9+1,1))</f>
        <v>316.04959780858269</v>
      </c>
      <c r="T94" s="62">
        <f t="shared" si="88"/>
        <v>213.60182977243113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22.064159674855468</v>
      </c>
      <c r="AA94" s="23">
        <f>EXP(-LN(2)/25)*AA93+(1-EXP(-LN(2)/25))/(LN(2)/25)*Calculateur!V94*Calculateur!X94*VLOOKUP('Données projet'!$B$9,Paramètres!$A$1:$I$88,3,0)*0.475*44/12</f>
        <v>9.4907471931666532</v>
      </c>
      <c r="AB94" s="23">
        <f>EXP(-LN(2)/2)*AB93+(1-EXP(-LN(2)/2))/(LN(2)/2)*V94*Y94*VLOOKUP('Données projet'!$B$9,Paramètres!$A$1:$I$88,3,0)*0.475*44/12</f>
        <v>1.0754982654164071</v>
      </c>
      <c r="AC94" s="24">
        <f t="shared" si="57"/>
        <v>32.630405133438529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-7.9580786405131221E-13</v>
      </c>
      <c r="AJ94" s="14">
        <f>AI94*VLOOKUP('Données projet'!$B$10,Paramètres!$A$1:$I$88,3,0)*VLOOKUP('Données projet'!$B$10,Paramètres!$A$1:$I$88,5,0)</f>
        <v>-4.448565960046835E-13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583.31979399672844</v>
      </c>
      <c r="AO94" s="62">
        <f t="shared" si="90"/>
        <v>544.21514138474731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247.89805609897479</v>
      </c>
      <c r="AV94" s="23">
        <f>EXP(-LN(2)/25)*AV93+(1-EXP(-LN(2)/25))/(LN(2)/25)*Calculateur!AQ94*Calculateur!AS94*VLOOKUP('Données projet'!$B$10,Paramètres!$A$1:$I$88,3,0)*0.475*44/12</f>
        <v>48.759204144672687</v>
      </c>
      <c r="AW94" s="23">
        <f>EXP(-LN(2)/2)*AW93+(1-EXP(-LN(2)/2))/(LN(2)/2)*AQ94*AT94*VLOOKUP('Données projet'!$B$10,Paramètres!$A$1:$I$88,3,0)*0.475*44/12</f>
        <v>0.97657506321820386</v>
      </c>
      <c r="AX94" s="23">
        <f t="shared" si="60"/>
        <v>297.63383530686571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projet'!$B$11,Paramètres!$A$1:$I$88,3,0)*VLOOKUP('Données projet'!$B$11,Paramètres!$A$1:$I$88,5,0)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projet'!$B$11,Paramètres!$A$1:$I$88,3,0)*0.475*44/12</f>
        <v>#N/A</v>
      </c>
      <c r="BQ94" s="23" t="e">
        <f>EXP(-LN(2)/25)*BQ93+(1-EXP(-LN(2)/25))/(LN(2)/25)*Calculateur!BL94*Calculateur!BN94*VLOOKUP('Données projet'!$B$11,Paramètres!$A$1:$I$88,3,0)*0.475*44/12</f>
        <v>#N/A</v>
      </c>
      <c r="BR94" s="23" t="e">
        <f>EXP(-LN(2)/2)*BR93+(1-EXP(-LN(2)/2))/(LN(2)/2)*BL94*BO94*VLOOKUP('Données projet'!$B$11,Paramètres!$A$1:$I$88,3,0)*0.475*44/12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projet'!$B$12,Paramètres!$A$1:$I$88,3,0)*0.475*44/12</f>
        <v>#N/A</v>
      </c>
      <c r="CL94" s="23" t="e">
        <f>EXP(-LN(2)/25)*CL93+(1-EXP(-LN(2)/25))/(LN(2)/25)*Calculateur!CG94*Calculateur!CI94*VLOOKUP('Données projet'!$B$12,Paramètres!$A$1:$I$88,3,0)*0.475*44/12</f>
        <v>#N/A</v>
      </c>
      <c r="CM94" s="23" t="e">
        <f>EXP(-LN(2)/2)*CM93+(1-EXP(-LN(2)/2))/(LN(2)/2)*CG94*CJ94*VLOOKUP('Données projet'!$B$12,Paramètres!$A$1:$I$88,3,0)*0.475*44/12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3</v>
      </c>
      <c r="N95" s="14">
        <f>IF('Données projet'!$A$36&gt;35,N94+M95-V94,IF(A95&lt;'Données projet'!$A$36,$K$205^A95,IF(A95='Données projet'!$A$36,'Données projet'!$B$36,N94+M95-V94)))</f>
        <v>466</v>
      </c>
      <c r="O95" s="14">
        <f>N95*VLOOKUP('Données projet'!$B$9,Paramètres!$A$1:$I$88,3,0)*VLOOKUP('Données projet'!$B$9,Paramètres!$A$1:$I$88,5,0)</f>
        <v>218.08799999999999</v>
      </c>
      <c r="P95" s="14">
        <f t="shared" si="87"/>
        <v>53.699111087780629</v>
      </c>
      <c r="Q95" s="22">
        <f t="shared" si="54"/>
        <v>473.36255181121783</v>
      </c>
      <c r="R95" s="62">
        <f t="shared" si="55"/>
        <v>766.69588514455108</v>
      </c>
      <c r="S95" s="62">
        <f ca="1">AVERAGE(OFFSET($R$3,0,0,'Données projet'!$E$9+1,1))-AVERAGE(OFFSET($H$3,0,0,'Données projet'!$E$9+1,1))</f>
        <v>316.04959780858269</v>
      </c>
      <c r="T95" s="62">
        <f t="shared" si="88"/>
        <v>213.60182977243113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21.631494961440104</v>
      </c>
      <c r="AA95" s="23">
        <f>EXP(-LN(2)/25)*AA94+(1-EXP(-LN(2)/25))/(LN(2)/25)*Calculateur!V95*Calculateur!X95*VLOOKUP('Données projet'!$B$9,Paramètres!$A$1:$I$88,3,0)*0.475*44/12</f>
        <v>9.231222212072808</v>
      </c>
      <c r="AB95" s="23">
        <f>EXP(-LN(2)/2)*AB94+(1-EXP(-LN(2)/2))/(LN(2)/2)*V95*Y95*VLOOKUP('Données projet'!$B$9,Paramètres!$A$1:$I$88,3,0)*0.475*44/12</f>
        <v>0.76049211663031091</v>
      </c>
      <c r="AC95" s="24">
        <f t="shared" si="57"/>
        <v>31.623209290143222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-7.9580786405131221E-13</v>
      </c>
      <c r="AJ95" s="14">
        <f>AI95*VLOOKUP('Données projet'!$B$10,Paramètres!$A$1:$I$88,3,0)*VLOOKUP('Données projet'!$B$10,Paramètres!$A$1:$I$88,5,0)</f>
        <v>-4.448565960046835E-13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583.31979399672844</v>
      </c>
      <c r="AO95" s="62">
        <f t="shared" si="90"/>
        <v>544.21514138474731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243.03692642175807</v>
      </c>
      <c r="AV95" s="23">
        <f>EXP(-LN(2)/25)*AV94+(1-EXP(-LN(2)/25))/(LN(2)/25)*Calculateur!AQ95*Calculateur!AS95*VLOOKUP('Données projet'!$B$10,Paramètres!$A$1:$I$88,3,0)*0.475*44/12</f>
        <v>47.425881143201508</v>
      </c>
      <c r="AW95" s="23">
        <f>EXP(-LN(2)/2)*AW94+(1-EXP(-LN(2)/2))/(LN(2)/2)*AQ95*AT95*VLOOKUP('Données projet'!$B$10,Paramètres!$A$1:$I$88,3,0)*0.475*44/12</f>
        <v>0.69054284953927336</v>
      </c>
      <c r="AX95" s="23">
        <f t="shared" si="60"/>
        <v>291.15335041449885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projet'!$B$11,Paramètres!$A$1:$I$88,3,0)*VLOOKUP('Données projet'!$B$11,Paramètres!$A$1:$I$88,5,0)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projet'!$B$11,Paramètres!$A$1:$I$88,3,0)*0.475*44/12</f>
        <v>#N/A</v>
      </c>
      <c r="BQ95" s="23" t="e">
        <f>EXP(-LN(2)/25)*BQ94+(1-EXP(-LN(2)/25))/(LN(2)/25)*Calculateur!BL95*Calculateur!BN95*VLOOKUP('Données projet'!$B$11,Paramètres!$A$1:$I$88,3,0)*0.475*44/12</f>
        <v>#N/A</v>
      </c>
      <c r="BR95" s="23" t="e">
        <f>EXP(-LN(2)/2)*BR94+(1-EXP(-LN(2)/2))/(LN(2)/2)*BL95*BO95*VLOOKUP('Données projet'!$B$11,Paramètres!$A$1:$I$88,3,0)*0.475*44/12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projet'!$B$12,Paramètres!$A$1:$I$88,3,0)*0.475*44/12</f>
        <v>#N/A</v>
      </c>
      <c r="CL95" s="23" t="e">
        <f>EXP(-LN(2)/25)*CL94+(1-EXP(-LN(2)/25))/(LN(2)/25)*Calculateur!CG95*Calculateur!CI95*VLOOKUP('Données projet'!$B$12,Paramètres!$A$1:$I$88,3,0)*0.475*44/12</f>
        <v>#N/A</v>
      </c>
      <c r="CM95" s="23" t="e">
        <f>EXP(-LN(2)/2)*CM94+(1-EXP(-LN(2)/2))/(LN(2)/2)*CG95*CJ95*VLOOKUP('Données projet'!$B$12,Paramètres!$A$1:$I$88,3,0)*0.475*44/12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3</v>
      </c>
      <c r="N96" s="14">
        <f>IF('Données projet'!$A$36&gt;35,N95+M96-V95,IF(A96&lt;'Données projet'!$A$36,$K$205^A96,IF(A96='Données projet'!$A$36,'Données projet'!$B$36,N95+M96-V95)))</f>
        <v>469</v>
      </c>
      <c r="O96" s="14">
        <f>N96*VLOOKUP('Données projet'!$B$9,Paramètres!$A$1:$I$88,3,0)*VLOOKUP('Données projet'!$B$9,Paramètres!$A$1:$I$88,5,0)</f>
        <v>219.49200000000002</v>
      </c>
      <c r="P96" s="14">
        <f t="shared" si="87"/>
        <v>54.004459579686667</v>
      </c>
      <c r="Q96" s="22">
        <f t="shared" si="54"/>
        <v>476.3396671012876</v>
      </c>
      <c r="R96" s="62">
        <f t="shared" si="55"/>
        <v>769.67300043462092</v>
      </c>
      <c r="S96" s="62">
        <f ca="1">AVERAGE(OFFSET($R$3,0,0,'Données projet'!$E$9+1,1))-AVERAGE(OFFSET($H$3,0,0,'Données projet'!$E$9+1,1))</f>
        <v>316.04959780858269</v>
      </c>
      <c r="T96" s="62">
        <f t="shared" si="88"/>
        <v>213.60182977243113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21.207314539155401</v>
      </c>
      <c r="AA96" s="23">
        <f>EXP(-LN(2)/25)*AA95+(1-EXP(-LN(2)/25))/(LN(2)/25)*Calculateur!V96*Calculateur!X96*VLOOKUP('Données projet'!$B$9,Paramètres!$A$1:$I$88,3,0)*0.475*44/12</f>
        <v>8.9787939552347993</v>
      </c>
      <c r="AB96" s="23">
        <f>EXP(-LN(2)/2)*AB95+(1-EXP(-LN(2)/2))/(LN(2)/2)*V96*Y96*VLOOKUP('Données projet'!$B$9,Paramètres!$A$1:$I$88,3,0)*0.475*44/12</f>
        <v>0.53774913270820368</v>
      </c>
      <c r="AC96" s="24">
        <f t="shared" si="57"/>
        <v>30.723857627098404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-7.9580786405131221E-13</v>
      </c>
      <c r="AJ96" s="14">
        <f>AI96*VLOOKUP('Données projet'!$B$10,Paramètres!$A$1:$I$88,3,0)*VLOOKUP('Données projet'!$B$10,Paramètres!$A$1:$I$88,5,0)</f>
        <v>-4.448565960046835E-13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583.31979399672844</v>
      </c>
      <c r="AO96" s="62">
        <f t="shared" si="90"/>
        <v>544.21514138474731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238.27112053251523</v>
      </c>
      <c r="AV96" s="23">
        <f>EXP(-LN(2)/25)*AV95+(1-EXP(-LN(2)/25))/(LN(2)/25)*Calculateur!AQ96*Calculateur!AS96*VLOOKUP('Données projet'!$B$10,Paramètres!$A$1:$I$88,3,0)*0.475*44/12</f>
        <v>46.129017929321968</v>
      </c>
      <c r="AW96" s="23">
        <f>EXP(-LN(2)/2)*AW95+(1-EXP(-LN(2)/2))/(LN(2)/2)*AQ96*AT96*VLOOKUP('Données projet'!$B$10,Paramètres!$A$1:$I$88,3,0)*0.475*44/12</f>
        <v>0.48828753160910199</v>
      </c>
      <c r="AX96" s="23">
        <f t="shared" si="60"/>
        <v>284.88842599344628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projet'!$B$11,Paramètres!$A$1:$I$88,3,0)*VLOOKUP('Données projet'!$B$11,Paramètres!$A$1:$I$88,5,0)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projet'!$B$11,Paramètres!$A$1:$I$88,3,0)*0.475*44/12</f>
        <v>#N/A</v>
      </c>
      <c r="BQ96" s="23" t="e">
        <f>EXP(-LN(2)/25)*BQ95+(1-EXP(-LN(2)/25))/(LN(2)/25)*Calculateur!BL96*Calculateur!BN96*VLOOKUP('Données projet'!$B$11,Paramètres!$A$1:$I$88,3,0)*0.475*44/12</f>
        <v>#N/A</v>
      </c>
      <c r="BR96" s="23" t="e">
        <f>EXP(-LN(2)/2)*BR95+(1-EXP(-LN(2)/2))/(LN(2)/2)*BL96*BO96*VLOOKUP('Données projet'!$B$11,Paramètres!$A$1:$I$88,3,0)*0.475*44/12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projet'!$B$12,Paramètres!$A$1:$I$88,3,0)*0.475*44/12</f>
        <v>#N/A</v>
      </c>
      <c r="CL96" s="23" t="e">
        <f>EXP(-LN(2)/25)*CL95+(1-EXP(-LN(2)/25))/(LN(2)/25)*Calculateur!CG96*Calculateur!CI96*VLOOKUP('Données projet'!$B$12,Paramètres!$A$1:$I$88,3,0)*0.475*44/12</f>
        <v>#N/A</v>
      </c>
      <c r="CM96" s="23" t="e">
        <f>EXP(-LN(2)/2)*CM95+(1-EXP(-LN(2)/2))/(LN(2)/2)*CG96*CJ96*VLOOKUP('Données projet'!$B$12,Paramètres!$A$1:$I$88,3,0)*0.475*44/12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3</v>
      </c>
      <c r="N97" s="14">
        <f>IF('Données projet'!$A$36&gt;35,N96+M97-V96,IF(A97&lt;'Données projet'!$A$36,$K$205^A97,IF(A97='Données projet'!$A$36,'Données projet'!$B$36,N96+M97-V96)))</f>
        <v>472</v>
      </c>
      <c r="O97" s="14">
        <f>N97*VLOOKUP('Données projet'!$B$9,Paramètres!$A$1:$I$88,3,0)*VLOOKUP('Données projet'!$B$9,Paramètres!$A$1:$I$88,5,0)</f>
        <v>220.89599999999999</v>
      </c>
      <c r="P97" s="14">
        <f t="shared" si="87"/>
        <v>54.309580803412281</v>
      </c>
      <c r="Q97" s="22">
        <f t="shared" si="54"/>
        <v>479.31638656594299</v>
      </c>
      <c r="R97" s="62">
        <f t="shared" si="55"/>
        <v>772.64971989927631</v>
      </c>
      <c r="S97" s="62">
        <f ca="1">AVERAGE(OFFSET($R$3,0,0,'Données projet'!$E$9+1,1))-AVERAGE(OFFSET($H$3,0,0,'Données projet'!$E$9+1,1))</f>
        <v>316.04959780858269</v>
      </c>
      <c r="T97" s="62">
        <f t="shared" si="88"/>
        <v>213.60182977243113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20.791452036227188</v>
      </c>
      <c r="AA97" s="23">
        <f>EXP(-LN(2)/25)*AA96+(1-EXP(-LN(2)/25))/(LN(2)/25)*Calculateur!V97*Calculateur!X97*VLOOKUP('Données projet'!$B$9,Paramètres!$A$1:$I$88,3,0)*0.475*44/12</f>
        <v>8.7332683623546501</v>
      </c>
      <c r="AB97" s="23">
        <f>EXP(-LN(2)/2)*AB96+(1-EXP(-LN(2)/2))/(LN(2)/2)*V97*Y97*VLOOKUP('Données projet'!$B$9,Paramètres!$A$1:$I$88,3,0)*0.475*44/12</f>
        <v>0.38024605831515551</v>
      </c>
      <c r="AC97" s="24">
        <f t="shared" si="57"/>
        <v>29.904966456896993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-7.9580786405131221E-13</v>
      </c>
      <c r="AJ97" s="14">
        <f>AI97*VLOOKUP('Données projet'!$B$10,Paramètres!$A$1:$I$88,3,0)*VLOOKUP('Données projet'!$B$10,Paramètres!$A$1:$I$88,5,0)</f>
        <v>-4.448565960046835E-13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583.31979399672844</v>
      </c>
      <c r="AO97" s="62">
        <f t="shared" si="90"/>
        <v>544.21514138474731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233.59876918990588</v>
      </c>
      <c r="AV97" s="23">
        <f>EXP(-LN(2)/25)*AV96+(1-EXP(-LN(2)/25))/(LN(2)/25)*Calculateur!AQ97*Calculateur!AS97*VLOOKUP('Données projet'!$B$10,Paramètres!$A$1:$I$88,3,0)*0.475*44/12</f>
        <v>44.867617508225038</v>
      </c>
      <c r="AW97" s="23">
        <f>EXP(-LN(2)/2)*AW96+(1-EXP(-LN(2)/2))/(LN(2)/2)*AQ97*AT97*VLOOKUP('Données projet'!$B$10,Paramètres!$A$1:$I$88,3,0)*0.475*44/12</f>
        <v>0.34527142476963674</v>
      </c>
      <c r="AX97" s="23">
        <f t="shared" si="60"/>
        <v>278.81165812290055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projet'!$B$11,Paramètres!$A$1:$I$88,3,0)*VLOOKUP('Données projet'!$B$11,Paramètres!$A$1:$I$88,5,0)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projet'!$B$11,Paramètres!$A$1:$I$88,3,0)*0.475*44/12</f>
        <v>#N/A</v>
      </c>
      <c r="BQ97" s="23" t="e">
        <f>EXP(-LN(2)/25)*BQ96+(1-EXP(-LN(2)/25))/(LN(2)/25)*Calculateur!BL97*Calculateur!BN97*VLOOKUP('Données projet'!$B$11,Paramètres!$A$1:$I$88,3,0)*0.475*44/12</f>
        <v>#N/A</v>
      </c>
      <c r="BR97" s="23" t="e">
        <f>EXP(-LN(2)/2)*BR96+(1-EXP(-LN(2)/2))/(LN(2)/2)*BL97*BO97*VLOOKUP('Données projet'!$B$11,Paramètres!$A$1:$I$88,3,0)*0.475*44/12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projet'!$B$12,Paramètres!$A$1:$I$88,3,0)*0.475*44/12</f>
        <v>#N/A</v>
      </c>
      <c r="CL97" s="23" t="e">
        <f>EXP(-LN(2)/25)*CL96+(1-EXP(-LN(2)/25))/(LN(2)/25)*Calculateur!CG97*Calculateur!CI97*VLOOKUP('Données projet'!$B$12,Paramètres!$A$1:$I$88,3,0)*0.475*44/12</f>
        <v>#N/A</v>
      </c>
      <c r="CM97" s="23" t="e">
        <f>EXP(-LN(2)/2)*CM96+(1-EXP(-LN(2)/2))/(LN(2)/2)*CG97*CJ97*VLOOKUP('Données projet'!$B$12,Paramètres!$A$1:$I$88,3,0)*0.475*44/12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3</v>
      </c>
      <c r="N98" s="14">
        <f>IF('Données projet'!$A$36&gt;35,N97+M98-V97,IF(A98&lt;'Données projet'!$A$36,$K$205^A98,IF(A98='Données projet'!$A$36,'Données projet'!$B$36,N97+M98-V97)))</f>
        <v>475</v>
      </c>
      <c r="O98" s="14">
        <f>N98*VLOOKUP('Données projet'!$B$9,Paramètres!$A$1:$I$88,3,0)*VLOOKUP('Données projet'!$B$9,Paramètres!$A$1:$I$88,5,0)</f>
        <v>222.3</v>
      </c>
      <c r="P98" s="14">
        <f t="shared" si="87"/>
        <v>54.61447637102394</v>
      </c>
      <c r="Q98" s="22">
        <f t="shared" si="54"/>
        <v>482.29271301286667</v>
      </c>
      <c r="R98" s="62">
        <f t="shared" si="55"/>
        <v>775.62604634619993</v>
      </c>
      <c r="S98" s="62">
        <f ca="1">AVERAGE(OFFSET($R$3,0,0,'Données projet'!$E$9+1,1))-AVERAGE(OFFSET($H$3,0,0,'Données projet'!$E$9+1,1))</f>
        <v>316.04959780858269</v>
      </c>
      <c r="T98" s="62">
        <f t="shared" si="88"/>
        <v>213.60182977243113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20.383744343330317</v>
      </c>
      <c r="AA98" s="23">
        <f>EXP(-LN(2)/25)*AA97+(1-EXP(-LN(2)/25))/(LN(2)/25)*Calculateur!V98*Calculateur!X98*VLOOKUP('Données projet'!$B$9,Paramètres!$A$1:$I$88,3,0)*0.475*44/12</f>
        <v>8.4944566797234398</v>
      </c>
      <c r="AB98" s="23">
        <f>EXP(-LN(2)/2)*AB97+(1-EXP(-LN(2)/2))/(LN(2)/2)*V98*Y98*VLOOKUP('Données projet'!$B$9,Paramètres!$A$1:$I$88,3,0)*0.475*44/12</f>
        <v>0.2688745663541019</v>
      </c>
      <c r="AC98" s="24">
        <f t="shared" si="57"/>
        <v>29.147075589407859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-7.9580786405131221E-13</v>
      </c>
      <c r="AJ98" s="14">
        <f>AI98*VLOOKUP('Données projet'!$B$10,Paramètres!$A$1:$I$88,3,0)*VLOOKUP('Données projet'!$B$10,Paramètres!$A$1:$I$88,5,0)</f>
        <v>-4.448565960046835E-13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583.31979399672844</v>
      </c>
      <c r="AO98" s="62">
        <f t="shared" si="90"/>
        <v>544.21514138474731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229.01803980727217</v>
      </c>
      <c r="AV98" s="23">
        <f>EXP(-LN(2)/25)*AV97+(1-EXP(-LN(2)/25))/(LN(2)/25)*Calculateur!AQ98*Calculateur!AS98*VLOOKUP('Données projet'!$B$10,Paramètres!$A$1:$I$88,3,0)*0.475*44/12</f>
        <v>43.640710147977167</v>
      </c>
      <c r="AW98" s="23">
        <f>EXP(-LN(2)/2)*AW97+(1-EXP(-LN(2)/2))/(LN(2)/2)*AQ98*AT98*VLOOKUP('Données projet'!$B$10,Paramètres!$A$1:$I$88,3,0)*0.475*44/12</f>
        <v>0.24414376580455105</v>
      </c>
      <c r="AX98" s="23">
        <f t="shared" si="60"/>
        <v>272.90289372105389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projet'!$B$11,Paramètres!$A$1:$I$88,3,0)*VLOOKUP('Données projet'!$B$11,Paramètres!$A$1:$I$88,5,0)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projet'!$B$11,Paramètres!$A$1:$I$88,3,0)*0.475*44/12</f>
        <v>#N/A</v>
      </c>
      <c r="BQ98" s="23" t="e">
        <f>EXP(-LN(2)/25)*BQ97+(1-EXP(-LN(2)/25))/(LN(2)/25)*Calculateur!BL98*Calculateur!BN98*VLOOKUP('Données projet'!$B$11,Paramètres!$A$1:$I$88,3,0)*0.475*44/12</f>
        <v>#N/A</v>
      </c>
      <c r="BR98" s="23" t="e">
        <f>EXP(-LN(2)/2)*BR97+(1-EXP(-LN(2)/2))/(LN(2)/2)*BL98*BO98*VLOOKUP('Données projet'!$B$11,Paramètres!$A$1:$I$88,3,0)*0.475*44/12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projet'!$B$12,Paramètres!$A$1:$I$88,3,0)*0.475*44/12</f>
        <v>#N/A</v>
      </c>
      <c r="CL98" s="23" t="e">
        <f>EXP(-LN(2)/25)*CL97+(1-EXP(-LN(2)/25))/(LN(2)/25)*Calculateur!CG98*Calculateur!CI98*VLOOKUP('Données projet'!$B$12,Paramètres!$A$1:$I$88,3,0)*0.475*44/12</f>
        <v>#N/A</v>
      </c>
      <c r="CM98" s="23" t="e">
        <f>EXP(-LN(2)/2)*CM97+(1-EXP(-LN(2)/2))/(LN(2)/2)*CG98*CJ98*VLOOKUP('Données projet'!$B$12,Paramètres!$A$1:$I$88,3,0)*0.475*44/12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3</v>
      </c>
      <c r="N99" s="14">
        <f>IF('Données projet'!$A$36&gt;35,N98+M99-V98,IF(A99&lt;'Données projet'!$A$36,$K$205^A99,IF(A99='Données projet'!$A$36,'Données projet'!$B$36,N98+M99-V98)))</f>
        <v>478</v>
      </c>
      <c r="O99" s="14">
        <f>N99*VLOOKUP('Données projet'!$B$9,Paramètres!$A$1:$I$88,3,0)*VLOOKUP('Données projet'!$B$9,Paramètres!$A$1:$I$88,5,0)</f>
        <v>223.70399999999998</v>
      </c>
      <c r="P99" s="14">
        <f t="shared" si="87"/>
        <v>54.919147873047578</v>
      </c>
      <c r="Q99" s="22">
        <f t="shared" ref="Q99:Q130" si="107">(O99+P99)*0.475*44/12</f>
        <v>485.26864921222455</v>
      </c>
      <c r="R99" s="62">
        <f t="shared" si="55"/>
        <v>778.6019825455578</v>
      </c>
      <c r="S99" s="62">
        <f ca="1">AVERAGE(OFFSET($R$3,0,0,'Données projet'!$E$9+1,1))-AVERAGE(OFFSET($H$3,0,0,'Données projet'!$E$9+1,1))</f>
        <v>316.04959780858269</v>
      </c>
      <c r="T99" s="62">
        <f t="shared" si="88"/>
        <v>213.60182977243113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19.984031549614016</v>
      </c>
      <c r="AA99" s="23">
        <f>EXP(-LN(2)/25)*AA98+(1-EXP(-LN(2)/25))/(LN(2)/25)*Calculateur!V99*Calculateur!X99*VLOOKUP('Données projet'!$B$9,Paramètres!$A$1:$I$88,3,0)*0.475*44/12</f>
        <v>8.2621753151123407</v>
      </c>
      <c r="AB99" s="23">
        <f>EXP(-LN(2)/2)*AB98+(1-EXP(-LN(2)/2))/(LN(2)/2)*V99*Y99*VLOOKUP('Données projet'!$B$9,Paramètres!$A$1:$I$88,3,0)*0.475*44/12</f>
        <v>0.19012302915757778</v>
      </c>
      <c r="AC99" s="24">
        <f t="shared" si="57"/>
        <v>28.436329893883936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-7.9580786405131221E-13</v>
      </c>
      <c r="AJ99" s="14">
        <f>AI99*VLOOKUP('Données projet'!$B$10,Paramètres!$A$1:$I$88,3,0)*VLOOKUP('Données projet'!$B$10,Paramètres!$A$1:$I$88,5,0)</f>
        <v>-4.448565960046835E-13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583.31979399672844</v>
      </c>
      <c r="AO99" s="62">
        <f t="shared" si="90"/>
        <v>544.21514138474731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224.52713573386288</v>
      </c>
      <c r="AV99" s="23">
        <f>EXP(-LN(2)/25)*AV98+(1-EXP(-LN(2)/25))/(LN(2)/25)*Calculateur!AQ99*Calculateur!AS99*VLOOKUP('Données projet'!$B$10,Paramètres!$A$1:$I$88,3,0)*0.475*44/12</f>
        <v>42.44735263401553</v>
      </c>
      <c r="AW99" s="23">
        <f>EXP(-LN(2)/2)*AW98+(1-EXP(-LN(2)/2))/(LN(2)/2)*AQ99*AT99*VLOOKUP('Données projet'!$B$10,Paramètres!$A$1:$I$88,3,0)*0.475*44/12</f>
        <v>0.1726357123848184</v>
      </c>
      <c r="AX99" s="23">
        <f t="shared" si="60"/>
        <v>267.14712408026321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projet'!$B$11,Paramètres!$A$1:$I$88,3,0)*VLOOKUP('Données projet'!$B$11,Paramètres!$A$1:$I$88,5,0)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projet'!$B$11,Paramètres!$A$1:$I$88,3,0)*0.475*44/12</f>
        <v>#N/A</v>
      </c>
      <c r="BQ99" s="23" t="e">
        <f>EXP(-LN(2)/25)*BQ98+(1-EXP(-LN(2)/25))/(LN(2)/25)*Calculateur!BL99*Calculateur!BN99*VLOOKUP('Données projet'!$B$11,Paramètres!$A$1:$I$88,3,0)*0.475*44/12</f>
        <v>#N/A</v>
      </c>
      <c r="BR99" s="23" t="e">
        <f>EXP(-LN(2)/2)*BR98+(1-EXP(-LN(2)/2))/(LN(2)/2)*BL99*BO99*VLOOKUP('Données projet'!$B$11,Paramètres!$A$1:$I$88,3,0)*0.475*44/12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projet'!$B$12,Paramètres!$A$1:$I$88,3,0)*0.475*44/12</f>
        <v>#N/A</v>
      </c>
      <c r="CL99" s="23" t="e">
        <f>EXP(-LN(2)/25)*CL98+(1-EXP(-LN(2)/25))/(LN(2)/25)*Calculateur!CG99*Calculateur!CI99*VLOOKUP('Données projet'!$B$12,Paramètres!$A$1:$I$88,3,0)*0.475*44/12</f>
        <v>#N/A</v>
      </c>
      <c r="CM99" s="23" t="e">
        <f>EXP(-LN(2)/2)*CM98+(1-EXP(-LN(2)/2))/(LN(2)/2)*CG99*CJ99*VLOOKUP('Données projet'!$B$12,Paramètres!$A$1:$I$88,3,0)*0.475*44/12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3</v>
      </c>
      <c r="N100" s="14">
        <f>IF('Données projet'!$A$36&gt;35,N99+M100-V99,IF(A100&lt;'Données projet'!$A$36,$K$205^A100,IF(A100='Données projet'!$A$36,'Données projet'!$B$36,N99+M100-V99)))</f>
        <v>481</v>
      </c>
      <c r="O100" s="14">
        <f>N100*VLOOKUP('Données projet'!$B$9,Paramètres!$A$1:$I$88,3,0)*VLOOKUP('Données projet'!$B$9,Paramètres!$A$1:$I$88,5,0)</f>
        <v>225.108</v>
      </c>
      <c r="P100" s="14">
        <f t="shared" si="87"/>
        <v>55.223596878889587</v>
      </c>
      <c r="Q100" s="22">
        <f t="shared" si="107"/>
        <v>488.24419789739932</v>
      </c>
      <c r="R100" s="62">
        <f t="shared" si="55"/>
        <v>781.57753123073257</v>
      </c>
      <c r="S100" s="62">
        <f ca="1">AVERAGE(OFFSET($R$3,0,0,'Données projet'!$E$9+1,1))-AVERAGE(OFFSET($H$3,0,0,'Données projet'!$E$9+1,1))</f>
        <v>316.04959780858269</v>
      </c>
      <c r="T100" s="62">
        <f t="shared" si="88"/>
        <v>213.60182977243113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19.592156879981761</v>
      </c>
      <c r="AA100" s="23">
        <f>EXP(-LN(2)/25)*AA99+(1-EXP(-LN(2)/25))/(LN(2)/25)*Calculateur!V100*Calculateur!X100*VLOOKUP('Données projet'!$B$9,Paramètres!$A$1:$I$88,3,0)*0.475*44/12</f>
        <v>8.0362456966316778</v>
      </c>
      <c r="AB100" s="23">
        <f>EXP(-LN(2)/2)*AB99+(1-EXP(-LN(2)/2))/(LN(2)/2)*V100*Y100*VLOOKUP('Données projet'!$B$9,Paramètres!$A$1:$I$88,3,0)*0.475*44/12</f>
        <v>0.13443728317705095</v>
      </c>
      <c r="AC100" s="24">
        <f t="shared" si="57"/>
        <v>27.762839859790489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-7.9580786405131221E-13</v>
      </c>
      <c r="AJ100" s="14">
        <f>AI100*VLOOKUP('Données projet'!$B$10,Paramètres!$A$1:$I$88,3,0)*VLOOKUP('Données projet'!$B$10,Paramètres!$A$1:$I$88,5,0)</f>
        <v>-4.448565960046835E-13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583.31979399672844</v>
      </c>
      <c r="AO100" s="62">
        <f t="shared" si="90"/>
        <v>544.21514138474731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220.12429555015214</v>
      </c>
      <c r="AV100" s="23">
        <f>EXP(-LN(2)/25)*AV99+(1-EXP(-LN(2)/25))/(LN(2)/25)*Calculateur!AQ100*Calculateur!AS100*VLOOKUP('Données projet'!$B$10,Paramètres!$A$1:$I$88,3,0)*0.475*44/12</f>
        <v>41.286627544029116</v>
      </c>
      <c r="AW100" s="23">
        <f>EXP(-LN(2)/2)*AW99+(1-EXP(-LN(2)/2))/(LN(2)/2)*AQ100*AT100*VLOOKUP('Données projet'!$B$10,Paramètres!$A$1:$I$88,3,0)*0.475*44/12</f>
        <v>0.12207188290227554</v>
      </c>
      <c r="AX100" s="23">
        <f t="shared" si="60"/>
        <v>261.53299497708355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projet'!$B$11,Paramètres!$A$1:$I$88,3,0)*VLOOKUP('Données projet'!$B$11,Paramètres!$A$1:$I$88,5,0)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projet'!$B$11,Paramètres!$A$1:$I$88,3,0)*0.475*44/12</f>
        <v>#N/A</v>
      </c>
      <c r="BQ100" s="23" t="e">
        <f>EXP(-LN(2)/25)*BQ99+(1-EXP(-LN(2)/25))/(LN(2)/25)*Calculateur!BL100*Calculateur!BN100*VLOOKUP('Données projet'!$B$11,Paramètres!$A$1:$I$88,3,0)*0.475*44/12</f>
        <v>#N/A</v>
      </c>
      <c r="BR100" s="23" t="e">
        <f>EXP(-LN(2)/2)*BR99+(1-EXP(-LN(2)/2))/(LN(2)/2)*BL100*BO100*VLOOKUP('Données projet'!$B$11,Paramètres!$A$1:$I$88,3,0)*0.475*44/12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projet'!$B$12,Paramètres!$A$1:$I$88,3,0)*0.475*44/12</f>
        <v>#N/A</v>
      </c>
      <c r="CL100" s="23" t="e">
        <f>EXP(-LN(2)/25)*CL99+(1-EXP(-LN(2)/25))/(LN(2)/25)*Calculateur!CG100*Calculateur!CI100*VLOOKUP('Données projet'!$B$12,Paramètres!$A$1:$I$88,3,0)*0.475*44/12</f>
        <v>#N/A</v>
      </c>
      <c r="CM100" s="23" t="e">
        <f>EXP(-LN(2)/2)*CM99+(1-EXP(-LN(2)/2))/(LN(2)/2)*CG100*CJ100*VLOOKUP('Données projet'!$B$12,Paramètres!$A$1:$I$88,3,0)*0.475*44/12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3</v>
      </c>
      <c r="N101" s="14">
        <f>IF('Données projet'!$A$36&gt;35,N100+M101-V100,IF(A101&lt;'Données projet'!$A$36,$K$205^A101,IF(A101='Données projet'!$A$36,'Données projet'!$B$36,N100+M101-V100)))</f>
        <v>484</v>
      </c>
      <c r="O101" s="14">
        <f>N101*VLOOKUP('Données projet'!$B$9,Paramètres!$A$1:$I$88,3,0)*VLOOKUP('Données projet'!$B$9,Paramètres!$A$1:$I$88,5,0)</f>
        <v>226.51199999999997</v>
      </c>
      <c r="P101" s="14">
        <f t="shared" si="87"/>
        <v>55.527824937247544</v>
      </c>
      <c r="Q101" s="22">
        <f t="shared" si="107"/>
        <v>491.21936176570608</v>
      </c>
      <c r="R101" s="62">
        <f t="shared" si="55"/>
        <v>784.5526950990394</v>
      </c>
      <c r="S101" s="62">
        <f ca="1">AVERAGE(OFFSET($R$3,0,0,'Données projet'!$E$9+1,1))-AVERAGE(OFFSET($H$3,0,0,'Données projet'!$E$9+1,1))</f>
        <v>316.04959780858269</v>
      </c>
      <c r="T101" s="62">
        <f t="shared" si="88"/>
        <v>213.60182977243113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19.207966633601046</v>
      </c>
      <c r="AA101" s="23">
        <f>EXP(-LN(2)/25)*AA100+(1-EXP(-LN(2)/25))/(LN(2)/25)*Calculateur!V101*Calculateur!X101*VLOOKUP('Données projet'!$B$9,Paramètres!$A$1:$I$88,3,0)*0.475*44/12</f>
        <v>7.8164941354494903</v>
      </c>
      <c r="AB101" s="23">
        <f>EXP(-LN(2)/2)*AB100+(1-EXP(-LN(2)/2))/(LN(2)/2)*V101*Y101*VLOOKUP('Données projet'!$B$9,Paramètres!$A$1:$I$88,3,0)*0.475*44/12</f>
        <v>9.5061514578788892E-2</v>
      </c>
      <c r="AC101" s="24">
        <f t="shared" si="57"/>
        <v>27.119522283629323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-7.9580786405131221E-13</v>
      </c>
      <c r="AJ101" s="14">
        <f>AI101*VLOOKUP('Données projet'!$B$10,Paramètres!$A$1:$I$88,3,0)*VLOOKUP('Données projet'!$B$10,Paramètres!$A$1:$I$88,5,0)</f>
        <v>-4.448565960046835E-13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583.31979399672844</v>
      </c>
      <c r="AO101" s="62">
        <f t="shared" si="90"/>
        <v>544.21514138474731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215.80779237697661</v>
      </c>
      <c r="AV101" s="23">
        <f>EXP(-LN(2)/25)*AV100+(1-EXP(-LN(2)/25))/(LN(2)/25)*Calculateur!AQ101*Calculateur!AS101*VLOOKUP('Données projet'!$B$10,Paramètres!$A$1:$I$88,3,0)*0.475*44/12</f>
        <v>40.157642542668256</v>
      </c>
      <c r="AW101" s="23">
        <f>EXP(-LN(2)/2)*AW100+(1-EXP(-LN(2)/2))/(LN(2)/2)*AQ101*AT101*VLOOKUP('Données projet'!$B$10,Paramètres!$A$1:$I$88,3,0)*0.475*44/12</f>
        <v>8.6317856192409212E-2</v>
      </c>
      <c r="AX101" s="23">
        <f t="shared" si="60"/>
        <v>256.05175277583726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projet'!$B$11,Paramètres!$A$1:$I$88,3,0)*VLOOKUP('Données projet'!$B$11,Paramètres!$A$1:$I$88,5,0)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projet'!$B$11,Paramètres!$A$1:$I$88,3,0)*0.475*44/12</f>
        <v>#N/A</v>
      </c>
      <c r="BQ101" s="23" t="e">
        <f>EXP(-LN(2)/25)*BQ100+(1-EXP(-LN(2)/25))/(LN(2)/25)*Calculateur!BL101*Calculateur!BN101*VLOOKUP('Données projet'!$B$11,Paramètres!$A$1:$I$88,3,0)*0.475*44/12</f>
        <v>#N/A</v>
      </c>
      <c r="BR101" s="23" t="e">
        <f>EXP(-LN(2)/2)*BR100+(1-EXP(-LN(2)/2))/(LN(2)/2)*BL101*BO101*VLOOKUP('Données projet'!$B$11,Paramètres!$A$1:$I$88,3,0)*0.475*44/12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projet'!$B$12,Paramètres!$A$1:$I$88,3,0)*0.475*44/12</f>
        <v>#N/A</v>
      </c>
      <c r="CL101" s="23" t="e">
        <f>EXP(-LN(2)/25)*CL100+(1-EXP(-LN(2)/25))/(LN(2)/25)*Calculateur!CG101*Calculateur!CI101*VLOOKUP('Données projet'!$B$12,Paramètres!$A$1:$I$88,3,0)*0.475*44/12</f>
        <v>#N/A</v>
      </c>
      <c r="CM101" s="23" t="e">
        <f>EXP(-LN(2)/2)*CM100+(1-EXP(-LN(2)/2))/(LN(2)/2)*CG101*CJ101*VLOOKUP('Données projet'!$B$12,Paramètres!$A$1:$I$88,3,0)*0.475*44/12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3</v>
      </c>
      <c r="N102" s="14">
        <f>IF('Données projet'!$A$36&gt;35,N101+M102-V101,IF(A102&lt;'Données projet'!$A$36,$K$205^A102,IF(A102='Données projet'!$A$36,'Données projet'!$B$36,N101+M102-V101)))</f>
        <v>487</v>
      </c>
      <c r="O102" s="14">
        <f>N102*VLOOKUP('Données projet'!$B$9,Paramètres!$A$1:$I$88,3,0)*VLOOKUP('Données projet'!$B$9,Paramètres!$A$1:$I$88,5,0)</f>
        <v>227.916</v>
      </c>
      <c r="P102" s="14">
        <f t="shared" si="87"/>
        <v>55.831833576509503</v>
      </c>
      <c r="Q102" s="22">
        <f t="shared" si="107"/>
        <v>494.19414347908742</v>
      </c>
      <c r="R102" s="62">
        <f t="shared" si="55"/>
        <v>787.52747681242067</v>
      </c>
      <c r="S102" s="62">
        <f ca="1">AVERAGE(OFFSET($R$3,0,0,'Données projet'!$E$9+1,1))-AVERAGE(OFFSET($H$3,0,0,'Données projet'!$E$9+1,1))</f>
        <v>316.04959780858269</v>
      </c>
      <c r="T102" s="62">
        <f t="shared" si="88"/>
        <v>213.60182977243113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18.831310123618948</v>
      </c>
      <c r="AA102" s="23">
        <f>EXP(-LN(2)/25)*AA101+(1-EXP(-LN(2)/25))/(LN(2)/25)*Calculateur!V102*Calculateur!X102*VLOOKUP('Données projet'!$B$9,Paramètres!$A$1:$I$88,3,0)*0.475*44/12</f>
        <v>7.6027516922640626</v>
      </c>
      <c r="AB102" s="23">
        <f>EXP(-LN(2)/2)*AB101+(1-EXP(-LN(2)/2))/(LN(2)/2)*V102*Y102*VLOOKUP('Données projet'!$B$9,Paramètres!$A$1:$I$88,3,0)*0.475*44/12</f>
        <v>6.7218641588525474E-2</v>
      </c>
      <c r="AC102" s="24">
        <f t="shared" si="57"/>
        <v>26.501280457471537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-7.9580786405131221E-13</v>
      </c>
      <c r="AJ102" s="14">
        <f>AI102*VLOOKUP('Données projet'!$B$10,Paramètres!$A$1:$I$88,3,0)*VLOOKUP('Données projet'!$B$10,Paramètres!$A$1:$I$88,5,0)</f>
        <v>-4.448565960046835E-13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583.31979399672844</v>
      </c>
      <c r="AO102" s="62">
        <f t="shared" si="90"/>
        <v>544.21514138474731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211.5759331982201</v>
      </c>
      <c r="AV102" s="23">
        <f>EXP(-LN(2)/25)*AV101+(1-EXP(-LN(2)/25))/(LN(2)/25)*Calculateur!AQ102*Calculateur!AS102*VLOOKUP('Données projet'!$B$10,Paramètres!$A$1:$I$88,3,0)*0.475*44/12</f>
        <v>39.059529695540355</v>
      </c>
      <c r="AW102" s="23">
        <f>EXP(-LN(2)/2)*AW101+(1-EXP(-LN(2)/2))/(LN(2)/2)*AQ102*AT102*VLOOKUP('Données projet'!$B$10,Paramètres!$A$1:$I$88,3,0)*0.475*44/12</f>
        <v>6.1035941451137783E-2</v>
      </c>
      <c r="AX102" s="23">
        <f t="shared" si="60"/>
        <v>250.6964988352116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projet'!$B$11,Paramètres!$A$1:$I$88,3,0)*VLOOKUP('Données projet'!$B$11,Paramètres!$A$1:$I$88,5,0)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projet'!$B$11,Paramètres!$A$1:$I$88,3,0)*0.475*44/12</f>
        <v>#N/A</v>
      </c>
      <c r="BQ102" s="23" t="e">
        <f>EXP(-LN(2)/25)*BQ101+(1-EXP(-LN(2)/25))/(LN(2)/25)*Calculateur!BL102*Calculateur!BN102*VLOOKUP('Données projet'!$B$11,Paramètres!$A$1:$I$88,3,0)*0.475*44/12</f>
        <v>#N/A</v>
      </c>
      <c r="BR102" s="23" t="e">
        <f>EXP(-LN(2)/2)*BR101+(1-EXP(-LN(2)/2))/(LN(2)/2)*BL102*BO102*VLOOKUP('Données projet'!$B$11,Paramètres!$A$1:$I$88,3,0)*0.475*44/12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projet'!$B$12,Paramètres!$A$1:$I$88,3,0)*0.475*44/12</f>
        <v>#N/A</v>
      </c>
      <c r="CL102" s="23" t="e">
        <f>EXP(-LN(2)/25)*CL101+(1-EXP(-LN(2)/25))/(LN(2)/25)*Calculateur!CG102*Calculateur!CI102*VLOOKUP('Données projet'!$B$12,Paramètres!$A$1:$I$88,3,0)*0.475*44/12</f>
        <v>#N/A</v>
      </c>
      <c r="CM102" s="23" t="e">
        <f>EXP(-LN(2)/2)*CM101+(1-EXP(-LN(2)/2))/(LN(2)/2)*CG102*CJ102*VLOOKUP('Données projet'!$B$12,Paramètres!$A$1:$I$88,3,0)*0.475*44/12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490</v>
      </c>
      <c r="L103" s="13">
        <f>VLOOKUP(A103,'Données projet'!$A$35:$I$55,9,0)</f>
        <v>3</v>
      </c>
      <c r="M103" s="13">
        <f t="array" ref="M103">INDEX(L:L,MIN(IF(ISNUMBER(L103:L299),ROW(L103:L299),"")))</f>
        <v>3</v>
      </c>
      <c r="N103" s="14">
        <f>IF('Données projet'!$A$36&gt;35,N102+M103-V102,IF(A103&lt;'Données projet'!$A$36,$K$205^A103,IF(A103='Données projet'!$A$36,'Données projet'!$B$36,N102+M103-V102)))</f>
        <v>490</v>
      </c>
      <c r="O103" s="14">
        <f>N103*VLOOKUP('Données projet'!$B$9,Paramètres!$A$1:$I$88,3,0)*VLOOKUP('Données projet'!$B$9,Paramètres!$A$1:$I$88,5,0)</f>
        <v>229.32000000000002</v>
      </c>
      <c r="P103" s="14">
        <f t="shared" si="87"/>
        <v>56.135624305144624</v>
      </c>
      <c r="Q103" s="22">
        <f t="shared" si="107"/>
        <v>497.16854566479356</v>
      </c>
      <c r="R103" s="62">
        <f t="shared" si="55"/>
        <v>790.50187899812681</v>
      </c>
      <c r="S103" s="62">
        <f ca="1">AVERAGE(OFFSET($R$3,0,0,'Données projet'!$E$9+1,1))-AVERAGE(OFFSET($H$3,0,0,'Données projet'!$E$9+1,1))</f>
        <v>316.04959780858269</v>
      </c>
      <c r="T103" s="62">
        <f t="shared" si="88"/>
        <v>213.60182977243113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20</v>
      </c>
      <c r="W103" s="17">
        <f>IF(ISNA(VLOOKUP(A103,'Données projet'!$A$35:$I$55,5,0)),0%,VLOOKUP(A103,'Données projet'!$A$35:$I$55,5,0)*VLOOKUP('Données projet'!$B$9,Paramètres!$A$1:$I$88,7,0))</f>
        <v>0.44000000000000006</v>
      </c>
      <c r="X103" s="17">
        <f>IF(ISNA(VLOOKUP(A103,'Données projet'!$A$35:$I$55,6,0)),0%,VLOOKUP(A103,'Données projet'!$A$35:$I$55,6,0)*VLOOKUP('Données projet'!$B$9,Paramètres!$A$1:$I$88,7,0))</f>
        <v>6.0500000000000005E-2</v>
      </c>
      <c r="Y103" s="17">
        <f>IF(ISNA(VLOOKUP(A103,'Données projet'!$A$35:$I$55,7,0)),0%,VLOOKUP(A103,'Données projet'!$A$35:$I$55,7,0))</f>
        <v>0.09</v>
      </c>
      <c r="Z103" s="23">
        <f>EXP(-LN(2)/35)*Z102+(1-EXP(-LN(2)/35))/(LN(2)/35)*V103*W103*VLOOKUP('Données projet'!$B$9,Paramètres!$A$1:$I$88,3,0)*0.475*44/12</f>
        <v>23.925362671342015</v>
      </c>
      <c r="AA103" s="23">
        <f>EXP(-LN(2)/25)*AA102+(1-EXP(-LN(2)/25))/(LN(2)/25)*Calculateur!V103*Calculateur!X103*VLOOKUP('Données projet'!$B$9,Paramètres!$A$1:$I$88,3,0)*0.475*44/12</f>
        <v>8.1431031793784356</v>
      </c>
      <c r="AB103" s="23">
        <f>EXP(-LN(2)/2)*AB102+(1-EXP(-LN(2)/2))/(LN(2)/2)*V103*Y103*VLOOKUP('Données projet'!$B$9,Paramètres!$A$1:$I$88,3,0)*0.475*44/12</f>
        <v>1.0013232447256892</v>
      </c>
      <c r="AC103" s="24">
        <f t="shared" si="57"/>
        <v>33.06978909544614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-7.9580786405131221E-13</v>
      </c>
      <c r="AJ103" s="14">
        <f>AI103*VLOOKUP('Données projet'!$B$10,Paramètres!$A$1:$I$88,3,0)*VLOOKUP('Données projet'!$B$10,Paramètres!$A$1:$I$88,5,0)</f>
        <v>-4.448565960046835E-13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583.31979399672844</v>
      </c>
      <c r="AO103" s="62">
        <f t="shared" si="90"/>
        <v>544.21514138474731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207.42705819677977</v>
      </c>
      <c r="AV103" s="23">
        <f>EXP(-LN(2)/25)*AV102+(1-EXP(-LN(2)/25))/(LN(2)/25)*Calculateur!AQ103*Calculateur!AS103*VLOOKUP('Données projet'!$B$10,Paramètres!$A$1:$I$88,3,0)*0.475*44/12</f>
        <v>37.991444801964413</v>
      </c>
      <c r="AW103" s="23">
        <f>EXP(-LN(2)/2)*AW102+(1-EXP(-LN(2)/2))/(LN(2)/2)*AQ103*AT103*VLOOKUP('Données projet'!$B$10,Paramètres!$A$1:$I$88,3,0)*0.475*44/12</f>
        <v>4.3158928096204613E-2</v>
      </c>
      <c r="AX103" s="23">
        <f t="shared" si="60"/>
        <v>245.46166192684038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projet'!$B$11,Paramètres!$A$1:$I$88,3,0)*VLOOKUP('Données projet'!$B$11,Paramètres!$A$1:$I$88,5,0)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projet'!$B$11,Paramètres!$A$1:$I$88,3,0)*0.475*44/12</f>
        <v>#N/A</v>
      </c>
      <c r="BQ103" s="23" t="e">
        <f>EXP(-LN(2)/25)*BQ102+(1-EXP(-LN(2)/25))/(LN(2)/25)*Calculateur!BL103*Calculateur!BN103*VLOOKUP('Données projet'!$B$11,Paramètres!$A$1:$I$88,3,0)*0.475*44/12</f>
        <v>#N/A</v>
      </c>
      <c r="BR103" s="23" t="e">
        <f>EXP(-LN(2)/2)*BR102+(1-EXP(-LN(2)/2))/(LN(2)/2)*BL103*BO103*VLOOKUP('Données projet'!$B$11,Paramètres!$A$1:$I$88,3,0)*0.475*44/12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projet'!$B$12,Paramètres!$A$1:$I$88,3,0)*0.475*44/12</f>
        <v>#N/A</v>
      </c>
      <c r="CL103" s="23" t="e">
        <f>EXP(-LN(2)/25)*CL102+(1-EXP(-LN(2)/25))/(LN(2)/25)*Calculateur!CG103*Calculateur!CI103*VLOOKUP('Données projet'!$B$12,Paramètres!$A$1:$I$88,3,0)*0.475*44/12</f>
        <v>#N/A</v>
      </c>
      <c r="CM103" s="23" t="e">
        <f>EXP(-LN(2)/2)*CM102+(1-EXP(-LN(2)/2))/(LN(2)/2)*CG103*CJ103*VLOOKUP('Données projet'!$B$12,Paramètres!$A$1:$I$88,3,0)*0.475*44/12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2</v>
      </c>
      <c r="N104" s="14">
        <f>IF('Données projet'!$A$36&gt;35,N103+M104-V103,IF(A104&lt;'Données projet'!$A$36,$K$205^A104,IF(A104='Données projet'!$A$36,'Données projet'!$B$36,N103+M104-V103)))</f>
        <v>472</v>
      </c>
      <c r="O104" s="14">
        <f>N104*VLOOKUP('Données projet'!$B$9,Paramètres!$A$1:$I$88,3,0)*VLOOKUP('Données projet'!$B$9,Paramètres!$A$1:$I$88,5,0)</f>
        <v>220.89599999999999</v>
      </c>
      <c r="P104" s="14">
        <f t="shared" si="87"/>
        <v>54.309580803412281</v>
      </c>
      <c r="Q104" s="22">
        <f t="shared" si="107"/>
        <v>479.31638656594299</v>
      </c>
      <c r="R104" s="62">
        <f t="shared" si="55"/>
        <v>772.64971989927631</v>
      </c>
      <c r="S104" s="62">
        <f ca="1">AVERAGE(OFFSET($R$3,0,0,'Données projet'!$E$9+1,1))-AVERAGE(OFFSET($H$3,0,0,'Données projet'!$E$9+1,1))</f>
        <v>316.04959780858269</v>
      </c>
      <c r="T104" s="62">
        <f t="shared" si="88"/>
        <v>213.60182977243113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23.456200902387284</v>
      </c>
      <c r="AA104" s="23">
        <f>EXP(-LN(2)/25)*AA103+(1-EXP(-LN(2)/25))/(LN(2)/25)*Calculateur!V104*Calculateur!X104*VLOOKUP('Données projet'!$B$9,Paramètres!$A$1:$I$88,3,0)*0.475*44/12</f>
        <v>7.9204295947111474</v>
      </c>
      <c r="AB104" s="23">
        <f>EXP(-LN(2)/2)*AB103+(1-EXP(-LN(2)/2))/(LN(2)/2)*V104*Y104*VLOOKUP('Données projet'!$B$9,Paramètres!$A$1:$I$88,3,0)*0.475*44/12</f>
        <v>0.70804245650525177</v>
      </c>
      <c r="AC104" s="24">
        <f t="shared" si="57"/>
        <v>32.084672953603686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-7.9580786405131221E-13</v>
      </c>
      <c r="AJ104" s="14">
        <f>AI104*VLOOKUP('Données projet'!$B$10,Paramètres!$A$1:$I$88,3,0)*VLOOKUP('Données projet'!$B$10,Paramètres!$A$1:$I$88,5,0)</f>
        <v>-4.448565960046835E-13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583.31979399672844</v>
      </c>
      <c r="AO104" s="62">
        <f t="shared" si="90"/>
        <v>544.21514138474731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203.3595401035538</v>
      </c>
      <c r="AV104" s="23">
        <f>EXP(-LN(2)/25)*AV103+(1-EXP(-LN(2)/25))/(LN(2)/25)*Calculateur!AQ104*Calculateur!AS104*VLOOKUP('Données projet'!$B$10,Paramètres!$A$1:$I$88,3,0)*0.475*44/12</f>
        <v>36.952566745971446</v>
      </c>
      <c r="AW104" s="23">
        <f>EXP(-LN(2)/2)*AW103+(1-EXP(-LN(2)/2))/(LN(2)/2)*AQ104*AT104*VLOOKUP('Données projet'!$B$10,Paramètres!$A$1:$I$88,3,0)*0.475*44/12</f>
        <v>3.0517970725568895E-2</v>
      </c>
      <c r="AX104" s="23">
        <f t="shared" si="60"/>
        <v>240.34262482025079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projet'!$B$11,Paramètres!$A$1:$I$88,3,0)*VLOOKUP('Données projet'!$B$11,Paramètres!$A$1:$I$88,5,0)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projet'!$B$11,Paramètres!$A$1:$I$88,3,0)*0.475*44/12</f>
        <v>#N/A</v>
      </c>
      <c r="BQ104" s="23" t="e">
        <f>EXP(-LN(2)/25)*BQ103+(1-EXP(-LN(2)/25))/(LN(2)/25)*Calculateur!BL104*Calculateur!BN104*VLOOKUP('Données projet'!$B$11,Paramètres!$A$1:$I$88,3,0)*0.475*44/12</f>
        <v>#N/A</v>
      </c>
      <c r="BR104" s="23" t="e">
        <f>EXP(-LN(2)/2)*BR103+(1-EXP(-LN(2)/2))/(LN(2)/2)*BL104*BO104*VLOOKUP('Données projet'!$B$11,Paramètres!$A$1:$I$88,3,0)*0.475*44/12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projet'!$B$12,Paramètres!$A$1:$I$88,3,0)*0.475*44/12</f>
        <v>#N/A</v>
      </c>
      <c r="CL104" s="23" t="e">
        <f>EXP(-LN(2)/25)*CL103+(1-EXP(-LN(2)/25))/(LN(2)/25)*Calculateur!CG104*Calculateur!CI104*VLOOKUP('Données projet'!$B$12,Paramètres!$A$1:$I$88,3,0)*0.475*44/12</f>
        <v>#N/A</v>
      </c>
      <c r="CM104" s="23" t="e">
        <f>EXP(-LN(2)/2)*CM103+(1-EXP(-LN(2)/2))/(LN(2)/2)*CG104*CJ104*VLOOKUP('Données projet'!$B$12,Paramètres!$A$1:$I$88,3,0)*0.475*44/12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2</v>
      </c>
      <c r="N105" s="14">
        <f>IF('Données projet'!$A$36&gt;35,N104+M105-V104,IF(A105&lt;'Données projet'!$A$36,$K$205^A105,IF(A105='Données projet'!$A$36,'Données projet'!$B$36,N104+M105-V104)))</f>
        <v>474</v>
      </c>
      <c r="O105" s="14">
        <f>N105*VLOOKUP('Données projet'!$B$9,Paramètres!$A$1:$I$88,3,0)*VLOOKUP('Données projet'!$B$9,Paramètres!$A$1:$I$88,5,0)</f>
        <v>221.83199999999999</v>
      </c>
      <c r="P105" s="14">
        <f t="shared" si="87"/>
        <v>54.512869489435815</v>
      </c>
      <c r="Q105" s="22">
        <f t="shared" si="107"/>
        <v>481.30064769410069</v>
      </c>
      <c r="R105" s="62">
        <f t="shared" si="55"/>
        <v>774.63398102743395</v>
      </c>
      <c r="S105" s="62">
        <f ca="1">AVERAGE(OFFSET($R$3,0,0,'Données projet'!$E$9+1,1))-AVERAGE(OFFSET($H$3,0,0,'Données projet'!$E$9+1,1))</f>
        <v>316.04959780858269</v>
      </c>
      <c r="T105" s="62">
        <f t="shared" si="88"/>
        <v>213.60182977243113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22.996239109561333</v>
      </c>
      <c r="AA105" s="23">
        <f>EXP(-LN(2)/25)*AA104+(1-EXP(-LN(2)/25))/(LN(2)/25)*Calculateur!V105*Calculateur!X105*VLOOKUP('Données projet'!$B$9,Paramètres!$A$1:$I$88,3,0)*0.475*44/12</f>
        <v>7.7038450309264812</v>
      </c>
      <c r="AB105" s="23">
        <f>EXP(-LN(2)/2)*AB104+(1-EXP(-LN(2)/2))/(LN(2)/2)*V105*Y105*VLOOKUP('Données projet'!$B$9,Paramètres!$A$1:$I$88,3,0)*0.475*44/12</f>
        <v>0.50066162236284473</v>
      </c>
      <c r="AC105" s="24">
        <f t="shared" si="57"/>
        <v>31.200745762850659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-7.9580786405131221E-13</v>
      </c>
      <c r="AJ105" s="14">
        <f>AI105*VLOOKUP('Données projet'!$B$10,Paramètres!$A$1:$I$88,3,0)*VLOOKUP('Données projet'!$B$10,Paramètres!$A$1:$I$88,5,0)</f>
        <v>-4.448565960046835E-13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583.31979399672844</v>
      </c>
      <c r="AO105" s="62">
        <f t="shared" si="90"/>
        <v>544.21514138474731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199.37178355919494</v>
      </c>
      <c r="AV105" s="23">
        <f>EXP(-LN(2)/25)*AV104+(1-EXP(-LN(2)/25))/(LN(2)/25)*Calculateur!AQ105*Calculateur!AS105*VLOOKUP('Données projet'!$B$10,Paramètres!$A$1:$I$88,3,0)*0.475*44/12</f>
        <v>35.94209686505183</v>
      </c>
      <c r="AW105" s="23">
        <f>EXP(-LN(2)/2)*AW104+(1-EXP(-LN(2)/2))/(LN(2)/2)*AQ105*AT105*VLOOKUP('Données projet'!$B$10,Paramètres!$A$1:$I$88,3,0)*0.475*44/12</f>
        <v>2.157946404810231E-2</v>
      </c>
      <c r="AX105" s="23">
        <f t="shared" si="60"/>
        <v>235.33545988829488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projet'!$B$11,Paramètres!$A$1:$I$88,3,0)*VLOOKUP('Données projet'!$B$11,Paramètres!$A$1:$I$88,5,0)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projet'!$B$11,Paramètres!$A$1:$I$88,3,0)*0.475*44/12</f>
        <v>#N/A</v>
      </c>
      <c r="BQ105" s="23" t="e">
        <f>EXP(-LN(2)/25)*BQ104+(1-EXP(-LN(2)/25))/(LN(2)/25)*Calculateur!BL105*Calculateur!BN105*VLOOKUP('Données projet'!$B$11,Paramètres!$A$1:$I$88,3,0)*0.475*44/12</f>
        <v>#N/A</v>
      </c>
      <c r="BR105" s="23" t="e">
        <f>EXP(-LN(2)/2)*BR104+(1-EXP(-LN(2)/2))/(LN(2)/2)*BL105*BO105*VLOOKUP('Données projet'!$B$11,Paramètres!$A$1:$I$88,3,0)*0.475*44/12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projet'!$B$12,Paramètres!$A$1:$I$88,3,0)*0.475*44/12</f>
        <v>#N/A</v>
      </c>
      <c r="CL105" s="23" t="e">
        <f>EXP(-LN(2)/25)*CL104+(1-EXP(-LN(2)/25))/(LN(2)/25)*Calculateur!CG105*Calculateur!CI105*VLOOKUP('Données projet'!$B$12,Paramètres!$A$1:$I$88,3,0)*0.475*44/12</f>
        <v>#N/A</v>
      </c>
      <c r="CM105" s="23" t="e">
        <f>EXP(-LN(2)/2)*CM104+(1-EXP(-LN(2)/2))/(LN(2)/2)*CG105*CJ105*VLOOKUP('Données projet'!$B$12,Paramètres!$A$1:$I$88,3,0)*0.475*44/12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2</v>
      </c>
      <c r="N106" s="14">
        <f>IF('Données projet'!$A$36&gt;35,N105+M106-V105,IF(A106&lt;'Données projet'!$A$36,$K$205^A106,IF(A106='Données projet'!$A$36,'Données projet'!$B$36,N105+M106-V105)))</f>
        <v>476</v>
      </c>
      <c r="O106" s="14">
        <f>N106*VLOOKUP('Données projet'!$B$9,Paramètres!$A$1:$I$88,3,0)*VLOOKUP('Données projet'!$B$9,Paramètres!$A$1:$I$88,5,0)</f>
        <v>222.768</v>
      </c>
      <c r="P106" s="14">
        <f t="shared" si="87"/>
        <v>54.716058356609508</v>
      </c>
      <c r="Q106" s="22">
        <f t="shared" si="107"/>
        <v>483.28473497109491</v>
      </c>
      <c r="R106" s="62">
        <f t="shared" si="55"/>
        <v>776.61806830442822</v>
      </c>
      <c r="S106" s="62">
        <f ca="1">AVERAGE(OFFSET($R$3,0,0,'Données projet'!$E$9+1,1))-AVERAGE(OFFSET($H$3,0,0,'Données projet'!$E$9+1,1))</f>
        <v>316.04959780858269</v>
      </c>
      <c r="T106" s="62">
        <f t="shared" si="88"/>
        <v>213.60182977243113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22.54529688694371</v>
      </c>
      <c r="AA106" s="23">
        <f>EXP(-LN(2)/25)*AA105+(1-EXP(-LN(2)/25))/(LN(2)/25)*Calculateur!V106*Calculateur!X106*VLOOKUP('Données projet'!$B$9,Paramètres!$A$1:$I$88,3,0)*0.475*44/12</f>
        <v>7.493182983428194</v>
      </c>
      <c r="AB106" s="23">
        <f>EXP(-LN(2)/2)*AB105+(1-EXP(-LN(2)/2))/(LN(2)/2)*V106*Y106*VLOOKUP('Données projet'!$B$9,Paramètres!$A$1:$I$88,3,0)*0.475*44/12</f>
        <v>0.35402122825262594</v>
      </c>
      <c r="AC106" s="24">
        <f t="shared" si="57"/>
        <v>30.392501098624532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-7.9580786405131221E-13</v>
      </c>
      <c r="AJ106" s="14">
        <f>AI106*VLOOKUP('Données projet'!$B$10,Paramètres!$A$1:$I$88,3,0)*VLOOKUP('Données projet'!$B$10,Paramètres!$A$1:$I$88,5,0)</f>
        <v>-4.448565960046835E-13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583.31979399672844</v>
      </c>
      <c r="AO106" s="62">
        <f t="shared" si="90"/>
        <v>544.21514138474731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195.46222448837963</v>
      </c>
      <c r="AV106" s="23">
        <f>EXP(-LN(2)/25)*AV105+(1-EXP(-LN(2)/25))/(LN(2)/25)*Calculateur!AQ106*Calculateur!AS106*VLOOKUP('Données projet'!$B$10,Paramètres!$A$1:$I$88,3,0)*0.475*44/12</f>
        <v>34.959258336164261</v>
      </c>
      <c r="AW106" s="23">
        <f>EXP(-LN(2)/2)*AW105+(1-EXP(-LN(2)/2))/(LN(2)/2)*AQ106*AT106*VLOOKUP('Données projet'!$B$10,Paramètres!$A$1:$I$88,3,0)*0.475*44/12</f>
        <v>1.5258985362784451E-2</v>
      </c>
      <c r="AX106" s="23">
        <f t="shared" si="60"/>
        <v>230.43674180990666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projet'!$B$11,Paramètres!$A$1:$I$88,3,0)*VLOOKUP('Données projet'!$B$11,Paramètres!$A$1:$I$88,5,0)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projet'!$B$11,Paramètres!$A$1:$I$88,3,0)*0.475*44/12</f>
        <v>#N/A</v>
      </c>
      <c r="BQ106" s="23" t="e">
        <f>EXP(-LN(2)/25)*BQ105+(1-EXP(-LN(2)/25))/(LN(2)/25)*Calculateur!BL106*Calculateur!BN106*VLOOKUP('Données projet'!$B$11,Paramètres!$A$1:$I$88,3,0)*0.475*44/12</f>
        <v>#N/A</v>
      </c>
      <c r="BR106" s="23" t="e">
        <f>EXP(-LN(2)/2)*BR105+(1-EXP(-LN(2)/2))/(LN(2)/2)*BL106*BO106*VLOOKUP('Données projet'!$B$11,Paramètres!$A$1:$I$88,3,0)*0.475*44/12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projet'!$B$12,Paramètres!$A$1:$I$88,3,0)*0.475*44/12</f>
        <v>#N/A</v>
      </c>
      <c r="CL106" s="23" t="e">
        <f>EXP(-LN(2)/25)*CL105+(1-EXP(-LN(2)/25))/(LN(2)/25)*Calculateur!CG106*Calculateur!CI106*VLOOKUP('Données projet'!$B$12,Paramètres!$A$1:$I$88,3,0)*0.475*44/12</f>
        <v>#N/A</v>
      </c>
      <c r="CM106" s="23" t="e">
        <f>EXP(-LN(2)/2)*CM105+(1-EXP(-LN(2)/2))/(LN(2)/2)*CG106*CJ106*VLOOKUP('Données projet'!$B$12,Paramètres!$A$1:$I$88,3,0)*0.475*44/12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2</v>
      </c>
      <c r="N107" s="14">
        <f>IF('Données projet'!$A$36&gt;35,N106+M107-V106,IF(A107&lt;'Données projet'!$A$36,$K$205^A107,IF(A107='Données projet'!$A$36,'Données projet'!$B$36,N106+M107-V106)))</f>
        <v>478</v>
      </c>
      <c r="O107" s="14">
        <f>N107*VLOOKUP('Données projet'!$B$9,Paramètres!$A$1:$I$88,3,0)*VLOOKUP('Données projet'!$B$9,Paramètres!$A$1:$I$88,5,0)</f>
        <v>223.70399999999998</v>
      </c>
      <c r="P107" s="14">
        <f t="shared" si="87"/>
        <v>54.919147873047578</v>
      </c>
      <c r="Q107" s="22">
        <f t="shared" si="107"/>
        <v>485.26864921222455</v>
      </c>
      <c r="R107" s="62">
        <f t="shared" si="55"/>
        <v>778.6019825455578</v>
      </c>
      <c r="S107" s="62">
        <f ca="1">AVERAGE(OFFSET($R$3,0,0,'Données projet'!$E$9+1,1))-AVERAGE(OFFSET($H$3,0,0,'Données projet'!$E$9+1,1))</f>
        <v>316.04959780858269</v>
      </c>
      <c r="T107" s="62">
        <f t="shared" si="88"/>
        <v>213.60182977243113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22.10319736626402</v>
      </c>
      <c r="AA107" s="23">
        <f>EXP(-LN(2)/25)*AA106+(1-EXP(-LN(2)/25))/(LN(2)/25)*Calculateur!V107*Calculateur!X107*VLOOKUP('Données projet'!$B$9,Paramètres!$A$1:$I$88,3,0)*0.475*44/12</f>
        <v>7.288281500696983</v>
      </c>
      <c r="AB107" s="23">
        <f>EXP(-LN(2)/2)*AB106+(1-EXP(-LN(2)/2))/(LN(2)/2)*V107*Y107*VLOOKUP('Données projet'!$B$9,Paramètres!$A$1:$I$88,3,0)*0.475*44/12</f>
        <v>0.25033081118142236</v>
      </c>
      <c r="AC107" s="24">
        <f t="shared" si="57"/>
        <v>29.641809678142423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-7.9580786405131221E-13</v>
      </c>
      <c r="AJ107" s="14">
        <f>AI107*VLOOKUP('Données projet'!$B$10,Paramètres!$A$1:$I$88,3,0)*VLOOKUP('Données projet'!$B$10,Paramètres!$A$1:$I$88,5,0)</f>
        <v>-4.448565960046835E-13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583.31979399672844</v>
      </c>
      <c r="AO107" s="62">
        <f t="shared" si="90"/>
        <v>544.21514138474731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191.62932948634744</v>
      </c>
      <c r="AV107" s="23">
        <f>EXP(-LN(2)/25)*AV106+(1-EXP(-LN(2)/25))/(LN(2)/25)*Calculateur!AQ107*Calculateur!AS107*VLOOKUP('Données projet'!$B$10,Paramètres!$A$1:$I$88,3,0)*0.475*44/12</f>
        <v>34.003295578534356</v>
      </c>
      <c r="AW107" s="23">
        <f>EXP(-LN(2)/2)*AW106+(1-EXP(-LN(2)/2))/(LN(2)/2)*AQ107*AT107*VLOOKUP('Données projet'!$B$10,Paramètres!$A$1:$I$88,3,0)*0.475*44/12</f>
        <v>1.0789732024051157E-2</v>
      </c>
      <c r="AX107" s="23">
        <f t="shared" si="60"/>
        <v>225.64341479690586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projet'!$B$11,Paramètres!$A$1:$I$88,3,0)*VLOOKUP('Données projet'!$B$11,Paramètres!$A$1:$I$88,5,0)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projet'!$B$11,Paramètres!$A$1:$I$88,3,0)*0.475*44/12</f>
        <v>#N/A</v>
      </c>
      <c r="BQ107" s="23" t="e">
        <f>EXP(-LN(2)/25)*BQ106+(1-EXP(-LN(2)/25))/(LN(2)/25)*Calculateur!BL107*Calculateur!BN107*VLOOKUP('Données projet'!$B$11,Paramètres!$A$1:$I$88,3,0)*0.475*44/12</f>
        <v>#N/A</v>
      </c>
      <c r="BR107" s="23" t="e">
        <f>EXP(-LN(2)/2)*BR106+(1-EXP(-LN(2)/2))/(LN(2)/2)*BL107*BO107*VLOOKUP('Données projet'!$B$11,Paramètres!$A$1:$I$88,3,0)*0.475*44/12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projet'!$B$12,Paramètres!$A$1:$I$88,3,0)*0.475*44/12</f>
        <v>#N/A</v>
      </c>
      <c r="CL107" s="23" t="e">
        <f>EXP(-LN(2)/25)*CL106+(1-EXP(-LN(2)/25))/(LN(2)/25)*Calculateur!CG107*Calculateur!CI107*VLOOKUP('Données projet'!$B$12,Paramètres!$A$1:$I$88,3,0)*0.475*44/12</f>
        <v>#N/A</v>
      </c>
      <c r="CM107" s="23" t="e">
        <f>EXP(-LN(2)/2)*CM106+(1-EXP(-LN(2)/2))/(LN(2)/2)*CG107*CJ107*VLOOKUP('Données projet'!$B$12,Paramètres!$A$1:$I$88,3,0)*0.475*44/12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2</v>
      </c>
      <c r="N108" s="14">
        <f>IF('Données projet'!$A$36&gt;35,N107+M108-V107,IF(A108&lt;'Données projet'!$A$36,$K$205^A108,IF(A108='Données projet'!$A$36,'Données projet'!$B$36,N107+M108-V107)))</f>
        <v>480</v>
      </c>
      <c r="O108" s="14">
        <f>N108*VLOOKUP('Données projet'!$B$9,Paramètres!$A$1:$I$88,3,0)*VLOOKUP('Données projet'!$B$9,Paramètres!$A$1:$I$88,5,0)</f>
        <v>224.64</v>
      </c>
      <c r="P108" s="14">
        <f t="shared" si="87"/>
        <v>55.122138502719949</v>
      </c>
      <c r="Q108" s="22">
        <f t="shared" si="107"/>
        <v>487.25239122557053</v>
      </c>
      <c r="R108" s="62">
        <f t="shared" si="55"/>
        <v>780.58572455890385</v>
      </c>
      <c r="S108" s="62">
        <f ca="1">AVERAGE(OFFSET($R$3,0,0,'Données projet'!$E$9+1,1))-AVERAGE(OFFSET($H$3,0,0,'Données projet'!$E$9+1,1))</f>
        <v>316.04959780858269</v>
      </c>
      <c r="T108" s="62">
        <f t="shared" si="88"/>
        <v>213.60182977243113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21.669767147530777</v>
      </c>
      <c r="AA108" s="23">
        <f>EXP(-LN(2)/25)*AA107+(1-EXP(-LN(2)/25))/(LN(2)/25)*Calculateur!V108*Calculateur!X108*VLOOKUP('Données projet'!$B$9,Paramètres!$A$1:$I$88,3,0)*0.475*44/12</f>
        <v>7.0889830597863579</v>
      </c>
      <c r="AB108" s="23">
        <f>EXP(-LN(2)/2)*AB107+(1-EXP(-LN(2)/2))/(LN(2)/2)*V108*Y108*VLOOKUP('Données projet'!$B$9,Paramètres!$A$1:$I$88,3,0)*0.475*44/12</f>
        <v>0.17701061412631297</v>
      </c>
      <c r="AC108" s="24">
        <f t="shared" si="57"/>
        <v>28.935760821443449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-7.9580786405131221E-13</v>
      </c>
      <c r="AJ108" s="14">
        <f>AI108*VLOOKUP('Données projet'!$B$10,Paramètres!$A$1:$I$88,3,0)*VLOOKUP('Données projet'!$B$10,Paramètres!$A$1:$I$88,5,0)</f>
        <v>-4.448565960046835E-13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583.31979399672844</v>
      </c>
      <c r="AO108" s="62">
        <f t="shared" si="90"/>
        <v>544.21514138474731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187.87159521746997</v>
      </c>
      <c r="AV108" s="23">
        <f>EXP(-LN(2)/25)*AV107+(1-EXP(-LN(2)/25))/(LN(2)/25)*Calculateur!AQ108*Calculateur!AS108*VLOOKUP('Données projet'!$B$10,Paramètres!$A$1:$I$88,3,0)*0.475*44/12</f>
        <v>33.073473672783734</v>
      </c>
      <c r="AW108" s="23">
        <f>EXP(-LN(2)/2)*AW107+(1-EXP(-LN(2)/2))/(LN(2)/2)*AQ108*AT108*VLOOKUP('Données projet'!$B$10,Paramètres!$A$1:$I$88,3,0)*0.475*44/12</f>
        <v>7.6294926813922264E-3</v>
      </c>
      <c r="AX108" s="23">
        <f t="shared" si="60"/>
        <v>220.9526983829351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projet'!$B$11,Paramètres!$A$1:$I$88,3,0)*VLOOKUP('Données projet'!$B$11,Paramètres!$A$1:$I$88,5,0)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projet'!$B$11,Paramètres!$A$1:$I$88,3,0)*0.475*44/12</f>
        <v>#N/A</v>
      </c>
      <c r="BQ108" s="23" t="e">
        <f>EXP(-LN(2)/25)*BQ107+(1-EXP(-LN(2)/25))/(LN(2)/25)*Calculateur!BL108*Calculateur!BN108*VLOOKUP('Données projet'!$B$11,Paramètres!$A$1:$I$88,3,0)*0.475*44/12</f>
        <v>#N/A</v>
      </c>
      <c r="BR108" s="23" t="e">
        <f>EXP(-LN(2)/2)*BR107+(1-EXP(-LN(2)/2))/(LN(2)/2)*BL108*BO108*VLOOKUP('Données projet'!$B$11,Paramètres!$A$1:$I$88,3,0)*0.475*44/12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projet'!$B$12,Paramètres!$A$1:$I$88,3,0)*0.475*44/12</f>
        <v>#N/A</v>
      </c>
      <c r="CL108" s="23" t="e">
        <f>EXP(-LN(2)/25)*CL107+(1-EXP(-LN(2)/25))/(LN(2)/25)*Calculateur!CG108*Calculateur!CI108*VLOOKUP('Données projet'!$B$12,Paramètres!$A$1:$I$88,3,0)*0.475*44/12</f>
        <v>#N/A</v>
      </c>
      <c r="CM108" s="23" t="e">
        <f>EXP(-LN(2)/2)*CM107+(1-EXP(-LN(2)/2))/(LN(2)/2)*CG108*CJ108*VLOOKUP('Données projet'!$B$12,Paramètres!$A$1:$I$88,3,0)*0.475*44/12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2</v>
      </c>
      <c r="N109" s="14">
        <f>IF('Données projet'!$A$36&gt;35,N108+M109-V108,IF(A109&lt;'Données projet'!$A$36,$K$205^A109,IF(A109='Données projet'!$A$36,'Données projet'!$B$36,N108+M109-V108)))</f>
        <v>482</v>
      </c>
      <c r="O109" s="14">
        <f>N109*VLOOKUP('Données projet'!$B$9,Paramètres!$A$1:$I$88,3,0)*VLOOKUP('Données projet'!$B$9,Paramètres!$A$1:$I$88,5,0)</f>
        <v>225.57599999999999</v>
      </c>
      <c r="P109" s="14">
        <f t="shared" si="87"/>
        <v>55.325030705505945</v>
      </c>
      <c r="Q109" s="22">
        <f t="shared" si="107"/>
        <v>489.2359618120895</v>
      </c>
      <c r="R109" s="62">
        <f t="shared" si="55"/>
        <v>782.56929514542276</v>
      </c>
      <c r="S109" s="62">
        <f ca="1">AVERAGE(OFFSET($R$3,0,0,'Données projet'!$E$9+1,1))-AVERAGE(OFFSET($H$3,0,0,'Données projet'!$E$9+1,1))</f>
        <v>316.04959780858269</v>
      </c>
      <c r="T109" s="62">
        <f t="shared" si="88"/>
        <v>213.60182977243113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21.244836231020564</v>
      </c>
      <c r="AA109" s="23">
        <f>EXP(-LN(2)/25)*AA108+(1-EXP(-LN(2)/25))/(LN(2)/25)*Calculateur!V109*Calculateur!X109*VLOOKUP('Données projet'!$B$9,Paramètres!$A$1:$I$88,3,0)*0.475*44/12</f>
        <v>6.8951344452230829</v>
      </c>
      <c r="AB109" s="23">
        <f>EXP(-LN(2)/2)*AB108+(1-EXP(-LN(2)/2))/(LN(2)/2)*V109*Y109*VLOOKUP('Données projet'!$B$9,Paramètres!$A$1:$I$88,3,0)*0.475*44/12</f>
        <v>0.12516540559071118</v>
      </c>
      <c r="AC109" s="24">
        <f t="shared" si="57"/>
        <v>28.265136081834356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-7.9580786405131221E-13</v>
      </c>
      <c r="AJ109" s="14">
        <f>AI109*VLOOKUP('Données projet'!$B$10,Paramètres!$A$1:$I$88,3,0)*VLOOKUP('Données projet'!$B$10,Paramètres!$A$1:$I$88,5,0)</f>
        <v>-4.448565960046835E-13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583.31979399672844</v>
      </c>
      <c r="AO109" s="62">
        <f t="shared" si="90"/>
        <v>544.21514138474731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184.18754782561362</v>
      </c>
      <c r="AV109" s="23">
        <f>EXP(-LN(2)/25)*AV108+(1-EXP(-LN(2)/25))/(LN(2)/25)*Calculateur!AQ109*Calculateur!AS109*VLOOKUP('Données projet'!$B$10,Paramètres!$A$1:$I$88,3,0)*0.475*44/12</f>
        <v>32.169077795943075</v>
      </c>
      <c r="AW109" s="23">
        <f>EXP(-LN(2)/2)*AW108+(1-EXP(-LN(2)/2))/(LN(2)/2)*AQ109*AT109*VLOOKUP('Données projet'!$B$10,Paramètres!$A$1:$I$88,3,0)*0.475*44/12</f>
        <v>5.3948660120255792E-3</v>
      </c>
      <c r="AX109" s="23">
        <f t="shared" si="60"/>
        <v>216.36202048756874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projet'!$B$11,Paramètres!$A$1:$I$88,3,0)*VLOOKUP('Données projet'!$B$11,Paramètres!$A$1:$I$88,5,0)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projet'!$B$11,Paramètres!$A$1:$I$88,3,0)*0.475*44/12</f>
        <v>#N/A</v>
      </c>
      <c r="BQ109" s="23" t="e">
        <f>EXP(-LN(2)/25)*BQ108+(1-EXP(-LN(2)/25))/(LN(2)/25)*Calculateur!BL109*Calculateur!BN109*VLOOKUP('Données projet'!$B$11,Paramètres!$A$1:$I$88,3,0)*0.475*44/12</f>
        <v>#N/A</v>
      </c>
      <c r="BR109" s="23" t="e">
        <f>EXP(-LN(2)/2)*BR108+(1-EXP(-LN(2)/2))/(LN(2)/2)*BL109*BO109*VLOOKUP('Données projet'!$B$11,Paramètres!$A$1:$I$88,3,0)*0.475*44/12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projet'!$B$12,Paramètres!$A$1:$I$88,3,0)*0.475*44/12</f>
        <v>#N/A</v>
      </c>
      <c r="CL109" s="23" t="e">
        <f>EXP(-LN(2)/25)*CL108+(1-EXP(-LN(2)/25))/(LN(2)/25)*Calculateur!CG109*Calculateur!CI109*VLOOKUP('Données projet'!$B$12,Paramètres!$A$1:$I$88,3,0)*0.475*44/12</f>
        <v>#N/A</v>
      </c>
      <c r="CM109" s="23" t="e">
        <f>EXP(-LN(2)/2)*CM108+(1-EXP(-LN(2)/2))/(LN(2)/2)*CG109*CJ109*VLOOKUP('Données projet'!$B$12,Paramètres!$A$1:$I$88,3,0)*0.475*44/12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2</v>
      </c>
      <c r="N110" s="14">
        <f>IF('Données projet'!$A$36&gt;35,N109+M110-V109,IF(A110&lt;'Données projet'!$A$36,$K$205^A110,IF(A110='Données projet'!$A$36,'Données projet'!$B$36,N109+M110-V109)))</f>
        <v>484</v>
      </c>
      <c r="O110" s="14">
        <f>N110*VLOOKUP('Données projet'!$B$9,Paramètres!$A$1:$I$88,3,0)*VLOOKUP('Données projet'!$B$9,Paramètres!$A$1:$I$88,5,0)</f>
        <v>226.51199999999997</v>
      </c>
      <c r="P110" s="14">
        <f t="shared" si="87"/>
        <v>55.527824937247544</v>
      </c>
      <c r="Q110" s="22">
        <f t="shared" si="107"/>
        <v>491.21936176570608</v>
      </c>
      <c r="R110" s="62">
        <f t="shared" si="55"/>
        <v>784.5526950990394</v>
      </c>
      <c r="S110" s="62">
        <f ca="1">AVERAGE(OFFSET($R$3,0,0,'Données projet'!$E$9+1,1))-AVERAGE(OFFSET($H$3,0,0,'Données projet'!$E$9+1,1))</f>
        <v>316.04959780858269</v>
      </c>
      <c r="T110" s="62">
        <f t="shared" si="88"/>
        <v>213.60182977243113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20.828237950600847</v>
      </c>
      <c r="AA110" s="23">
        <f>EXP(-LN(2)/25)*AA109+(1-EXP(-LN(2)/25))/(LN(2)/25)*Calculateur!V110*Calculateur!X110*VLOOKUP('Données projet'!$B$9,Paramètres!$A$1:$I$88,3,0)*0.475*44/12</f>
        <v>6.7065866312190963</v>
      </c>
      <c r="AB110" s="23">
        <f>EXP(-LN(2)/2)*AB109+(1-EXP(-LN(2)/2))/(LN(2)/2)*V110*Y110*VLOOKUP('Données projet'!$B$9,Paramètres!$A$1:$I$88,3,0)*0.475*44/12</f>
        <v>8.8505307063156485E-2</v>
      </c>
      <c r="AC110" s="24">
        <f t="shared" si="57"/>
        <v>27.623329888883099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-7.9580786405131221E-13</v>
      </c>
      <c r="AJ110" s="14">
        <f>AI110*VLOOKUP('Données projet'!$B$10,Paramètres!$A$1:$I$88,3,0)*VLOOKUP('Données projet'!$B$10,Paramètres!$A$1:$I$88,5,0)</f>
        <v>-4.448565960046835E-13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583.31979399672844</v>
      </c>
      <c r="AO110" s="62">
        <f t="shared" si="90"/>
        <v>544.21514138474731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180.57574235606452</v>
      </c>
      <c r="AV110" s="23">
        <f>EXP(-LN(2)/25)*AV109+(1-EXP(-LN(2)/25))/(LN(2)/25)*Calculateur!AQ110*Calculateur!AS110*VLOOKUP('Données projet'!$B$10,Paramètres!$A$1:$I$88,3,0)*0.475*44/12</f>
        <v>31.289412671914732</v>
      </c>
      <c r="AW110" s="23">
        <f>EXP(-LN(2)/2)*AW109+(1-EXP(-LN(2)/2))/(LN(2)/2)*AQ110*AT110*VLOOKUP('Données projet'!$B$10,Paramètres!$A$1:$I$88,3,0)*0.475*44/12</f>
        <v>3.8147463406961136E-3</v>
      </c>
      <c r="AX110" s="23">
        <f t="shared" si="60"/>
        <v>211.86896977431996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projet'!$B$11,Paramètres!$A$1:$I$88,3,0)*VLOOKUP('Données projet'!$B$11,Paramètres!$A$1:$I$88,5,0)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projet'!$B$11,Paramètres!$A$1:$I$88,3,0)*0.475*44/12</f>
        <v>#N/A</v>
      </c>
      <c r="BQ110" s="23" t="e">
        <f>EXP(-LN(2)/25)*BQ109+(1-EXP(-LN(2)/25))/(LN(2)/25)*Calculateur!BL110*Calculateur!BN110*VLOOKUP('Données projet'!$B$11,Paramètres!$A$1:$I$88,3,0)*0.475*44/12</f>
        <v>#N/A</v>
      </c>
      <c r="BR110" s="23" t="e">
        <f>EXP(-LN(2)/2)*BR109+(1-EXP(-LN(2)/2))/(LN(2)/2)*BL110*BO110*VLOOKUP('Données projet'!$B$11,Paramètres!$A$1:$I$88,3,0)*0.475*44/12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projet'!$B$12,Paramètres!$A$1:$I$88,3,0)*0.475*44/12</f>
        <v>#N/A</v>
      </c>
      <c r="CL110" s="23" t="e">
        <f>EXP(-LN(2)/25)*CL109+(1-EXP(-LN(2)/25))/(LN(2)/25)*Calculateur!CG110*Calculateur!CI110*VLOOKUP('Données projet'!$B$12,Paramètres!$A$1:$I$88,3,0)*0.475*44/12</f>
        <v>#N/A</v>
      </c>
      <c r="CM110" s="23" t="e">
        <f>EXP(-LN(2)/2)*CM109+(1-EXP(-LN(2)/2))/(LN(2)/2)*CG110*CJ110*VLOOKUP('Données projet'!$B$12,Paramètres!$A$1:$I$88,3,0)*0.475*44/12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2</v>
      </c>
      <c r="N111" s="14">
        <f>IF('Données projet'!$A$36&gt;35,N110+M111-V110,IF(A111&lt;'Données projet'!$A$36,$K$205^A111,IF(A111='Données projet'!$A$36,'Données projet'!$B$36,N110+M111-V110)))</f>
        <v>486</v>
      </c>
      <c r="O111" s="14">
        <f>N111*VLOOKUP('Données projet'!$B$9,Paramètres!$A$1:$I$88,3,0)*VLOOKUP('Données projet'!$B$9,Paramètres!$A$1:$I$88,5,0)</f>
        <v>227.44799999999998</v>
      </c>
      <c r="P111" s="14">
        <f t="shared" si="87"/>
        <v>55.730521649800686</v>
      </c>
      <c r="Q111" s="22">
        <f t="shared" si="107"/>
        <v>493.20259187340275</v>
      </c>
      <c r="R111" s="62">
        <f t="shared" si="55"/>
        <v>786.53592520673601</v>
      </c>
      <c r="S111" s="62">
        <f ca="1">AVERAGE(OFFSET($R$3,0,0,'Données projet'!$E$9+1,1))-AVERAGE(OFFSET($H$3,0,0,'Données projet'!$E$9+1,1))</f>
        <v>316.04959780858269</v>
      </c>
      <c r="T111" s="62">
        <f t="shared" si="88"/>
        <v>213.60182977243113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20.419808908360302</v>
      </c>
      <c r="AA111" s="23">
        <f>EXP(-LN(2)/25)*AA110+(1-EXP(-LN(2)/25))/(LN(2)/25)*Calculateur!V111*Calculateur!X111*VLOOKUP('Données projet'!$B$9,Paramètres!$A$1:$I$88,3,0)*0.475*44/12</f>
        <v>6.523194667104347</v>
      </c>
      <c r="AB111" s="23">
        <f>EXP(-LN(2)/2)*AB110+(1-EXP(-LN(2)/2))/(LN(2)/2)*V111*Y111*VLOOKUP('Données projet'!$B$9,Paramètres!$A$1:$I$88,3,0)*0.475*44/12</f>
        <v>6.2582702795355591E-2</v>
      </c>
      <c r="AC111" s="24">
        <f t="shared" si="57"/>
        <v>27.005586278260008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-7.9580786405131221E-13</v>
      </c>
      <c r="AJ111" s="14">
        <f>AI111*VLOOKUP('Données projet'!$B$10,Paramètres!$A$1:$I$88,3,0)*VLOOKUP('Données projet'!$B$10,Paramètres!$A$1:$I$88,5,0)</f>
        <v>-4.448565960046835E-13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583.31979399672844</v>
      </c>
      <c r="AO111" s="62">
        <f t="shared" si="90"/>
        <v>544.21514138474731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177.03476218878947</v>
      </c>
      <c r="AV111" s="23">
        <f>EXP(-LN(2)/25)*AV110+(1-EXP(-LN(2)/25))/(LN(2)/25)*Calculateur!AQ111*Calculateur!AS111*VLOOKUP('Données projet'!$B$10,Paramètres!$A$1:$I$88,3,0)*0.475*44/12</f>
        <v>30.433802036962526</v>
      </c>
      <c r="AW111" s="23">
        <f>EXP(-LN(2)/2)*AW110+(1-EXP(-LN(2)/2))/(LN(2)/2)*AQ111*AT111*VLOOKUP('Données projet'!$B$10,Paramètres!$A$1:$I$88,3,0)*0.475*44/12</f>
        <v>2.69743300601279E-3</v>
      </c>
      <c r="AX111" s="23">
        <f t="shared" si="60"/>
        <v>207.47126165875801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projet'!$B$11,Paramètres!$A$1:$I$88,3,0)*VLOOKUP('Données projet'!$B$11,Paramètres!$A$1:$I$88,5,0)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projet'!$B$11,Paramètres!$A$1:$I$88,3,0)*0.475*44/12</f>
        <v>#N/A</v>
      </c>
      <c r="BQ111" s="23" t="e">
        <f>EXP(-LN(2)/25)*BQ110+(1-EXP(-LN(2)/25))/(LN(2)/25)*Calculateur!BL111*Calculateur!BN111*VLOOKUP('Données projet'!$B$11,Paramètres!$A$1:$I$88,3,0)*0.475*44/12</f>
        <v>#N/A</v>
      </c>
      <c r="BR111" s="23" t="e">
        <f>EXP(-LN(2)/2)*BR110+(1-EXP(-LN(2)/2))/(LN(2)/2)*BL111*BO111*VLOOKUP('Données projet'!$B$11,Paramètres!$A$1:$I$88,3,0)*0.475*44/12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projet'!$B$12,Paramètres!$A$1:$I$88,3,0)*0.475*44/12</f>
        <v>#N/A</v>
      </c>
      <c r="CL111" s="23" t="e">
        <f>EXP(-LN(2)/25)*CL110+(1-EXP(-LN(2)/25))/(LN(2)/25)*Calculateur!CG111*Calculateur!CI111*VLOOKUP('Données projet'!$B$12,Paramètres!$A$1:$I$88,3,0)*0.475*44/12</f>
        <v>#N/A</v>
      </c>
      <c r="CM111" s="23" t="e">
        <f>EXP(-LN(2)/2)*CM110+(1-EXP(-LN(2)/2))/(LN(2)/2)*CG111*CJ111*VLOOKUP('Données projet'!$B$12,Paramètres!$A$1:$I$88,3,0)*0.475*44/12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2</v>
      </c>
      <c r="N112" s="14">
        <f>IF('Données projet'!$A$36&gt;35,N111+M112-V111,IF(A112&lt;'Données projet'!$A$36,$K$205^A112,IF(A112='Données projet'!$A$36,'Données projet'!$B$36,N111+M112-V111)))</f>
        <v>488</v>
      </c>
      <c r="O112" s="14">
        <f>N112*VLOOKUP('Données projet'!$B$9,Paramètres!$A$1:$I$88,3,0)*VLOOKUP('Données projet'!$B$9,Paramètres!$A$1:$I$88,5,0)</f>
        <v>228.38400000000001</v>
      </c>
      <c r="P112" s="14">
        <f t="shared" si="87"/>
        <v>55.933121291087289</v>
      </c>
      <c r="Q112" s="22">
        <f t="shared" si="107"/>
        <v>495.18565291531036</v>
      </c>
      <c r="R112" s="62">
        <f t="shared" si="55"/>
        <v>788.51898624864361</v>
      </c>
      <c r="S112" s="62">
        <f ca="1">AVERAGE(OFFSET($R$3,0,0,'Données projet'!$E$9+1,1))-AVERAGE(OFFSET($H$3,0,0,'Données projet'!$E$9+1,1))</f>
        <v>316.04959780858269</v>
      </c>
      <c r="T112" s="62">
        <f t="shared" si="88"/>
        <v>213.60182977243113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20.019388910520977</v>
      </c>
      <c r="AA112" s="23">
        <f>EXP(-LN(2)/25)*AA111+(1-EXP(-LN(2)/25))/(LN(2)/25)*Calculateur!V112*Calculateur!X112*VLOOKUP('Données projet'!$B$9,Paramètres!$A$1:$I$88,3,0)*0.475*44/12</f>
        <v>6.3448175658924804</v>
      </c>
      <c r="AB112" s="23">
        <f>EXP(-LN(2)/2)*AB111+(1-EXP(-LN(2)/2))/(LN(2)/2)*V112*Y112*VLOOKUP('Données projet'!$B$9,Paramètres!$A$1:$I$88,3,0)*0.475*44/12</f>
        <v>4.4252653531578243E-2</v>
      </c>
      <c r="AC112" s="24">
        <f t="shared" si="57"/>
        <v>26.408459129945037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-7.9580786405131221E-13</v>
      </c>
      <c r="AJ112" s="14">
        <f>AI112*VLOOKUP('Données projet'!$B$10,Paramètres!$A$1:$I$88,3,0)*VLOOKUP('Données projet'!$B$10,Paramètres!$A$1:$I$88,5,0)</f>
        <v>-4.448565960046835E-13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583.31979399672844</v>
      </c>
      <c r="AO112" s="62">
        <f t="shared" si="90"/>
        <v>544.21514138474731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173.56321848281004</v>
      </c>
      <c r="AV112" s="23">
        <f>EXP(-LN(2)/25)*AV111+(1-EXP(-LN(2)/25))/(LN(2)/25)*Calculateur!AQ112*Calculateur!AS112*VLOOKUP('Données projet'!$B$10,Paramètres!$A$1:$I$88,3,0)*0.475*44/12</f>
        <v>29.601588119817695</v>
      </c>
      <c r="AW112" s="23">
        <f>EXP(-LN(2)/2)*AW111+(1-EXP(-LN(2)/2))/(LN(2)/2)*AQ112*AT112*VLOOKUP('Données projet'!$B$10,Paramètres!$A$1:$I$88,3,0)*0.475*44/12</f>
        <v>1.9073731703480572E-3</v>
      </c>
      <c r="AX112" s="23">
        <f t="shared" si="60"/>
        <v>203.1667139757981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projet'!$B$11,Paramètres!$A$1:$I$88,3,0)*VLOOKUP('Données projet'!$B$11,Paramètres!$A$1:$I$88,5,0)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projet'!$B$11,Paramètres!$A$1:$I$88,3,0)*0.475*44/12</f>
        <v>#N/A</v>
      </c>
      <c r="BQ112" s="23" t="e">
        <f>EXP(-LN(2)/25)*BQ111+(1-EXP(-LN(2)/25))/(LN(2)/25)*Calculateur!BL112*Calculateur!BN112*VLOOKUP('Données projet'!$B$11,Paramètres!$A$1:$I$88,3,0)*0.475*44/12</f>
        <v>#N/A</v>
      </c>
      <c r="BR112" s="23" t="e">
        <f>EXP(-LN(2)/2)*BR111+(1-EXP(-LN(2)/2))/(LN(2)/2)*BL112*BO112*VLOOKUP('Données projet'!$B$11,Paramètres!$A$1:$I$88,3,0)*0.475*44/12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projet'!$B$12,Paramètres!$A$1:$I$88,3,0)*0.475*44/12</f>
        <v>#N/A</v>
      </c>
      <c r="CL112" s="23" t="e">
        <f>EXP(-LN(2)/25)*CL111+(1-EXP(-LN(2)/25))/(LN(2)/25)*Calculateur!CG112*Calculateur!CI112*VLOOKUP('Données projet'!$B$12,Paramètres!$A$1:$I$88,3,0)*0.475*44/12</f>
        <v>#N/A</v>
      </c>
      <c r="CM112" s="23" t="e">
        <f>EXP(-LN(2)/2)*CM111+(1-EXP(-LN(2)/2))/(LN(2)/2)*CG112*CJ112*VLOOKUP('Données projet'!$B$12,Paramètres!$A$1:$I$88,3,0)*0.475*44/12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490</v>
      </c>
      <c r="L113" s="13">
        <f>VLOOKUP(A113,'Données projet'!$A$35:$I$55,9,0)</f>
        <v>2</v>
      </c>
      <c r="M113" s="13">
        <f t="array" ref="M113">INDEX(L:L,MIN(IF(ISNUMBER(L113:L309),ROW(L113:L309),"")))</f>
        <v>2</v>
      </c>
      <c r="N113" s="14">
        <f>IF('Données projet'!$A$36&gt;35,N112+M113-V112,IF(A113&lt;'Données projet'!$A$36,$K$205^A113,IF(A113='Données projet'!$A$36,'Données projet'!$B$36,N112+M113-V112)))</f>
        <v>490</v>
      </c>
      <c r="O113" s="14">
        <f>N113*VLOOKUP('Données projet'!$B$9,Paramètres!$A$1:$I$88,3,0)*VLOOKUP('Données projet'!$B$9,Paramètres!$A$1:$I$88,5,0)</f>
        <v>229.32000000000002</v>
      </c>
      <c r="P113" s="14">
        <f t="shared" si="87"/>
        <v>56.135624305144624</v>
      </c>
      <c r="Q113" s="22">
        <f t="shared" si="107"/>
        <v>497.16854566479356</v>
      </c>
      <c r="R113" s="62">
        <f t="shared" si="55"/>
        <v>790.50187899812681</v>
      </c>
      <c r="S113" s="62">
        <f ca="1">AVERAGE(OFFSET($R$3,0,0,'Données projet'!$E$9+1,1))-AVERAGE(OFFSET($H$3,0,0,'Données projet'!$E$9+1,1))</f>
        <v>316.04959780858269</v>
      </c>
      <c r="T113" s="62">
        <f t="shared" si="88"/>
        <v>213.60182977243113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20</v>
      </c>
      <c r="W113" s="17">
        <f>IF(ISNA(VLOOKUP(A113,'Données projet'!$A$35:$I$55,5,0)),0%,VLOOKUP(A113,'Données projet'!$A$35:$I$55,5,0)*VLOOKUP('Données projet'!$B$9,Paramètres!$A$1:$I$88,7,0))</f>
        <v>0.44000000000000006</v>
      </c>
      <c r="X113" s="17">
        <f>IF(ISNA(VLOOKUP(A113,'Données projet'!$A$35:$I$55,6,0)),0%,VLOOKUP(A113,'Données projet'!$A$35:$I$55,6,0)*VLOOKUP('Données projet'!$B$9,Paramètres!$A$1:$I$88,7,0))</f>
        <v>6.0500000000000005E-2</v>
      </c>
      <c r="Y113" s="17">
        <f>IF(ISNA(VLOOKUP(A113,'Données projet'!$A$35:$I$55,7,0)),0%,VLOOKUP(A113,'Données projet'!$A$35:$I$55,7,0))</f>
        <v>0.09</v>
      </c>
      <c r="Z113" s="23">
        <f>EXP(-LN(2)/35)*Z112+(1-EXP(-LN(2)/35))/(LN(2)/35)*V113*W113*VLOOKUP('Données projet'!$B$9,Paramètres!$A$1:$I$88,3,0)*0.475*44/12</f>
        <v>25.090143957889399</v>
      </c>
      <c r="AA113" s="23">
        <f>EXP(-LN(2)/25)*AA112+(1-EXP(-LN(2)/25))/(LN(2)/25)*Calculateur!V113*Calculateur!X113*VLOOKUP('Données projet'!$B$9,Paramètres!$A$1:$I$88,3,0)*0.475*44/12</f>
        <v>6.9195673278443657</v>
      </c>
      <c r="AB113" s="23">
        <f>EXP(-LN(2)/2)*AB112+(1-EXP(-LN(2)/2))/(LN(2)/2)*V113*Y113*VLOOKUP('Données projet'!$B$9,Paramètres!$A$1:$I$88,3,0)*0.475*44/12</f>
        <v>0.98508383883397266</v>
      </c>
      <c r="AC113" s="24">
        <f t="shared" si="57"/>
        <v>32.994795124567737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-7.9580786405131221E-13</v>
      </c>
      <c r="AJ113" s="14">
        <f>AI113*VLOOKUP('Données projet'!$B$10,Paramètres!$A$1:$I$88,3,0)*VLOOKUP('Données projet'!$B$10,Paramètres!$A$1:$I$88,5,0)</f>
        <v>-4.448565960046835E-13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583.31979399672844</v>
      </c>
      <c r="AO113" s="62">
        <f t="shared" si="90"/>
        <v>544.21514138474731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170.15974963147229</v>
      </c>
      <c r="AV113" s="23">
        <f>EXP(-LN(2)/25)*AV112+(1-EXP(-LN(2)/25))/(LN(2)/25)*Calculateur!AQ113*Calculateur!AS113*VLOOKUP('Données projet'!$B$10,Paramètres!$A$1:$I$88,3,0)*0.475*44/12</f>
        <v>28.792131136001416</v>
      </c>
      <c r="AW113" s="23">
        <f>EXP(-LN(2)/2)*AW112+(1-EXP(-LN(2)/2))/(LN(2)/2)*AQ113*AT113*VLOOKUP('Données projet'!$B$10,Paramètres!$A$1:$I$88,3,0)*0.475*44/12</f>
        <v>1.3487165030063952E-3</v>
      </c>
      <c r="AX113" s="23">
        <f t="shared" si="60"/>
        <v>198.95322948397671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projet'!$B$11,Paramètres!$A$1:$I$88,3,0)*VLOOKUP('Données projet'!$B$11,Paramètres!$A$1:$I$88,5,0)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projet'!$B$11,Paramètres!$A$1:$I$88,3,0)*0.475*44/12</f>
        <v>#N/A</v>
      </c>
      <c r="BQ113" s="23" t="e">
        <f>EXP(-LN(2)/25)*BQ112+(1-EXP(-LN(2)/25))/(LN(2)/25)*Calculateur!BL113*Calculateur!BN113*VLOOKUP('Données projet'!$B$11,Paramètres!$A$1:$I$88,3,0)*0.475*44/12</f>
        <v>#N/A</v>
      </c>
      <c r="BR113" s="23" t="e">
        <f>EXP(-LN(2)/2)*BR112+(1-EXP(-LN(2)/2))/(LN(2)/2)*BL113*BO113*VLOOKUP('Données projet'!$B$11,Paramètres!$A$1:$I$88,3,0)*0.475*44/12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projet'!$B$12,Paramètres!$A$1:$I$88,3,0)*0.475*44/12</f>
        <v>#N/A</v>
      </c>
      <c r="CL113" s="23" t="e">
        <f>EXP(-LN(2)/25)*CL112+(1-EXP(-LN(2)/25))/(LN(2)/25)*Calculateur!CG113*Calculateur!CI113*VLOOKUP('Données projet'!$B$12,Paramètres!$A$1:$I$88,3,0)*0.475*44/12</f>
        <v>#N/A</v>
      </c>
      <c r="CM113" s="23" t="e">
        <f>EXP(-LN(2)/2)*CM112+(1-EXP(-LN(2)/2))/(LN(2)/2)*CG113*CJ113*VLOOKUP('Données projet'!$B$12,Paramètres!$A$1:$I$88,3,0)*0.475*44/12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0.66666666666666663</v>
      </c>
      <c r="N114" s="14">
        <f>IF('Données projet'!$A$36&gt;35,N113+M114-V113,IF(A114&lt;'Données projet'!$A$36,$K$205^A114,IF(A114='Données projet'!$A$36,'Données projet'!$B$36,N113+M114-V113)))</f>
        <v>470.66666666666669</v>
      </c>
      <c r="O114" s="14">
        <f>N114*VLOOKUP('Données projet'!$B$9,Paramètres!$A$1:$I$88,3,0)*VLOOKUP('Données projet'!$B$9,Paramètres!$A$1:$I$88,5,0)</f>
        <v>220.27199999999999</v>
      </c>
      <c r="P114" s="14">
        <f t="shared" si="87"/>
        <v>54.173999324746809</v>
      </c>
      <c r="Q114" s="22">
        <f t="shared" si="107"/>
        <v>477.99344882393399</v>
      </c>
      <c r="R114" s="62">
        <f t="shared" si="55"/>
        <v>771.3267821572673</v>
      </c>
      <c r="S114" s="62">
        <f ca="1">AVERAGE(OFFSET($R$3,0,0,'Données projet'!$E$9+1,1))-AVERAGE(OFFSET($H$3,0,0,'Données projet'!$E$9+1,1))</f>
        <v>316.04959780858269</v>
      </c>
      <c r="T114" s="62">
        <f t="shared" si="88"/>
        <v>213.60182977243113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24.598141538351911</v>
      </c>
      <c r="AA114" s="23">
        <f>EXP(-LN(2)/25)*AA113+(1-EXP(-LN(2)/25))/(LN(2)/25)*Calculateur!V114*Calculateur!X114*VLOOKUP('Données projet'!$B$9,Paramètres!$A$1:$I$88,3,0)*0.475*44/12</f>
        <v>6.7303513953802305</v>
      </c>
      <c r="AB114" s="23">
        <f>EXP(-LN(2)/2)*AB113+(1-EXP(-LN(2)/2))/(LN(2)/2)*V114*Y114*VLOOKUP('Données projet'!$B$9,Paramètres!$A$1:$I$88,3,0)*0.475*44/12</f>
        <v>0.69655946247677825</v>
      </c>
      <c r="AC114" s="24">
        <f t="shared" si="57"/>
        <v>32.02505239620892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-7.9580786405131221E-13</v>
      </c>
      <c r="AJ114" s="14">
        <f>AI114*VLOOKUP('Données projet'!$B$10,Paramètres!$A$1:$I$88,3,0)*VLOOKUP('Données projet'!$B$10,Paramètres!$A$1:$I$88,5,0)</f>
        <v>-4.448565960046835E-13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583.31979399672844</v>
      </c>
      <c r="AO114" s="62">
        <f t="shared" si="90"/>
        <v>544.21514138474731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166.82302072839826</v>
      </c>
      <c r="AV114" s="23">
        <f>EXP(-LN(2)/25)*AV113+(1-EXP(-LN(2)/25))/(LN(2)/25)*Calculateur!AQ114*Calculateur!AS114*VLOOKUP('Données projet'!$B$10,Paramètres!$A$1:$I$88,3,0)*0.475*44/12</f>
        <v>28.004808795975087</v>
      </c>
      <c r="AW114" s="23">
        <f>EXP(-LN(2)/2)*AW113+(1-EXP(-LN(2)/2))/(LN(2)/2)*AQ114*AT114*VLOOKUP('Données projet'!$B$10,Paramètres!$A$1:$I$88,3,0)*0.475*44/12</f>
        <v>9.5368658517402873E-4</v>
      </c>
      <c r="AX114" s="23">
        <f t="shared" si="60"/>
        <v>194.82878321095853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projet'!$B$11,Paramètres!$A$1:$I$88,3,0)*VLOOKUP('Données projet'!$B$11,Paramètres!$A$1:$I$88,5,0)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projet'!$B$11,Paramètres!$A$1:$I$88,3,0)*0.475*44/12</f>
        <v>#N/A</v>
      </c>
      <c r="BQ114" s="23" t="e">
        <f>EXP(-LN(2)/25)*BQ113+(1-EXP(-LN(2)/25))/(LN(2)/25)*Calculateur!BL114*Calculateur!BN114*VLOOKUP('Données projet'!$B$11,Paramètres!$A$1:$I$88,3,0)*0.475*44/12</f>
        <v>#N/A</v>
      </c>
      <c r="BR114" s="23" t="e">
        <f>EXP(-LN(2)/2)*BR113+(1-EXP(-LN(2)/2))/(LN(2)/2)*BL114*BO114*VLOOKUP('Données projet'!$B$11,Paramètres!$A$1:$I$88,3,0)*0.475*44/12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projet'!$B$12,Paramètres!$A$1:$I$88,3,0)*0.475*44/12</f>
        <v>#N/A</v>
      </c>
      <c r="CL114" s="23" t="e">
        <f>EXP(-LN(2)/25)*CL113+(1-EXP(-LN(2)/25))/(LN(2)/25)*Calculateur!CG114*Calculateur!CI114*VLOOKUP('Données projet'!$B$12,Paramètres!$A$1:$I$88,3,0)*0.475*44/12</f>
        <v>#N/A</v>
      </c>
      <c r="CM114" s="23" t="e">
        <f>EXP(-LN(2)/2)*CM113+(1-EXP(-LN(2)/2))/(LN(2)/2)*CG114*CJ114*VLOOKUP('Données projet'!$B$12,Paramètres!$A$1:$I$88,3,0)*0.475*44/12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0.66666666666666663</v>
      </c>
      <c r="N115" s="14">
        <f>IF('Données projet'!$A$36&gt;35,N114+M115-V114,IF(A115&lt;'Données projet'!$A$36,$K$205^A115,IF(A115='Données projet'!$A$36,'Données projet'!$B$36,N114+M115-V114)))</f>
        <v>471.33333333333337</v>
      </c>
      <c r="O115" s="14">
        <f>N115*VLOOKUP('Données projet'!$B$9,Paramètres!$A$1:$I$88,3,0)*VLOOKUP('Données projet'!$B$9,Paramètres!$A$1:$I$88,5,0)</f>
        <v>220.584</v>
      </c>
      <c r="P115" s="14">
        <f t="shared" si="87"/>
        <v>54.241795644592123</v>
      </c>
      <c r="Q115" s="22">
        <f t="shared" si="107"/>
        <v>478.65492741433127</v>
      </c>
      <c r="R115" s="62">
        <f t="shared" si="55"/>
        <v>771.98826074766453</v>
      </c>
      <c r="S115" s="62">
        <f ca="1">AVERAGE(OFFSET($R$3,0,0,'Données projet'!$E$9+1,1))-AVERAGE(OFFSET($H$3,0,0,'Données projet'!$E$9+1,1))</f>
        <v>316.04959780858269</v>
      </c>
      <c r="T115" s="62">
        <f t="shared" si="88"/>
        <v>213.60182977243113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24.115786986169706</v>
      </c>
      <c r="AA115" s="23">
        <f>EXP(-LN(2)/25)*AA114+(1-EXP(-LN(2)/25))/(LN(2)/25)*Calculateur!V115*Calculateur!X115*VLOOKUP('Données projet'!$B$9,Paramètres!$A$1:$I$88,3,0)*0.475*44/12</f>
        <v>6.5463095825397604</v>
      </c>
      <c r="AB115" s="23">
        <f>EXP(-LN(2)/2)*AB114+(1-EXP(-LN(2)/2))/(LN(2)/2)*V115*Y115*VLOOKUP('Données projet'!$B$9,Paramètres!$A$1:$I$88,3,0)*0.475*44/12</f>
        <v>0.49254191941698644</v>
      </c>
      <c r="AC115" s="24">
        <f t="shared" si="57"/>
        <v>31.154638488126452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-7.9580786405131221E-13</v>
      </c>
      <c r="AJ115" s="14">
        <f>AI115*VLOOKUP('Données projet'!$B$10,Paramètres!$A$1:$I$88,3,0)*VLOOKUP('Données projet'!$B$10,Paramètres!$A$1:$I$88,5,0)</f>
        <v>-4.448565960046835E-13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583.31979399672844</v>
      </c>
      <c r="AO115" s="62">
        <f t="shared" si="90"/>
        <v>544.21514138474731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163.55172304390985</v>
      </c>
      <c r="AV115" s="23">
        <f>EXP(-LN(2)/25)*AV114+(1-EXP(-LN(2)/25))/(LN(2)/25)*Calculateur!AQ115*Calculateur!AS115*VLOOKUP('Données projet'!$B$10,Paramètres!$A$1:$I$88,3,0)*0.475*44/12</f>
        <v>27.23901582674026</v>
      </c>
      <c r="AW115" s="23">
        <f>EXP(-LN(2)/2)*AW114+(1-EXP(-LN(2)/2))/(LN(2)/2)*AQ115*AT115*VLOOKUP('Données projet'!$B$10,Paramètres!$A$1:$I$88,3,0)*0.475*44/12</f>
        <v>6.7435825150319773E-4</v>
      </c>
      <c r="AX115" s="23">
        <f t="shared" si="60"/>
        <v>190.7914132289016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projet'!$B$11,Paramètres!$A$1:$I$88,3,0)*VLOOKUP('Données projet'!$B$11,Paramètres!$A$1:$I$88,5,0)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projet'!$B$11,Paramètres!$A$1:$I$88,3,0)*0.475*44/12</f>
        <v>#N/A</v>
      </c>
      <c r="BQ115" s="23" t="e">
        <f>EXP(-LN(2)/25)*BQ114+(1-EXP(-LN(2)/25))/(LN(2)/25)*Calculateur!BL115*Calculateur!BN115*VLOOKUP('Données projet'!$B$11,Paramètres!$A$1:$I$88,3,0)*0.475*44/12</f>
        <v>#N/A</v>
      </c>
      <c r="BR115" s="23" t="e">
        <f>EXP(-LN(2)/2)*BR114+(1-EXP(-LN(2)/2))/(LN(2)/2)*BL115*BO115*VLOOKUP('Données projet'!$B$11,Paramètres!$A$1:$I$88,3,0)*0.475*44/12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projet'!$B$12,Paramètres!$A$1:$I$88,3,0)*0.475*44/12</f>
        <v>#N/A</v>
      </c>
      <c r="CL115" s="23" t="e">
        <f>EXP(-LN(2)/25)*CL114+(1-EXP(-LN(2)/25))/(LN(2)/25)*Calculateur!CG115*Calculateur!CI115*VLOOKUP('Données projet'!$B$12,Paramètres!$A$1:$I$88,3,0)*0.475*44/12</f>
        <v>#N/A</v>
      </c>
      <c r="CM115" s="23" t="e">
        <f>EXP(-LN(2)/2)*CM114+(1-EXP(-LN(2)/2))/(LN(2)/2)*CG115*CJ115*VLOOKUP('Données projet'!$B$12,Paramètres!$A$1:$I$88,3,0)*0.475*44/12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0.66666666666666663</v>
      </c>
      <c r="N116" s="14">
        <f>IF('Données projet'!$A$36&gt;35,N115+M116-V115,IF(A116&lt;'Données projet'!$A$36,$K$205^A116,IF(A116='Données projet'!$A$36,'Données projet'!$B$36,N115+M116-V115)))</f>
        <v>472.00000000000006</v>
      </c>
      <c r="O116" s="14">
        <f>N116*VLOOKUP('Données projet'!$B$9,Paramètres!$A$1:$I$88,3,0)*VLOOKUP('Données projet'!$B$9,Paramètres!$A$1:$I$88,5,0)</f>
        <v>220.89600000000002</v>
      </c>
      <c r="P116" s="14">
        <f t="shared" si="87"/>
        <v>54.309580803412281</v>
      </c>
      <c r="Q116" s="22">
        <f t="shared" si="107"/>
        <v>479.31638656594305</v>
      </c>
      <c r="R116" s="62">
        <f t="shared" si="55"/>
        <v>772.64971989927631</v>
      </c>
      <c r="S116" s="62">
        <f ca="1">AVERAGE(OFFSET($R$3,0,0,'Données projet'!$E$9+1,1))-AVERAGE(OFFSET($H$3,0,0,'Données projet'!$E$9+1,1))</f>
        <v>316.04959780858269</v>
      </c>
      <c r="T116" s="62">
        <f t="shared" si="88"/>
        <v>213.60182977243113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23.642891112548568</v>
      </c>
      <c r="AA116" s="23">
        <f>EXP(-LN(2)/25)*AA115+(1-EXP(-LN(2)/25))/(LN(2)/25)*Calculateur!V116*Calculateur!X116*VLOOKUP('Données projet'!$B$9,Paramètres!$A$1:$I$88,3,0)*0.475*44/12</f>
        <v>6.3673004027497511</v>
      </c>
      <c r="AB116" s="23">
        <f>EXP(-LN(2)/2)*AB115+(1-EXP(-LN(2)/2))/(LN(2)/2)*V116*Y116*VLOOKUP('Données projet'!$B$9,Paramètres!$A$1:$I$88,3,0)*0.475*44/12</f>
        <v>0.34827973123838918</v>
      </c>
      <c r="AC116" s="24">
        <f t="shared" si="57"/>
        <v>30.358471246536709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-7.9580786405131221E-13</v>
      </c>
      <c r="AJ116" s="14">
        <f>AI116*VLOOKUP('Données projet'!$B$10,Paramètres!$A$1:$I$88,3,0)*VLOOKUP('Données projet'!$B$10,Paramètres!$A$1:$I$88,5,0)</f>
        <v>-4.448565960046835E-13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583.31979399672844</v>
      </c>
      <c r="AO116" s="62">
        <f t="shared" si="90"/>
        <v>544.21514138474731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160.34457351171969</v>
      </c>
      <c r="AV116" s="23">
        <f>EXP(-LN(2)/25)*AV115+(1-EXP(-LN(2)/25))/(LN(2)/25)*Calculateur!AQ116*Calculateur!AS116*VLOOKUP('Données projet'!$B$10,Paramètres!$A$1:$I$88,3,0)*0.475*44/12</f>
        <v>26.494163506520461</v>
      </c>
      <c r="AW116" s="23">
        <f>EXP(-LN(2)/2)*AW115+(1-EXP(-LN(2)/2))/(LN(2)/2)*AQ116*AT116*VLOOKUP('Données projet'!$B$10,Paramètres!$A$1:$I$88,3,0)*0.475*44/12</f>
        <v>4.7684329258701447E-4</v>
      </c>
      <c r="AX116" s="23">
        <f t="shared" si="60"/>
        <v>186.83921386153273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projet'!$B$11,Paramètres!$A$1:$I$88,3,0)*VLOOKUP('Données projet'!$B$11,Paramètres!$A$1:$I$88,5,0)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projet'!$B$11,Paramètres!$A$1:$I$88,3,0)*0.475*44/12</f>
        <v>#N/A</v>
      </c>
      <c r="BQ116" s="23" t="e">
        <f>EXP(-LN(2)/25)*BQ115+(1-EXP(-LN(2)/25))/(LN(2)/25)*Calculateur!BL116*Calculateur!BN116*VLOOKUP('Données projet'!$B$11,Paramètres!$A$1:$I$88,3,0)*0.475*44/12</f>
        <v>#N/A</v>
      </c>
      <c r="BR116" s="23" t="e">
        <f>EXP(-LN(2)/2)*BR115+(1-EXP(-LN(2)/2))/(LN(2)/2)*BL116*BO116*VLOOKUP('Données projet'!$B$11,Paramètres!$A$1:$I$88,3,0)*0.475*44/12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projet'!$B$12,Paramètres!$A$1:$I$88,3,0)*0.475*44/12</f>
        <v>#N/A</v>
      </c>
      <c r="CL116" s="23" t="e">
        <f>EXP(-LN(2)/25)*CL115+(1-EXP(-LN(2)/25))/(LN(2)/25)*Calculateur!CG116*Calculateur!CI116*VLOOKUP('Données projet'!$B$12,Paramètres!$A$1:$I$88,3,0)*0.475*44/12</f>
        <v>#N/A</v>
      </c>
      <c r="CM116" s="23" t="e">
        <f>EXP(-LN(2)/2)*CM115+(1-EXP(-LN(2)/2))/(LN(2)/2)*CG116*CJ116*VLOOKUP('Données projet'!$B$12,Paramètres!$A$1:$I$88,3,0)*0.475*44/12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0.66666666666666663</v>
      </c>
      <c r="N117" s="14">
        <f>IF('Données projet'!$A$36&gt;35,N116+M117-V116,IF(A117&lt;'Données projet'!$A$36,$K$205^A117,IF(A117='Données projet'!$A$36,'Données projet'!$B$36,N116+M117-V116)))</f>
        <v>472.66666666666674</v>
      </c>
      <c r="O117" s="14">
        <f>N117*VLOOKUP('Données projet'!$B$9,Paramètres!$A$1:$I$88,3,0)*VLOOKUP('Données projet'!$B$9,Paramètres!$A$1:$I$88,5,0)</f>
        <v>221.20800000000003</v>
      </c>
      <c r="P117" s="14">
        <f t="shared" si="87"/>
        <v>54.377354818804889</v>
      </c>
      <c r="Q117" s="22">
        <f t="shared" si="107"/>
        <v>479.97782630941856</v>
      </c>
      <c r="R117" s="62">
        <f t="shared" si="55"/>
        <v>773.31115964275182</v>
      </c>
      <c r="S117" s="62">
        <f ca="1">AVERAGE(OFFSET($R$3,0,0,'Données projet'!$E$9+1,1))-AVERAGE(OFFSET($H$3,0,0,'Données projet'!$E$9+1,1))</f>
        <v>316.04959780858269</v>
      </c>
      <c r="T117" s="62">
        <f t="shared" si="88"/>
        <v>213.60182977243113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23.179268438571139</v>
      </c>
      <c r="AA117" s="23">
        <f>EXP(-LN(2)/25)*AA116+(1-EXP(-LN(2)/25))/(LN(2)/25)*Calculateur!V117*Calculateur!X117*VLOOKUP('Données projet'!$B$9,Paramètres!$A$1:$I$88,3,0)*0.475*44/12</f>
        <v>6.1931862383947838</v>
      </c>
      <c r="AB117" s="23">
        <f>EXP(-LN(2)/2)*AB116+(1-EXP(-LN(2)/2))/(LN(2)/2)*V117*Y117*VLOOKUP('Données projet'!$B$9,Paramètres!$A$1:$I$88,3,0)*0.475*44/12</f>
        <v>0.24627095970849325</v>
      </c>
      <c r="AC117" s="24">
        <f t="shared" si="57"/>
        <v>29.618725636674416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-7.9580786405131221E-13</v>
      </c>
      <c r="AJ117" s="14">
        <f>AI117*VLOOKUP('Données projet'!$B$10,Paramètres!$A$1:$I$88,3,0)*VLOOKUP('Données projet'!$B$10,Paramètres!$A$1:$I$88,5,0)</f>
        <v>-4.448565960046835E-13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583.31979399672844</v>
      </c>
      <c r="AO117" s="62">
        <f t="shared" si="90"/>
        <v>544.21514138474731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157.20031422568772</v>
      </c>
      <c r="AV117" s="23">
        <f>EXP(-LN(2)/25)*AV116+(1-EXP(-LN(2)/25))/(LN(2)/25)*Calculateur!AQ117*Calculateur!AS117*VLOOKUP('Données projet'!$B$10,Paramètres!$A$1:$I$88,3,0)*0.475*44/12</f>
        <v>25.769679212167155</v>
      </c>
      <c r="AW117" s="23">
        <f>EXP(-LN(2)/2)*AW116+(1-EXP(-LN(2)/2))/(LN(2)/2)*AQ117*AT117*VLOOKUP('Données projet'!$B$10,Paramètres!$A$1:$I$88,3,0)*0.475*44/12</f>
        <v>3.3717912575159892E-4</v>
      </c>
      <c r="AX117" s="23">
        <f t="shared" si="60"/>
        <v>182.97033061698062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projet'!$B$11,Paramètres!$A$1:$I$88,3,0)*VLOOKUP('Données projet'!$B$11,Paramètres!$A$1:$I$88,5,0)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projet'!$B$11,Paramètres!$A$1:$I$88,3,0)*0.475*44/12</f>
        <v>#N/A</v>
      </c>
      <c r="BQ117" s="23" t="e">
        <f>EXP(-LN(2)/25)*BQ116+(1-EXP(-LN(2)/25))/(LN(2)/25)*Calculateur!BL117*Calculateur!BN117*VLOOKUP('Données projet'!$B$11,Paramètres!$A$1:$I$88,3,0)*0.475*44/12</f>
        <v>#N/A</v>
      </c>
      <c r="BR117" s="23" t="e">
        <f>EXP(-LN(2)/2)*BR116+(1-EXP(-LN(2)/2))/(LN(2)/2)*BL117*BO117*VLOOKUP('Données projet'!$B$11,Paramètres!$A$1:$I$88,3,0)*0.475*44/12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projet'!$B$12,Paramètres!$A$1:$I$88,3,0)*0.475*44/12</f>
        <v>#N/A</v>
      </c>
      <c r="CL117" s="23" t="e">
        <f>EXP(-LN(2)/25)*CL116+(1-EXP(-LN(2)/25))/(LN(2)/25)*Calculateur!CG117*Calculateur!CI117*VLOOKUP('Données projet'!$B$12,Paramètres!$A$1:$I$88,3,0)*0.475*44/12</f>
        <v>#N/A</v>
      </c>
      <c r="CM117" s="23" t="e">
        <f>EXP(-LN(2)/2)*CM116+(1-EXP(-LN(2)/2))/(LN(2)/2)*CG117*CJ117*VLOOKUP('Données projet'!$B$12,Paramètres!$A$1:$I$88,3,0)*0.475*44/12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0.66666666666666663</v>
      </c>
      <c r="N118" s="14">
        <f>IF('Données projet'!$A$36&gt;35,N117+M118-V117,IF(A118&lt;'Données projet'!$A$36,$K$205^A118,IF(A118='Données projet'!$A$36,'Données projet'!$B$36,N117+M118-V117)))</f>
        <v>473.33333333333343</v>
      </c>
      <c r="O118" s="14">
        <f>N118*VLOOKUP('Données projet'!$B$9,Paramètres!$A$1:$I$88,3,0)*VLOOKUP('Données projet'!$B$9,Paramètres!$A$1:$I$88,5,0)</f>
        <v>221.52000000000004</v>
      </c>
      <c r="P118" s="14">
        <f t="shared" si="87"/>
        <v>54.445117708315095</v>
      </c>
      <c r="Q118" s="22">
        <f t="shared" si="107"/>
        <v>480.63924667531546</v>
      </c>
      <c r="R118" s="62">
        <f t="shared" si="55"/>
        <v>773.97258000864872</v>
      </c>
      <c r="S118" s="62">
        <f ca="1">AVERAGE(OFFSET($R$3,0,0,'Données projet'!$E$9+1,1))-AVERAGE(OFFSET($H$3,0,0,'Données projet'!$E$9+1,1))</f>
        <v>316.04959780858269</v>
      </c>
      <c r="T118" s="62">
        <f t="shared" si="88"/>
        <v>213.60182977243113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22.724737122448499</v>
      </c>
      <c r="AA118" s="23">
        <f>EXP(-LN(2)/25)*AA117+(1-EXP(-LN(2)/25))/(LN(2)/25)*Calculateur!V118*Calculateur!X118*VLOOKUP('Données projet'!$B$9,Paramètres!$A$1:$I$88,3,0)*0.475*44/12</f>
        <v>6.0238332350203692</v>
      </c>
      <c r="AB118" s="23">
        <f>EXP(-LN(2)/2)*AB117+(1-EXP(-LN(2)/2))/(LN(2)/2)*V118*Y118*VLOOKUP('Données projet'!$B$9,Paramètres!$A$1:$I$88,3,0)*0.475*44/12</f>
        <v>0.17413986561919462</v>
      </c>
      <c r="AC118" s="24">
        <f t="shared" si="57"/>
        <v>28.922710223088064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-7.9580786405131221E-13</v>
      </c>
      <c r="AJ118" s="14">
        <f>AI118*VLOOKUP('Données projet'!$B$10,Paramètres!$A$1:$I$88,3,0)*VLOOKUP('Données projet'!$B$10,Paramètres!$A$1:$I$88,5,0)</f>
        <v>-4.448565960046835E-13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583.31979399672844</v>
      </c>
      <c r="AO118" s="62">
        <f t="shared" si="90"/>
        <v>544.21514138474731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154.11771194644604</v>
      </c>
      <c r="AV118" s="23">
        <f>EXP(-LN(2)/25)*AV117+(1-EXP(-LN(2)/25))/(LN(2)/25)*Calculateur!AQ118*Calculateur!AS118*VLOOKUP('Données projet'!$B$10,Paramètres!$A$1:$I$88,3,0)*0.475*44/12</f>
        <v>25.065005978941912</v>
      </c>
      <c r="AW118" s="23">
        <f>EXP(-LN(2)/2)*AW117+(1-EXP(-LN(2)/2))/(LN(2)/2)*AQ118*AT118*VLOOKUP('Données projet'!$B$10,Paramètres!$A$1:$I$88,3,0)*0.475*44/12</f>
        <v>2.3842164629350726E-4</v>
      </c>
      <c r="AX118" s="23">
        <f t="shared" si="60"/>
        <v>179.18295634703424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projet'!$B$11,Paramètres!$A$1:$I$88,3,0)*VLOOKUP('Données projet'!$B$11,Paramètres!$A$1:$I$88,5,0)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projet'!$B$11,Paramètres!$A$1:$I$88,3,0)*0.475*44/12</f>
        <v>#N/A</v>
      </c>
      <c r="BQ118" s="23" t="e">
        <f>EXP(-LN(2)/25)*BQ117+(1-EXP(-LN(2)/25))/(LN(2)/25)*Calculateur!BL118*Calculateur!BN118*VLOOKUP('Données projet'!$B$11,Paramètres!$A$1:$I$88,3,0)*0.475*44/12</f>
        <v>#N/A</v>
      </c>
      <c r="BR118" s="23" t="e">
        <f>EXP(-LN(2)/2)*BR117+(1-EXP(-LN(2)/2))/(LN(2)/2)*BL118*BO118*VLOOKUP('Données projet'!$B$11,Paramètres!$A$1:$I$88,3,0)*0.475*44/12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projet'!$B$12,Paramètres!$A$1:$I$88,3,0)*0.475*44/12</f>
        <v>#N/A</v>
      </c>
      <c r="CL118" s="23" t="e">
        <f>EXP(-LN(2)/25)*CL117+(1-EXP(-LN(2)/25))/(LN(2)/25)*Calculateur!CG118*Calculateur!CI118*VLOOKUP('Données projet'!$B$12,Paramètres!$A$1:$I$88,3,0)*0.475*44/12</f>
        <v>#N/A</v>
      </c>
      <c r="CM118" s="23" t="e">
        <f>EXP(-LN(2)/2)*CM117+(1-EXP(-LN(2)/2))/(LN(2)/2)*CG118*CJ118*VLOOKUP('Données projet'!$B$12,Paramètres!$A$1:$I$88,3,0)*0.475*44/12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0.66666666666666663</v>
      </c>
      <c r="N119" s="14">
        <f>IF('Données projet'!$A$36&gt;35,N118+M119-V118,IF(A119&lt;'Données projet'!$A$36,$K$205^A119,IF(A119='Données projet'!$A$36,'Données projet'!$B$36,N118+M119-V118)))</f>
        <v>474.00000000000011</v>
      </c>
      <c r="O119" s="14">
        <f>N119*VLOOKUP('Données projet'!$B$9,Paramètres!$A$1:$I$88,3,0)*VLOOKUP('Données projet'!$B$9,Paramètres!$A$1:$I$88,5,0)</f>
        <v>221.83200000000005</v>
      </c>
      <c r="P119" s="14">
        <f t="shared" si="87"/>
        <v>54.512869489435815</v>
      </c>
      <c r="Q119" s="22">
        <f t="shared" si="107"/>
        <v>481.30064769410069</v>
      </c>
      <c r="R119" s="62">
        <f t="shared" si="55"/>
        <v>774.63398102743395</v>
      </c>
      <c r="S119" s="62">
        <f ca="1">AVERAGE(OFFSET($R$3,0,0,'Données projet'!$E$9+1,1))-AVERAGE(OFFSET($H$3,0,0,'Données projet'!$E$9+1,1))</f>
        <v>316.04959780858269</v>
      </c>
      <c r="T119" s="62">
        <f t="shared" si="88"/>
        <v>213.60182977243113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22.279118888198294</v>
      </c>
      <c r="AA119" s="23">
        <f>EXP(-LN(2)/25)*AA118+(1-EXP(-LN(2)/25))/(LN(2)/25)*Calculateur!V119*Calculateur!X119*VLOOKUP('Données projet'!$B$9,Paramètres!$A$1:$I$88,3,0)*0.475*44/12</f>
        <v>5.8591111984291153</v>
      </c>
      <c r="AB119" s="23">
        <f>EXP(-LN(2)/2)*AB118+(1-EXP(-LN(2)/2))/(LN(2)/2)*V119*Y119*VLOOKUP('Données projet'!$B$9,Paramètres!$A$1:$I$88,3,0)*0.475*44/12</f>
        <v>0.12313547985424665</v>
      </c>
      <c r="AC119" s="24">
        <f t="shared" si="57"/>
        <v>28.261365566481658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-7.9580786405131221E-13</v>
      </c>
      <c r="AJ119" s="14">
        <f>AI119*VLOOKUP('Données projet'!$B$10,Paramètres!$A$1:$I$88,3,0)*VLOOKUP('Données projet'!$B$10,Paramètres!$A$1:$I$88,5,0)</f>
        <v>-4.448565960046835E-13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583.31979399672844</v>
      </c>
      <c r="AO119" s="62">
        <f t="shared" si="90"/>
        <v>544.21514138474731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151.09555761769855</v>
      </c>
      <c r="AV119" s="23">
        <f>EXP(-LN(2)/25)*AV118+(1-EXP(-LN(2)/25))/(LN(2)/25)*Calculateur!AQ119*Calculateur!AS119*VLOOKUP('Données projet'!$B$10,Paramètres!$A$1:$I$88,3,0)*0.475*44/12</f>
        <v>24.379602072336368</v>
      </c>
      <c r="AW119" s="23">
        <f>EXP(-LN(2)/2)*AW118+(1-EXP(-LN(2)/2))/(LN(2)/2)*AQ119*AT119*VLOOKUP('Données projet'!$B$10,Paramètres!$A$1:$I$88,3,0)*0.475*44/12</f>
        <v>1.6858956287579949E-4</v>
      </c>
      <c r="AX119" s="23">
        <f t="shared" si="60"/>
        <v>175.47532827959779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projet'!$B$11,Paramètres!$A$1:$I$88,3,0)*VLOOKUP('Données projet'!$B$11,Paramètres!$A$1:$I$88,5,0)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projet'!$B$11,Paramètres!$A$1:$I$88,3,0)*0.475*44/12</f>
        <v>#N/A</v>
      </c>
      <c r="BQ119" s="23" t="e">
        <f>EXP(-LN(2)/25)*BQ118+(1-EXP(-LN(2)/25))/(LN(2)/25)*Calculateur!BL119*Calculateur!BN119*VLOOKUP('Données projet'!$B$11,Paramètres!$A$1:$I$88,3,0)*0.475*44/12</f>
        <v>#N/A</v>
      </c>
      <c r="BR119" s="23" t="e">
        <f>EXP(-LN(2)/2)*BR118+(1-EXP(-LN(2)/2))/(LN(2)/2)*BL119*BO119*VLOOKUP('Données projet'!$B$11,Paramètres!$A$1:$I$88,3,0)*0.475*44/12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projet'!$B$12,Paramètres!$A$1:$I$88,3,0)*0.475*44/12</f>
        <v>#N/A</v>
      </c>
      <c r="CL119" s="23" t="e">
        <f>EXP(-LN(2)/25)*CL118+(1-EXP(-LN(2)/25))/(LN(2)/25)*Calculateur!CG119*Calculateur!CI119*VLOOKUP('Données projet'!$B$12,Paramètres!$A$1:$I$88,3,0)*0.475*44/12</f>
        <v>#N/A</v>
      </c>
      <c r="CM119" s="23" t="e">
        <f>EXP(-LN(2)/2)*CM118+(1-EXP(-LN(2)/2))/(LN(2)/2)*CG119*CJ119*VLOOKUP('Données projet'!$B$12,Paramètres!$A$1:$I$88,3,0)*0.475*44/12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0.66666666666666663</v>
      </c>
      <c r="N120" s="14">
        <f>IF('Données projet'!$A$36&gt;35,N119+M120-V119,IF(A120&lt;'Données projet'!$A$36,$K$205^A120,IF(A120='Données projet'!$A$36,'Données projet'!$B$36,N119+M120-V119)))</f>
        <v>474.6666666666668</v>
      </c>
      <c r="O120" s="14">
        <f>N120*VLOOKUP('Données projet'!$B$9,Paramètres!$A$1:$I$88,3,0)*VLOOKUP('Données projet'!$B$9,Paramètres!$A$1:$I$88,5,0)</f>
        <v>222.14400000000006</v>
      </c>
      <c r="P120" s="14">
        <f t="shared" si="87"/>
        <v>54.580610179607746</v>
      </c>
      <c r="Q120" s="22">
        <f t="shared" si="107"/>
        <v>481.96202939615023</v>
      </c>
      <c r="R120" s="62">
        <f t="shared" si="55"/>
        <v>775.29536272948349</v>
      </c>
      <c r="S120" s="62">
        <f ca="1">AVERAGE(OFFSET($R$3,0,0,'Données projet'!$E$9+1,1))-AVERAGE(OFFSET($H$3,0,0,'Données projet'!$E$9+1,1))</f>
        <v>316.04959780858269</v>
      </c>
      <c r="T120" s="62">
        <f t="shared" si="88"/>
        <v>213.60182977243113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21.842238955721452</v>
      </c>
      <c r="AA120" s="23">
        <f>EXP(-LN(2)/25)*AA119+(1-EXP(-LN(2)/25))/(LN(2)/25)*Calculateur!V120*Calculateur!X120*VLOOKUP('Données projet'!$B$9,Paramètres!$A$1:$I$88,3,0)*0.475*44/12</f>
        <v>5.6988934945908047</v>
      </c>
      <c r="AB120" s="23">
        <f>EXP(-LN(2)/2)*AB119+(1-EXP(-LN(2)/2))/(LN(2)/2)*V120*Y120*VLOOKUP('Données projet'!$B$9,Paramètres!$A$1:$I$88,3,0)*0.475*44/12</f>
        <v>8.7069932809597322E-2</v>
      </c>
      <c r="AC120" s="24">
        <f t="shared" si="57"/>
        <v>27.628202383121856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-7.9580786405131221E-13</v>
      </c>
      <c r="AJ120" s="14">
        <f>AI120*VLOOKUP('Données projet'!$B$10,Paramètres!$A$1:$I$88,3,0)*VLOOKUP('Données projet'!$B$10,Paramètres!$A$1:$I$88,5,0)</f>
        <v>-4.448565960046835E-13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583.31979399672844</v>
      </c>
      <c r="AO120" s="62">
        <f t="shared" si="90"/>
        <v>544.21514138474731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148.13266589200566</v>
      </c>
      <c r="AV120" s="23">
        <f>EXP(-LN(2)/25)*AV119+(1-EXP(-LN(2)/25))/(LN(2)/25)*Calculateur!AQ120*Calculateur!AS120*VLOOKUP('Données projet'!$B$10,Paramètres!$A$1:$I$88,3,0)*0.475*44/12</f>
        <v>23.712940571600779</v>
      </c>
      <c r="AW120" s="23">
        <f>EXP(-LN(2)/2)*AW119+(1-EXP(-LN(2)/2))/(LN(2)/2)*AQ120*AT120*VLOOKUP('Données projet'!$B$10,Paramètres!$A$1:$I$88,3,0)*0.475*44/12</f>
        <v>1.1921082314675365E-4</v>
      </c>
      <c r="AX120" s="23">
        <f t="shared" si="60"/>
        <v>171.84572567442959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projet'!$B$11,Paramètres!$A$1:$I$88,3,0)*VLOOKUP('Données projet'!$B$11,Paramètres!$A$1:$I$88,5,0)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projet'!$B$11,Paramètres!$A$1:$I$88,3,0)*0.475*44/12</f>
        <v>#N/A</v>
      </c>
      <c r="BQ120" s="23" t="e">
        <f>EXP(-LN(2)/25)*BQ119+(1-EXP(-LN(2)/25))/(LN(2)/25)*Calculateur!BL120*Calculateur!BN120*VLOOKUP('Données projet'!$B$11,Paramètres!$A$1:$I$88,3,0)*0.475*44/12</f>
        <v>#N/A</v>
      </c>
      <c r="BR120" s="23" t="e">
        <f>EXP(-LN(2)/2)*BR119+(1-EXP(-LN(2)/2))/(LN(2)/2)*BL120*BO120*VLOOKUP('Données projet'!$B$11,Paramètres!$A$1:$I$88,3,0)*0.475*44/12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projet'!$B$12,Paramètres!$A$1:$I$88,3,0)*0.475*44/12</f>
        <v>#N/A</v>
      </c>
      <c r="CL120" s="23" t="e">
        <f>EXP(-LN(2)/25)*CL119+(1-EXP(-LN(2)/25))/(LN(2)/25)*Calculateur!CG120*Calculateur!CI120*VLOOKUP('Données projet'!$B$12,Paramètres!$A$1:$I$88,3,0)*0.475*44/12</f>
        <v>#N/A</v>
      </c>
      <c r="CM120" s="23" t="e">
        <f>EXP(-LN(2)/2)*CM119+(1-EXP(-LN(2)/2))/(LN(2)/2)*CG120*CJ120*VLOOKUP('Données projet'!$B$12,Paramètres!$A$1:$I$88,3,0)*0.475*44/12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0.66666666666666663</v>
      </c>
      <c r="N121" s="14">
        <f>IF('Données projet'!$A$36&gt;35,N120+M121-V120,IF(A121&lt;'Données projet'!$A$36,$K$205^A121,IF(A121='Données projet'!$A$36,'Données projet'!$B$36,N120+M121-V120)))</f>
        <v>475.33333333333348</v>
      </c>
      <c r="O121" s="14">
        <f>N121*VLOOKUP('Données projet'!$B$9,Paramètres!$A$1:$I$88,3,0)*VLOOKUP('Données projet'!$B$9,Paramètres!$A$1:$I$88,5,0)</f>
        <v>222.45600000000007</v>
      </c>
      <c r="P121" s="14">
        <f t="shared" si="87"/>
        <v>54.648339796219865</v>
      </c>
      <c r="Q121" s="22">
        <f t="shared" si="107"/>
        <v>482.62339181174974</v>
      </c>
      <c r="R121" s="62">
        <f t="shared" si="55"/>
        <v>775.95672514508306</v>
      </c>
      <c r="S121" s="62">
        <f ca="1">AVERAGE(OFFSET($R$3,0,0,'Données projet'!$E$9+1,1))-AVERAGE(OFFSET($H$3,0,0,'Données projet'!$E$9+1,1))</f>
        <v>316.04959780858269</v>
      </c>
      <c r="T121" s="62">
        <f t="shared" si="88"/>
        <v>213.60182977243113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21.413925972250034</v>
      </c>
      <c r="AA121" s="23">
        <f>EXP(-LN(2)/25)*AA120+(1-EXP(-LN(2)/25))/(LN(2)/25)*Calculateur!V121*Calculateur!X121*VLOOKUP('Données projet'!$B$9,Paramètres!$A$1:$I$88,3,0)*0.475*44/12</f>
        <v>5.5430569522894357</v>
      </c>
      <c r="AB121" s="23">
        <f>EXP(-LN(2)/2)*AB120+(1-EXP(-LN(2)/2))/(LN(2)/2)*V121*Y121*VLOOKUP('Données projet'!$B$9,Paramètres!$A$1:$I$88,3,0)*0.475*44/12</f>
        <v>6.1567739927123333E-2</v>
      </c>
      <c r="AC121" s="24">
        <f t="shared" si="57"/>
        <v>27.018550664466595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-7.9580786405131221E-13</v>
      </c>
      <c r="AJ121" s="14">
        <f>AI121*VLOOKUP('Données projet'!$B$10,Paramètres!$A$1:$I$88,3,0)*VLOOKUP('Données projet'!$B$10,Paramètres!$A$1:$I$88,5,0)</f>
        <v>-4.448565960046835E-13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583.31979399672844</v>
      </c>
      <c r="AO121" s="62">
        <f t="shared" si="90"/>
        <v>544.21514138474731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145.22787466586811</v>
      </c>
      <c r="AV121" s="23">
        <f>EXP(-LN(2)/25)*AV120+(1-EXP(-LN(2)/25))/(LN(2)/25)*Calculateur!AQ121*Calculateur!AS121*VLOOKUP('Données projet'!$B$10,Paramètres!$A$1:$I$88,3,0)*0.475*44/12</f>
        <v>23.064508964661009</v>
      </c>
      <c r="AW121" s="23">
        <f>EXP(-LN(2)/2)*AW120+(1-EXP(-LN(2)/2))/(LN(2)/2)*AQ121*AT121*VLOOKUP('Données projet'!$B$10,Paramètres!$A$1:$I$88,3,0)*0.475*44/12</f>
        <v>8.4294781437899757E-5</v>
      </c>
      <c r="AX121" s="23">
        <f t="shared" si="60"/>
        <v>168.29246792531055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projet'!$B$11,Paramètres!$A$1:$I$88,3,0)*VLOOKUP('Données projet'!$B$11,Paramètres!$A$1:$I$88,5,0)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projet'!$B$11,Paramètres!$A$1:$I$88,3,0)*0.475*44/12</f>
        <v>#N/A</v>
      </c>
      <c r="BQ121" s="23" t="e">
        <f>EXP(-LN(2)/25)*BQ120+(1-EXP(-LN(2)/25))/(LN(2)/25)*Calculateur!BL121*Calculateur!BN121*VLOOKUP('Données projet'!$B$11,Paramètres!$A$1:$I$88,3,0)*0.475*44/12</f>
        <v>#N/A</v>
      </c>
      <c r="BR121" s="23" t="e">
        <f>EXP(-LN(2)/2)*BR120+(1-EXP(-LN(2)/2))/(LN(2)/2)*BL121*BO121*VLOOKUP('Données projet'!$B$11,Paramètres!$A$1:$I$88,3,0)*0.475*44/12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projet'!$B$12,Paramètres!$A$1:$I$88,3,0)*0.475*44/12</f>
        <v>#N/A</v>
      </c>
      <c r="CL121" s="23" t="e">
        <f>EXP(-LN(2)/25)*CL120+(1-EXP(-LN(2)/25))/(LN(2)/25)*Calculateur!CG121*Calculateur!CI121*VLOOKUP('Données projet'!$B$12,Paramètres!$A$1:$I$88,3,0)*0.475*44/12</f>
        <v>#N/A</v>
      </c>
      <c r="CM121" s="23" t="e">
        <f>EXP(-LN(2)/2)*CM120+(1-EXP(-LN(2)/2))/(LN(2)/2)*CG121*CJ121*VLOOKUP('Données projet'!$B$12,Paramètres!$A$1:$I$88,3,0)*0.475*44/12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0.66666666666666663</v>
      </c>
      <c r="N122" s="14">
        <f>IF('Données projet'!$A$36&gt;35,N121+M122-V121,IF(A122&lt;'Données projet'!$A$36,$K$205^A122,IF(A122='Données projet'!$A$36,'Données projet'!$B$36,N121+M122-V121)))</f>
        <v>476.00000000000017</v>
      </c>
      <c r="O122" s="14">
        <f>N122*VLOOKUP('Données projet'!$B$9,Paramètres!$A$1:$I$88,3,0)*VLOOKUP('Données projet'!$B$9,Paramètres!$A$1:$I$88,5,0)</f>
        <v>222.76800000000006</v>
      </c>
      <c r="P122" s="14">
        <f t="shared" si="87"/>
        <v>54.716058356609508</v>
      </c>
      <c r="Q122" s="22">
        <f t="shared" si="107"/>
        <v>483.28473497109502</v>
      </c>
      <c r="R122" s="62">
        <f t="shared" si="55"/>
        <v>776.61806830442833</v>
      </c>
      <c r="S122" s="62">
        <f ca="1">AVERAGE(OFFSET($R$3,0,0,'Données projet'!$E$9+1,1))-AVERAGE(OFFSET($H$3,0,0,'Données projet'!$E$9+1,1))</f>
        <v>316.04959780858269</v>
      </c>
      <c r="T122" s="62">
        <f t="shared" si="88"/>
        <v>213.60182977243113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20.994011945139366</v>
      </c>
      <c r="AA122" s="23">
        <f>EXP(-LN(2)/25)*AA121+(1-EXP(-LN(2)/25))/(LN(2)/25)*Calculateur!V122*Calculateur!X122*VLOOKUP('Données projet'!$B$9,Paramètres!$A$1:$I$88,3,0)*0.475*44/12</f>
        <v>5.391481768432385</v>
      </c>
      <c r="AB122" s="23">
        <f>EXP(-LN(2)/2)*AB121+(1-EXP(-LN(2)/2))/(LN(2)/2)*V122*Y122*VLOOKUP('Données projet'!$B$9,Paramètres!$A$1:$I$88,3,0)*0.475*44/12</f>
        <v>4.3534966404798668E-2</v>
      </c>
      <c r="AC122" s="24">
        <f t="shared" si="57"/>
        <v>26.42902867997655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-7.9580786405131221E-13</v>
      </c>
      <c r="AJ122" s="14">
        <f>AI122*VLOOKUP('Données projet'!$B$10,Paramètres!$A$1:$I$88,3,0)*VLOOKUP('Données projet'!$B$10,Paramètres!$A$1:$I$88,5,0)</f>
        <v>-4.448565960046835E-13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583.31979399672844</v>
      </c>
      <c r="AO122" s="62">
        <f t="shared" si="90"/>
        <v>544.21514138474731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142.3800446239274</v>
      </c>
      <c r="AV122" s="23">
        <f>EXP(-LN(2)/25)*AV121+(1-EXP(-LN(2)/25))/(LN(2)/25)*Calculateur!AQ122*Calculateur!AS122*VLOOKUP('Données projet'!$B$10,Paramètres!$A$1:$I$88,3,0)*0.475*44/12</f>
        <v>22.43380875411254</v>
      </c>
      <c r="AW122" s="23">
        <f>EXP(-LN(2)/2)*AW121+(1-EXP(-LN(2)/2))/(LN(2)/2)*AQ122*AT122*VLOOKUP('Données projet'!$B$10,Paramètres!$A$1:$I$88,3,0)*0.475*44/12</f>
        <v>5.9605411573376836E-5</v>
      </c>
      <c r="AX122" s="23">
        <f t="shared" si="60"/>
        <v>164.8139129834515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projet'!$B$11,Paramètres!$A$1:$I$88,3,0)*VLOOKUP('Données projet'!$B$11,Paramètres!$A$1:$I$88,5,0)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projet'!$B$11,Paramètres!$A$1:$I$88,3,0)*0.475*44/12</f>
        <v>#N/A</v>
      </c>
      <c r="BQ122" s="23" t="e">
        <f>EXP(-LN(2)/25)*BQ121+(1-EXP(-LN(2)/25))/(LN(2)/25)*Calculateur!BL122*Calculateur!BN122*VLOOKUP('Données projet'!$B$11,Paramètres!$A$1:$I$88,3,0)*0.475*44/12</f>
        <v>#N/A</v>
      </c>
      <c r="BR122" s="23" t="e">
        <f>EXP(-LN(2)/2)*BR121+(1-EXP(-LN(2)/2))/(LN(2)/2)*BL122*BO122*VLOOKUP('Données projet'!$B$11,Paramètres!$A$1:$I$88,3,0)*0.475*44/12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projet'!$B$12,Paramètres!$A$1:$I$88,3,0)*0.475*44/12</f>
        <v>#N/A</v>
      </c>
      <c r="CL122" s="23" t="e">
        <f>EXP(-LN(2)/25)*CL121+(1-EXP(-LN(2)/25))/(LN(2)/25)*Calculateur!CG122*Calculateur!CI122*VLOOKUP('Données projet'!$B$12,Paramètres!$A$1:$I$88,3,0)*0.475*44/12</f>
        <v>#N/A</v>
      </c>
      <c r="CM122" s="23" t="e">
        <f>EXP(-LN(2)/2)*CM121+(1-EXP(-LN(2)/2))/(LN(2)/2)*CG122*CJ122*VLOOKUP('Données projet'!$B$12,Paramètres!$A$1:$I$88,3,0)*0.475*44/12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0.66666666666666663</v>
      </c>
      <c r="N123" s="14">
        <f>IF('Données projet'!$A$36&gt;35,N122+M123-V122,IF(A123&lt;'Données projet'!$A$36,$K$205^A123,IF(A123='Données projet'!$A$36,'Données projet'!$B$36,N122+M123-V122)))</f>
        <v>476.66666666666686</v>
      </c>
      <c r="O123" s="14">
        <f>N123*VLOOKUP('Données projet'!$B$9,Paramètres!$A$1:$I$88,3,0)*VLOOKUP('Données projet'!$B$9,Paramètres!$A$1:$I$88,5,0)</f>
        <v>223.08000000000007</v>
      </c>
      <c r="P123" s="14">
        <f t="shared" si="87"/>
        <v>54.783765878062667</v>
      </c>
      <c r="Q123" s="22">
        <f t="shared" si="107"/>
        <v>483.94605890429256</v>
      </c>
      <c r="R123" s="62">
        <f t="shared" si="55"/>
        <v>777.27939223762587</v>
      </c>
      <c r="S123" s="62">
        <f ca="1">AVERAGE(OFFSET($R$3,0,0,'Données projet'!$E$9+1,1))-AVERAGE(OFFSET($H$3,0,0,'Données projet'!$E$9+1,1))</f>
        <v>316.04959780858269</v>
      </c>
      <c r="T123" s="62">
        <f t="shared" si="88"/>
        <v>213.60182977243113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20.582332175978074</v>
      </c>
      <c r="AA123" s="23">
        <f>EXP(-LN(2)/25)*AA122+(1-EXP(-LN(2)/25))/(LN(2)/25)*Calculateur!V123*Calculateur!X123*VLOOKUP('Données projet'!$B$9,Paramètres!$A$1:$I$88,3,0)*0.475*44/12</f>
        <v>5.2440514159488973</v>
      </c>
      <c r="AB123" s="23">
        <f>EXP(-LN(2)/2)*AB122+(1-EXP(-LN(2)/2))/(LN(2)/2)*V123*Y123*VLOOKUP('Données projet'!$B$9,Paramètres!$A$1:$I$88,3,0)*0.475*44/12</f>
        <v>3.078386996356167E-2</v>
      </c>
      <c r="AC123" s="24">
        <f t="shared" si="57"/>
        <v>25.85716746189053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-7.9580786405131221E-13</v>
      </c>
      <c r="AJ123" s="14">
        <f>AI123*VLOOKUP('Données projet'!$B$10,Paramètres!$A$1:$I$88,3,0)*VLOOKUP('Données projet'!$B$10,Paramètres!$A$1:$I$88,5,0)</f>
        <v>-4.448565960046835E-13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583.31979399672844</v>
      </c>
      <c r="AO123" s="62">
        <f t="shared" si="90"/>
        <v>544.21514138474731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139.58805879210436</v>
      </c>
      <c r="AV123" s="23">
        <f>EXP(-LN(2)/25)*AV122+(1-EXP(-LN(2)/25))/(LN(2)/25)*Calculateur!AQ123*Calculateur!AS123*VLOOKUP('Données projet'!$B$10,Paramètres!$A$1:$I$88,3,0)*0.475*44/12</f>
        <v>21.820355073988605</v>
      </c>
      <c r="AW123" s="23">
        <f>EXP(-LN(2)/2)*AW122+(1-EXP(-LN(2)/2))/(LN(2)/2)*AQ123*AT123*VLOOKUP('Données projet'!$B$10,Paramètres!$A$1:$I$88,3,0)*0.475*44/12</f>
        <v>4.2147390718949885E-5</v>
      </c>
      <c r="AX123" s="23">
        <f t="shared" si="60"/>
        <v>161.40845601348369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projet'!$B$11,Paramètres!$A$1:$I$88,3,0)*VLOOKUP('Données projet'!$B$11,Paramètres!$A$1:$I$88,5,0)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projet'!$B$11,Paramètres!$A$1:$I$88,3,0)*0.475*44/12</f>
        <v>#N/A</v>
      </c>
      <c r="BQ123" s="23" t="e">
        <f>EXP(-LN(2)/25)*BQ122+(1-EXP(-LN(2)/25))/(LN(2)/25)*Calculateur!BL123*Calculateur!BN123*VLOOKUP('Données projet'!$B$11,Paramètres!$A$1:$I$88,3,0)*0.475*44/12</f>
        <v>#N/A</v>
      </c>
      <c r="BR123" s="23" t="e">
        <f>EXP(-LN(2)/2)*BR122+(1-EXP(-LN(2)/2))/(LN(2)/2)*BL123*BO123*VLOOKUP('Données projet'!$B$11,Paramètres!$A$1:$I$88,3,0)*0.475*44/12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projet'!$B$12,Paramètres!$A$1:$I$88,3,0)*0.475*44/12</f>
        <v>#N/A</v>
      </c>
      <c r="CL123" s="23" t="e">
        <f>EXP(-LN(2)/25)*CL122+(1-EXP(-LN(2)/25))/(LN(2)/25)*Calculateur!CG123*Calculateur!CI123*VLOOKUP('Données projet'!$B$12,Paramètres!$A$1:$I$88,3,0)*0.475*44/12</f>
        <v>#N/A</v>
      </c>
      <c r="CM123" s="23" t="e">
        <f>EXP(-LN(2)/2)*CM122+(1-EXP(-LN(2)/2))/(LN(2)/2)*CG123*CJ123*VLOOKUP('Données projet'!$B$12,Paramètres!$A$1:$I$88,3,0)*0.475*44/12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0.66666666666666663</v>
      </c>
      <c r="N124" s="14">
        <f>IF('Données projet'!$A$36&gt;35,N123+M124-V123,IF(A124&lt;'Données projet'!$A$36,$K$205^A124,IF(A124='Données projet'!$A$36,'Données projet'!$B$36,N123+M124-V123)))</f>
        <v>477.33333333333354</v>
      </c>
      <c r="O124" s="14">
        <f>N124*VLOOKUP('Données projet'!$B$9,Paramètres!$A$1:$I$88,3,0)*VLOOKUP('Données projet'!$B$9,Paramètres!$A$1:$I$88,5,0)</f>
        <v>223.39200000000008</v>
      </c>
      <c r="P124" s="14">
        <f t="shared" si="87"/>
        <v>54.851462377814059</v>
      </c>
      <c r="Q124" s="22">
        <f t="shared" si="107"/>
        <v>484.60736364135954</v>
      </c>
      <c r="R124" s="62">
        <f t="shared" si="55"/>
        <v>777.94069697469286</v>
      </c>
      <c r="S124" s="62">
        <f ca="1">AVERAGE(OFFSET($R$3,0,0,'Données projet'!$E$9+1,1))-AVERAGE(OFFSET($H$3,0,0,'Données projet'!$E$9+1,1))</f>
        <v>316.04959780858269</v>
      </c>
      <c r="T124" s="62">
        <f t="shared" si="88"/>
        <v>213.60182977243113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20.178725195990168</v>
      </c>
      <c r="AA124" s="23">
        <f>EXP(-LN(2)/25)*AA123+(1-EXP(-LN(2)/25))/(LN(2)/25)*Calculateur!V124*Calculateur!X124*VLOOKUP('Données projet'!$B$9,Paramètres!$A$1:$I$88,3,0)*0.475*44/12</f>
        <v>5.1006525542070964</v>
      </c>
      <c r="AB124" s="23">
        <f>EXP(-LN(2)/2)*AB123+(1-EXP(-LN(2)/2))/(LN(2)/2)*V124*Y124*VLOOKUP('Données projet'!$B$9,Paramètres!$A$1:$I$88,3,0)*0.475*44/12</f>
        <v>2.1767483202399338E-2</v>
      </c>
      <c r="AC124" s="24">
        <f t="shared" si="57"/>
        <v>25.301145233399662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-7.9580786405131221E-13</v>
      </c>
      <c r="AJ124" s="14">
        <f>AI124*VLOOKUP('Données projet'!$B$10,Paramètres!$A$1:$I$88,3,0)*VLOOKUP('Données projet'!$B$10,Paramètres!$A$1:$I$88,5,0)</f>
        <v>-4.448565960046835E-13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583.31979399672844</v>
      </c>
      <c r="AO124" s="62">
        <f t="shared" si="90"/>
        <v>544.21514138474731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136.85082209950016</v>
      </c>
      <c r="AV124" s="23">
        <f>EXP(-LN(2)/25)*AV123+(1-EXP(-LN(2)/25))/(LN(2)/25)*Calculateur!AQ124*Calculateur!AS124*VLOOKUP('Données projet'!$B$10,Paramètres!$A$1:$I$88,3,0)*0.475*44/12</f>
        <v>21.223676317007783</v>
      </c>
      <c r="AW124" s="23">
        <f>EXP(-LN(2)/2)*AW123+(1-EXP(-LN(2)/2))/(LN(2)/2)*AQ124*AT124*VLOOKUP('Données projet'!$B$10,Paramètres!$A$1:$I$88,3,0)*0.475*44/12</f>
        <v>2.9802705786688422E-5</v>
      </c>
      <c r="AX124" s="23">
        <f t="shared" si="60"/>
        <v>158.07452821921373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projet'!$B$11,Paramètres!$A$1:$I$88,3,0)*VLOOKUP('Données projet'!$B$11,Paramètres!$A$1:$I$88,5,0)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projet'!$B$11,Paramètres!$A$1:$I$88,3,0)*0.475*44/12</f>
        <v>#N/A</v>
      </c>
      <c r="BQ124" s="23" t="e">
        <f>EXP(-LN(2)/25)*BQ123+(1-EXP(-LN(2)/25))/(LN(2)/25)*Calculateur!BL124*Calculateur!BN124*VLOOKUP('Données projet'!$B$11,Paramètres!$A$1:$I$88,3,0)*0.475*44/12</f>
        <v>#N/A</v>
      </c>
      <c r="BR124" s="23" t="e">
        <f>EXP(-LN(2)/2)*BR123+(1-EXP(-LN(2)/2))/(LN(2)/2)*BL124*BO124*VLOOKUP('Données projet'!$B$11,Paramètres!$A$1:$I$88,3,0)*0.475*44/12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projet'!$B$12,Paramètres!$A$1:$I$88,3,0)*0.475*44/12</f>
        <v>#N/A</v>
      </c>
      <c r="CL124" s="23" t="e">
        <f>EXP(-LN(2)/25)*CL123+(1-EXP(-LN(2)/25))/(LN(2)/25)*Calculateur!CG124*Calculateur!CI124*VLOOKUP('Données projet'!$B$12,Paramètres!$A$1:$I$88,3,0)*0.475*44/12</f>
        <v>#N/A</v>
      </c>
      <c r="CM124" s="23" t="e">
        <f>EXP(-LN(2)/2)*CM123+(1-EXP(-LN(2)/2))/(LN(2)/2)*CG124*CJ124*VLOOKUP('Données projet'!$B$12,Paramètres!$A$1:$I$88,3,0)*0.475*44/12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0.66666666666666663</v>
      </c>
      <c r="N125" s="14">
        <f>IF('Données projet'!$A$36&gt;35,N124+M125-V124,IF(A125&lt;'Données projet'!$A$36,$K$205^A125,IF(A125='Données projet'!$A$36,'Données projet'!$B$36,N124+M125-V124)))</f>
        <v>478.00000000000023</v>
      </c>
      <c r="O125" s="14">
        <f>N125*VLOOKUP('Données projet'!$B$9,Paramètres!$A$1:$I$88,3,0)*VLOOKUP('Données projet'!$B$9,Paramètres!$A$1:$I$88,5,0)</f>
        <v>223.70400000000009</v>
      </c>
      <c r="P125" s="14">
        <f t="shared" si="87"/>
        <v>54.919147873047578</v>
      </c>
      <c r="Q125" s="22">
        <f t="shared" si="107"/>
        <v>485.26864921222477</v>
      </c>
      <c r="R125" s="62">
        <f t="shared" si="55"/>
        <v>778.60198254555803</v>
      </c>
      <c r="S125" s="62">
        <f ca="1">AVERAGE(OFFSET($R$3,0,0,'Données projet'!$E$9+1,1))-AVERAGE(OFFSET($H$3,0,0,'Données projet'!$E$9+1,1))</f>
        <v>316.04959780858269</v>
      </c>
      <c r="T125" s="62">
        <f t="shared" si="88"/>
        <v>213.60182977243113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19.783032702703874</v>
      </c>
      <c r="AA125" s="23">
        <f>EXP(-LN(2)/25)*AA124+(1-EXP(-LN(2)/25))/(LN(2)/25)*Calculateur!V125*Calculateur!X125*VLOOKUP('Données projet'!$B$9,Paramètres!$A$1:$I$88,3,0)*0.475*44/12</f>
        <v>4.9611749418806435</v>
      </c>
      <c r="AB125" s="23">
        <f>EXP(-LN(2)/2)*AB124+(1-EXP(-LN(2)/2))/(LN(2)/2)*V125*Y125*VLOOKUP('Données projet'!$B$9,Paramètres!$A$1:$I$88,3,0)*0.475*44/12</f>
        <v>1.5391934981780838E-2</v>
      </c>
      <c r="AC125" s="24">
        <f t="shared" si="57"/>
        <v>24.759599579566299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-7.9580786405131221E-13</v>
      </c>
      <c r="AJ125" s="14">
        <f>AI125*VLOOKUP('Données projet'!$B$10,Paramètres!$A$1:$I$88,3,0)*VLOOKUP('Données projet'!$B$10,Paramètres!$A$1:$I$88,5,0)</f>
        <v>-4.448565960046835E-13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583.31979399672844</v>
      </c>
      <c r="AO125" s="62">
        <f t="shared" si="90"/>
        <v>544.21514138474731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134.16726094888838</v>
      </c>
      <c r="AV125" s="23">
        <f>EXP(-LN(2)/25)*AV124+(1-EXP(-LN(2)/25))/(LN(2)/25)*Calculateur!AQ125*Calculateur!AS125*VLOOKUP('Données projet'!$B$10,Paramètres!$A$1:$I$88,3,0)*0.475*44/12</f>
        <v>20.643313772014576</v>
      </c>
      <c r="AW125" s="23">
        <f>EXP(-LN(2)/2)*AW124+(1-EXP(-LN(2)/2))/(LN(2)/2)*AQ125*AT125*VLOOKUP('Données projet'!$B$10,Paramètres!$A$1:$I$88,3,0)*0.475*44/12</f>
        <v>2.1073695359474946E-5</v>
      </c>
      <c r="AX125" s="23">
        <f t="shared" si="60"/>
        <v>154.81059579459833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projet'!$B$11,Paramètres!$A$1:$I$88,3,0)*VLOOKUP('Données projet'!$B$11,Paramètres!$A$1:$I$88,5,0)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projet'!$B$11,Paramètres!$A$1:$I$88,3,0)*0.475*44/12</f>
        <v>#N/A</v>
      </c>
      <c r="BQ125" s="23" t="e">
        <f>EXP(-LN(2)/25)*BQ124+(1-EXP(-LN(2)/25))/(LN(2)/25)*Calculateur!BL125*Calculateur!BN125*VLOOKUP('Données projet'!$B$11,Paramètres!$A$1:$I$88,3,0)*0.475*44/12</f>
        <v>#N/A</v>
      </c>
      <c r="BR125" s="23" t="e">
        <f>EXP(-LN(2)/2)*BR124+(1-EXP(-LN(2)/2))/(LN(2)/2)*BL125*BO125*VLOOKUP('Données projet'!$B$11,Paramètres!$A$1:$I$88,3,0)*0.475*44/12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projet'!$B$12,Paramètres!$A$1:$I$88,3,0)*0.475*44/12</f>
        <v>#N/A</v>
      </c>
      <c r="CL125" s="23" t="e">
        <f>EXP(-LN(2)/25)*CL124+(1-EXP(-LN(2)/25))/(LN(2)/25)*Calculateur!CG125*Calculateur!CI125*VLOOKUP('Données projet'!$B$12,Paramètres!$A$1:$I$88,3,0)*0.475*44/12</f>
        <v>#N/A</v>
      </c>
      <c r="CM125" s="23" t="e">
        <f>EXP(-LN(2)/2)*CM124+(1-EXP(-LN(2)/2))/(LN(2)/2)*CG125*CJ125*VLOOKUP('Données projet'!$B$12,Paramètres!$A$1:$I$88,3,0)*0.475*44/12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0.66666666666666663</v>
      </c>
      <c r="N126" s="14">
        <f>IF('Données projet'!$A$36&gt;35,N125+M126-V125,IF(A126&lt;'Données projet'!$A$36,$K$205^A126,IF(A126='Données projet'!$A$36,'Données projet'!$B$36,N125+M126-V125)))</f>
        <v>478.66666666666691</v>
      </c>
      <c r="O126" s="14">
        <f>N126*VLOOKUP('Données projet'!$B$9,Paramètres!$A$1:$I$88,3,0)*VLOOKUP('Données projet'!$B$9,Paramètres!$A$1:$I$88,5,0)</f>
        <v>224.0160000000001</v>
      </c>
      <c r="P126" s="14">
        <f t="shared" si="87"/>
        <v>54.986822380896371</v>
      </c>
      <c r="Q126" s="22">
        <f t="shared" si="107"/>
        <v>485.92991564672803</v>
      </c>
      <c r="R126" s="62">
        <f t="shared" si="55"/>
        <v>779.26324898006135</v>
      </c>
      <c r="S126" s="62">
        <f ca="1">AVERAGE(OFFSET($R$3,0,0,'Données projet'!$E$9+1,1))-AVERAGE(OFFSET($H$3,0,0,'Données projet'!$E$9+1,1))</f>
        <v>316.04959780858269</v>
      </c>
      <c r="T126" s="62">
        <f t="shared" si="88"/>
        <v>213.60182977243113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19.395099497862336</v>
      </c>
      <c r="AA126" s="23">
        <f>EXP(-LN(2)/25)*AA125+(1-EXP(-LN(2)/25))/(LN(2)/25)*Calculateur!V126*Calculateur!X126*VLOOKUP('Données projet'!$B$9,Paramètres!$A$1:$I$88,3,0)*0.475*44/12</f>
        <v>4.8255113521980659</v>
      </c>
      <c r="AB126" s="23">
        <f>EXP(-LN(2)/2)*AB125+(1-EXP(-LN(2)/2))/(LN(2)/2)*V126*Y126*VLOOKUP('Données projet'!$B$9,Paramètres!$A$1:$I$88,3,0)*0.475*44/12</f>
        <v>1.0883741601199671E-2</v>
      </c>
      <c r="AC126" s="24">
        <f t="shared" si="57"/>
        <v>24.231494591661601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-7.9580786405131221E-13</v>
      </c>
      <c r="AJ126" s="14">
        <f>AI126*VLOOKUP('Données projet'!$B$10,Paramètres!$A$1:$I$88,3,0)*VLOOKUP('Données projet'!$B$10,Paramètres!$A$1:$I$88,5,0)</f>
        <v>-4.448565960046835E-13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583.31979399672844</v>
      </c>
      <c r="AO126" s="62">
        <f t="shared" si="90"/>
        <v>544.21514138474731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131.53632279562942</v>
      </c>
      <c r="AV126" s="23">
        <f>EXP(-LN(2)/25)*AV125+(1-EXP(-LN(2)/25))/(LN(2)/25)*Calculateur!AQ126*Calculateur!AS126*VLOOKUP('Données projet'!$B$10,Paramètres!$A$1:$I$88,3,0)*0.475*44/12</f>
        <v>20.078821271334146</v>
      </c>
      <c r="AW126" s="23">
        <f>EXP(-LN(2)/2)*AW125+(1-EXP(-LN(2)/2))/(LN(2)/2)*AQ126*AT126*VLOOKUP('Données projet'!$B$10,Paramètres!$A$1:$I$88,3,0)*0.475*44/12</f>
        <v>1.4901352893344214E-5</v>
      </c>
      <c r="AX126" s="23">
        <f t="shared" si="60"/>
        <v>151.61515896831645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projet'!$B$11,Paramètres!$A$1:$I$88,3,0)*VLOOKUP('Données projet'!$B$11,Paramètres!$A$1:$I$88,5,0)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projet'!$B$11,Paramètres!$A$1:$I$88,3,0)*0.475*44/12</f>
        <v>#N/A</v>
      </c>
      <c r="BQ126" s="23" t="e">
        <f>EXP(-LN(2)/25)*BQ125+(1-EXP(-LN(2)/25))/(LN(2)/25)*Calculateur!BL126*Calculateur!BN126*VLOOKUP('Données projet'!$B$11,Paramètres!$A$1:$I$88,3,0)*0.475*44/12</f>
        <v>#N/A</v>
      </c>
      <c r="BR126" s="23" t="e">
        <f>EXP(-LN(2)/2)*BR125+(1-EXP(-LN(2)/2))/(LN(2)/2)*BL126*BO126*VLOOKUP('Données projet'!$B$11,Paramètres!$A$1:$I$88,3,0)*0.475*44/12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projet'!$B$12,Paramètres!$A$1:$I$88,3,0)*0.475*44/12</f>
        <v>#N/A</v>
      </c>
      <c r="CL126" s="23" t="e">
        <f>EXP(-LN(2)/25)*CL125+(1-EXP(-LN(2)/25))/(LN(2)/25)*Calculateur!CG126*Calculateur!CI126*VLOOKUP('Données projet'!$B$12,Paramètres!$A$1:$I$88,3,0)*0.475*44/12</f>
        <v>#N/A</v>
      </c>
      <c r="CM126" s="23" t="e">
        <f>EXP(-LN(2)/2)*CM125+(1-EXP(-LN(2)/2))/(LN(2)/2)*CG126*CJ126*VLOOKUP('Données projet'!$B$12,Paramètres!$A$1:$I$88,3,0)*0.475*44/12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0.66666666666666663</v>
      </c>
      <c r="N127" s="14">
        <f>IF('Données projet'!$A$36&gt;35,N126+M127-V126,IF(A127&lt;'Données projet'!$A$36,$K$205^A127,IF(A127='Données projet'!$A$36,'Données projet'!$B$36,N126+M127-V126)))</f>
        <v>479.3333333333336</v>
      </c>
      <c r="O127" s="14">
        <f>N127*VLOOKUP('Données projet'!$B$9,Paramètres!$A$1:$I$88,3,0)*VLOOKUP('Données projet'!$B$9,Paramètres!$A$1:$I$88,5,0)</f>
        <v>224.32800000000012</v>
      </c>
      <c r="P127" s="14">
        <f t="shared" si="87"/>
        <v>55.054485918443092</v>
      </c>
      <c r="Q127" s="22">
        <f t="shared" si="107"/>
        <v>486.5911629746218</v>
      </c>
      <c r="R127" s="62">
        <f t="shared" si="55"/>
        <v>779.92449630795511</v>
      </c>
      <c r="S127" s="62">
        <f ca="1">AVERAGE(OFFSET($R$3,0,0,'Données projet'!$E$9+1,1))-AVERAGE(OFFSET($H$3,0,0,'Données projet'!$E$9+1,1))</f>
        <v>316.04959780858269</v>
      </c>
      <c r="T127" s="62">
        <f t="shared" si="88"/>
        <v>213.60182977243113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19.014773426551848</v>
      </c>
      <c r="AA127" s="23">
        <f>EXP(-LN(2)/25)*AA126+(1-EXP(-LN(2)/25))/(LN(2)/25)*Calculateur!V127*Calculateur!X127*VLOOKUP('Données projet'!$B$9,Paramètres!$A$1:$I$88,3,0)*0.475*44/12</f>
        <v>4.6935574905095967</v>
      </c>
      <c r="AB127" s="23">
        <f>EXP(-LN(2)/2)*AB126+(1-EXP(-LN(2)/2))/(LN(2)/2)*V127*Y127*VLOOKUP('Données projet'!$B$9,Paramètres!$A$1:$I$88,3,0)*0.475*44/12</f>
        <v>7.6959674908904201E-3</v>
      </c>
      <c r="AC127" s="24">
        <f t="shared" si="57"/>
        <v>23.716026884552335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-7.9580786405131221E-13</v>
      </c>
      <c r="AJ127" s="14">
        <f>AI127*VLOOKUP('Données projet'!$B$10,Paramètres!$A$1:$I$88,3,0)*VLOOKUP('Données projet'!$B$10,Paramètres!$A$1:$I$88,5,0)</f>
        <v>-4.448565960046835E-13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583.31979399672844</v>
      </c>
      <c r="AO127" s="62">
        <f t="shared" si="90"/>
        <v>544.21514138474731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128.95697573484205</v>
      </c>
      <c r="AV127" s="23">
        <f>EXP(-LN(2)/25)*AV126+(1-EXP(-LN(2)/25))/(LN(2)/25)*Calculateur!AQ127*Calculateur!AS127*VLOOKUP('Données projet'!$B$10,Paramètres!$A$1:$I$88,3,0)*0.475*44/12</f>
        <v>19.529764847770196</v>
      </c>
      <c r="AW127" s="23">
        <f>EXP(-LN(2)/2)*AW126+(1-EXP(-LN(2)/2))/(LN(2)/2)*AQ127*AT127*VLOOKUP('Données projet'!$B$10,Paramètres!$A$1:$I$88,3,0)*0.475*44/12</f>
        <v>1.0536847679737475E-5</v>
      </c>
      <c r="AX127" s="23">
        <f t="shared" si="60"/>
        <v>148.48675111945991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projet'!$B$11,Paramètres!$A$1:$I$88,3,0)*VLOOKUP('Données projet'!$B$11,Paramètres!$A$1:$I$88,5,0)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projet'!$B$11,Paramètres!$A$1:$I$88,3,0)*0.475*44/12</f>
        <v>#N/A</v>
      </c>
      <c r="BQ127" s="23" t="e">
        <f>EXP(-LN(2)/25)*BQ126+(1-EXP(-LN(2)/25))/(LN(2)/25)*Calculateur!BL127*Calculateur!BN127*VLOOKUP('Données projet'!$B$11,Paramètres!$A$1:$I$88,3,0)*0.475*44/12</f>
        <v>#N/A</v>
      </c>
      <c r="BR127" s="23" t="e">
        <f>EXP(-LN(2)/2)*BR126+(1-EXP(-LN(2)/2))/(LN(2)/2)*BL127*BO127*VLOOKUP('Données projet'!$B$11,Paramètres!$A$1:$I$88,3,0)*0.475*44/12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projet'!$B$12,Paramètres!$A$1:$I$88,3,0)*0.475*44/12</f>
        <v>#N/A</v>
      </c>
      <c r="CL127" s="23" t="e">
        <f>EXP(-LN(2)/25)*CL126+(1-EXP(-LN(2)/25))/(LN(2)/25)*Calculateur!CG127*Calculateur!CI127*VLOOKUP('Données projet'!$B$12,Paramètres!$A$1:$I$88,3,0)*0.475*44/12</f>
        <v>#N/A</v>
      </c>
      <c r="CM127" s="23" t="e">
        <f>EXP(-LN(2)/2)*CM126+(1-EXP(-LN(2)/2))/(LN(2)/2)*CG127*CJ127*VLOOKUP('Données projet'!$B$12,Paramètres!$A$1:$I$88,3,0)*0.475*44/12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0.66666666666666663</v>
      </c>
      <c r="N128" s="14">
        <f>IF('Données projet'!$A$36&gt;35,N127+M128-V127,IF(A128&lt;'Données projet'!$A$36,$K$205^A128,IF(A128='Données projet'!$A$36,'Données projet'!$B$36,N127+M128-V127)))</f>
        <v>480.00000000000028</v>
      </c>
      <c r="O128" s="14">
        <f>N128*VLOOKUP('Données projet'!$B$9,Paramètres!$A$1:$I$88,3,0)*VLOOKUP('Données projet'!$B$9,Paramètres!$A$1:$I$88,5,0)</f>
        <v>224.64000000000013</v>
      </c>
      <c r="P128" s="14">
        <f t="shared" si="87"/>
        <v>55.122138502719949</v>
      </c>
      <c r="Q128" s="22">
        <f t="shared" si="107"/>
        <v>487.25239122557076</v>
      </c>
      <c r="R128" s="62">
        <f t="shared" si="55"/>
        <v>780.58572455890408</v>
      </c>
      <c r="S128" s="62">
        <f ca="1">AVERAGE(OFFSET($R$3,0,0,'Données projet'!$E$9+1,1))-AVERAGE(OFFSET($H$3,0,0,'Données projet'!$E$9+1,1))</f>
        <v>316.04959780858269</v>
      </c>
      <c r="T128" s="62">
        <f t="shared" si="88"/>
        <v>213.60182977243113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18.641905317523761</v>
      </c>
      <c r="AA128" s="23">
        <f>EXP(-LN(2)/25)*AA127+(1-EXP(-LN(2)/25))/(LN(2)/25)*Calculateur!V128*Calculateur!X128*VLOOKUP('Données projet'!$B$9,Paramètres!$A$1:$I$88,3,0)*0.475*44/12</f>
        <v>4.5652119141081506</v>
      </c>
      <c r="AB128" s="23">
        <f>EXP(-LN(2)/2)*AB127+(1-EXP(-LN(2)/2))/(LN(2)/2)*V128*Y128*VLOOKUP('Données projet'!$B$9,Paramètres!$A$1:$I$88,3,0)*0.475*44/12</f>
        <v>5.4418708005998361E-3</v>
      </c>
      <c r="AC128" s="24">
        <f t="shared" si="57"/>
        <v>23.212559102432511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-7.9580786405131221E-13</v>
      </c>
      <c r="AJ128" s="14">
        <f>AI128*VLOOKUP('Données projet'!$B$10,Paramètres!$A$1:$I$88,3,0)*VLOOKUP('Données projet'!$B$10,Paramètres!$A$1:$I$88,5,0)</f>
        <v>-4.448565960046835E-13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583.31979399672844</v>
      </c>
      <c r="AO128" s="62">
        <f t="shared" si="90"/>
        <v>544.21514138474731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126.42820809667036</v>
      </c>
      <c r="AV128" s="23">
        <f>EXP(-LN(2)/25)*AV127+(1-EXP(-LN(2)/25))/(LN(2)/25)*Calculateur!AQ128*Calculateur!AS128*VLOOKUP('Données projet'!$B$10,Paramètres!$A$1:$I$88,3,0)*0.475*44/12</f>
        <v>18.995722400982221</v>
      </c>
      <c r="AW128" s="23">
        <f>EXP(-LN(2)/2)*AW127+(1-EXP(-LN(2)/2))/(LN(2)/2)*AQ128*AT128*VLOOKUP('Données projet'!$B$10,Paramètres!$A$1:$I$88,3,0)*0.475*44/12</f>
        <v>7.4506764466721079E-6</v>
      </c>
      <c r="AX128" s="23">
        <f t="shared" si="60"/>
        <v>145.42393794832901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projet'!$B$11,Paramètres!$A$1:$I$88,3,0)*VLOOKUP('Données projet'!$B$11,Paramètres!$A$1:$I$88,5,0)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projet'!$B$11,Paramètres!$A$1:$I$88,3,0)*0.475*44/12</f>
        <v>#N/A</v>
      </c>
      <c r="BQ128" s="23" t="e">
        <f>EXP(-LN(2)/25)*BQ127+(1-EXP(-LN(2)/25))/(LN(2)/25)*Calculateur!BL128*Calculateur!BN128*VLOOKUP('Données projet'!$B$11,Paramètres!$A$1:$I$88,3,0)*0.475*44/12</f>
        <v>#N/A</v>
      </c>
      <c r="BR128" s="23" t="e">
        <f>EXP(-LN(2)/2)*BR127+(1-EXP(-LN(2)/2))/(LN(2)/2)*BL128*BO128*VLOOKUP('Données projet'!$B$11,Paramètres!$A$1:$I$88,3,0)*0.475*44/12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projet'!$B$12,Paramètres!$A$1:$I$88,3,0)*0.475*44/12</f>
        <v>#N/A</v>
      </c>
      <c r="CL128" s="23" t="e">
        <f>EXP(-LN(2)/25)*CL127+(1-EXP(-LN(2)/25))/(LN(2)/25)*Calculateur!CG128*Calculateur!CI128*VLOOKUP('Données projet'!$B$12,Paramètres!$A$1:$I$88,3,0)*0.475*44/12</f>
        <v>#N/A</v>
      </c>
      <c r="CM128" s="23" t="e">
        <f>EXP(-LN(2)/2)*CM127+(1-EXP(-LN(2)/2))/(LN(2)/2)*CG128*CJ128*VLOOKUP('Données projet'!$B$12,Paramètres!$A$1:$I$88,3,0)*0.475*44/12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0.66666666666666663</v>
      </c>
      <c r="N129" s="14">
        <f>IF('Données projet'!$A$36&gt;35,N128+M129-V128,IF(A129&lt;'Données projet'!$A$36,$K$205^A129,IF(A129='Données projet'!$A$36,'Données projet'!$B$36,N128+M129-V128)))</f>
        <v>480.66666666666697</v>
      </c>
      <c r="O129" s="14">
        <f>N129*VLOOKUP('Données projet'!$B$9,Paramètres!$A$1:$I$88,3,0)*VLOOKUP('Données projet'!$B$9,Paramètres!$A$1:$I$88,5,0)</f>
        <v>224.95200000000014</v>
      </c>
      <c r="P129" s="14">
        <f t="shared" si="87"/>
        <v>55.189780150709396</v>
      </c>
      <c r="Q129" s="22">
        <f t="shared" si="107"/>
        <v>487.91360042915244</v>
      </c>
      <c r="R129" s="62">
        <f t="shared" si="55"/>
        <v>781.2469337624857</v>
      </c>
      <c r="S129" s="62">
        <f ca="1">AVERAGE(OFFSET($R$3,0,0,'Données projet'!$E$9+1,1))-AVERAGE(OFFSET($H$3,0,0,'Données projet'!$E$9+1,1))</f>
        <v>316.04959780858269</v>
      </c>
      <c r="T129" s="62">
        <f t="shared" si="88"/>
        <v>213.60182977243113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18.276348924686626</v>
      </c>
      <c r="AA129" s="23">
        <f>EXP(-LN(2)/25)*AA128+(1-EXP(-LN(2)/25))/(LN(2)/25)*Calculateur!V129*Calculateur!X129*VLOOKUP('Données projet'!$B$9,Paramètres!$A$1:$I$88,3,0)*0.475*44/12</f>
        <v>4.4403759542428025</v>
      </c>
      <c r="AB129" s="23">
        <f>EXP(-LN(2)/2)*AB128+(1-EXP(-LN(2)/2))/(LN(2)/2)*V129*Y129*VLOOKUP('Données projet'!$B$9,Paramètres!$A$1:$I$88,3,0)*0.475*44/12</f>
        <v>3.8479837454452109E-3</v>
      </c>
      <c r="AC129" s="24">
        <f t="shared" si="57"/>
        <v>22.720572862674874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-7.9580786405131221E-13</v>
      </c>
      <c r="AJ129" s="14">
        <f>AI129*VLOOKUP('Données projet'!$B$10,Paramètres!$A$1:$I$88,3,0)*VLOOKUP('Données projet'!$B$10,Paramètres!$A$1:$I$88,5,0)</f>
        <v>-4.448565960046835E-13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583.31979399672844</v>
      </c>
      <c r="AO129" s="62">
        <f t="shared" si="90"/>
        <v>544.21514138474731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123.94902804948725</v>
      </c>
      <c r="AV129" s="23">
        <f>EXP(-LN(2)/25)*AV128+(1-EXP(-LN(2)/25))/(LN(2)/25)*Calculateur!AQ129*Calculateur!AS129*VLOOKUP('Données projet'!$B$10,Paramètres!$A$1:$I$88,3,0)*0.475*44/12</f>
        <v>18.476283372985737</v>
      </c>
      <c r="AW129" s="23">
        <f>EXP(-LN(2)/2)*AW128+(1-EXP(-LN(2)/2))/(LN(2)/2)*AQ129*AT129*VLOOKUP('Données projet'!$B$10,Paramètres!$A$1:$I$88,3,0)*0.475*44/12</f>
        <v>5.2684238398687382E-6</v>
      </c>
      <c r="AX129" s="23">
        <f t="shared" si="60"/>
        <v>142.42531669089684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projet'!$B$11,Paramètres!$A$1:$I$88,3,0)*VLOOKUP('Données projet'!$B$11,Paramètres!$A$1:$I$88,5,0)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projet'!$B$11,Paramètres!$A$1:$I$88,3,0)*0.475*44/12</f>
        <v>#N/A</v>
      </c>
      <c r="BQ129" s="23" t="e">
        <f>EXP(-LN(2)/25)*BQ128+(1-EXP(-LN(2)/25))/(LN(2)/25)*Calculateur!BL129*Calculateur!BN129*VLOOKUP('Données projet'!$B$11,Paramètres!$A$1:$I$88,3,0)*0.475*44/12</f>
        <v>#N/A</v>
      </c>
      <c r="BR129" s="23" t="e">
        <f>EXP(-LN(2)/2)*BR128+(1-EXP(-LN(2)/2))/(LN(2)/2)*BL129*BO129*VLOOKUP('Données projet'!$B$11,Paramètres!$A$1:$I$88,3,0)*0.475*44/12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projet'!$B$12,Paramètres!$A$1:$I$88,3,0)*0.475*44/12</f>
        <v>#N/A</v>
      </c>
      <c r="CL129" s="23" t="e">
        <f>EXP(-LN(2)/25)*CL128+(1-EXP(-LN(2)/25))/(LN(2)/25)*Calculateur!CG129*Calculateur!CI129*VLOOKUP('Données projet'!$B$12,Paramètres!$A$1:$I$88,3,0)*0.475*44/12</f>
        <v>#N/A</v>
      </c>
      <c r="CM129" s="23" t="e">
        <f>EXP(-LN(2)/2)*CM128+(1-EXP(-LN(2)/2))/(LN(2)/2)*CG129*CJ129*VLOOKUP('Données projet'!$B$12,Paramètres!$A$1:$I$88,3,0)*0.475*44/12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0.66666666666666663</v>
      </c>
      <c r="N130" s="14">
        <f>IF('Données projet'!$A$36&gt;35,N129+M130-V129,IF(A130&lt;'Données projet'!$A$36,$K$205^A130,IF(A130='Données projet'!$A$36,'Données projet'!$B$36,N129+M130-V129)))</f>
        <v>481.33333333333366</v>
      </c>
      <c r="O130" s="14">
        <f>N130*VLOOKUP('Données projet'!$B$9,Paramètres!$A$1:$I$88,3,0)*VLOOKUP('Données projet'!$B$9,Paramètres!$A$1:$I$88,5,0)</f>
        <v>225.26400000000015</v>
      </c>
      <c r="P130" s="14">
        <f t="shared" si="87"/>
        <v>55.257410879343809</v>
      </c>
      <c r="Q130" s="22">
        <f t="shared" si="107"/>
        <v>488.57479061485748</v>
      </c>
      <c r="R130" s="62">
        <f t="shared" si="55"/>
        <v>781.90812394819079</v>
      </c>
      <c r="S130" s="62">
        <f ca="1">AVERAGE(OFFSET($R$3,0,0,'Données projet'!$E$9+1,1))-AVERAGE(OFFSET($H$3,0,0,'Données projet'!$E$9+1,1))</f>
        <v>316.04959780858269</v>
      </c>
      <c r="T130" s="62">
        <f t="shared" si="88"/>
        <v>213.60182977243113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17.917960869745645</v>
      </c>
      <c r="AA130" s="23">
        <f>EXP(-LN(2)/25)*AA129+(1-EXP(-LN(2)/25))/(LN(2)/25)*Calculateur!V130*Calculateur!X130*VLOOKUP('Données projet'!$B$9,Paramètres!$A$1:$I$88,3,0)*0.475*44/12</f>
        <v>4.3189536402648105</v>
      </c>
      <c r="AB130" s="23">
        <f>EXP(-LN(2)/2)*AB129+(1-EXP(-LN(2)/2))/(LN(2)/2)*V130*Y130*VLOOKUP('Données projet'!$B$9,Paramètres!$A$1:$I$88,3,0)*0.475*44/12</f>
        <v>2.7209354002999185E-3</v>
      </c>
      <c r="AC130" s="24">
        <f t="shared" si="57"/>
        <v>22.239635445410759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-7.9580786405131221E-13</v>
      </c>
      <c r="AJ130" s="14">
        <f>AI130*VLOOKUP('Données projet'!$B$10,Paramètres!$A$1:$I$88,3,0)*VLOOKUP('Données projet'!$B$10,Paramètres!$A$1:$I$88,5,0)</f>
        <v>-4.448565960046835E-13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583.31979399672844</v>
      </c>
      <c r="AO130" s="62">
        <f t="shared" si="90"/>
        <v>544.21514138474731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121.51846321087889</v>
      </c>
      <c r="AV130" s="23">
        <f>EXP(-LN(2)/25)*AV129+(1-EXP(-LN(2)/25))/(LN(2)/25)*Calculateur!AQ130*Calculateur!AS130*VLOOKUP('Données projet'!$B$10,Paramètres!$A$1:$I$88,3,0)*0.475*44/12</f>
        <v>17.971048432525926</v>
      </c>
      <c r="AW130" s="23">
        <f>EXP(-LN(2)/2)*AW129+(1-EXP(-LN(2)/2))/(LN(2)/2)*AQ130*AT130*VLOOKUP('Données projet'!$B$10,Paramètres!$A$1:$I$88,3,0)*0.475*44/12</f>
        <v>3.7253382233360544E-6</v>
      </c>
      <c r="AX130" s="23">
        <f t="shared" si="60"/>
        <v>139.48951536874304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projet'!$B$11,Paramètres!$A$1:$I$88,3,0)*VLOOKUP('Données projet'!$B$11,Paramètres!$A$1:$I$88,5,0)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projet'!$B$11,Paramètres!$A$1:$I$88,3,0)*0.475*44/12</f>
        <v>#N/A</v>
      </c>
      <c r="BQ130" s="23" t="e">
        <f>EXP(-LN(2)/25)*BQ129+(1-EXP(-LN(2)/25))/(LN(2)/25)*Calculateur!BL130*Calculateur!BN130*VLOOKUP('Données projet'!$B$11,Paramètres!$A$1:$I$88,3,0)*0.475*44/12</f>
        <v>#N/A</v>
      </c>
      <c r="BR130" s="23" t="e">
        <f>EXP(-LN(2)/2)*BR129+(1-EXP(-LN(2)/2))/(LN(2)/2)*BL130*BO130*VLOOKUP('Données projet'!$B$11,Paramètres!$A$1:$I$88,3,0)*0.475*44/12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projet'!$B$12,Paramètres!$A$1:$I$88,3,0)*0.475*44/12</f>
        <v>#N/A</v>
      </c>
      <c r="CL130" s="23" t="e">
        <f>EXP(-LN(2)/25)*CL129+(1-EXP(-LN(2)/25))/(LN(2)/25)*Calculateur!CG130*Calculateur!CI130*VLOOKUP('Données projet'!$B$12,Paramètres!$A$1:$I$88,3,0)*0.475*44/12</f>
        <v>#N/A</v>
      </c>
      <c r="CM130" s="23" t="e">
        <f>EXP(-LN(2)/2)*CM129+(1-EXP(-LN(2)/2))/(LN(2)/2)*CG130*CJ130*VLOOKUP('Données projet'!$B$12,Paramètres!$A$1:$I$88,3,0)*0.475*44/12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0.66666666666666663</v>
      </c>
      <c r="N131" s="14">
        <f>IF('Données projet'!$A$36&gt;35,N130+M131-V130,IF(A131&lt;'Données projet'!$A$36,$K$205^A131,IF(A131='Données projet'!$A$36,'Données projet'!$B$36,N130+M131-V130)))</f>
        <v>482.00000000000034</v>
      </c>
      <c r="O131" s="14">
        <f>N131*VLOOKUP('Données projet'!$B$9,Paramètres!$A$1:$I$88,3,0)*VLOOKUP('Données projet'!$B$9,Paramètres!$A$1:$I$88,5,0)</f>
        <v>225.57600000000016</v>
      </c>
      <c r="P131" s="14">
        <f t="shared" si="87"/>
        <v>55.325030705505995</v>
      </c>
      <c r="Q131" s="22">
        <f t="shared" ref="Q131:Q153" si="108">(O131+P131)*0.475*44/12</f>
        <v>489.2359618120899</v>
      </c>
      <c r="R131" s="62">
        <f t="shared" ref="R131:R194" si="109">Q131+(I131+J131)*44/12</f>
        <v>782.56929514542321</v>
      </c>
      <c r="S131" s="62">
        <f ca="1">AVERAGE(OFFSET($R$3,0,0,'Données projet'!$E$9+1,1))-AVERAGE(OFFSET($H$3,0,0,'Données projet'!$E$9+1,1))</f>
        <v>316.04959780858269</v>
      </c>
      <c r="T131" s="62">
        <f t="shared" si="88"/>
        <v>213.60182977243113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17.566600585966928</v>
      </c>
      <c r="AA131" s="23">
        <f>EXP(-LN(2)/25)*AA130+(1-EXP(-LN(2)/25))/(LN(2)/25)*Calculateur!V131*Calculateur!X131*VLOOKUP('Données projet'!$B$9,Paramètres!$A$1:$I$88,3,0)*0.475*44/12</f>
        <v>4.2008516258478688</v>
      </c>
      <c r="AB131" s="23">
        <f>EXP(-LN(2)/2)*AB130+(1-EXP(-LN(2)/2))/(LN(2)/2)*V131*Y131*VLOOKUP('Données projet'!$B$9,Paramètres!$A$1:$I$88,3,0)*0.475*44/12</f>
        <v>1.9239918727226057E-3</v>
      </c>
      <c r="AC131" s="24">
        <f t="shared" si="57"/>
        <v>21.769376203687518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-7.9580786405131221E-13</v>
      </c>
      <c r="AJ131" s="14">
        <f>AI131*VLOOKUP('Données projet'!$B$10,Paramètres!$A$1:$I$88,3,0)*VLOOKUP('Données projet'!$B$10,Paramètres!$A$1:$I$88,5,0)</f>
        <v>-4.448565960046835E-13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583.31979399672844</v>
      </c>
      <c r="AO131" s="62">
        <f t="shared" si="90"/>
        <v>544.21514138474731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119.13556026625747</v>
      </c>
      <c r="AV131" s="23">
        <f>EXP(-LN(2)/25)*AV130+(1-EXP(-LN(2)/25))/(LN(2)/25)*Calculateur!AQ131*Calculateur!AS131*VLOOKUP('Données projet'!$B$10,Paramètres!$A$1:$I$88,3,0)*0.475*44/12</f>
        <v>17.479629168082141</v>
      </c>
      <c r="AW131" s="23">
        <f>EXP(-LN(2)/2)*AW130+(1-EXP(-LN(2)/2))/(LN(2)/2)*AQ131*AT131*VLOOKUP('Données projet'!$B$10,Paramètres!$A$1:$I$88,3,0)*0.475*44/12</f>
        <v>2.6342119199343695E-6</v>
      </c>
      <c r="AX131" s="23">
        <f t="shared" si="60"/>
        <v>136.61519206855152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projet'!$B$11,Paramètres!$A$1:$I$88,3,0)*VLOOKUP('Données projet'!$B$11,Paramètres!$A$1:$I$88,5,0)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projet'!$B$11,Paramètres!$A$1:$I$88,3,0)*0.475*44/12</f>
        <v>#N/A</v>
      </c>
      <c r="BQ131" s="23" t="e">
        <f>EXP(-LN(2)/25)*BQ130+(1-EXP(-LN(2)/25))/(LN(2)/25)*Calculateur!BL131*Calculateur!BN131*VLOOKUP('Données projet'!$B$11,Paramètres!$A$1:$I$88,3,0)*0.475*44/12</f>
        <v>#N/A</v>
      </c>
      <c r="BR131" s="23" t="e">
        <f>EXP(-LN(2)/2)*BR130+(1-EXP(-LN(2)/2))/(LN(2)/2)*BL131*BO131*VLOOKUP('Données projet'!$B$11,Paramètres!$A$1:$I$88,3,0)*0.475*44/12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projet'!$B$12,Paramètres!$A$1:$I$88,3,0)*0.475*44/12</f>
        <v>#N/A</v>
      </c>
      <c r="CL131" s="23" t="e">
        <f>EXP(-LN(2)/25)*CL130+(1-EXP(-LN(2)/25))/(LN(2)/25)*Calculateur!CG131*Calculateur!CI131*VLOOKUP('Données projet'!$B$12,Paramètres!$A$1:$I$88,3,0)*0.475*44/12</f>
        <v>#N/A</v>
      </c>
      <c r="CM131" s="23" t="e">
        <f>EXP(-LN(2)/2)*CM130+(1-EXP(-LN(2)/2))/(LN(2)/2)*CG131*CJ131*VLOOKUP('Données projet'!$B$12,Paramètres!$A$1:$I$88,3,0)*0.475*44/12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0.66666666666666663</v>
      </c>
      <c r="N132" s="14">
        <f>IF('Données projet'!$A$36&gt;35,N131+M132-V131,IF(A132&lt;'Données projet'!$A$36,$K$205^A132,IF(A132='Données projet'!$A$36,'Données projet'!$B$36,N131+M132-V131)))</f>
        <v>482.66666666666703</v>
      </c>
      <c r="O132" s="14">
        <f>N132*VLOOKUP('Données projet'!$B$9,Paramètres!$A$1:$I$88,3,0)*VLOOKUP('Données projet'!$B$9,Paramètres!$A$1:$I$88,5,0)</f>
        <v>225.88800000000018</v>
      </c>
      <c r="P132" s="14">
        <f t="shared" si="87"/>
        <v>55.392639646029394</v>
      </c>
      <c r="Q132" s="22">
        <f t="shared" si="108"/>
        <v>489.89711405016806</v>
      </c>
      <c r="R132" s="62">
        <f t="shared" si="109"/>
        <v>783.23044738350131</v>
      </c>
      <c r="S132" s="62">
        <f ca="1">AVERAGE(OFFSET($R$3,0,0,'Données projet'!$E$9+1,1))-AVERAGE(OFFSET($H$3,0,0,'Données projet'!$E$9+1,1))</f>
        <v>316.04959780858269</v>
      </c>
      <c r="T132" s="62">
        <f t="shared" si="88"/>
        <v>213.60182977243113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17.222130263044498</v>
      </c>
      <c r="AA132" s="23">
        <f>EXP(-LN(2)/25)*AA131+(1-EXP(-LN(2)/25))/(LN(2)/25)*Calculateur!V132*Calculateur!X132*VLOOKUP('Données projet'!$B$9,Paramètres!$A$1:$I$88,3,0)*0.475*44/12</f>
        <v>4.0859791172258726</v>
      </c>
      <c r="AB132" s="23">
        <f>EXP(-LN(2)/2)*AB131+(1-EXP(-LN(2)/2))/(LN(2)/2)*V132*Y132*VLOOKUP('Données projet'!$B$9,Paramètres!$A$1:$I$88,3,0)*0.475*44/12</f>
        <v>1.3604677001499595E-3</v>
      </c>
      <c r="AC132" s="24">
        <f t="shared" ref="AC132:AC153" si="111">SUM(Z132:AB132)</f>
        <v>21.309469847970519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-7.9580786405131221E-13</v>
      </c>
      <c r="AJ132" s="14">
        <f>AI132*VLOOKUP('Données projet'!$B$10,Paramètres!$A$1:$I$88,3,0)*VLOOKUP('Données projet'!$B$10,Paramètres!$A$1:$I$88,5,0)</f>
        <v>-4.448565960046835E-13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583.31979399672844</v>
      </c>
      <c r="AO132" s="62">
        <f t="shared" si="90"/>
        <v>544.21514138474731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116.7993845949528</v>
      </c>
      <c r="AV132" s="23">
        <f>EXP(-LN(2)/25)*AV131+(1-EXP(-LN(2)/25))/(LN(2)/25)*Calculateur!AQ132*Calculateur!AS132*VLOOKUP('Données projet'!$B$10,Paramètres!$A$1:$I$88,3,0)*0.475*44/12</f>
        <v>17.001647789267189</v>
      </c>
      <c r="AW132" s="23">
        <f>EXP(-LN(2)/2)*AW131+(1-EXP(-LN(2)/2))/(LN(2)/2)*AQ132*AT132*VLOOKUP('Données projet'!$B$10,Paramètres!$A$1:$I$88,3,0)*0.475*44/12</f>
        <v>1.8626691116680276E-6</v>
      </c>
      <c r="AX132" s="23">
        <f t="shared" ref="AX132:AX153" si="114">SUM(AU132:AW132)</f>
        <v>133.80103424688909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projet'!$B$11,Paramètres!$A$1:$I$88,3,0)*VLOOKUP('Données projet'!$B$11,Paramètres!$A$1:$I$88,5,0)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projet'!$B$11,Paramètres!$A$1:$I$88,3,0)*0.475*44/12</f>
        <v>#N/A</v>
      </c>
      <c r="BQ132" s="23" t="e">
        <f>EXP(-LN(2)/25)*BQ131+(1-EXP(-LN(2)/25))/(LN(2)/25)*Calculateur!BL132*Calculateur!BN132*VLOOKUP('Données projet'!$B$11,Paramètres!$A$1:$I$88,3,0)*0.475*44/12</f>
        <v>#N/A</v>
      </c>
      <c r="BR132" s="23" t="e">
        <f>EXP(-LN(2)/2)*BR131+(1-EXP(-LN(2)/2))/(LN(2)/2)*BL132*BO132*VLOOKUP('Données projet'!$B$11,Paramètres!$A$1:$I$88,3,0)*0.475*44/12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projet'!$B$12,Paramètres!$A$1:$I$88,3,0)*0.475*44/12</f>
        <v>#N/A</v>
      </c>
      <c r="CL132" s="23" t="e">
        <f>EXP(-LN(2)/25)*CL131+(1-EXP(-LN(2)/25))/(LN(2)/25)*Calculateur!CG132*Calculateur!CI132*VLOOKUP('Données projet'!$B$12,Paramètres!$A$1:$I$88,3,0)*0.475*44/12</f>
        <v>#N/A</v>
      </c>
      <c r="CM132" s="23" t="e">
        <f>EXP(-LN(2)/2)*CM131+(1-EXP(-LN(2)/2))/(LN(2)/2)*CG132*CJ132*VLOOKUP('Données projet'!$B$12,Paramètres!$A$1:$I$88,3,0)*0.475*44/12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0.66666666666666663</v>
      </c>
      <c r="N133" s="14">
        <f>IF('Données projet'!$A$36&gt;35,N132+M133-V132,IF(A133&lt;'Données projet'!$A$36,$K$205^A133,IF(A133='Données projet'!$A$36,'Données projet'!$B$36,N132+M133-V132)))</f>
        <v>483.33333333333371</v>
      </c>
      <c r="O133" s="14">
        <f>N133*VLOOKUP('Données projet'!$B$9,Paramètres!$A$1:$I$88,3,0)*VLOOKUP('Données projet'!$B$9,Paramètres!$A$1:$I$88,5,0)</f>
        <v>226.20000000000019</v>
      </c>
      <c r="P133" s="14">
        <f t="shared" ref="P133:P196" si="141">EXP(-1.0587+0.8836*LN(O133)+0.284)</f>
        <v>55.460237717698206</v>
      </c>
      <c r="Q133" s="22">
        <f t="shared" si="108"/>
        <v>490.55824735832465</v>
      </c>
      <c r="R133" s="62">
        <f t="shared" si="109"/>
        <v>783.89158069165796</v>
      </c>
      <c r="S133" s="62">
        <f ca="1">AVERAGE(OFFSET($R$3,0,0,'Données projet'!$E$9+1,1))-AVERAGE(OFFSET($H$3,0,0,'Données projet'!$E$9+1,1))</f>
        <v>316.04959780858269</v>
      </c>
      <c r="T133" s="62">
        <f t="shared" ref="T133:T196" si="142">$T$3</f>
        <v>213.60182977243113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16.884414793048425</v>
      </c>
      <c r="AA133" s="23">
        <f>EXP(-LN(2)/25)*AA132+(1-EXP(-LN(2)/25))/(LN(2)/25)*Calculateur!V133*Calculateur!X133*VLOOKUP('Données projet'!$B$9,Paramètres!$A$1:$I$88,3,0)*0.475*44/12</f>
        <v>3.9742478033930277</v>
      </c>
      <c r="AB133" s="23">
        <f>EXP(-LN(2)/2)*AB132+(1-EXP(-LN(2)/2))/(LN(2)/2)*V133*Y133*VLOOKUP('Données projet'!$B$9,Paramètres!$A$1:$I$88,3,0)*0.475*44/12</f>
        <v>9.6199593636130305E-4</v>
      </c>
      <c r="AC133" s="24">
        <f t="shared" si="111"/>
        <v>20.859624592377813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-7.9580786405131221E-13</v>
      </c>
      <c r="AJ133" s="14">
        <f>AI133*VLOOKUP('Données projet'!$B$10,Paramètres!$A$1:$I$88,3,0)*VLOOKUP('Données projet'!$B$10,Paramètres!$A$1:$I$88,5,0)</f>
        <v>-4.448565960046835E-13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583.31979399672844</v>
      </c>
      <c r="AO133" s="62">
        <f t="shared" ref="AO133:AO196" si="144">$AO$3</f>
        <v>544.21514138474731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114.50901990363596</v>
      </c>
      <c r="AV133" s="23">
        <f>EXP(-LN(2)/25)*AV132+(1-EXP(-LN(2)/25))/(LN(2)/25)*Calculateur!AQ133*Calculateur!AS133*VLOOKUP('Données projet'!$B$10,Paramètres!$A$1:$I$88,3,0)*0.475*44/12</f>
        <v>16.536736836391878</v>
      </c>
      <c r="AW133" s="23">
        <f>EXP(-LN(2)/2)*AW132+(1-EXP(-LN(2)/2))/(LN(2)/2)*AQ133*AT133*VLOOKUP('Données projet'!$B$10,Paramètres!$A$1:$I$88,3,0)*0.475*44/12</f>
        <v>1.317105959967185E-6</v>
      </c>
      <c r="AX133" s="23">
        <f t="shared" si="114"/>
        <v>131.04575805713378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projet'!$B$11,Paramètres!$A$1:$I$88,3,0)*VLOOKUP('Données projet'!$B$11,Paramètres!$A$1:$I$88,5,0)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projet'!$B$11,Paramètres!$A$1:$I$88,3,0)*0.475*44/12</f>
        <v>#N/A</v>
      </c>
      <c r="BQ133" s="23" t="e">
        <f>EXP(-LN(2)/25)*BQ132+(1-EXP(-LN(2)/25))/(LN(2)/25)*Calculateur!BL133*Calculateur!BN133*VLOOKUP('Données projet'!$B$11,Paramètres!$A$1:$I$88,3,0)*0.475*44/12</f>
        <v>#N/A</v>
      </c>
      <c r="BR133" s="23" t="e">
        <f>EXP(-LN(2)/2)*BR132+(1-EXP(-LN(2)/2))/(LN(2)/2)*BL133*BO133*VLOOKUP('Données projet'!$B$11,Paramètres!$A$1:$I$88,3,0)*0.475*44/12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projet'!$B$12,Paramètres!$A$1:$I$88,3,0)*0.475*44/12</f>
        <v>#N/A</v>
      </c>
      <c r="CL133" s="23" t="e">
        <f>EXP(-LN(2)/25)*CL132+(1-EXP(-LN(2)/25))/(LN(2)/25)*Calculateur!CG133*Calculateur!CI133*VLOOKUP('Données projet'!$B$12,Paramètres!$A$1:$I$88,3,0)*0.475*44/12</f>
        <v>#N/A</v>
      </c>
      <c r="CM133" s="23" t="e">
        <f>EXP(-LN(2)/2)*CM132+(1-EXP(-LN(2)/2))/(LN(2)/2)*CG133*CJ133*VLOOKUP('Données projet'!$B$12,Paramètres!$A$1:$I$88,3,0)*0.475*44/12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0.66666666666666663</v>
      </c>
      <c r="N134" s="14">
        <f>IF('Données projet'!$A$36&gt;35,N133+M134-V133,IF(A134&lt;'Données projet'!$A$36,$K$205^A134,IF(A134='Données projet'!$A$36,'Données projet'!$B$36,N133+M134-V133)))</f>
        <v>484.0000000000004</v>
      </c>
      <c r="O134" s="14">
        <f>N134*VLOOKUP('Données projet'!$B$9,Paramètres!$A$1:$I$88,3,0)*VLOOKUP('Données projet'!$B$9,Paramètres!$A$1:$I$88,5,0)</f>
        <v>226.51200000000017</v>
      </c>
      <c r="P134" s="14">
        <f t="shared" si="141"/>
        <v>55.527824937247544</v>
      </c>
      <c r="Q134" s="22">
        <f t="shared" si="108"/>
        <v>491.21936176570642</v>
      </c>
      <c r="R134" s="62">
        <f t="shared" si="109"/>
        <v>784.55269509903974</v>
      </c>
      <c r="S134" s="62">
        <f ca="1">AVERAGE(OFFSET($R$3,0,0,'Données projet'!$E$9+1,1))-AVERAGE(OFFSET($H$3,0,0,'Données projet'!$E$9+1,1))</f>
        <v>316.04959780858269</v>
      </c>
      <c r="T134" s="62">
        <f t="shared" si="142"/>
        <v>213.60182977243113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16.55332171743288</v>
      </c>
      <c r="AA134" s="23">
        <f>EXP(-LN(2)/25)*AA133+(1-EXP(-LN(2)/25))/(LN(2)/25)*Calculateur!V134*Calculateur!X134*VLOOKUP('Données projet'!$B$9,Paramètres!$A$1:$I$88,3,0)*0.475*44/12</f>
        <v>3.8655717882126366</v>
      </c>
      <c r="AB134" s="23">
        <f>EXP(-LN(2)/2)*AB133+(1-EXP(-LN(2)/2))/(LN(2)/2)*V134*Y134*VLOOKUP('Données projet'!$B$9,Paramètres!$A$1:$I$88,3,0)*0.475*44/12</f>
        <v>6.8023385007497984E-4</v>
      </c>
      <c r="AC134" s="24">
        <f t="shared" si="111"/>
        <v>20.419573739495593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-7.9580786405131221E-13</v>
      </c>
      <c r="AJ134" s="14">
        <f>AI134*VLOOKUP('Données projet'!$B$10,Paramètres!$A$1:$I$88,3,0)*VLOOKUP('Données projet'!$B$10,Paramètres!$A$1:$I$88,5,0)</f>
        <v>-4.448565960046835E-13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583.31979399672844</v>
      </c>
      <c r="AO134" s="62">
        <f t="shared" si="144"/>
        <v>544.21514138474731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112.26356786693131</v>
      </c>
      <c r="AV134" s="23">
        <f>EXP(-LN(2)/25)*AV133+(1-EXP(-LN(2)/25))/(LN(2)/25)*Calculateur!AQ134*Calculateur!AS134*VLOOKUP('Données projet'!$B$10,Paramètres!$A$1:$I$88,3,0)*0.475*44/12</f>
        <v>16.084538897971548</v>
      </c>
      <c r="AW134" s="23">
        <f>EXP(-LN(2)/2)*AW133+(1-EXP(-LN(2)/2))/(LN(2)/2)*AQ134*AT134*VLOOKUP('Données projet'!$B$10,Paramètres!$A$1:$I$88,3,0)*0.475*44/12</f>
        <v>9.3133455583401391E-7</v>
      </c>
      <c r="AX134" s="23">
        <f t="shared" si="114"/>
        <v>128.34810769623743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projet'!$B$11,Paramètres!$A$1:$I$88,3,0)*VLOOKUP('Données projet'!$B$11,Paramètres!$A$1:$I$88,5,0)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projet'!$B$11,Paramètres!$A$1:$I$88,3,0)*0.475*44/12</f>
        <v>#N/A</v>
      </c>
      <c r="BQ134" s="23" t="e">
        <f>EXP(-LN(2)/25)*BQ133+(1-EXP(-LN(2)/25))/(LN(2)/25)*Calculateur!BL134*Calculateur!BN134*VLOOKUP('Données projet'!$B$11,Paramètres!$A$1:$I$88,3,0)*0.475*44/12</f>
        <v>#N/A</v>
      </c>
      <c r="BR134" s="23" t="e">
        <f>EXP(-LN(2)/2)*BR133+(1-EXP(-LN(2)/2))/(LN(2)/2)*BL134*BO134*VLOOKUP('Données projet'!$B$11,Paramètres!$A$1:$I$88,3,0)*0.475*44/12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projet'!$B$12,Paramètres!$A$1:$I$88,3,0)*0.475*44/12</f>
        <v>#N/A</v>
      </c>
      <c r="CL134" s="23" t="e">
        <f>EXP(-LN(2)/25)*CL133+(1-EXP(-LN(2)/25))/(LN(2)/25)*Calculateur!CG134*Calculateur!CI134*VLOOKUP('Données projet'!$B$12,Paramètres!$A$1:$I$88,3,0)*0.475*44/12</f>
        <v>#N/A</v>
      </c>
      <c r="CM134" s="23" t="e">
        <f>EXP(-LN(2)/2)*CM133+(1-EXP(-LN(2)/2))/(LN(2)/2)*CG134*CJ134*VLOOKUP('Données projet'!$B$12,Paramètres!$A$1:$I$88,3,0)*0.475*44/12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0.66666666666666663</v>
      </c>
      <c r="N135" s="14">
        <f>IF('Données projet'!$A$36&gt;35,N134+M135-V134,IF(A135&lt;'Données projet'!$A$36,$K$205^A135,IF(A135='Données projet'!$A$36,'Données projet'!$B$36,N134+M135-V134)))</f>
        <v>484.66666666666708</v>
      </c>
      <c r="O135" s="14">
        <f>N135*VLOOKUP('Données projet'!$B$9,Paramètres!$A$1:$I$88,3,0)*VLOOKUP('Données projet'!$B$9,Paramètres!$A$1:$I$88,5,0)</f>
        <v>226.82400000000018</v>
      </c>
      <c r="P135" s="14">
        <f t="shared" si="141"/>
        <v>55.59540132136393</v>
      </c>
      <c r="Q135" s="22">
        <f t="shared" si="108"/>
        <v>491.88045730137583</v>
      </c>
      <c r="R135" s="62">
        <f t="shared" si="109"/>
        <v>785.21379063470908</v>
      </c>
      <c r="S135" s="62">
        <f ca="1">AVERAGE(OFFSET($R$3,0,0,'Données projet'!$E$9+1,1))-AVERAGE(OFFSET($H$3,0,0,'Données projet'!$E$9+1,1))</f>
        <v>316.04959780858269</v>
      </c>
      <c r="T135" s="62">
        <f t="shared" si="142"/>
        <v>213.60182977243113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16.228721175083319</v>
      </c>
      <c r="AA135" s="23">
        <f>EXP(-LN(2)/25)*AA134+(1-EXP(-LN(2)/25))/(LN(2)/25)*Calculateur!V135*Calculateur!X135*VLOOKUP('Données projet'!$B$9,Paramètres!$A$1:$I$88,3,0)*0.475*44/12</f>
        <v>3.7598675243823765</v>
      </c>
      <c r="AB135" s="23">
        <f>EXP(-LN(2)/2)*AB134+(1-EXP(-LN(2)/2))/(LN(2)/2)*V135*Y135*VLOOKUP('Données projet'!$B$9,Paramètres!$A$1:$I$88,3,0)*0.475*44/12</f>
        <v>4.8099796818065158E-4</v>
      </c>
      <c r="AC135" s="24">
        <f t="shared" si="111"/>
        <v>19.989069697433877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-7.9580786405131221E-13</v>
      </c>
      <c r="AJ135" s="14">
        <f>AI135*VLOOKUP('Données projet'!$B$10,Paramètres!$A$1:$I$88,3,0)*VLOOKUP('Données projet'!$B$10,Paramètres!$A$1:$I$88,5,0)</f>
        <v>-4.448565960046835E-13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583.31979399672844</v>
      </c>
      <c r="AO135" s="62">
        <f t="shared" si="144"/>
        <v>544.21514138474731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110.06214777507594</v>
      </c>
      <c r="AV135" s="23">
        <f>EXP(-LN(2)/25)*AV134+(1-EXP(-LN(2)/25))/(LN(2)/25)*Calculateur!AQ135*Calculateur!AS135*VLOOKUP('Données projet'!$B$10,Paramètres!$A$1:$I$88,3,0)*0.475*44/12</f>
        <v>15.644706335957377</v>
      </c>
      <c r="AW135" s="23">
        <f>EXP(-LN(2)/2)*AW134+(1-EXP(-LN(2)/2))/(LN(2)/2)*AQ135*AT135*VLOOKUP('Données projet'!$B$10,Paramètres!$A$1:$I$88,3,0)*0.475*44/12</f>
        <v>6.5855297998359259E-7</v>
      </c>
      <c r="AX135" s="23">
        <f t="shared" si="114"/>
        <v>125.7068547695863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projet'!$B$11,Paramètres!$A$1:$I$88,3,0)*VLOOKUP('Données projet'!$B$11,Paramètres!$A$1:$I$88,5,0)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projet'!$B$11,Paramètres!$A$1:$I$88,3,0)*0.475*44/12</f>
        <v>#N/A</v>
      </c>
      <c r="BQ135" s="23" t="e">
        <f>EXP(-LN(2)/25)*BQ134+(1-EXP(-LN(2)/25))/(LN(2)/25)*Calculateur!BL135*Calculateur!BN135*VLOOKUP('Données projet'!$B$11,Paramètres!$A$1:$I$88,3,0)*0.475*44/12</f>
        <v>#N/A</v>
      </c>
      <c r="BR135" s="23" t="e">
        <f>EXP(-LN(2)/2)*BR134+(1-EXP(-LN(2)/2))/(LN(2)/2)*BL135*BO135*VLOOKUP('Données projet'!$B$11,Paramètres!$A$1:$I$88,3,0)*0.475*44/12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projet'!$B$12,Paramètres!$A$1:$I$88,3,0)*0.475*44/12</f>
        <v>#N/A</v>
      </c>
      <c r="CL135" s="23" t="e">
        <f>EXP(-LN(2)/25)*CL134+(1-EXP(-LN(2)/25))/(LN(2)/25)*Calculateur!CG135*Calculateur!CI135*VLOOKUP('Données projet'!$B$12,Paramètres!$A$1:$I$88,3,0)*0.475*44/12</f>
        <v>#N/A</v>
      </c>
      <c r="CM135" s="23" t="e">
        <f>EXP(-LN(2)/2)*CM134+(1-EXP(-LN(2)/2))/(LN(2)/2)*CG135*CJ135*VLOOKUP('Données projet'!$B$12,Paramètres!$A$1:$I$88,3,0)*0.475*44/12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0.66666666666666663</v>
      </c>
      <c r="N136" s="14">
        <f>IF('Données projet'!$A$36&gt;35,N135+M136-V135,IF(A136&lt;'Données projet'!$A$36,$K$205^A136,IF(A136='Données projet'!$A$36,'Données projet'!$B$36,N135+M136-V135)))</f>
        <v>485.33333333333377</v>
      </c>
      <c r="O136" s="14">
        <f>N136*VLOOKUP('Données projet'!$B$9,Paramètres!$A$1:$I$88,3,0)*VLOOKUP('Données projet'!$B$9,Paramètres!$A$1:$I$88,5,0)</f>
        <v>227.13600000000019</v>
      </c>
      <c r="P136" s="14">
        <f t="shared" si="141"/>
        <v>55.662966886685183</v>
      </c>
      <c r="Q136" s="22">
        <f t="shared" si="108"/>
        <v>492.54153399431033</v>
      </c>
      <c r="R136" s="62">
        <f t="shared" si="109"/>
        <v>785.87486732764364</v>
      </c>
      <c r="S136" s="62">
        <f ca="1">AVERAGE(OFFSET($R$3,0,0,'Données projet'!$E$9+1,1))-AVERAGE(OFFSET($H$3,0,0,'Données projet'!$E$9+1,1))</f>
        <v>316.04959780858269</v>
      </c>
      <c r="T136" s="62">
        <f t="shared" si="142"/>
        <v>213.60182977243113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15.910485851382452</v>
      </c>
      <c r="AA136" s="23">
        <f>EXP(-LN(2)/25)*AA135+(1-EXP(-LN(2)/25))/(LN(2)/25)*Calculateur!V136*Calculateur!X136*VLOOKUP('Données projet'!$B$9,Paramètres!$A$1:$I$88,3,0)*0.475*44/12</f>
        <v>3.6570537492053008</v>
      </c>
      <c r="AB136" s="23">
        <f>EXP(-LN(2)/2)*AB135+(1-EXP(-LN(2)/2))/(LN(2)/2)*V136*Y136*VLOOKUP('Données projet'!$B$9,Paramètres!$A$1:$I$88,3,0)*0.475*44/12</f>
        <v>3.4011692503748997E-4</v>
      </c>
      <c r="AC136" s="24">
        <f t="shared" si="111"/>
        <v>19.567879717512792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-7.9580786405131221E-13</v>
      </c>
      <c r="AJ136" s="14">
        <f>AI136*VLOOKUP('Données projet'!$B$10,Paramètres!$A$1:$I$88,3,0)*VLOOKUP('Données projet'!$B$10,Paramètres!$A$1:$I$88,5,0)</f>
        <v>-4.448565960046835E-13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583.31979399672844</v>
      </c>
      <c r="AO136" s="62">
        <f t="shared" si="144"/>
        <v>544.21514138474731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107.90389618848818</v>
      </c>
      <c r="AV136" s="23">
        <f>EXP(-LN(2)/25)*AV135+(1-EXP(-LN(2)/25))/(LN(2)/25)*Calculateur!AQ136*Calculateur!AS136*VLOOKUP('Données projet'!$B$10,Paramètres!$A$1:$I$88,3,0)*0.475*44/12</f>
        <v>15.216901018481273</v>
      </c>
      <c r="AW136" s="23">
        <f>EXP(-LN(2)/2)*AW135+(1-EXP(-LN(2)/2))/(LN(2)/2)*AQ136*AT136*VLOOKUP('Données projet'!$B$10,Paramètres!$A$1:$I$88,3,0)*0.475*44/12</f>
        <v>4.6566727791700706E-7</v>
      </c>
      <c r="AX136" s="23">
        <f t="shared" si="114"/>
        <v>123.12079767263674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projet'!$B$11,Paramètres!$A$1:$I$88,3,0)*VLOOKUP('Données projet'!$B$11,Paramètres!$A$1:$I$88,5,0)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projet'!$B$11,Paramètres!$A$1:$I$88,3,0)*0.475*44/12</f>
        <v>#N/A</v>
      </c>
      <c r="BQ136" s="23" t="e">
        <f>EXP(-LN(2)/25)*BQ135+(1-EXP(-LN(2)/25))/(LN(2)/25)*Calculateur!BL136*Calculateur!BN136*VLOOKUP('Données projet'!$B$11,Paramètres!$A$1:$I$88,3,0)*0.475*44/12</f>
        <v>#N/A</v>
      </c>
      <c r="BR136" s="23" t="e">
        <f>EXP(-LN(2)/2)*BR135+(1-EXP(-LN(2)/2))/(LN(2)/2)*BL136*BO136*VLOOKUP('Données projet'!$B$11,Paramètres!$A$1:$I$88,3,0)*0.475*44/12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projet'!$B$12,Paramètres!$A$1:$I$88,3,0)*0.475*44/12</f>
        <v>#N/A</v>
      </c>
      <c r="CL136" s="23" t="e">
        <f>EXP(-LN(2)/25)*CL135+(1-EXP(-LN(2)/25))/(LN(2)/25)*Calculateur!CG136*Calculateur!CI136*VLOOKUP('Données projet'!$B$12,Paramètres!$A$1:$I$88,3,0)*0.475*44/12</f>
        <v>#N/A</v>
      </c>
      <c r="CM136" s="23" t="e">
        <f>EXP(-LN(2)/2)*CM135+(1-EXP(-LN(2)/2))/(LN(2)/2)*CG136*CJ136*VLOOKUP('Données projet'!$B$12,Paramètres!$A$1:$I$88,3,0)*0.475*44/12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0.66666666666666663</v>
      </c>
      <c r="N137" s="14">
        <f>IF('Données projet'!$A$36&gt;35,N136+M137-V136,IF(A137&lt;'Données projet'!$A$36,$K$205^A137,IF(A137='Données projet'!$A$36,'Données projet'!$B$36,N136+M137-V136)))</f>
        <v>486.00000000000045</v>
      </c>
      <c r="O137" s="14">
        <f>N137*VLOOKUP('Données projet'!$B$9,Paramètres!$A$1:$I$88,3,0)*VLOOKUP('Données projet'!$B$9,Paramètres!$A$1:$I$88,5,0)</f>
        <v>227.44800000000021</v>
      </c>
      <c r="P137" s="14">
        <f t="shared" si="141"/>
        <v>55.730521649800735</v>
      </c>
      <c r="Q137" s="22">
        <f t="shared" si="108"/>
        <v>493.20259187340326</v>
      </c>
      <c r="R137" s="62">
        <f t="shared" si="109"/>
        <v>786.53592520673658</v>
      </c>
      <c r="S137" s="62">
        <f ca="1">AVERAGE(OFFSET($R$3,0,0,'Données projet'!$E$9+1,1))-AVERAGE(OFFSET($H$3,0,0,'Données projet'!$E$9+1,1))</f>
        <v>316.04959780858269</v>
      </c>
      <c r="T137" s="62">
        <f t="shared" si="142"/>
        <v>213.60182977243113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15.598490928274979</v>
      </c>
      <c r="AA137" s="23">
        <f>EXP(-LN(2)/25)*AA136+(1-EXP(-LN(2)/25))/(LN(2)/25)*Calculateur!V137*Calculateur!X137*VLOOKUP('Données projet'!$B$9,Paramètres!$A$1:$I$88,3,0)*0.475*44/12</f>
        <v>3.5570514221171834</v>
      </c>
      <c r="AB137" s="23">
        <f>EXP(-LN(2)/2)*AB136+(1-EXP(-LN(2)/2))/(LN(2)/2)*V137*Y137*VLOOKUP('Données projet'!$B$9,Paramètres!$A$1:$I$88,3,0)*0.475*44/12</f>
        <v>2.4049898409032582E-4</v>
      </c>
      <c r="AC137" s="24">
        <f t="shared" si="111"/>
        <v>19.155782849376251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-7.9580786405131221E-13</v>
      </c>
      <c r="AJ137" s="14">
        <f>AI137*VLOOKUP('Données projet'!$B$10,Paramètres!$A$1:$I$88,3,0)*VLOOKUP('Données projet'!$B$10,Paramètres!$A$1:$I$88,5,0)</f>
        <v>-4.448565960046835E-13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583.31979399672844</v>
      </c>
      <c r="AO137" s="62">
        <f t="shared" si="144"/>
        <v>544.21514138474731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105.78796659910992</v>
      </c>
      <c r="AV137" s="23">
        <f>EXP(-LN(2)/25)*AV136+(1-EXP(-LN(2)/25))/(LN(2)/25)*Calculateur!AQ137*Calculateur!AS137*VLOOKUP('Données projet'!$B$10,Paramètres!$A$1:$I$88,3,0)*0.475*44/12</f>
        <v>14.800794059908856</v>
      </c>
      <c r="AW137" s="23">
        <f>EXP(-LN(2)/2)*AW136+(1-EXP(-LN(2)/2))/(LN(2)/2)*AQ137*AT137*VLOOKUP('Données projet'!$B$10,Paramètres!$A$1:$I$88,3,0)*0.475*44/12</f>
        <v>3.2927648999179635E-7</v>
      </c>
      <c r="AX137" s="23">
        <f t="shared" si="114"/>
        <v>120.58876098829526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projet'!$B$11,Paramètres!$A$1:$I$88,3,0)*VLOOKUP('Données projet'!$B$11,Paramètres!$A$1:$I$88,5,0)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projet'!$B$11,Paramètres!$A$1:$I$88,3,0)*0.475*44/12</f>
        <v>#N/A</v>
      </c>
      <c r="BQ137" s="23" t="e">
        <f>EXP(-LN(2)/25)*BQ136+(1-EXP(-LN(2)/25))/(LN(2)/25)*Calculateur!BL137*Calculateur!BN137*VLOOKUP('Données projet'!$B$11,Paramètres!$A$1:$I$88,3,0)*0.475*44/12</f>
        <v>#N/A</v>
      </c>
      <c r="BR137" s="23" t="e">
        <f>EXP(-LN(2)/2)*BR136+(1-EXP(-LN(2)/2))/(LN(2)/2)*BL137*BO137*VLOOKUP('Données projet'!$B$11,Paramètres!$A$1:$I$88,3,0)*0.475*44/12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projet'!$B$12,Paramètres!$A$1:$I$88,3,0)*0.475*44/12</f>
        <v>#N/A</v>
      </c>
      <c r="CL137" s="23" t="e">
        <f>EXP(-LN(2)/25)*CL136+(1-EXP(-LN(2)/25))/(LN(2)/25)*Calculateur!CG137*Calculateur!CI137*VLOOKUP('Données projet'!$B$12,Paramètres!$A$1:$I$88,3,0)*0.475*44/12</f>
        <v>#N/A</v>
      </c>
      <c r="CM137" s="23" t="e">
        <f>EXP(-LN(2)/2)*CM136+(1-EXP(-LN(2)/2))/(LN(2)/2)*CG137*CJ137*VLOOKUP('Données projet'!$B$12,Paramètres!$A$1:$I$88,3,0)*0.475*44/12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0.66666666666666663</v>
      </c>
      <c r="N138" s="14">
        <f>IF('Données projet'!$A$36&gt;35,N137+M138-V137,IF(A138&lt;'Données projet'!$A$36,$K$205^A138,IF(A138='Données projet'!$A$36,'Données projet'!$B$36,N137+M138-V137)))</f>
        <v>486.66666666666714</v>
      </c>
      <c r="O138" s="14">
        <f>N138*VLOOKUP('Données projet'!$B$9,Paramètres!$A$1:$I$88,3,0)*VLOOKUP('Données projet'!$B$9,Paramètres!$A$1:$I$88,5,0)</f>
        <v>227.76000000000022</v>
      </c>
      <c r="P138" s="14">
        <f t="shared" si="141"/>
        <v>55.798065627252072</v>
      </c>
      <c r="Q138" s="22">
        <f t="shared" si="108"/>
        <v>493.86363096746442</v>
      </c>
      <c r="R138" s="62">
        <f t="shared" si="109"/>
        <v>787.19696430079773</v>
      </c>
      <c r="S138" s="62">
        <f ca="1">AVERAGE(OFFSET($R$3,0,0,'Données projet'!$E$9+1,1))-AVERAGE(OFFSET($H$3,0,0,'Données projet'!$E$9+1,1))</f>
        <v>316.04959780858269</v>
      </c>
      <c r="T138" s="62">
        <f t="shared" si="142"/>
        <v>213.60182977243113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15.29261403531153</v>
      </c>
      <c r="AA138" s="23">
        <f>EXP(-LN(2)/25)*AA137+(1-EXP(-LN(2)/25))/(LN(2)/25)*Calculateur!V138*Calculateur!X138*VLOOKUP('Données projet'!$B$9,Paramètres!$A$1:$I$88,3,0)*0.475*44/12</f>
        <v>3.4597836639221846</v>
      </c>
      <c r="AB138" s="23">
        <f>EXP(-LN(2)/2)*AB137+(1-EXP(-LN(2)/2))/(LN(2)/2)*V138*Y138*VLOOKUP('Données projet'!$B$9,Paramètres!$A$1:$I$88,3,0)*0.475*44/12</f>
        <v>1.7005846251874501E-4</v>
      </c>
      <c r="AC138" s="24">
        <f t="shared" si="111"/>
        <v>18.752567757696234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-7.9580786405131221E-13</v>
      </c>
      <c r="AJ138" s="14">
        <f>AI138*VLOOKUP('Données projet'!$B$10,Paramètres!$A$1:$I$88,3,0)*VLOOKUP('Données projet'!$B$10,Paramètres!$A$1:$I$88,5,0)</f>
        <v>-4.448565960046835E-13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583.31979399672844</v>
      </c>
      <c r="AO138" s="62">
        <f t="shared" si="144"/>
        <v>544.21514138474731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103.71352909838976</v>
      </c>
      <c r="AV138" s="23">
        <f>EXP(-LN(2)/25)*AV137+(1-EXP(-LN(2)/25))/(LN(2)/25)*Calculateur!AQ138*Calculateur!AS138*VLOOKUP('Données projet'!$B$10,Paramètres!$A$1:$I$88,3,0)*0.475*44/12</f>
        <v>14.396065568000717</v>
      </c>
      <c r="AW138" s="23">
        <f>EXP(-LN(2)/2)*AW137+(1-EXP(-LN(2)/2))/(LN(2)/2)*AQ138*AT138*VLOOKUP('Données projet'!$B$10,Paramètres!$A$1:$I$88,3,0)*0.475*44/12</f>
        <v>2.3283363895850356E-7</v>
      </c>
      <c r="AX138" s="23">
        <f t="shared" si="114"/>
        <v>118.10959489922412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projet'!$B$11,Paramètres!$A$1:$I$88,3,0)*VLOOKUP('Données projet'!$B$11,Paramètres!$A$1:$I$88,5,0)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projet'!$B$11,Paramètres!$A$1:$I$88,3,0)*0.475*44/12</f>
        <v>#N/A</v>
      </c>
      <c r="BQ138" s="23" t="e">
        <f>EXP(-LN(2)/25)*BQ137+(1-EXP(-LN(2)/25))/(LN(2)/25)*Calculateur!BL138*Calculateur!BN138*VLOOKUP('Données projet'!$B$11,Paramètres!$A$1:$I$88,3,0)*0.475*44/12</f>
        <v>#N/A</v>
      </c>
      <c r="BR138" s="23" t="e">
        <f>EXP(-LN(2)/2)*BR137+(1-EXP(-LN(2)/2))/(LN(2)/2)*BL138*BO138*VLOOKUP('Données projet'!$B$11,Paramètres!$A$1:$I$88,3,0)*0.475*44/12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projet'!$B$12,Paramètres!$A$1:$I$88,3,0)*0.475*44/12</f>
        <v>#N/A</v>
      </c>
      <c r="CL138" s="23" t="e">
        <f>EXP(-LN(2)/25)*CL137+(1-EXP(-LN(2)/25))/(LN(2)/25)*Calculateur!CG138*Calculateur!CI138*VLOOKUP('Données projet'!$B$12,Paramètres!$A$1:$I$88,3,0)*0.475*44/12</f>
        <v>#N/A</v>
      </c>
      <c r="CM138" s="23" t="e">
        <f>EXP(-LN(2)/2)*CM137+(1-EXP(-LN(2)/2))/(LN(2)/2)*CG138*CJ138*VLOOKUP('Données projet'!$B$12,Paramètres!$A$1:$I$88,3,0)*0.475*44/12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0.66666666666666663</v>
      </c>
      <c r="N139" s="14">
        <f>IF('Données projet'!$A$36&gt;35,N138+M139-V138,IF(A139&lt;'Données projet'!$A$36,$K$205^A139,IF(A139='Données projet'!$A$36,'Données projet'!$B$36,N138+M139-V138)))</f>
        <v>487.33333333333383</v>
      </c>
      <c r="O139" s="14">
        <f>N139*VLOOKUP('Données projet'!$B$9,Paramètres!$A$1:$I$88,3,0)*VLOOKUP('Données projet'!$B$9,Paramètres!$A$1:$I$88,5,0)</f>
        <v>228.07200000000023</v>
      </c>
      <c r="P139" s="14">
        <f t="shared" si="141"/>
        <v>55.86559883553236</v>
      </c>
      <c r="Q139" s="22">
        <f t="shared" si="108"/>
        <v>494.52465130521927</v>
      </c>
      <c r="R139" s="62">
        <f t="shared" si="109"/>
        <v>787.85798463855258</v>
      </c>
      <c r="S139" s="62">
        <f ca="1">AVERAGE(OFFSET($R$3,0,0,'Données projet'!$E$9+1,1))-AVERAGE(OFFSET($H$3,0,0,'Données projet'!$E$9+1,1))</f>
        <v>316.04959780858269</v>
      </c>
      <c r="T139" s="62">
        <f t="shared" si="142"/>
        <v>213.60182977243113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14.992735201652611</v>
      </c>
      <c r="AA139" s="23">
        <f>EXP(-LN(2)/25)*AA138+(1-EXP(-LN(2)/25))/(LN(2)/25)*Calculateur!V139*Calculateur!X139*VLOOKUP('Données projet'!$B$9,Paramètres!$A$1:$I$88,3,0)*0.475*44/12</f>
        <v>3.365175697690117</v>
      </c>
      <c r="AB139" s="23">
        <f>EXP(-LN(2)/2)*AB138+(1-EXP(-LN(2)/2))/(LN(2)/2)*V139*Y139*VLOOKUP('Données projet'!$B$9,Paramètres!$A$1:$I$88,3,0)*0.475*44/12</f>
        <v>1.2024949204516294E-4</v>
      </c>
      <c r="AC139" s="24">
        <f t="shared" si="111"/>
        <v>18.358031148834772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-7.9580786405131221E-13</v>
      </c>
      <c r="AJ139" s="14">
        <f>AI139*VLOOKUP('Données projet'!$B$10,Paramètres!$A$1:$I$88,3,0)*VLOOKUP('Données projet'!$B$10,Paramètres!$A$1:$I$88,5,0)</f>
        <v>-4.448565960046835E-13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583.31979399672844</v>
      </c>
      <c r="AO139" s="62">
        <f t="shared" si="144"/>
        <v>544.21514138474731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101.67977005177677</v>
      </c>
      <c r="AV139" s="23">
        <f>EXP(-LN(2)/25)*AV138+(1-EXP(-LN(2)/25))/(LN(2)/25)*Calculateur!AQ139*Calculateur!AS139*VLOOKUP('Données projet'!$B$10,Paramètres!$A$1:$I$88,3,0)*0.475*44/12</f>
        <v>14.002404397987551</v>
      </c>
      <c r="AW139" s="23">
        <f>EXP(-LN(2)/2)*AW138+(1-EXP(-LN(2)/2))/(LN(2)/2)*AQ139*AT139*VLOOKUP('Données projet'!$B$10,Paramètres!$A$1:$I$88,3,0)*0.475*44/12</f>
        <v>1.646382449958982E-7</v>
      </c>
      <c r="AX139" s="23">
        <f t="shared" si="114"/>
        <v>115.68217461440257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projet'!$B$11,Paramètres!$A$1:$I$88,3,0)*VLOOKUP('Données projet'!$B$11,Paramètres!$A$1:$I$88,5,0)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projet'!$B$11,Paramètres!$A$1:$I$88,3,0)*0.475*44/12</f>
        <v>#N/A</v>
      </c>
      <c r="BQ139" s="23" t="e">
        <f>EXP(-LN(2)/25)*BQ138+(1-EXP(-LN(2)/25))/(LN(2)/25)*Calculateur!BL139*Calculateur!BN139*VLOOKUP('Données projet'!$B$11,Paramètres!$A$1:$I$88,3,0)*0.475*44/12</f>
        <v>#N/A</v>
      </c>
      <c r="BR139" s="23" t="e">
        <f>EXP(-LN(2)/2)*BR138+(1-EXP(-LN(2)/2))/(LN(2)/2)*BL139*BO139*VLOOKUP('Données projet'!$B$11,Paramètres!$A$1:$I$88,3,0)*0.475*44/12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projet'!$B$12,Paramètres!$A$1:$I$88,3,0)*0.475*44/12</f>
        <v>#N/A</v>
      </c>
      <c r="CL139" s="23" t="e">
        <f>EXP(-LN(2)/25)*CL138+(1-EXP(-LN(2)/25))/(LN(2)/25)*Calculateur!CG139*Calculateur!CI139*VLOOKUP('Données projet'!$B$12,Paramètres!$A$1:$I$88,3,0)*0.475*44/12</f>
        <v>#N/A</v>
      </c>
      <c r="CM139" s="23" t="e">
        <f>EXP(-LN(2)/2)*CM138+(1-EXP(-LN(2)/2))/(LN(2)/2)*CG139*CJ139*VLOOKUP('Données projet'!$B$12,Paramètres!$A$1:$I$88,3,0)*0.475*44/12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0.66666666666666663</v>
      </c>
      <c r="N140" s="14">
        <f>IF('Données projet'!$A$36&gt;35,N139+M140-V139,IF(A140&lt;'Données projet'!$A$36,$K$205^A140,IF(A140='Données projet'!$A$36,'Données projet'!$B$36,N139+M140-V139)))</f>
        <v>488.00000000000051</v>
      </c>
      <c r="O140" s="14">
        <f>N140*VLOOKUP('Données projet'!$B$9,Paramètres!$A$1:$I$88,3,0)*VLOOKUP('Données projet'!$B$9,Paramètres!$A$1:$I$88,5,0)</f>
        <v>228.38400000000024</v>
      </c>
      <c r="P140" s="14">
        <f t="shared" si="141"/>
        <v>55.933121291087339</v>
      </c>
      <c r="Q140" s="22">
        <f t="shared" si="108"/>
        <v>495.18565291531087</v>
      </c>
      <c r="R140" s="62">
        <f t="shared" si="109"/>
        <v>788.51898624864418</v>
      </c>
      <c r="S140" s="62">
        <f ca="1">AVERAGE(OFFSET($R$3,0,0,'Données projet'!$E$9+1,1))-AVERAGE(OFFSET($H$3,0,0,'Données projet'!$E$9+1,1))</f>
        <v>316.04959780858269</v>
      </c>
      <c r="T140" s="62">
        <f t="shared" si="142"/>
        <v>213.60182977243113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14.698736809013715</v>
      </c>
      <c r="AA140" s="23">
        <f>EXP(-LN(2)/25)*AA139+(1-EXP(-LN(2)/25))/(LN(2)/25)*Calculateur!V140*Calculateur!X140*VLOOKUP('Données projet'!$B$9,Paramètres!$A$1:$I$88,3,0)*0.475*44/12</f>
        <v>3.273154791269882</v>
      </c>
      <c r="AB140" s="23">
        <f>EXP(-LN(2)/2)*AB139+(1-EXP(-LN(2)/2))/(LN(2)/2)*V140*Y140*VLOOKUP('Données projet'!$B$9,Paramètres!$A$1:$I$88,3,0)*0.475*44/12</f>
        <v>8.5029231259372521E-5</v>
      </c>
      <c r="AC140" s="24">
        <f t="shared" si="111"/>
        <v>17.971976629514856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-7.9580786405131221E-13</v>
      </c>
      <c r="AJ140" s="14">
        <f>AI140*VLOOKUP('Données projet'!$B$10,Paramètres!$A$1:$I$88,3,0)*VLOOKUP('Données projet'!$B$10,Paramètres!$A$1:$I$88,5,0)</f>
        <v>-4.448565960046835E-13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583.31979399672844</v>
      </c>
      <c r="AO140" s="62">
        <f t="shared" si="144"/>
        <v>544.21514138474731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99.685891779597341</v>
      </c>
      <c r="AV140" s="23">
        <f>EXP(-LN(2)/25)*AV139+(1-EXP(-LN(2)/25))/(LN(2)/25)*Calculateur!AQ140*Calculateur!AS140*VLOOKUP('Données projet'!$B$10,Paramètres!$A$1:$I$88,3,0)*0.475*44/12</f>
        <v>13.619507913370137</v>
      </c>
      <c r="AW140" s="23">
        <f>EXP(-LN(2)/2)*AW139+(1-EXP(-LN(2)/2))/(LN(2)/2)*AQ140*AT140*VLOOKUP('Données projet'!$B$10,Paramètres!$A$1:$I$88,3,0)*0.475*44/12</f>
        <v>1.1641681947925181E-7</v>
      </c>
      <c r="AX140" s="23">
        <f t="shared" si="114"/>
        <v>113.3053998093843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projet'!$B$11,Paramètres!$A$1:$I$88,3,0)*VLOOKUP('Données projet'!$B$11,Paramètres!$A$1:$I$88,5,0)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projet'!$B$11,Paramètres!$A$1:$I$88,3,0)*0.475*44/12</f>
        <v>#N/A</v>
      </c>
      <c r="BQ140" s="23" t="e">
        <f>EXP(-LN(2)/25)*BQ139+(1-EXP(-LN(2)/25))/(LN(2)/25)*Calculateur!BL140*Calculateur!BN140*VLOOKUP('Données projet'!$B$11,Paramètres!$A$1:$I$88,3,0)*0.475*44/12</f>
        <v>#N/A</v>
      </c>
      <c r="BR140" s="23" t="e">
        <f>EXP(-LN(2)/2)*BR139+(1-EXP(-LN(2)/2))/(LN(2)/2)*BL140*BO140*VLOOKUP('Données projet'!$B$11,Paramètres!$A$1:$I$88,3,0)*0.475*44/12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projet'!$B$12,Paramètres!$A$1:$I$88,3,0)*0.475*44/12</f>
        <v>#N/A</v>
      </c>
      <c r="CL140" s="23" t="e">
        <f>EXP(-LN(2)/25)*CL139+(1-EXP(-LN(2)/25))/(LN(2)/25)*Calculateur!CG140*Calculateur!CI140*VLOOKUP('Données projet'!$B$12,Paramètres!$A$1:$I$88,3,0)*0.475*44/12</f>
        <v>#N/A</v>
      </c>
      <c r="CM140" s="23" t="e">
        <f>EXP(-LN(2)/2)*CM139+(1-EXP(-LN(2)/2))/(LN(2)/2)*CG140*CJ140*VLOOKUP('Données projet'!$B$12,Paramètres!$A$1:$I$88,3,0)*0.475*44/12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0.66666666666666663</v>
      </c>
      <c r="N141" s="14">
        <f>IF('Données projet'!$A$36&gt;35,N140+M141-V140,IF(A141&lt;'Données projet'!$A$36,$K$205^A141,IF(A141='Données projet'!$A$36,'Données projet'!$B$36,N140+M141-V140)))</f>
        <v>488.6666666666672</v>
      </c>
      <c r="O141" s="14">
        <f>N141*VLOOKUP('Données projet'!$B$9,Paramètres!$A$1:$I$88,3,0)*VLOOKUP('Données projet'!$B$9,Paramètres!$A$1:$I$88,5,0)</f>
        <v>228.69600000000025</v>
      </c>
      <c r="P141" s="14">
        <f t="shared" si="141"/>
        <v>56.000633010315084</v>
      </c>
      <c r="Q141" s="22">
        <f t="shared" si="108"/>
        <v>495.84663582629918</v>
      </c>
      <c r="R141" s="62">
        <f t="shared" si="109"/>
        <v>789.17996915963249</v>
      </c>
      <c r="S141" s="62">
        <f ca="1">AVERAGE(OFFSET($R$3,0,0,'Données projet'!$E$9+1,1))-AVERAGE(OFFSET($H$3,0,0,'Données projet'!$E$9+1,1))</f>
        <v>316.04959780858269</v>
      </c>
      <c r="T141" s="62">
        <f t="shared" si="142"/>
        <v>213.60182977243113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14.410503545533155</v>
      </c>
      <c r="AA141" s="23">
        <f>EXP(-LN(2)/25)*AA140+(1-EXP(-LN(2)/25))/(LN(2)/25)*Calculateur!V141*Calculateur!X141*VLOOKUP('Données projet'!$B$9,Paramètres!$A$1:$I$88,3,0)*0.475*44/12</f>
        <v>3.1836502013748773</v>
      </c>
      <c r="AB141" s="23">
        <f>EXP(-LN(2)/2)*AB140+(1-EXP(-LN(2)/2))/(LN(2)/2)*V141*Y141*VLOOKUP('Données projet'!$B$9,Paramètres!$A$1:$I$88,3,0)*0.475*44/12</f>
        <v>6.0124746022581475E-5</v>
      </c>
      <c r="AC141" s="24">
        <f t="shared" si="111"/>
        <v>17.594213871654052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-7.9580786405131221E-13</v>
      </c>
      <c r="AJ141" s="14">
        <f>AI141*VLOOKUP('Données projet'!$B$10,Paramètres!$A$1:$I$88,3,0)*VLOOKUP('Données projet'!$B$10,Paramètres!$A$1:$I$88,5,0)</f>
        <v>-4.448565960046835E-13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583.31979399672844</v>
      </c>
      <c r="AO141" s="62">
        <f t="shared" si="144"/>
        <v>544.21514138474731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97.731112244189688</v>
      </c>
      <c r="AV141" s="23">
        <f>EXP(-LN(2)/25)*AV140+(1-EXP(-LN(2)/25))/(LN(2)/25)*Calculateur!AQ141*Calculateur!AS141*VLOOKUP('Données projet'!$B$10,Paramètres!$A$1:$I$88,3,0)*0.475*44/12</f>
        <v>13.247081753260238</v>
      </c>
      <c r="AW141" s="23">
        <f>EXP(-LN(2)/2)*AW140+(1-EXP(-LN(2)/2))/(LN(2)/2)*AQ141*AT141*VLOOKUP('Données projet'!$B$10,Paramètres!$A$1:$I$88,3,0)*0.475*44/12</f>
        <v>8.2319122497949113E-8</v>
      </c>
      <c r="AX141" s="23">
        <f t="shared" si="114"/>
        <v>110.97819407976904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projet'!$B$11,Paramètres!$A$1:$I$88,3,0)*VLOOKUP('Données projet'!$B$11,Paramètres!$A$1:$I$88,5,0)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projet'!$B$11,Paramètres!$A$1:$I$88,3,0)*0.475*44/12</f>
        <v>#N/A</v>
      </c>
      <c r="BQ141" s="23" t="e">
        <f>EXP(-LN(2)/25)*BQ140+(1-EXP(-LN(2)/25))/(LN(2)/25)*Calculateur!BL141*Calculateur!BN141*VLOOKUP('Données projet'!$B$11,Paramètres!$A$1:$I$88,3,0)*0.475*44/12</f>
        <v>#N/A</v>
      </c>
      <c r="BR141" s="23" t="e">
        <f>EXP(-LN(2)/2)*BR140+(1-EXP(-LN(2)/2))/(LN(2)/2)*BL141*BO141*VLOOKUP('Données projet'!$B$11,Paramètres!$A$1:$I$88,3,0)*0.475*44/12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projet'!$B$12,Paramètres!$A$1:$I$88,3,0)*0.475*44/12</f>
        <v>#N/A</v>
      </c>
      <c r="CL141" s="23" t="e">
        <f>EXP(-LN(2)/25)*CL140+(1-EXP(-LN(2)/25))/(LN(2)/25)*Calculateur!CG141*Calculateur!CI141*VLOOKUP('Données projet'!$B$12,Paramètres!$A$1:$I$88,3,0)*0.475*44/12</f>
        <v>#N/A</v>
      </c>
      <c r="CM141" s="23" t="e">
        <f>EXP(-LN(2)/2)*CM140+(1-EXP(-LN(2)/2))/(LN(2)/2)*CG141*CJ141*VLOOKUP('Données projet'!$B$12,Paramètres!$A$1:$I$88,3,0)*0.475*44/12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0.66666666666666663</v>
      </c>
      <c r="N142" s="14">
        <f>IF('Données projet'!$A$36&gt;35,N141+M142-V141,IF(A142&lt;'Données projet'!$A$36,$K$205^A142,IF(A142='Données projet'!$A$36,'Données projet'!$B$36,N141+M142-V141)))</f>
        <v>489.33333333333388</v>
      </c>
      <c r="O142" s="14">
        <f>N142*VLOOKUP('Données projet'!$B$9,Paramètres!$A$1:$I$88,3,0)*VLOOKUP('Données projet'!$B$9,Paramètres!$A$1:$I$88,5,0)</f>
        <v>229.00800000000027</v>
      </c>
      <c r="P142" s="14">
        <f t="shared" si="141"/>
        <v>56.068134009566286</v>
      </c>
      <c r="Q142" s="22">
        <f t="shared" si="108"/>
        <v>496.50760006666178</v>
      </c>
      <c r="R142" s="62">
        <f t="shared" si="109"/>
        <v>789.84093339999504</v>
      </c>
      <c r="S142" s="62">
        <f ca="1">AVERAGE(OFFSET($R$3,0,0,'Données projet'!$E$9+1,1))-AVERAGE(OFFSET($H$3,0,0,'Données projet'!$E$9+1,1))</f>
        <v>316.04959780858269</v>
      </c>
      <c r="T142" s="62">
        <f t="shared" si="142"/>
        <v>213.60182977243113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14.127922360544517</v>
      </c>
      <c r="AA142" s="23">
        <f>EXP(-LN(2)/25)*AA141+(1-EXP(-LN(2)/25))/(LN(2)/25)*Calculateur!V142*Calculateur!X142*VLOOKUP('Données projet'!$B$9,Paramètres!$A$1:$I$88,3,0)*0.475*44/12</f>
        <v>3.0965931191973937</v>
      </c>
      <c r="AB142" s="23">
        <f>EXP(-LN(2)/2)*AB141+(1-EXP(-LN(2)/2))/(LN(2)/2)*V142*Y142*VLOOKUP('Données projet'!$B$9,Paramètres!$A$1:$I$88,3,0)*0.475*44/12</f>
        <v>4.2514615629686267E-5</v>
      </c>
      <c r="AC142" s="24">
        <f t="shared" si="111"/>
        <v>17.224557994357539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-7.9580786405131221E-13</v>
      </c>
      <c r="AJ142" s="14">
        <f>AI142*VLOOKUP('Données projet'!$B$10,Paramètres!$A$1:$I$88,3,0)*VLOOKUP('Données projet'!$B$10,Paramètres!$A$1:$I$88,5,0)</f>
        <v>-4.448565960046835E-13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583.31979399672844</v>
      </c>
      <c r="AO142" s="62">
        <f t="shared" si="144"/>
        <v>544.21514138474731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95.814664743173594</v>
      </c>
      <c r="AV142" s="23">
        <f>EXP(-LN(2)/25)*AV141+(1-EXP(-LN(2)/25))/(LN(2)/25)*Calculateur!AQ142*Calculateur!AS142*VLOOKUP('Données projet'!$B$10,Paramètres!$A$1:$I$88,3,0)*0.475*44/12</f>
        <v>12.884839606083585</v>
      </c>
      <c r="AW142" s="23">
        <f>EXP(-LN(2)/2)*AW141+(1-EXP(-LN(2)/2))/(LN(2)/2)*AQ142*AT142*VLOOKUP('Données projet'!$B$10,Paramètres!$A$1:$I$88,3,0)*0.475*44/12</f>
        <v>5.8208409739625909E-8</v>
      </c>
      <c r="AX142" s="23">
        <f t="shared" si="114"/>
        <v>108.6995044074656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projet'!$B$11,Paramètres!$A$1:$I$88,3,0)*VLOOKUP('Données projet'!$B$11,Paramètres!$A$1:$I$88,5,0)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projet'!$B$11,Paramètres!$A$1:$I$88,3,0)*0.475*44/12</f>
        <v>#N/A</v>
      </c>
      <c r="BQ142" s="23" t="e">
        <f>EXP(-LN(2)/25)*BQ141+(1-EXP(-LN(2)/25))/(LN(2)/25)*Calculateur!BL142*Calculateur!BN142*VLOOKUP('Données projet'!$B$11,Paramètres!$A$1:$I$88,3,0)*0.475*44/12</f>
        <v>#N/A</v>
      </c>
      <c r="BR142" s="23" t="e">
        <f>EXP(-LN(2)/2)*BR141+(1-EXP(-LN(2)/2))/(LN(2)/2)*BL142*BO142*VLOOKUP('Données projet'!$B$11,Paramètres!$A$1:$I$88,3,0)*0.475*44/12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projet'!$B$12,Paramètres!$A$1:$I$88,3,0)*0.475*44/12</f>
        <v>#N/A</v>
      </c>
      <c r="CL142" s="23" t="e">
        <f>EXP(-LN(2)/25)*CL141+(1-EXP(-LN(2)/25))/(LN(2)/25)*Calculateur!CG142*Calculateur!CI142*VLOOKUP('Données projet'!$B$12,Paramètres!$A$1:$I$88,3,0)*0.475*44/12</f>
        <v>#N/A</v>
      </c>
      <c r="CM142" s="23" t="e">
        <f>EXP(-LN(2)/2)*CM141+(1-EXP(-LN(2)/2))/(LN(2)/2)*CG142*CJ142*VLOOKUP('Données projet'!$B$12,Paramètres!$A$1:$I$88,3,0)*0.475*44/12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490</v>
      </c>
      <c r="L143" s="13">
        <f>VLOOKUP(A143,'Données projet'!$A$35:$I$55,9,0)</f>
        <v>0.66666666666666663</v>
      </c>
      <c r="M143" s="13">
        <f t="array" ref="M143">INDEX(L:L,MIN(IF(ISNUMBER(L143:L339),ROW(L143:L339),"")))</f>
        <v>0.66666666666666663</v>
      </c>
      <c r="N143" s="14">
        <f>IF('Données projet'!$A$36&gt;35,N142+M143-V142,IF(A143&lt;'Données projet'!$A$36,$K$205^A143,IF(A143='Données projet'!$A$36,'Données projet'!$B$36,N142+M143-V142)))</f>
        <v>490.00000000000057</v>
      </c>
      <c r="O143" s="14">
        <f>N143*VLOOKUP('Données projet'!$B$9,Paramètres!$A$1:$I$88,3,0)*VLOOKUP('Données projet'!$B$9,Paramètres!$A$1:$I$88,5,0)</f>
        <v>229.32000000000028</v>
      </c>
      <c r="P143" s="14">
        <f t="shared" si="141"/>
        <v>56.135624305144624</v>
      </c>
      <c r="Q143" s="22">
        <f t="shared" si="108"/>
        <v>497.16854566479401</v>
      </c>
      <c r="R143" s="62">
        <f t="shared" si="109"/>
        <v>790.50187899812727</v>
      </c>
      <c r="S143" s="62">
        <f ca="1">AVERAGE(OFFSET($R$3,0,0,'Données projet'!$E$9+1,1))-AVERAGE(OFFSET($H$3,0,0,'Données projet'!$E$9+1,1))</f>
        <v>316.04959780858269</v>
      </c>
      <c r="T143" s="62">
        <f t="shared" si="142"/>
        <v>213.60182977243113</v>
      </c>
      <c r="U143" s="16">
        <f>IF(ISNA(VLOOKUP(A143,'Données projet'!$A$35:$I$55,3,0)),0,VLOOKUP(A143,'Données projet'!$A$35:$I$55,3,0))</f>
        <v>10</v>
      </c>
      <c r="V143" s="16">
        <f>IF(ISNA(VLOOKUP(A143,'Données projet'!$A$35:$I$55,4,0)),0,VLOOKUP(A143,'Données projet'!$A$35:$I$55,4,0))</f>
        <v>490</v>
      </c>
      <c r="W143" s="17">
        <f>IF(ISNA(VLOOKUP(A143,'Données projet'!$A$35:$I$55,5,0)),0%,VLOOKUP(A143,'Données projet'!$A$35:$I$55,5,0)*VLOOKUP('Données projet'!$B$9,Paramètres!$A$1:$I$88,7,0))</f>
        <v>0.44000000000000006</v>
      </c>
      <c r="X143" s="17">
        <f>IF(ISNA(VLOOKUP(A143,'Données projet'!$A$35:$I$55,6,0)),0%,VLOOKUP(A143,'Données projet'!$A$35:$I$55,6,0)*VLOOKUP('Données projet'!$B$9,Paramètres!$A$1:$I$88,7,0))</f>
        <v>6.0500000000000005E-2</v>
      </c>
      <c r="Y143" s="17">
        <f>IF(ISNA(VLOOKUP(A143,'Données projet'!$A$35:$I$55,7,0)),0%,VLOOKUP(A143,'Données projet'!$A$35:$I$55,7,0))</f>
        <v>0.09</v>
      </c>
      <c r="Z143" s="23">
        <f>EXP(-LN(2)/35)*Z142+(1-EXP(-LN(2)/35))/(LN(2)/35)*V143*W143*VLOOKUP('Données projet'!$B$9,Paramètres!$A$1:$I$88,3,0)*0.475*44/12</f>
        <v>147.70229722564997</v>
      </c>
      <c r="AA143" s="23">
        <f>EXP(-LN(2)/25)*AA142+(1-EXP(-LN(2)/25))/(LN(2)/25)*Calculateur!V143*Calculateur!X143*VLOOKUP('Données projet'!$B$9,Paramètres!$A$1:$I$88,3,0)*0.475*44/12</f>
        <v>21.344020350301598</v>
      </c>
      <c r="AB143" s="23">
        <f>EXP(-LN(2)/2)*AB142+(1-EXP(-LN(2)/2))/(LN(2)/2)*V143*Y143*VLOOKUP('Données projet'!$B$9,Paramètres!$A$1:$I$88,3,0)*0.475*44/12</f>
        <v>23.367946004562235</v>
      </c>
      <c r="AC143" s="24">
        <f t="shared" si="111"/>
        <v>192.41426358051382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-7.9580786405131221E-13</v>
      </c>
      <c r="AJ143" s="14">
        <f>AI143*VLOOKUP('Données projet'!$B$10,Paramètres!$A$1:$I$88,3,0)*VLOOKUP('Données projet'!$B$10,Paramètres!$A$1:$I$88,5,0)</f>
        <v>-4.448565960046835E-13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583.31979399672844</v>
      </c>
      <c r="AO143" s="62">
        <f t="shared" si="144"/>
        <v>544.21514138474731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93.935797608734873</v>
      </c>
      <c r="AV143" s="23">
        <f>EXP(-LN(2)/25)*AV142+(1-EXP(-LN(2)/25))/(LN(2)/25)*Calculateur!AQ143*Calculateur!AS143*VLOOKUP('Données projet'!$B$10,Paramètres!$A$1:$I$88,3,0)*0.475*44/12</f>
        <v>12.532502989470963</v>
      </c>
      <c r="AW143" s="23">
        <f>EXP(-LN(2)/2)*AW142+(1-EXP(-LN(2)/2))/(LN(2)/2)*AQ143*AT143*VLOOKUP('Données projet'!$B$10,Paramètres!$A$1:$I$88,3,0)*0.475*44/12</f>
        <v>4.1159561248974563E-8</v>
      </c>
      <c r="AX143" s="23">
        <f t="shared" si="114"/>
        <v>106.46830063936541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projet'!$B$11,Paramètres!$A$1:$I$88,3,0)*VLOOKUP('Données projet'!$B$11,Paramètres!$A$1:$I$88,5,0)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projet'!$B$11,Paramètres!$A$1:$I$88,3,0)*0.475*44/12</f>
        <v>#N/A</v>
      </c>
      <c r="BQ143" s="23" t="e">
        <f>EXP(-LN(2)/25)*BQ142+(1-EXP(-LN(2)/25))/(LN(2)/25)*Calculateur!BL143*Calculateur!BN143*VLOOKUP('Données projet'!$B$11,Paramètres!$A$1:$I$88,3,0)*0.475*44/12</f>
        <v>#N/A</v>
      </c>
      <c r="BR143" s="23" t="e">
        <f>EXP(-LN(2)/2)*BR142+(1-EXP(-LN(2)/2))/(LN(2)/2)*BL143*BO143*VLOOKUP('Données projet'!$B$11,Paramètres!$A$1:$I$88,3,0)*0.475*44/12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projet'!$B$12,Paramètres!$A$1:$I$88,3,0)*0.475*44/12</f>
        <v>#N/A</v>
      </c>
      <c r="CL143" s="23" t="e">
        <f>EXP(-LN(2)/25)*CL142+(1-EXP(-LN(2)/25))/(LN(2)/25)*Calculateur!CG143*Calculateur!CI143*VLOOKUP('Données projet'!$B$12,Paramètres!$A$1:$I$88,3,0)*0.475*44/12</f>
        <v>#N/A</v>
      </c>
      <c r="CM143" s="23" t="e">
        <f>EXP(-LN(2)/2)*CM142+(1-EXP(-LN(2)/2))/(LN(2)/2)*CG143*CJ143*VLOOKUP('Données projet'!$B$12,Paramètres!$A$1:$I$88,3,0)*0.475*44/12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5.6843418860808015E-13</v>
      </c>
      <c r="O144" s="14">
        <f>N144*VLOOKUP('Données projet'!$B$9,Paramètres!$A$1:$I$88,3,0)*VLOOKUP('Données projet'!$B$9,Paramètres!$A$1:$I$88,5,0)</f>
        <v>2.6602720026858149E-13</v>
      </c>
      <c r="P144" s="14">
        <f t="shared" si="141"/>
        <v>3.5662905043956649E-12</v>
      </c>
      <c r="Q144" s="22">
        <f t="shared" si="108"/>
        <v>6.6746200022902298E-12</v>
      </c>
      <c r="R144" s="62">
        <f t="shared" si="109"/>
        <v>293.33333333333997</v>
      </c>
      <c r="S144" s="62">
        <f ca="1">AVERAGE(OFFSET($R$3,0,0,'Données projet'!$E$9+1,1))-AVERAGE(OFFSET($H$3,0,0,'Données projet'!$E$9+1,1))</f>
        <v>316.04959780858269</v>
      </c>
      <c r="T144" s="62">
        <f t="shared" si="142"/>
        <v>213.60182977243113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144.80594526656068</v>
      </c>
      <c r="AA144" s="23">
        <f>EXP(-LN(2)/25)*AA143+(1-EXP(-LN(2)/25))/(LN(2)/25)*Calculateur!V144*Calculateur!X144*VLOOKUP('Données projet'!$B$9,Paramètres!$A$1:$I$88,3,0)*0.475*44/12</f>
        <v>20.760366991389354</v>
      </c>
      <c r="AB144" s="23">
        <f>EXP(-LN(2)/2)*AB143+(1-EXP(-LN(2)/2))/(LN(2)/2)*V144*Y144*VLOOKUP('Données projet'!$B$9,Paramètres!$A$1:$I$88,3,0)*0.475*44/12</f>
        <v>16.523633082227047</v>
      </c>
      <c r="AC144" s="24">
        <f t="shared" si="111"/>
        <v>182.08994534017708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-7.9580786405131221E-13</v>
      </c>
      <c r="AJ144" s="14">
        <f>AI144*VLOOKUP('Données projet'!$B$10,Paramètres!$A$1:$I$88,3,0)*VLOOKUP('Données projet'!$B$10,Paramètres!$A$1:$I$88,5,0)</f>
        <v>-4.448565960046835E-13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583.31979399672844</v>
      </c>
      <c r="AO144" s="62">
        <f t="shared" si="144"/>
        <v>544.21514138474731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92.093773912806697</v>
      </c>
      <c r="AV144" s="23">
        <f>EXP(-LN(2)/25)*AV143+(1-EXP(-LN(2)/25))/(LN(2)/25)*Calculateur!AQ144*Calculateur!AS144*VLOOKUP('Données projet'!$B$10,Paramètres!$A$1:$I$88,3,0)*0.475*44/12</f>
        <v>12.189801036168191</v>
      </c>
      <c r="AW144" s="23">
        <f>EXP(-LN(2)/2)*AW143+(1-EXP(-LN(2)/2))/(LN(2)/2)*AQ144*AT144*VLOOKUP('Données projet'!$B$10,Paramètres!$A$1:$I$88,3,0)*0.475*44/12</f>
        <v>2.9104204869812958E-8</v>
      </c>
      <c r="AX144" s="23">
        <f t="shared" si="114"/>
        <v>104.28357497807909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projet'!$B$11,Paramètres!$A$1:$I$88,3,0)*VLOOKUP('Données projet'!$B$11,Paramètres!$A$1:$I$88,5,0)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projet'!$B$11,Paramètres!$A$1:$I$88,3,0)*0.475*44/12</f>
        <v>#N/A</v>
      </c>
      <c r="BQ144" s="23" t="e">
        <f>EXP(-LN(2)/25)*BQ143+(1-EXP(-LN(2)/25))/(LN(2)/25)*Calculateur!BL144*Calculateur!BN144*VLOOKUP('Données projet'!$B$11,Paramètres!$A$1:$I$88,3,0)*0.475*44/12</f>
        <v>#N/A</v>
      </c>
      <c r="BR144" s="23" t="e">
        <f>EXP(-LN(2)/2)*BR143+(1-EXP(-LN(2)/2))/(LN(2)/2)*BL144*BO144*VLOOKUP('Données projet'!$B$11,Paramètres!$A$1:$I$88,3,0)*0.475*44/12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projet'!$B$12,Paramètres!$A$1:$I$88,3,0)*0.475*44/12</f>
        <v>#N/A</v>
      </c>
      <c r="CL144" s="23" t="e">
        <f>EXP(-LN(2)/25)*CL143+(1-EXP(-LN(2)/25))/(LN(2)/25)*Calculateur!CG144*Calculateur!CI144*VLOOKUP('Données projet'!$B$12,Paramètres!$A$1:$I$88,3,0)*0.475*44/12</f>
        <v>#N/A</v>
      </c>
      <c r="CM144" s="23" t="e">
        <f>EXP(-LN(2)/2)*CM143+(1-EXP(-LN(2)/2))/(LN(2)/2)*CG144*CJ144*VLOOKUP('Données projet'!$B$12,Paramètres!$A$1:$I$88,3,0)*0.475*44/12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5.6843418860808015E-13</v>
      </c>
      <c r="O145" s="14">
        <f>N145*VLOOKUP('Données projet'!$B$9,Paramètres!$A$1:$I$88,3,0)*VLOOKUP('Données projet'!$B$9,Paramètres!$A$1:$I$88,5,0)</f>
        <v>2.6602720026858149E-13</v>
      </c>
      <c r="P145" s="14">
        <f t="shared" si="141"/>
        <v>3.5662905043956649E-12</v>
      </c>
      <c r="Q145" s="22">
        <f t="shared" si="108"/>
        <v>6.6746200022902298E-12</v>
      </c>
      <c r="R145" s="62">
        <f t="shared" si="109"/>
        <v>293.33333333333997</v>
      </c>
      <c r="S145" s="62">
        <f ca="1">AVERAGE(OFFSET($R$3,0,0,'Données projet'!$E$9+1,1))-AVERAGE(OFFSET($H$3,0,0,'Données projet'!$E$9+1,1))</f>
        <v>316.04959780858269</v>
      </c>
      <c r="T145" s="62">
        <f t="shared" si="142"/>
        <v>213.60182977243113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141.96638900278887</v>
      </c>
      <c r="AA145" s="23">
        <f>EXP(-LN(2)/25)*AA144+(1-EXP(-LN(2)/25))/(LN(2)/25)*Calculateur!V145*Calculateur!X145*VLOOKUP('Données projet'!$B$9,Paramètres!$A$1:$I$88,3,0)*0.475*44/12</f>
        <v>20.192673664269559</v>
      </c>
      <c r="AB145" s="23">
        <f>EXP(-LN(2)/2)*AB144+(1-EXP(-LN(2)/2))/(LN(2)/2)*V145*Y145*VLOOKUP('Données projet'!$B$9,Paramètres!$A$1:$I$88,3,0)*0.475*44/12</f>
        <v>11.683973002281119</v>
      </c>
      <c r="AC145" s="24">
        <f t="shared" si="111"/>
        <v>173.84303566933954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-7.9580786405131221E-13</v>
      </c>
      <c r="AJ145" s="14">
        <f>AI145*VLOOKUP('Données projet'!$B$10,Paramètres!$A$1:$I$88,3,0)*VLOOKUP('Données projet'!$B$10,Paramètres!$A$1:$I$88,5,0)</f>
        <v>-4.448565960046835E-13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583.31979399672844</v>
      </c>
      <c r="AO145" s="62">
        <f t="shared" si="144"/>
        <v>544.21514138474731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90.287871178032148</v>
      </c>
      <c r="AV145" s="23">
        <f>EXP(-LN(2)/25)*AV144+(1-EXP(-LN(2)/25))/(LN(2)/25)*Calculateur!AQ145*Calculateur!AS145*VLOOKUP('Données projet'!$B$10,Paramètres!$A$1:$I$88,3,0)*0.475*44/12</f>
        <v>11.856470285800397</v>
      </c>
      <c r="AW145" s="23">
        <f>EXP(-LN(2)/2)*AW144+(1-EXP(-LN(2)/2))/(LN(2)/2)*AQ145*AT145*VLOOKUP('Données projet'!$B$10,Paramètres!$A$1:$I$88,3,0)*0.475*44/12</f>
        <v>2.0579780624487285E-8</v>
      </c>
      <c r="AX145" s="23">
        <f t="shared" si="114"/>
        <v>102.14434148441232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projet'!$B$11,Paramètres!$A$1:$I$88,3,0)*VLOOKUP('Données projet'!$B$11,Paramètres!$A$1:$I$88,5,0)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projet'!$B$11,Paramètres!$A$1:$I$88,3,0)*0.475*44/12</f>
        <v>#N/A</v>
      </c>
      <c r="BQ145" s="23" t="e">
        <f>EXP(-LN(2)/25)*BQ144+(1-EXP(-LN(2)/25))/(LN(2)/25)*Calculateur!BL145*Calculateur!BN145*VLOOKUP('Données projet'!$B$11,Paramètres!$A$1:$I$88,3,0)*0.475*44/12</f>
        <v>#N/A</v>
      </c>
      <c r="BR145" s="23" t="e">
        <f>EXP(-LN(2)/2)*BR144+(1-EXP(-LN(2)/2))/(LN(2)/2)*BL145*BO145*VLOOKUP('Données projet'!$B$11,Paramètres!$A$1:$I$88,3,0)*0.475*44/12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projet'!$B$12,Paramètres!$A$1:$I$88,3,0)*0.475*44/12</f>
        <v>#N/A</v>
      </c>
      <c r="CL145" s="23" t="e">
        <f>EXP(-LN(2)/25)*CL144+(1-EXP(-LN(2)/25))/(LN(2)/25)*Calculateur!CG145*Calculateur!CI145*VLOOKUP('Données projet'!$B$12,Paramètres!$A$1:$I$88,3,0)*0.475*44/12</f>
        <v>#N/A</v>
      </c>
      <c r="CM145" s="23" t="e">
        <f>EXP(-LN(2)/2)*CM144+(1-EXP(-LN(2)/2))/(LN(2)/2)*CG145*CJ145*VLOOKUP('Données projet'!$B$12,Paramètres!$A$1:$I$88,3,0)*0.475*44/12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5.6843418860808015E-13</v>
      </c>
      <c r="O146" s="14">
        <f>N146*VLOOKUP('Données projet'!$B$9,Paramètres!$A$1:$I$88,3,0)*VLOOKUP('Données projet'!$B$9,Paramètres!$A$1:$I$88,5,0)</f>
        <v>2.6602720026858149E-13</v>
      </c>
      <c r="P146" s="14">
        <f t="shared" si="141"/>
        <v>3.5662905043956649E-12</v>
      </c>
      <c r="Q146" s="22">
        <f t="shared" si="108"/>
        <v>6.6746200022902298E-12</v>
      </c>
      <c r="R146" s="62">
        <f t="shared" si="109"/>
        <v>293.33333333333997</v>
      </c>
      <c r="S146" s="62">
        <f ca="1">AVERAGE(OFFSET($R$3,0,0,'Données projet'!$E$9+1,1))-AVERAGE(OFFSET($H$3,0,0,'Données projet'!$E$9+1,1))</f>
        <v>316.04959780858269</v>
      </c>
      <c r="T146" s="62">
        <f t="shared" si="142"/>
        <v>213.60182977243113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139.18251470539133</v>
      </c>
      <c r="AA146" s="23">
        <f>EXP(-LN(2)/25)*AA145+(1-EXP(-LN(2)/25))/(LN(2)/25)*Calculateur!V146*Calculateur!X146*VLOOKUP('Données projet'!$B$9,Paramètres!$A$1:$I$88,3,0)*0.475*44/12</f>
        <v>19.64050394103355</v>
      </c>
      <c r="AB146" s="23">
        <f>EXP(-LN(2)/2)*AB145+(1-EXP(-LN(2)/2))/(LN(2)/2)*V146*Y146*VLOOKUP('Données projet'!$B$9,Paramètres!$A$1:$I$88,3,0)*0.475*44/12</f>
        <v>8.2618165411135251</v>
      </c>
      <c r="AC146" s="24">
        <f t="shared" si="111"/>
        <v>167.0848351875384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-7.9580786405131221E-13</v>
      </c>
      <c r="AJ146" s="14">
        <f>AI146*VLOOKUP('Données projet'!$B$10,Paramètres!$A$1:$I$88,3,0)*VLOOKUP('Données projet'!$B$10,Paramètres!$A$1:$I$88,5,0)</f>
        <v>-4.448565960046835E-13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583.31979399672844</v>
      </c>
      <c r="AO146" s="62">
        <f t="shared" si="144"/>
        <v>544.21514138474731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88.517381094394622</v>
      </c>
      <c r="AV146" s="23">
        <f>EXP(-LN(2)/25)*AV145+(1-EXP(-LN(2)/25))/(LN(2)/25)*Calculateur!AQ146*Calculateur!AS146*VLOOKUP('Données projet'!$B$10,Paramètres!$A$1:$I$88,3,0)*0.475*44/12</f>
        <v>11.532254482330512</v>
      </c>
      <c r="AW146" s="23">
        <f>EXP(-LN(2)/2)*AW145+(1-EXP(-LN(2)/2))/(LN(2)/2)*AQ146*AT146*VLOOKUP('Données projet'!$B$10,Paramètres!$A$1:$I$88,3,0)*0.475*44/12</f>
        <v>1.4552102434906482E-8</v>
      </c>
      <c r="AX146" s="23">
        <f t="shared" si="114"/>
        <v>100.04963559127724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projet'!$B$11,Paramètres!$A$1:$I$88,3,0)*VLOOKUP('Données projet'!$B$11,Paramètres!$A$1:$I$88,5,0)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projet'!$B$11,Paramètres!$A$1:$I$88,3,0)*0.475*44/12</f>
        <v>#N/A</v>
      </c>
      <c r="BQ146" s="23" t="e">
        <f>EXP(-LN(2)/25)*BQ145+(1-EXP(-LN(2)/25))/(LN(2)/25)*Calculateur!BL146*Calculateur!BN146*VLOOKUP('Données projet'!$B$11,Paramètres!$A$1:$I$88,3,0)*0.475*44/12</f>
        <v>#N/A</v>
      </c>
      <c r="BR146" s="23" t="e">
        <f>EXP(-LN(2)/2)*BR145+(1-EXP(-LN(2)/2))/(LN(2)/2)*BL146*BO146*VLOOKUP('Données projet'!$B$11,Paramètres!$A$1:$I$88,3,0)*0.475*44/12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projet'!$B$12,Paramètres!$A$1:$I$88,3,0)*0.475*44/12</f>
        <v>#N/A</v>
      </c>
      <c r="CL146" s="23" t="e">
        <f>EXP(-LN(2)/25)*CL145+(1-EXP(-LN(2)/25))/(LN(2)/25)*Calculateur!CG146*Calculateur!CI146*VLOOKUP('Données projet'!$B$12,Paramètres!$A$1:$I$88,3,0)*0.475*44/12</f>
        <v>#N/A</v>
      </c>
      <c r="CM146" s="23" t="e">
        <f>EXP(-LN(2)/2)*CM145+(1-EXP(-LN(2)/2))/(LN(2)/2)*CG146*CJ146*VLOOKUP('Données projet'!$B$12,Paramètres!$A$1:$I$88,3,0)*0.475*44/12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5.6843418860808015E-13</v>
      </c>
      <c r="O147" s="14">
        <f>N147*VLOOKUP('Données projet'!$B$9,Paramètres!$A$1:$I$88,3,0)*VLOOKUP('Données projet'!$B$9,Paramètres!$A$1:$I$88,5,0)</f>
        <v>2.6602720026858149E-13</v>
      </c>
      <c r="P147" s="14">
        <f t="shared" si="141"/>
        <v>3.5662905043956649E-12</v>
      </c>
      <c r="Q147" s="22">
        <f t="shared" si="108"/>
        <v>6.6746200022902298E-12</v>
      </c>
      <c r="R147" s="62">
        <f t="shared" si="109"/>
        <v>293.33333333333997</v>
      </c>
      <c r="S147" s="62">
        <f ca="1">AVERAGE(OFFSET($R$3,0,0,'Données projet'!$E$9+1,1))-AVERAGE(OFFSET($H$3,0,0,'Données projet'!$E$9+1,1))</f>
        <v>316.04959780858269</v>
      </c>
      <c r="T147" s="62">
        <f t="shared" si="142"/>
        <v>213.60182977243113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136.45323048497008</v>
      </c>
      <c r="AA147" s="23">
        <f>EXP(-LN(2)/25)*AA146+(1-EXP(-LN(2)/25))/(LN(2)/25)*Calculateur!V147*Calculateur!X147*VLOOKUP('Données projet'!$B$9,Paramètres!$A$1:$I$88,3,0)*0.475*44/12</f>
        <v>19.103433327916775</v>
      </c>
      <c r="AB147" s="23">
        <f>EXP(-LN(2)/2)*AB146+(1-EXP(-LN(2)/2))/(LN(2)/2)*V147*Y147*VLOOKUP('Données projet'!$B$9,Paramètres!$A$1:$I$88,3,0)*0.475*44/12</f>
        <v>5.8419865011405605</v>
      </c>
      <c r="AC147" s="24">
        <f t="shared" si="111"/>
        <v>161.39865031402741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-7.9580786405131221E-13</v>
      </c>
      <c r="AJ147" s="14">
        <f>AI147*VLOOKUP('Données projet'!$B$10,Paramètres!$A$1:$I$88,3,0)*VLOOKUP('Données projet'!$B$10,Paramètres!$A$1:$I$88,5,0)</f>
        <v>-4.448565960046835E-13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583.31979399672844</v>
      </c>
      <c r="AO147" s="62">
        <f t="shared" si="144"/>
        <v>544.21514138474731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86.781609241404908</v>
      </c>
      <c r="AV147" s="23">
        <f>EXP(-LN(2)/25)*AV146+(1-EXP(-LN(2)/25))/(LN(2)/25)*Calculateur!AQ147*Calculateur!AS147*VLOOKUP('Données projet'!$B$10,Paramètres!$A$1:$I$88,3,0)*0.475*44/12</f>
        <v>11.216904377056277</v>
      </c>
      <c r="AW147" s="23">
        <f>EXP(-LN(2)/2)*AW146+(1-EXP(-LN(2)/2))/(LN(2)/2)*AQ147*AT147*VLOOKUP('Données projet'!$B$10,Paramètres!$A$1:$I$88,3,0)*0.475*44/12</f>
        <v>1.0289890312243644E-8</v>
      </c>
      <c r="AX147" s="23">
        <f t="shared" si="114"/>
        <v>97.998513628751084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projet'!$B$11,Paramètres!$A$1:$I$88,3,0)*VLOOKUP('Données projet'!$B$11,Paramètres!$A$1:$I$88,5,0)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projet'!$B$11,Paramètres!$A$1:$I$88,3,0)*0.475*44/12</f>
        <v>#N/A</v>
      </c>
      <c r="BQ147" s="23" t="e">
        <f>EXP(-LN(2)/25)*BQ146+(1-EXP(-LN(2)/25))/(LN(2)/25)*Calculateur!BL147*Calculateur!BN147*VLOOKUP('Données projet'!$B$11,Paramètres!$A$1:$I$88,3,0)*0.475*44/12</f>
        <v>#N/A</v>
      </c>
      <c r="BR147" s="23" t="e">
        <f>EXP(-LN(2)/2)*BR146+(1-EXP(-LN(2)/2))/(LN(2)/2)*BL147*BO147*VLOOKUP('Données projet'!$B$11,Paramètres!$A$1:$I$88,3,0)*0.475*44/12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projet'!$B$12,Paramètres!$A$1:$I$88,3,0)*0.475*44/12</f>
        <v>#N/A</v>
      </c>
      <c r="CL147" s="23" t="e">
        <f>EXP(-LN(2)/25)*CL146+(1-EXP(-LN(2)/25))/(LN(2)/25)*Calculateur!CG147*Calculateur!CI147*VLOOKUP('Données projet'!$B$12,Paramètres!$A$1:$I$88,3,0)*0.475*44/12</f>
        <v>#N/A</v>
      </c>
      <c r="CM147" s="23" t="e">
        <f>EXP(-LN(2)/2)*CM146+(1-EXP(-LN(2)/2))/(LN(2)/2)*CG147*CJ147*VLOOKUP('Données projet'!$B$12,Paramètres!$A$1:$I$88,3,0)*0.475*44/12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5.6843418860808015E-13</v>
      </c>
      <c r="O148" s="14">
        <f>N148*VLOOKUP('Données projet'!$B$9,Paramètres!$A$1:$I$88,3,0)*VLOOKUP('Données projet'!$B$9,Paramètres!$A$1:$I$88,5,0)</f>
        <v>2.6602720026858149E-13</v>
      </c>
      <c r="P148" s="14">
        <f t="shared" si="141"/>
        <v>3.5662905043956649E-12</v>
      </c>
      <c r="Q148" s="22">
        <f t="shared" si="108"/>
        <v>6.6746200022902298E-12</v>
      </c>
      <c r="R148" s="62">
        <f t="shared" si="109"/>
        <v>293.33333333333997</v>
      </c>
      <c r="S148" s="62">
        <f ca="1">AVERAGE(OFFSET($R$3,0,0,'Données projet'!$E$9+1,1))-AVERAGE(OFFSET($H$3,0,0,'Données projet'!$E$9+1,1))</f>
        <v>316.04959780858269</v>
      </c>
      <c r="T148" s="62">
        <f t="shared" si="142"/>
        <v>213.60182977243113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133.77746586341232</v>
      </c>
      <c r="AA148" s="23">
        <f>EXP(-LN(2)/25)*AA147+(1-EXP(-LN(2)/25))/(LN(2)/25)*Calculateur!V148*Calculateur!X148*VLOOKUP('Données projet'!$B$9,Paramètres!$A$1:$I$88,3,0)*0.475*44/12</f>
        <v>18.581048938958993</v>
      </c>
      <c r="AB148" s="23">
        <f>EXP(-LN(2)/2)*AB147+(1-EXP(-LN(2)/2))/(LN(2)/2)*V148*Y148*VLOOKUP('Données projet'!$B$9,Paramètres!$A$1:$I$88,3,0)*0.475*44/12</f>
        <v>4.1309082705567626</v>
      </c>
      <c r="AC148" s="24">
        <f t="shared" si="111"/>
        <v>156.48942307292808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-7.9580786405131221E-13</v>
      </c>
      <c r="AJ148" s="14">
        <f>AI148*VLOOKUP('Données projet'!$B$10,Paramètres!$A$1:$I$88,3,0)*VLOOKUP('Données projet'!$B$10,Paramètres!$A$1:$I$88,5,0)</f>
        <v>-4.448565960046835E-13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583.31979399672844</v>
      </c>
      <c r="AO148" s="62">
        <f t="shared" si="144"/>
        <v>544.21514138474731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85.079874815736034</v>
      </c>
      <c r="AV148" s="23">
        <f>EXP(-LN(2)/25)*AV147+(1-EXP(-LN(2)/25))/(LN(2)/25)*Calculateur!AQ148*Calculateur!AS148*VLOOKUP('Données projet'!$B$10,Paramètres!$A$1:$I$88,3,0)*0.475*44/12</f>
        <v>10.910177536994309</v>
      </c>
      <c r="AW148" s="23">
        <f>EXP(-LN(2)/2)*AW147+(1-EXP(-LN(2)/2))/(LN(2)/2)*AQ148*AT148*VLOOKUP('Données projet'!$B$10,Paramètres!$A$1:$I$88,3,0)*0.475*44/12</f>
        <v>7.276051217453242E-9</v>
      </c>
      <c r="AX148" s="23">
        <f t="shared" si="114"/>
        <v>95.990052360006402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projet'!$B$11,Paramètres!$A$1:$I$88,3,0)*VLOOKUP('Données projet'!$B$11,Paramètres!$A$1:$I$88,5,0)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projet'!$B$11,Paramètres!$A$1:$I$88,3,0)*0.475*44/12</f>
        <v>#N/A</v>
      </c>
      <c r="BQ148" s="23" t="e">
        <f>EXP(-LN(2)/25)*BQ147+(1-EXP(-LN(2)/25))/(LN(2)/25)*Calculateur!BL148*Calculateur!BN148*VLOOKUP('Données projet'!$B$11,Paramètres!$A$1:$I$88,3,0)*0.475*44/12</f>
        <v>#N/A</v>
      </c>
      <c r="BR148" s="23" t="e">
        <f>EXP(-LN(2)/2)*BR147+(1-EXP(-LN(2)/2))/(LN(2)/2)*BL148*BO148*VLOOKUP('Données projet'!$B$11,Paramètres!$A$1:$I$88,3,0)*0.475*44/12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projet'!$B$12,Paramètres!$A$1:$I$88,3,0)*0.475*44/12</f>
        <v>#N/A</v>
      </c>
      <c r="CL148" s="23" t="e">
        <f>EXP(-LN(2)/25)*CL147+(1-EXP(-LN(2)/25))/(LN(2)/25)*Calculateur!CG148*Calculateur!CI148*VLOOKUP('Données projet'!$B$12,Paramètres!$A$1:$I$88,3,0)*0.475*44/12</f>
        <v>#N/A</v>
      </c>
      <c r="CM148" s="23" t="e">
        <f>EXP(-LN(2)/2)*CM147+(1-EXP(-LN(2)/2))/(LN(2)/2)*CG148*CJ148*VLOOKUP('Données projet'!$B$12,Paramètres!$A$1:$I$88,3,0)*0.475*44/12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5.6843418860808015E-13</v>
      </c>
      <c r="O149" s="14">
        <f>N149*VLOOKUP('Données projet'!$B$9,Paramètres!$A$1:$I$88,3,0)*VLOOKUP('Données projet'!$B$9,Paramètres!$A$1:$I$88,5,0)</f>
        <v>2.6602720026858149E-13</v>
      </c>
      <c r="P149" s="14">
        <f t="shared" si="141"/>
        <v>3.5662905043956649E-12</v>
      </c>
      <c r="Q149" s="22">
        <f t="shared" si="108"/>
        <v>6.6746200022902298E-12</v>
      </c>
      <c r="R149" s="62">
        <f t="shared" si="109"/>
        <v>293.33333333333997</v>
      </c>
      <c r="S149" s="62">
        <f ca="1">AVERAGE(OFFSET($R$3,0,0,'Données projet'!$E$9+1,1))-AVERAGE(OFFSET($H$3,0,0,'Données projet'!$E$9+1,1))</f>
        <v>316.04959780858269</v>
      </c>
      <c r="T149" s="62">
        <f t="shared" si="142"/>
        <v>213.60182977243113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131.15417135402802</v>
      </c>
      <c r="AA149" s="23">
        <f>EXP(-LN(2)/25)*AA148+(1-EXP(-LN(2)/25))/(LN(2)/25)*Calculateur!V149*Calculateur!X149*VLOOKUP('Données projet'!$B$9,Paramètres!$A$1:$I$88,3,0)*0.475*44/12</f>
        <v>18.072949178588264</v>
      </c>
      <c r="AB149" s="23">
        <f>EXP(-LN(2)/2)*AB148+(1-EXP(-LN(2)/2))/(LN(2)/2)*V149*Y149*VLOOKUP('Données projet'!$B$9,Paramètres!$A$1:$I$88,3,0)*0.475*44/12</f>
        <v>2.9209932505702803</v>
      </c>
      <c r="AC149" s="24">
        <f t="shared" si="111"/>
        <v>152.14811378318657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-7.9580786405131221E-13</v>
      </c>
      <c r="AJ149" s="14">
        <f>AI149*VLOOKUP('Données projet'!$B$10,Paramètres!$A$1:$I$88,3,0)*VLOOKUP('Données projet'!$B$10,Paramètres!$A$1:$I$88,5,0)</f>
        <v>-4.448565960046835E-13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583.31979399672844</v>
      </c>
      <c r="AO149" s="62">
        <f t="shared" si="144"/>
        <v>544.21514138474731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83.411510364199017</v>
      </c>
      <c r="AV149" s="23">
        <f>EXP(-LN(2)/25)*AV148+(1-EXP(-LN(2)/25))/(LN(2)/25)*Calculateur!AQ149*Calculateur!AS149*VLOOKUP('Données projet'!$B$10,Paramètres!$A$1:$I$88,3,0)*0.475*44/12</f>
        <v>10.611838158503899</v>
      </c>
      <c r="AW149" s="23">
        <f>EXP(-LN(2)/2)*AW148+(1-EXP(-LN(2)/2))/(LN(2)/2)*AQ149*AT149*VLOOKUP('Données projet'!$B$10,Paramètres!$A$1:$I$88,3,0)*0.475*44/12</f>
        <v>5.1449451561218229E-9</v>
      </c>
      <c r="AX149" s="23">
        <f t="shared" si="114"/>
        <v>94.023348527847858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projet'!$B$11,Paramètres!$A$1:$I$88,3,0)*VLOOKUP('Données projet'!$B$11,Paramètres!$A$1:$I$88,5,0)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projet'!$B$11,Paramètres!$A$1:$I$88,3,0)*0.475*44/12</f>
        <v>#N/A</v>
      </c>
      <c r="BQ149" s="23" t="e">
        <f>EXP(-LN(2)/25)*BQ148+(1-EXP(-LN(2)/25))/(LN(2)/25)*Calculateur!BL149*Calculateur!BN149*VLOOKUP('Données projet'!$B$11,Paramètres!$A$1:$I$88,3,0)*0.475*44/12</f>
        <v>#N/A</v>
      </c>
      <c r="BR149" s="23" t="e">
        <f>EXP(-LN(2)/2)*BR148+(1-EXP(-LN(2)/2))/(LN(2)/2)*BL149*BO149*VLOOKUP('Données projet'!$B$11,Paramètres!$A$1:$I$88,3,0)*0.475*44/12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projet'!$B$12,Paramètres!$A$1:$I$88,3,0)*0.475*44/12</f>
        <v>#N/A</v>
      </c>
      <c r="CL149" s="23" t="e">
        <f>EXP(-LN(2)/25)*CL148+(1-EXP(-LN(2)/25))/(LN(2)/25)*Calculateur!CG149*Calculateur!CI149*VLOOKUP('Données projet'!$B$12,Paramètres!$A$1:$I$88,3,0)*0.475*44/12</f>
        <v>#N/A</v>
      </c>
      <c r="CM149" s="23" t="e">
        <f>EXP(-LN(2)/2)*CM148+(1-EXP(-LN(2)/2))/(LN(2)/2)*CG149*CJ149*VLOOKUP('Données projet'!$B$12,Paramètres!$A$1:$I$88,3,0)*0.475*44/12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5.6843418860808015E-13</v>
      </c>
      <c r="O150" s="14">
        <f>N150*VLOOKUP('Données projet'!$B$9,Paramètres!$A$1:$I$88,3,0)*VLOOKUP('Données projet'!$B$9,Paramètres!$A$1:$I$88,5,0)</f>
        <v>2.6602720026858149E-13</v>
      </c>
      <c r="P150" s="14">
        <f t="shared" si="141"/>
        <v>3.5662905043956649E-12</v>
      </c>
      <c r="Q150" s="22">
        <f t="shared" si="108"/>
        <v>6.6746200022902298E-12</v>
      </c>
      <c r="R150" s="62">
        <f t="shared" si="109"/>
        <v>293.33333333333997</v>
      </c>
      <c r="S150" s="62">
        <f ca="1">AVERAGE(OFFSET($R$3,0,0,'Données projet'!$E$9+1,1))-AVERAGE(OFFSET($H$3,0,0,'Données projet'!$E$9+1,1))</f>
        <v>316.04959780858269</v>
      </c>
      <c r="T150" s="62">
        <f t="shared" si="142"/>
        <v>213.60182977243113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128.5823180499211</v>
      </c>
      <c r="AA150" s="23">
        <f>EXP(-LN(2)/25)*AA149+(1-EXP(-LN(2)/25))/(LN(2)/25)*Calculateur!V150*Calculateur!X150*VLOOKUP('Données projet'!$B$9,Paramètres!$A$1:$I$88,3,0)*0.475*44/12</f>
        <v>17.578743432884675</v>
      </c>
      <c r="AB150" s="23">
        <f>EXP(-LN(2)/2)*AB149+(1-EXP(-LN(2)/2))/(LN(2)/2)*V150*Y150*VLOOKUP('Données projet'!$B$9,Paramètres!$A$1:$I$88,3,0)*0.475*44/12</f>
        <v>2.0654541352783813</v>
      </c>
      <c r="AC150" s="24">
        <f t="shared" si="111"/>
        <v>148.22651561808414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-7.9580786405131221E-13</v>
      </c>
      <c r="AJ150" s="14">
        <f>AI150*VLOOKUP('Données projet'!$B$10,Paramètres!$A$1:$I$88,3,0)*VLOOKUP('Données projet'!$B$10,Paramètres!$A$1:$I$88,5,0)</f>
        <v>-4.448565960046835E-13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583.31979399672844</v>
      </c>
      <c r="AO150" s="62">
        <f t="shared" si="144"/>
        <v>544.21514138474731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81.775861521954809</v>
      </c>
      <c r="AV150" s="23">
        <f>EXP(-LN(2)/25)*AV149+(1-EXP(-LN(2)/25))/(LN(2)/25)*Calculateur!AQ150*Calculateur!AS150*VLOOKUP('Données projet'!$B$10,Paramètres!$A$1:$I$88,3,0)*0.475*44/12</f>
        <v>10.321656886007295</v>
      </c>
      <c r="AW150" s="23">
        <f>EXP(-LN(2)/2)*AW149+(1-EXP(-LN(2)/2))/(LN(2)/2)*AQ150*AT150*VLOOKUP('Données projet'!$B$10,Paramètres!$A$1:$I$88,3,0)*0.475*44/12</f>
        <v>3.6380256087266218E-9</v>
      </c>
      <c r="AX150" s="23">
        <f t="shared" si="114"/>
        <v>92.09751841160012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projet'!$B$11,Paramètres!$A$1:$I$88,3,0)*VLOOKUP('Données projet'!$B$11,Paramètres!$A$1:$I$88,5,0)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projet'!$B$11,Paramètres!$A$1:$I$88,3,0)*0.475*44/12</f>
        <v>#N/A</v>
      </c>
      <c r="BQ150" s="23" t="e">
        <f>EXP(-LN(2)/25)*BQ149+(1-EXP(-LN(2)/25))/(LN(2)/25)*Calculateur!BL150*Calculateur!BN150*VLOOKUP('Données projet'!$B$11,Paramètres!$A$1:$I$88,3,0)*0.475*44/12</f>
        <v>#N/A</v>
      </c>
      <c r="BR150" s="23" t="e">
        <f>EXP(-LN(2)/2)*BR149+(1-EXP(-LN(2)/2))/(LN(2)/2)*BL150*BO150*VLOOKUP('Données projet'!$B$11,Paramètres!$A$1:$I$88,3,0)*0.475*44/12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projet'!$B$12,Paramètres!$A$1:$I$88,3,0)*0.475*44/12</f>
        <v>#N/A</v>
      </c>
      <c r="CL150" s="23" t="e">
        <f>EXP(-LN(2)/25)*CL149+(1-EXP(-LN(2)/25))/(LN(2)/25)*Calculateur!CG150*Calculateur!CI150*VLOOKUP('Données projet'!$B$12,Paramètres!$A$1:$I$88,3,0)*0.475*44/12</f>
        <v>#N/A</v>
      </c>
      <c r="CM150" s="23" t="e">
        <f>EXP(-LN(2)/2)*CM149+(1-EXP(-LN(2)/2))/(LN(2)/2)*CG150*CJ150*VLOOKUP('Données projet'!$B$12,Paramètres!$A$1:$I$88,3,0)*0.475*44/12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5.6843418860808015E-13</v>
      </c>
      <c r="O151" s="14">
        <f>N151*VLOOKUP('Données projet'!$B$9,Paramètres!$A$1:$I$88,3,0)*VLOOKUP('Données projet'!$B$9,Paramètres!$A$1:$I$88,5,0)</f>
        <v>2.6602720026858149E-13</v>
      </c>
      <c r="P151" s="14">
        <f t="shared" si="141"/>
        <v>3.5662905043956649E-12</v>
      </c>
      <c r="Q151" s="22">
        <f t="shared" si="108"/>
        <v>6.6746200022902298E-12</v>
      </c>
      <c r="R151" s="62">
        <f t="shared" si="109"/>
        <v>293.33333333333997</v>
      </c>
      <c r="S151" s="62">
        <f ca="1">AVERAGE(OFFSET($R$3,0,0,'Données projet'!$E$9+1,1))-AVERAGE(OFFSET($H$3,0,0,'Données projet'!$E$9+1,1))</f>
        <v>316.04959780858269</v>
      </c>
      <c r="T151" s="62">
        <f t="shared" si="142"/>
        <v>213.60182977243113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126.06089722043208</v>
      </c>
      <c r="AA151" s="23">
        <f>EXP(-LN(2)/25)*AA150+(1-EXP(-LN(2)/25))/(LN(2)/25)*Calculateur!V151*Calculateur!X151*VLOOKUP('Données projet'!$B$9,Paramètres!$A$1:$I$88,3,0)*0.475*44/12</f>
        <v>17.098051769286503</v>
      </c>
      <c r="AB151" s="23">
        <f>EXP(-LN(2)/2)*AB150+(1-EXP(-LN(2)/2))/(LN(2)/2)*V151*Y151*VLOOKUP('Données projet'!$B$9,Paramètres!$A$1:$I$88,3,0)*0.475*44/12</f>
        <v>1.4604966252851401</v>
      </c>
      <c r="AC151" s="24">
        <f t="shared" si="111"/>
        <v>144.61944561500374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-7.9580786405131221E-13</v>
      </c>
      <c r="AJ151" s="14">
        <f>AI151*VLOOKUP('Données projet'!$B$10,Paramètres!$A$1:$I$88,3,0)*VLOOKUP('Données projet'!$B$10,Paramètres!$A$1:$I$88,5,0)</f>
        <v>-4.448565960046835E-13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583.31979399672844</v>
      </c>
      <c r="AO151" s="62">
        <f t="shared" si="144"/>
        <v>544.21514138474731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80.17228675585973</v>
      </c>
      <c r="AV151" s="23">
        <f>EXP(-LN(2)/25)*AV150+(1-EXP(-LN(2)/25))/(LN(2)/25)*Calculateur!AQ151*Calculateur!AS151*VLOOKUP('Données projet'!$B$10,Paramètres!$A$1:$I$88,3,0)*0.475*44/12</f>
        <v>10.03941063566708</v>
      </c>
      <c r="AW151" s="23">
        <f>EXP(-LN(2)/2)*AW150+(1-EXP(-LN(2)/2))/(LN(2)/2)*AQ151*AT151*VLOOKUP('Données projet'!$B$10,Paramètres!$A$1:$I$88,3,0)*0.475*44/12</f>
        <v>2.5724725780609119E-9</v>
      </c>
      <c r="AX151" s="23">
        <f t="shared" si="114"/>
        <v>90.211697394099289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projet'!$B$11,Paramètres!$A$1:$I$88,3,0)*VLOOKUP('Données projet'!$B$11,Paramètres!$A$1:$I$88,5,0)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projet'!$B$11,Paramètres!$A$1:$I$88,3,0)*0.475*44/12</f>
        <v>#N/A</v>
      </c>
      <c r="BQ151" s="23" t="e">
        <f>EXP(-LN(2)/25)*BQ150+(1-EXP(-LN(2)/25))/(LN(2)/25)*Calculateur!BL151*Calculateur!BN151*VLOOKUP('Données projet'!$B$11,Paramètres!$A$1:$I$88,3,0)*0.475*44/12</f>
        <v>#N/A</v>
      </c>
      <c r="BR151" s="23" t="e">
        <f>EXP(-LN(2)/2)*BR150+(1-EXP(-LN(2)/2))/(LN(2)/2)*BL151*BO151*VLOOKUP('Données projet'!$B$11,Paramètres!$A$1:$I$88,3,0)*0.475*44/12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projet'!$B$12,Paramètres!$A$1:$I$88,3,0)*0.475*44/12</f>
        <v>#N/A</v>
      </c>
      <c r="CL151" s="23" t="e">
        <f>EXP(-LN(2)/25)*CL150+(1-EXP(-LN(2)/25))/(LN(2)/25)*Calculateur!CG151*Calculateur!CI151*VLOOKUP('Données projet'!$B$12,Paramètres!$A$1:$I$88,3,0)*0.475*44/12</f>
        <v>#N/A</v>
      </c>
      <c r="CM151" s="23" t="e">
        <f>EXP(-LN(2)/2)*CM150+(1-EXP(-LN(2)/2))/(LN(2)/2)*CG151*CJ151*VLOOKUP('Données projet'!$B$12,Paramètres!$A$1:$I$88,3,0)*0.475*44/12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5.6843418860808015E-13</v>
      </c>
      <c r="O152" s="14">
        <f>N152*VLOOKUP('Données projet'!$B$9,Paramètres!$A$1:$I$88,3,0)*VLOOKUP('Données projet'!$B$9,Paramètres!$A$1:$I$88,5,0)</f>
        <v>2.6602720026858149E-13</v>
      </c>
      <c r="P152" s="14">
        <f t="shared" si="141"/>
        <v>3.5662905043956649E-12</v>
      </c>
      <c r="Q152" s="22">
        <f t="shared" si="108"/>
        <v>6.6746200022902298E-12</v>
      </c>
      <c r="R152" s="62">
        <f t="shared" si="109"/>
        <v>293.33333333333997</v>
      </c>
      <c r="S152" s="62">
        <f ca="1">AVERAGE(OFFSET($R$3,0,0,'Données projet'!$E$9+1,1))-AVERAGE(OFFSET($H$3,0,0,'Données projet'!$E$9+1,1))</f>
        <v>316.04959780858269</v>
      </c>
      <c r="T152" s="62">
        <f t="shared" si="142"/>
        <v>213.60182977243113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123.5889199154945</v>
      </c>
      <c r="AA152" s="23">
        <f>EXP(-LN(2)/25)*AA151+(1-EXP(-LN(2)/25))/(LN(2)/25)*Calculateur!V152*Calculateur!X152*VLOOKUP('Données projet'!$B$9,Paramètres!$A$1:$I$88,3,0)*0.475*44/12</f>
        <v>16.630504644507898</v>
      </c>
      <c r="AB152" s="23">
        <f>EXP(-LN(2)/2)*AB151+(1-EXP(-LN(2)/2))/(LN(2)/2)*V152*Y152*VLOOKUP('Données projet'!$B$9,Paramètres!$A$1:$I$88,3,0)*0.475*44/12</f>
        <v>1.0327270676391906</v>
      </c>
      <c r="AC152" s="24">
        <f t="shared" si="111"/>
        <v>141.25215162764161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-7.9580786405131221E-13</v>
      </c>
      <c r="AJ152" s="14">
        <f>AI152*VLOOKUP('Données projet'!$B$10,Paramètres!$A$1:$I$88,3,0)*VLOOKUP('Données projet'!$B$10,Paramètres!$A$1:$I$88,5,0)</f>
        <v>-4.448565960046835E-13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583.31979399672844</v>
      </c>
      <c r="AO152" s="62">
        <f t="shared" si="144"/>
        <v>544.21514138474731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78.600157112843746</v>
      </c>
      <c r="AV152" s="23">
        <f>EXP(-LN(2)/25)*AV151+(1-EXP(-LN(2)/25))/(LN(2)/25)*Calculateur!AQ152*Calculateur!AS152*VLOOKUP('Données projet'!$B$10,Paramètres!$A$1:$I$88,3,0)*0.475*44/12</f>
        <v>9.7648824238851031</v>
      </c>
      <c r="AW152" s="23">
        <f>EXP(-LN(2)/2)*AW151+(1-EXP(-LN(2)/2))/(LN(2)/2)*AQ152*AT152*VLOOKUP('Données projet'!$B$10,Paramètres!$A$1:$I$88,3,0)*0.475*44/12</f>
        <v>1.8190128043633111E-9</v>
      </c>
      <c r="AX152" s="23">
        <f t="shared" si="114"/>
        <v>88.365039538547862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projet'!$B$11,Paramètres!$A$1:$I$88,3,0)*VLOOKUP('Données projet'!$B$11,Paramètres!$A$1:$I$88,5,0)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projet'!$B$11,Paramètres!$A$1:$I$88,3,0)*0.475*44/12</f>
        <v>#N/A</v>
      </c>
      <c r="BQ152" s="23" t="e">
        <f>EXP(-LN(2)/25)*BQ151+(1-EXP(-LN(2)/25))/(LN(2)/25)*Calculateur!BL152*Calculateur!BN152*VLOOKUP('Données projet'!$B$11,Paramètres!$A$1:$I$88,3,0)*0.475*44/12</f>
        <v>#N/A</v>
      </c>
      <c r="BR152" s="23" t="e">
        <f>EXP(-LN(2)/2)*BR151+(1-EXP(-LN(2)/2))/(LN(2)/2)*BL152*BO152*VLOOKUP('Données projet'!$B$11,Paramètres!$A$1:$I$88,3,0)*0.475*44/12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projet'!$B$12,Paramètres!$A$1:$I$88,3,0)*0.475*44/12</f>
        <v>#N/A</v>
      </c>
      <c r="CL152" s="23" t="e">
        <f>EXP(-LN(2)/25)*CL151+(1-EXP(-LN(2)/25))/(LN(2)/25)*Calculateur!CG152*Calculateur!CI152*VLOOKUP('Données projet'!$B$12,Paramètres!$A$1:$I$88,3,0)*0.475*44/12</f>
        <v>#N/A</v>
      </c>
      <c r="CM152" s="23" t="e">
        <f>EXP(-LN(2)/2)*CM151+(1-EXP(-LN(2)/2))/(LN(2)/2)*CG152*CJ152*VLOOKUP('Données projet'!$B$12,Paramètres!$A$1:$I$88,3,0)*0.475*44/12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5.6843418860808015E-13</v>
      </c>
      <c r="O153" s="14">
        <f>N153*VLOOKUP('Données projet'!$B$9,Paramètres!$A$1:$I$88,3,0)*VLOOKUP('Données projet'!$B$9,Paramètres!$A$1:$I$88,5,0)</f>
        <v>2.6602720026858149E-13</v>
      </c>
      <c r="P153" s="14">
        <f t="shared" si="141"/>
        <v>3.5662905043956649E-12</v>
      </c>
      <c r="Q153" s="22">
        <f t="shared" si="108"/>
        <v>6.6746200022902298E-12</v>
      </c>
      <c r="R153" s="62">
        <f t="shared" si="109"/>
        <v>293.33333333333997</v>
      </c>
      <c r="S153" s="62">
        <f ca="1">AVERAGE(OFFSET($R$3,0,0,'Données projet'!$E$9+1,1))-AVERAGE(OFFSET($H$3,0,0,'Données projet'!$E$9+1,1))</f>
        <v>316.04959780858269</v>
      </c>
      <c r="T153" s="62">
        <f t="shared" si="142"/>
        <v>213.60182977243113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121.16541657774947</v>
      </c>
      <c r="AA153" s="23">
        <f>EXP(-LN(2)/25)*AA152+(1-EXP(-LN(2)/25))/(LN(2)/25)*Calculateur!V153*Calculateur!X153*VLOOKUP('Données projet'!$B$9,Paramètres!$A$1:$I$88,3,0)*0.475*44/12</f>
        <v>16.1757426204436</v>
      </c>
      <c r="AB153" s="23">
        <f>EXP(-LN(2)/2)*AB152+(1-EXP(-LN(2)/2))/(LN(2)/2)*V153*Y153*VLOOKUP('Données projet'!$B$9,Paramètres!$A$1:$I$88,3,0)*0.475*44/12</f>
        <v>0.73024831264257006</v>
      </c>
      <c r="AC153" s="24">
        <f t="shared" si="111"/>
        <v>138.07140751083563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-7.9580786405131221E-13</v>
      </c>
      <c r="AJ153" s="14">
        <f>AI153*VLOOKUP('Données projet'!$B$10,Paramètres!$A$1:$I$88,3,0)*VLOOKUP('Données projet'!$B$10,Paramètres!$A$1:$I$88,5,0)</f>
        <v>-4.448565960046835E-13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583.31979399672844</v>
      </c>
      <c r="AO153" s="62">
        <f t="shared" si="144"/>
        <v>544.21514138474731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77.058855973222904</v>
      </c>
      <c r="AV153" s="23">
        <f>EXP(-LN(2)/25)*AV152+(1-EXP(-LN(2)/25))/(LN(2)/25)*Calculateur!AQ153*Calculateur!AS153*VLOOKUP('Données projet'!$B$10,Paramètres!$A$1:$I$88,3,0)*0.475*44/12</f>
        <v>9.4978612004911156</v>
      </c>
      <c r="AW153" s="23">
        <f>EXP(-LN(2)/2)*AW152+(1-EXP(-LN(2)/2))/(LN(2)/2)*AQ153*AT153*VLOOKUP('Données projet'!$B$10,Paramètres!$A$1:$I$88,3,0)*0.475*44/12</f>
        <v>1.2862362890304561E-9</v>
      </c>
      <c r="AX153" s="23">
        <f t="shared" si="114"/>
        <v>86.556717175000259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projet'!$B$11,Paramètres!$A$1:$I$88,3,0)*VLOOKUP('Données projet'!$B$11,Paramètres!$A$1:$I$88,5,0)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projet'!$B$11,Paramètres!$A$1:$I$88,3,0)*0.475*44/12</f>
        <v>#N/A</v>
      </c>
      <c r="BQ153" s="23" t="e">
        <f>EXP(-LN(2)/25)*BQ152+(1-EXP(-LN(2)/25))/(LN(2)/25)*Calculateur!BL153*Calculateur!BN153*VLOOKUP('Données projet'!$B$11,Paramètres!$A$1:$I$88,3,0)*0.475*44/12</f>
        <v>#N/A</v>
      </c>
      <c r="BR153" s="23" t="e">
        <f>EXP(-LN(2)/2)*BR152+(1-EXP(-LN(2)/2))/(LN(2)/2)*BL153*BO153*VLOOKUP('Données projet'!$B$11,Paramètres!$A$1:$I$88,3,0)*0.475*44/12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projet'!$B$12,Paramètres!$A$1:$I$88,3,0)*0.475*44/12</f>
        <v>#N/A</v>
      </c>
      <c r="CL153" s="23" t="e">
        <f>EXP(-LN(2)/25)*CL152+(1-EXP(-LN(2)/25))/(LN(2)/25)*Calculateur!CG153*Calculateur!CI153*VLOOKUP('Données projet'!$B$12,Paramètres!$A$1:$I$88,3,0)*0.475*44/12</f>
        <v>#N/A</v>
      </c>
      <c r="CM153" s="23" t="e">
        <f>EXP(-LN(2)/2)*CM152+(1-EXP(-LN(2)/2))/(LN(2)/2)*CG153*CJ153*VLOOKUP('Données projet'!$B$12,Paramètres!$A$1:$I$88,3,0)*0.475*44/12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5.6843418860808015E-13</v>
      </c>
      <c r="O154" s="14">
        <f>N154*VLOOKUP('Données projet'!$B$9,Paramètres!$A$1:$I$88,3,0)*VLOOKUP('Données projet'!$B$9,Paramètres!$A$1:$I$88,5,0)</f>
        <v>2.6602720026858149E-13</v>
      </c>
      <c r="P154" s="14">
        <f t="shared" si="141"/>
        <v>3.5662905043956649E-12</v>
      </c>
      <c r="Q154" s="22">
        <f t="shared" ref="Q154:Q203" si="162">(O154+P154)*0.475*44/12</f>
        <v>6.6746200022902298E-12</v>
      </c>
      <c r="R154" s="62">
        <f t="shared" si="109"/>
        <v>293.33333333333997</v>
      </c>
      <c r="S154" s="62">
        <f ca="1">AVERAGE(OFFSET($R$3,0,0,'Données projet'!$E$9+1,1))-AVERAGE(OFFSET($H$3,0,0,'Données projet'!$E$9+1,1))</f>
        <v>316.04959780858269</v>
      </c>
      <c r="T154" s="62">
        <f t="shared" si="142"/>
        <v>213.60182977243113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118.78943666226654</v>
      </c>
      <c r="AA154" s="23">
        <f>EXP(-LN(2)/25)*AA153+(1-EXP(-LN(2)/25))/(LN(2)/25)*Calculateur!V154*Calculateur!X154*VLOOKUP('Données projet'!$B$9,Paramètres!$A$1:$I$88,3,0)*0.475*44/12</f>
        <v>15.733416087842235</v>
      </c>
      <c r="AB154" s="23">
        <f>EXP(-LN(2)/2)*AB153+(1-EXP(-LN(2)/2))/(LN(2)/2)*V154*Y154*VLOOKUP('Données projet'!$B$9,Paramètres!$A$1:$I$88,3,0)*0.475*44/12</f>
        <v>0.51636353381959532</v>
      </c>
      <c r="AC154" s="24">
        <f t="shared" ref="AC154:AC203" si="163">SUM(Z154:AB154)</f>
        <v>135.03921628392837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-7.9580786405131221E-13</v>
      </c>
      <c r="AJ154" s="14">
        <f>AI154*VLOOKUP('Données projet'!$B$10,Paramètres!$A$1:$I$88,3,0)*VLOOKUP('Données projet'!$B$10,Paramètres!$A$1:$I$88,5,0)</f>
        <v>-4.448565960046835E-13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583.31979399672844</v>
      </c>
      <c r="AO154" s="62">
        <f t="shared" si="144"/>
        <v>544.21514138474731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75.547778808849159</v>
      </c>
      <c r="AV154" s="23">
        <f>EXP(-LN(2)/25)*AV153+(1-EXP(-LN(2)/25))/(LN(2)/25)*Calculateur!AQ154*Calculateur!AS154*VLOOKUP('Données projet'!$B$10,Paramètres!$A$1:$I$88,3,0)*0.475*44/12</f>
        <v>9.2381416864928738</v>
      </c>
      <c r="AW154" s="23">
        <f>EXP(-LN(2)/2)*AW153+(1-EXP(-LN(2)/2))/(LN(2)/2)*AQ154*AT154*VLOOKUP('Données projet'!$B$10,Paramètres!$A$1:$I$88,3,0)*0.475*44/12</f>
        <v>9.0950640218165566E-10</v>
      </c>
      <c r="AX154" s="23">
        <f t="shared" ref="AX154:AX203" si="166">SUM(AU154:AW154)</f>
        <v>84.785920496251535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projet'!$B$11,Paramètres!$A$1:$I$88,3,0)*VLOOKUP('Données projet'!$B$11,Paramètres!$A$1:$I$88,5,0)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projet'!$B$11,Paramètres!$A$1:$I$88,3,0)*0.475*44/12</f>
        <v>#N/A</v>
      </c>
      <c r="BQ154" s="23" t="e">
        <f>EXP(-LN(2)/25)*BQ153+(1-EXP(-LN(2)/25))/(LN(2)/25)*Calculateur!BL154*Calculateur!BN154*VLOOKUP('Données projet'!$B$11,Paramètres!$A$1:$I$88,3,0)*0.475*44/12</f>
        <v>#N/A</v>
      </c>
      <c r="BR154" s="23" t="e">
        <f>EXP(-LN(2)/2)*BR153+(1-EXP(-LN(2)/2))/(LN(2)/2)*BL154*BO154*VLOOKUP('Données projet'!$B$11,Paramètres!$A$1:$I$88,3,0)*0.475*44/12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projet'!$B$12,Paramètres!$A$1:$I$88,3,0)*0.475*44/12</f>
        <v>#N/A</v>
      </c>
      <c r="CL154" s="23" t="e">
        <f>EXP(-LN(2)/25)*CL153+(1-EXP(-LN(2)/25))/(LN(2)/25)*Calculateur!CG154*Calculateur!CI154*VLOOKUP('Données projet'!$B$12,Paramètres!$A$1:$I$88,3,0)*0.475*44/12</f>
        <v>#N/A</v>
      </c>
      <c r="CM154" s="23" t="e">
        <f>EXP(-LN(2)/2)*CM153+(1-EXP(-LN(2)/2))/(LN(2)/2)*CG154*CJ154*VLOOKUP('Données projet'!$B$12,Paramètres!$A$1:$I$88,3,0)*0.475*44/12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5.6843418860808015E-13</v>
      </c>
      <c r="O155" s="14">
        <f>N155*VLOOKUP('Données projet'!$B$9,Paramètres!$A$1:$I$88,3,0)*VLOOKUP('Données projet'!$B$9,Paramètres!$A$1:$I$88,5,0)</f>
        <v>2.6602720026858149E-13</v>
      </c>
      <c r="P155" s="14">
        <f t="shared" si="141"/>
        <v>3.5662905043956649E-12</v>
      </c>
      <c r="Q155" s="22">
        <f t="shared" si="162"/>
        <v>6.6746200022902298E-12</v>
      </c>
      <c r="R155" s="62">
        <f t="shared" si="109"/>
        <v>293.33333333333997</v>
      </c>
      <c r="S155" s="62">
        <f ca="1">AVERAGE(OFFSET($R$3,0,0,'Données projet'!$E$9+1,1))-AVERAGE(OFFSET($H$3,0,0,'Données projet'!$E$9+1,1))</f>
        <v>316.04959780858269</v>
      </c>
      <c r="T155" s="62">
        <f t="shared" si="142"/>
        <v>213.60182977243113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116.46004826372157</v>
      </c>
      <c r="AA155" s="23">
        <f>EXP(-LN(2)/25)*AA154+(1-EXP(-LN(2)/25))/(LN(2)/25)*Calculateur!V155*Calculateur!X155*VLOOKUP('Données projet'!$B$9,Paramètres!$A$1:$I$88,3,0)*0.475*44/12</f>
        <v>15.303184997535796</v>
      </c>
      <c r="AB155" s="23">
        <f>EXP(-LN(2)/2)*AB154+(1-EXP(-LN(2)/2))/(LN(2)/2)*V155*Y155*VLOOKUP('Données projet'!$B$9,Paramètres!$A$1:$I$88,3,0)*0.475*44/12</f>
        <v>0.36512415632128503</v>
      </c>
      <c r="AC155" s="24">
        <f t="shared" si="163"/>
        <v>132.12835741757866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-7.9580786405131221E-13</v>
      </c>
      <c r="AJ155" s="14">
        <f>AI155*VLOOKUP('Données projet'!$B$10,Paramètres!$A$1:$I$88,3,0)*VLOOKUP('Données projet'!$B$10,Paramètres!$A$1:$I$88,5,0)</f>
        <v>-4.448565960046835E-13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583.31979399672844</v>
      </c>
      <c r="AO155" s="62">
        <f t="shared" si="144"/>
        <v>544.21514138474731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74.066332946002717</v>
      </c>
      <c r="AV155" s="23">
        <f>EXP(-LN(2)/25)*AV154+(1-EXP(-LN(2)/25))/(LN(2)/25)*Calculateur!AQ155*Calculateur!AS155*VLOOKUP('Données projet'!$B$10,Paramètres!$A$1:$I$88,3,0)*0.475*44/12</f>
        <v>8.9855242162629683</v>
      </c>
      <c r="AW155" s="23">
        <f>EXP(-LN(2)/2)*AW154+(1-EXP(-LN(2)/2))/(LN(2)/2)*AQ155*AT155*VLOOKUP('Données projet'!$B$10,Paramètres!$A$1:$I$88,3,0)*0.475*44/12</f>
        <v>6.4311814451522817E-10</v>
      </c>
      <c r="AX155" s="23">
        <f t="shared" si="166"/>
        <v>83.051857162908803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projet'!$B$11,Paramètres!$A$1:$I$88,3,0)*VLOOKUP('Données projet'!$B$11,Paramètres!$A$1:$I$88,5,0)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projet'!$B$11,Paramètres!$A$1:$I$88,3,0)*0.475*44/12</f>
        <v>#N/A</v>
      </c>
      <c r="BQ155" s="23" t="e">
        <f>EXP(-LN(2)/25)*BQ154+(1-EXP(-LN(2)/25))/(LN(2)/25)*Calculateur!BL155*Calculateur!BN155*VLOOKUP('Données projet'!$B$11,Paramètres!$A$1:$I$88,3,0)*0.475*44/12</f>
        <v>#N/A</v>
      </c>
      <c r="BR155" s="23" t="e">
        <f>EXP(-LN(2)/2)*BR154+(1-EXP(-LN(2)/2))/(LN(2)/2)*BL155*BO155*VLOOKUP('Données projet'!$B$11,Paramètres!$A$1:$I$88,3,0)*0.475*44/12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projet'!$B$12,Paramètres!$A$1:$I$88,3,0)*0.475*44/12</f>
        <v>#N/A</v>
      </c>
      <c r="CL155" s="23" t="e">
        <f>EXP(-LN(2)/25)*CL154+(1-EXP(-LN(2)/25))/(LN(2)/25)*Calculateur!CG155*Calculateur!CI155*VLOOKUP('Données projet'!$B$12,Paramètres!$A$1:$I$88,3,0)*0.475*44/12</f>
        <v>#N/A</v>
      </c>
      <c r="CM155" s="23" t="e">
        <f>EXP(-LN(2)/2)*CM154+(1-EXP(-LN(2)/2))/(LN(2)/2)*CG155*CJ155*VLOOKUP('Données projet'!$B$12,Paramètres!$A$1:$I$88,3,0)*0.475*44/12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5.6843418860808015E-13</v>
      </c>
      <c r="O156" s="14">
        <f>N156*VLOOKUP('Données projet'!$B$9,Paramètres!$A$1:$I$88,3,0)*VLOOKUP('Données projet'!$B$9,Paramètres!$A$1:$I$88,5,0)</f>
        <v>2.6602720026858149E-13</v>
      </c>
      <c r="P156" s="14">
        <f t="shared" si="141"/>
        <v>3.5662905043956649E-12</v>
      </c>
      <c r="Q156" s="22">
        <f t="shared" si="162"/>
        <v>6.6746200022902298E-12</v>
      </c>
      <c r="R156" s="62">
        <f t="shared" si="109"/>
        <v>293.33333333333997</v>
      </c>
      <c r="S156" s="62">
        <f ca="1">AVERAGE(OFFSET($R$3,0,0,'Données projet'!$E$9+1,1))-AVERAGE(OFFSET($H$3,0,0,'Données projet'!$E$9+1,1))</f>
        <v>316.04959780858269</v>
      </c>
      <c r="T156" s="62">
        <f t="shared" si="142"/>
        <v>213.60182977243113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114.17633775088545</v>
      </c>
      <c r="AA156" s="23">
        <f>EXP(-LN(2)/25)*AA155+(1-EXP(-LN(2)/25))/(LN(2)/25)*Calculateur!V156*Calculateur!X156*VLOOKUP('Données projet'!$B$9,Paramètres!$A$1:$I$88,3,0)*0.475*44/12</f>
        <v>14.884718599018656</v>
      </c>
      <c r="AB156" s="23">
        <f>EXP(-LN(2)/2)*AB155+(1-EXP(-LN(2)/2))/(LN(2)/2)*V156*Y156*VLOOKUP('Données projet'!$B$9,Paramètres!$A$1:$I$88,3,0)*0.475*44/12</f>
        <v>0.25818176690979766</v>
      </c>
      <c r="AC156" s="24">
        <f t="shared" si="163"/>
        <v>129.31923811681389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-7.9580786405131221E-13</v>
      </c>
      <c r="AJ156" s="14">
        <f>AI156*VLOOKUP('Données projet'!$B$10,Paramètres!$A$1:$I$88,3,0)*VLOOKUP('Données projet'!$B$10,Paramètres!$A$1:$I$88,5,0)</f>
        <v>-4.448565960046835E-13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583.31979399672844</v>
      </c>
      <c r="AO156" s="62">
        <f t="shared" si="144"/>
        <v>544.21514138474731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72.613937332933943</v>
      </c>
      <c r="AV156" s="23">
        <f>EXP(-LN(2)/25)*AV155+(1-EXP(-LN(2)/25))/(LN(2)/25)*Calculateur!AQ156*Calculateur!AS156*VLOOKUP('Données projet'!$B$10,Paramètres!$A$1:$I$88,3,0)*0.475*44/12</f>
        <v>8.7398145840410759</v>
      </c>
      <c r="AW156" s="23">
        <f>EXP(-LN(2)/2)*AW155+(1-EXP(-LN(2)/2))/(LN(2)/2)*AQ156*AT156*VLOOKUP('Données projet'!$B$10,Paramètres!$A$1:$I$88,3,0)*0.475*44/12</f>
        <v>4.5475320109082793E-10</v>
      </c>
      <c r="AX156" s="23">
        <f t="shared" si="166"/>
        <v>81.353751917429761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projet'!$B$11,Paramètres!$A$1:$I$88,3,0)*VLOOKUP('Données projet'!$B$11,Paramètres!$A$1:$I$88,5,0)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projet'!$B$11,Paramètres!$A$1:$I$88,3,0)*0.475*44/12</f>
        <v>#N/A</v>
      </c>
      <c r="BQ156" s="23" t="e">
        <f>EXP(-LN(2)/25)*BQ155+(1-EXP(-LN(2)/25))/(LN(2)/25)*Calculateur!BL156*Calculateur!BN156*VLOOKUP('Données projet'!$B$11,Paramètres!$A$1:$I$88,3,0)*0.475*44/12</f>
        <v>#N/A</v>
      </c>
      <c r="BR156" s="23" t="e">
        <f>EXP(-LN(2)/2)*BR155+(1-EXP(-LN(2)/2))/(LN(2)/2)*BL156*BO156*VLOOKUP('Données projet'!$B$11,Paramètres!$A$1:$I$88,3,0)*0.475*44/12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projet'!$B$12,Paramètres!$A$1:$I$88,3,0)*0.475*44/12</f>
        <v>#N/A</v>
      </c>
      <c r="CL156" s="23" t="e">
        <f>EXP(-LN(2)/25)*CL155+(1-EXP(-LN(2)/25))/(LN(2)/25)*Calculateur!CG156*Calculateur!CI156*VLOOKUP('Données projet'!$B$12,Paramètres!$A$1:$I$88,3,0)*0.475*44/12</f>
        <v>#N/A</v>
      </c>
      <c r="CM156" s="23" t="e">
        <f>EXP(-LN(2)/2)*CM155+(1-EXP(-LN(2)/2))/(LN(2)/2)*CG156*CJ156*VLOOKUP('Données projet'!$B$12,Paramètres!$A$1:$I$88,3,0)*0.475*44/12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5.6843418860808015E-13</v>
      </c>
      <c r="O157" s="14">
        <f>N157*VLOOKUP('Données projet'!$B$9,Paramètres!$A$1:$I$88,3,0)*VLOOKUP('Données projet'!$B$9,Paramètres!$A$1:$I$88,5,0)</f>
        <v>2.6602720026858149E-13</v>
      </c>
      <c r="P157" s="14">
        <f t="shared" si="141"/>
        <v>3.5662905043956649E-12</v>
      </c>
      <c r="Q157" s="22">
        <f t="shared" si="162"/>
        <v>6.6746200022902298E-12</v>
      </c>
      <c r="R157" s="62">
        <f t="shared" si="109"/>
        <v>293.33333333333997</v>
      </c>
      <c r="S157" s="62">
        <f ca="1">AVERAGE(OFFSET($R$3,0,0,'Données projet'!$E$9+1,1))-AVERAGE(OFFSET($H$3,0,0,'Données projet'!$E$9+1,1))</f>
        <v>316.04959780858269</v>
      </c>
      <c r="T157" s="62">
        <f t="shared" si="142"/>
        <v>213.60182977243113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111.93740940828017</v>
      </c>
      <c r="AA157" s="23">
        <f>EXP(-LN(2)/25)*AA156+(1-EXP(-LN(2)/25))/(LN(2)/25)*Calculateur!V157*Calculateur!X157*VLOOKUP('Données projet'!$B$9,Paramètres!$A$1:$I$88,3,0)*0.475*44/12</f>
        <v>14.477695186175159</v>
      </c>
      <c r="AB157" s="23">
        <f>EXP(-LN(2)/2)*AB156+(1-EXP(-LN(2)/2))/(LN(2)/2)*V157*Y157*VLOOKUP('Données projet'!$B$9,Paramètres!$A$1:$I$88,3,0)*0.475*44/12</f>
        <v>0.18256207816064252</v>
      </c>
      <c r="AC157" s="24">
        <f t="shared" si="163"/>
        <v>126.59766667261597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-7.9580786405131221E-13</v>
      </c>
      <c r="AJ157" s="14">
        <f>AI157*VLOOKUP('Données projet'!$B$10,Paramètres!$A$1:$I$88,3,0)*VLOOKUP('Données projet'!$B$10,Paramètres!$A$1:$I$88,5,0)</f>
        <v>-4.448565960046835E-13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583.31979399672844</v>
      </c>
      <c r="AO157" s="62">
        <f t="shared" si="144"/>
        <v>544.21514138474731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71.190022311963588</v>
      </c>
      <c r="AV157" s="23">
        <f>EXP(-LN(2)/25)*AV156+(1-EXP(-LN(2)/25))/(LN(2)/25)*Calculateur!AQ157*Calculateur!AS157*VLOOKUP('Données projet'!$B$10,Paramètres!$A$1:$I$88,3,0)*0.475*44/12</f>
        <v>8.5008238946335997</v>
      </c>
      <c r="AW157" s="23">
        <f>EXP(-LN(2)/2)*AW156+(1-EXP(-LN(2)/2))/(LN(2)/2)*AQ157*AT157*VLOOKUP('Données projet'!$B$10,Paramètres!$A$1:$I$88,3,0)*0.475*44/12</f>
        <v>3.2155907225761414E-10</v>
      </c>
      <c r="AX157" s="23">
        <f t="shared" si="166"/>
        <v>79.690846206918749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projet'!$B$11,Paramètres!$A$1:$I$88,3,0)*VLOOKUP('Données projet'!$B$11,Paramètres!$A$1:$I$88,5,0)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projet'!$B$11,Paramètres!$A$1:$I$88,3,0)*0.475*44/12</f>
        <v>#N/A</v>
      </c>
      <c r="BQ157" s="23" t="e">
        <f>EXP(-LN(2)/25)*BQ156+(1-EXP(-LN(2)/25))/(LN(2)/25)*Calculateur!BL157*Calculateur!BN157*VLOOKUP('Données projet'!$B$11,Paramètres!$A$1:$I$88,3,0)*0.475*44/12</f>
        <v>#N/A</v>
      </c>
      <c r="BR157" s="23" t="e">
        <f>EXP(-LN(2)/2)*BR156+(1-EXP(-LN(2)/2))/(LN(2)/2)*BL157*BO157*VLOOKUP('Données projet'!$B$11,Paramètres!$A$1:$I$88,3,0)*0.475*44/12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projet'!$B$12,Paramètres!$A$1:$I$88,3,0)*0.475*44/12</f>
        <v>#N/A</v>
      </c>
      <c r="CL157" s="23" t="e">
        <f>EXP(-LN(2)/25)*CL156+(1-EXP(-LN(2)/25))/(LN(2)/25)*Calculateur!CG157*Calculateur!CI157*VLOOKUP('Données projet'!$B$12,Paramètres!$A$1:$I$88,3,0)*0.475*44/12</f>
        <v>#N/A</v>
      </c>
      <c r="CM157" s="23" t="e">
        <f>EXP(-LN(2)/2)*CM156+(1-EXP(-LN(2)/2))/(LN(2)/2)*CG157*CJ157*VLOOKUP('Données projet'!$B$12,Paramètres!$A$1:$I$88,3,0)*0.475*44/12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5.6843418860808015E-13</v>
      </c>
      <c r="O158" s="14">
        <f>N158*VLOOKUP('Données projet'!$B$9,Paramètres!$A$1:$I$88,3,0)*VLOOKUP('Données projet'!$B$9,Paramètres!$A$1:$I$88,5,0)</f>
        <v>2.6602720026858149E-13</v>
      </c>
      <c r="P158" s="14">
        <f t="shared" si="141"/>
        <v>3.5662905043956649E-12</v>
      </c>
      <c r="Q158" s="22">
        <f t="shared" si="162"/>
        <v>6.6746200022902298E-12</v>
      </c>
      <c r="R158" s="62">
        <f t="shared" si="109"/>
        <v>293.33333333333997</v>
      </c>
      <c r="S158" s="62">
        <f ca="1">AVERAGE(OFFSET($R$3,0,0,'Données projet'!$E$9+1,1))-AVERAGE(OFFSET($H$3,0,0,'Données projet'!$E$9+1,1))</f>
        <v>316.04959780858269</v>
      </c>
      <c r="T158" s="62">
        <f t="shared" si="142"/>
        <v>213.60182977243113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109.74238508486194</v>
      </c>
      <c r="AA158" s="23">
        <f>EXP(-LN(2)/25)*AA157+(1-EXP(-LN(2)/25))/(LN(2)/25)*Calculateur!V158*Calculateur!X158*VLOOKUP('Données projet'!$B$9,Paramètres!$A$1:$I$88,3,0)*0.475*44/12</f>
        <v>14.0818018499603</v>
      </c>
      <c r="AB158" s="23">
        <f>EXP(-LN(2)/2)*AB157+(1-EXP(-LN(2)/2))/(LN(2)/2)*V158*Y158*VLOOKUP('Données projet'!$B$9,Paramètres!$A$1:$I$88,3,0)*0.475*44/12</f>
        <v>0.12909088345489883</v>
      </c>
      <c r="AC158" s="24">
        <f t="shared" si="163"/>
        <v>123.95327781827713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-7.9580786405131221E-13</v>
      </c>
      <c r="AJ158" s="14">
        <f>AI158*VLOOKUP('Données projet'!$B$10,Paramètres!$A$1:$I$88,3,0)*VLOOKUP('Données projet'!$B$10,Paramètres!$A$1:$I$88,5,0)</f>
        <v>-4.448565960046835E-13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583.31979399672844</v>
      </c>
      <c r="AO158" s="62">
        <f t="shared" si="144"/>
        <v>544.21514138474731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69.794029396052068</v>
      </c>
      <c r="AV158" s="23">
        <f>EXP(-LN(2)/25)*AV157+(1-EXP(-LN(2)/25))/(LN(2)/25)*Calculateur!AQ158*Calculateur!AS158*VLOOKUP('Données projet'!$B$10,Paramètres!$A$1:$I$88,3,0)*0.475*44/12</f>
        <v>8.2683684181959443</v>
      </c>
      <c r="AW158" s="23">
        <f>EXP(-LN(2)/2)*AW157+(1-EXP(-LN(2)/2))/(LN(2)/2)*AQ158*AT158*VLOOKUP('Données projet'!$B$10,Paramètres!$A$1:$I$88,3,0)*0.475*44/12</f>
        <v>2.2737660054541399E-10</v>
      </c>
      <c r="AX158" s="23">
        <f t="shared" si="166"/>
        <v>78.062397814475389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projet'!$B$11,Paramètres!$A$1:$I$88,3,0)*VLOOKUP('Données projet'!$B$11,Paramètres!$A$1:$I$88,5,0)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projet'!$B$11,Paramètres!$A$1:$I$88,3,0)*0.475*44/12</f>
        <v>#N/A</v>
      </c>
      <c r="BQ158" s="23" t="e">
        <f>EXP(-LN(2)/25)*BQ157+(1-EXP(-LN(2)/25))/(LN(2)/25)*Calculateur!BL158*Calculateur!BN158*VLOOKUP('Données projet'!$B$11,Paramètres!$A$1:$I$88,3,0)*0.475*44/12</f>
        <v>#N/A</v>
      </c>
      <c r="BR158" s="23" t="e">
        <f>EXP(-LN(2)/2)*BR157+(1-EXP(-LN(2)/2))/(LN(2)/2)*BL158*BO158*VLOOKUP('Données projet'!$B$11,Paramètres!$A$1:$I$88,3,0)*0.475*44/12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projet'!$B$12,Paramètres!$A$1:$I$88,3,0)*0.475*44/12</f>
        <v>#N/A</v>
      </c>
      <c r="CL158" s="23" t="e">
        <f>EXP(-LN(2)/25)*CL157+(1-EXP(-LN(2)/25))/(LN(2)/25)*Calculateur!CG158*Calculateur!CI158*VLOOKUP('Données projet'!$B$12,Paramètres!$A$1:$I$88,3,0)*0.475*44/12</f>
        <v>#N/A</v>
      </c>
      <c r="CM158" s="23" t="e">
        <f>EXP(-LN(2)/2)*CM157+(1-EXP(-LN(2)/2))/(LN(2)/2)*CG158*CJ158*VLOOKUP('Données projet'!$B$12,Paramètres!$A$1:$I$88,3,0)*0.475*44/12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5.6843418860808015E-13</v>
      </c>
      <c r="O159" s="14">
        <f>N159*VLOOKUP('Données projet'!$B$9,Paramètres!$A$1:$I$88,3,0)*VLOOKUP('Données projet'!$B$9,Paramètres!$A$1:$I$88,5,0)</f>
        <v>2.6602720026858149E-13</v>
      </c>
      <c r="P159" s="14">
        <f t="shared" si="141"/>
        <v>3.5662905043956649E-12</v>
      </c>
      <c r="Q159" s="22">
        <f t="shared" si="162"/>
        <v>6.6746200022902298E-12</v>
      </c>
      <c r="R159" s="62">
        <f t="shared" si="109"/>
        <v>293.33333333333997</v>
      </c>
      <c r="S159" s="62">
        <f ca="1">AVERAGE(OFFSET($R$3,0,0,'Données projet'!$E$9+1,1))-AVERAGE(OFFSET($H$3,0,0,'Données projet'!$E$9+1,1))</f>
        <v>316.04959780858269</v>
      </c>
      <c r="T159" s="62">
        <f t="shared" si="142"/>
        <v>213.60182977243113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107.59040384959329</v>
      </c>
      <c r="AA159" s="23">
        <f>EXP(-LN(2)/25)*AA158+(1-EXP(-LN(2)/25))/(LN(2)/25)*Calculateur!V159*Calculateur!X159*VLOOKUP('Données projet'!$B$9,Paramètres!$A$1:$I$88,3,0)*0.475*44/12</f>
        <v>13.69673423784336</v>
      </c>
      <c r="AB159" s="23">
        <f>EXP(-LN(2)/2)*AB158+(1-EXP(-LN(2)/2))/(LN(2)/2)*V159*Y159*VLOOKUP('Données projet'!$B$9,Paramètres!$A$1:$I$88,3,0)*0.475*44/12</f>
        <v>9.1281039080321258E-2</v>
      </c>
      <c r="AC159" s="24">
        <f t="shared" si="163"/>
        <v>121.37841912651696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-7.9580786405131221E-13</v>
      </c>
      <c r="AJ159" s="14">
        <f>AI159*VLOOKUP('Données projet'!$B$10,Paramètres!$A$1:$I$88,3,0)*VLOOKUP('Données projet'!$B$10,Paramètres!$A$1:$I$88,5,0)</f>
        <v>-4.448565960046835E-13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583.31979399672844</v>
      </c>
      <c r="AO159" s="62">
        <f t="shared" si="144"/>
        <v>544.21514138474731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68.425411049749968</v>
      </c>
      <c r="AV159" s="23">
        <f>EXP(-LN(2)/25)*AV158+(1-EXP(-LN(2)/25))/(LN(2)/25)*Calculateur!AQ159*Calculateur!AS159*VLOOKUP('Données projet'!$B$10,Paramètres!$A$1:$I$88,3,0)*0.475*44/12</f>
        <v>8.0422694489857793</v>
      </c>
      <c r="AW159" s="23">
        <f>EXP(-LN(2)/2)*AW158+(1-EXP(-LN(2)/2))/(LN(2)/2)*AQ159*AT159*VLOOKUP('Données projet'!$B$10,Paramètres!$A$1:$I$88,3,0)*0.475*44/12</f>
        <v>1.6077953612880709E-10</v>
      </c>
      <c r="AX159" s="23">
        <f t="shared" si="166"/>
        <v>76.467680498896527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projet'!$B$11,Paramètres!$A$1:$I$88,3,0)*VLOOKUP('Données projet'!$B$11,Paramètres!$A$1:$I$88,5,0)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projet'!$B$11,Paramètres!$A$1:$I$88,3,0)*0.475*44/12</f>
        <v>#N/A</v>
      </c>
      <c r="BQ159" s="23" t="e">
        <f>EXP(-LN(2)/25)*BQ158+(1-EXP(-LN(2)/25))/(LN(2)/25)*Calculateur!BL159*Calculateur!BN159*VLOOKUP('Données projet'!$B$11,Paramètres!$A$1:$I$88,3,0)*0.475*44/12</f>
        <v>#N/A</v>
      </c>
      <c r="BR159" s="23" t="e">
        <f>EXP(-LN(2)/2)*BR158+(1-EXP(-LN(2)/2))/(LN(2)/2)*BL159*BO159*VLOOKUP('Données projet'!$B$11,Paramètres!$A$1:$I$88,3,0)*0.475*44/12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projet'!$B$12,Paramètres!$A$1:$I$88,3,0)*0.475*44/12</f>
        <v>#N/A</v>
      </c>
      <c r="CL159" s="23" t="e">
        <f>EXP(-LN(2)/25)*CL158+(1-EXP(-LN(2)/25))/(LN(2)/25)*Calculateur!CG159*Calculateur!CI159*VLOOKUP('Données projet'!$B$12,Paramètres!$A$1:$I$88,3,0)*0.475*44/12</f>
        <v>#N/A</v>
      </c>
      <c r="CM159" s="23" t="e">
        <f>EXP(-LN(2)/2)*CM158+(1-EXP(-LN(2)/2))/(LN(2)/2)*CG159*CJ159*VLOOKUP('Données projet'!$B$12,Paramètres!$A$1:$I$88,3,0)*0.475*44/12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5.6843418860808015E-13</v>
      </c>
      <c r="O160" s="14">
        <f>N160*VLOOKUP('Données projet'!$B$9,Paramètres!$A$1:$I$88,3,0)*VLOOKUP('Données projet'!$B$9,Paramètres!$A$1:$I$88,5,0)</f>
        <v>2.6602720026858149E-13</v>
      </c>
      <c r="P160" s="14">
        <f t="shared" si="141"/>
        <v>3.5662905043956649E-12</v>
      </c>
      <c r="Q160" s="22">
        <f t="shared" si="162"/>
        <v>6.6746200022902298E-12</v>
      </c>
      <c r="R160" s="62">
        <f t="shared" si="109"/>
        <v>293.33333333333997</v>
      </c>
      <c r="S160" s="62">
        <f ca="1">AVERAGE(OFFSET($R$3,0,0,'Données projet'!$E$9+1,1))-AVERAGE(OFFSET($H$3,0,0,'Données projet'!$E$9+1,1))</f>
        <v>316.04959780858269</v>
      </c>
      <c r="T160" s="62">
        <f t="shared" si="142"/>
        <v>213.60182977243113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105.4806216537693</v>
      </c>
      <c r="AA160" s="23">
        <f>EXP(-LN(2)/25)*AA159+(1-EXP(-LN(2)/25))/(LN(2)/25)*Calculateur!V160*Calculateur!X160*VLOOKUP('Données projet'!$B$9,Paramètres!$A$1:$I$88,3,0)*0.475*44/12</f>
        <v>13.322196319829585</v>
      </c>
      <c r="AB160" s="23">
        <f>EXP(-LN(2)/2)*AB159+(1-EXP(-LN(2)/2))/(LN(2)/2)*V160*Y160*VLOOKUP('Données projet'!$B$9,Paramètres!$A$1:$I$88,3,0)*0.475*44/12</f>
        <v>6.4545441727449415E-2</v>
      </c>
      <c r="AC160" s="24">
        <f t="shared" si="163"/>
        <v>118.86736341532634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-7.9580786405131221E-13</v>
      </c>
      <c r="AJ160" s="14">
        <f>AI160*VLOOKUP('Données projet'!$B$10,Paramètres!$A$1:$I$88,3,0)*VLOOKUP('Données projet'!$B$10,Paramètres!$A$1:$I$88,5,0)</f>
        <v>-4.448565960046835E-13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583.31979399672844</v>
      </c>
      <c r="AO160" s="62">
        <f t="shared" si="144"/>
        <v>544.21514138474731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67.083630474444078</v>
      </c>
      <c r="AV160" s="23">
        <f>EXP(-LN(2)/25)*AV159+(1-EXP(-LN(2)/25))/(LN(2)/25)*Calculateur!AQ160*Calculateur!AS160*VLOOKUP('Données projet'!$B$10,Paramètres!$A$1:$I$88,3,0)*0.475*44/12</f>
        <v>7.8223531679786937</v>
      </c>
      <c r="AW160" s="23">
        <f>EXP(-LN(2)/2)*AW159+(1-EXP(-LN(2)/2))/(LN(2)/2)*AQ160*AT160*VLOOKUP('Données projet'!$B$10,Paramètres!$A$1:$I$88,3,0)*0.475*44/12</f>
        <v>1.1368830027270702E-10</v>
      </c>
      <c r="AX160" s="23">
        <f t="shared" si="166"/>
        <v>74.905983642536455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projet'!$B$11,Paramètres!$A$1:$I$88,3,0)*VLOOKUP('Données projet'!$B$11,Paramètres!$A$1:$I$88,5,0)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projet'!$B$11,Paramètres!$A$1:$I$88,3,0)*0.475*44/12</f>
        <v>#N/A</v>
      </c>
      <c r="BQ160" s="23" t="e">
        <f>EXP(-LN(2)/25)*BQ159+(1-EXP(-LN(2)/25))/(LN(2)/25)*Calculateur!BL160*Calculateur!BN160*VLOOKUP('Données projet'!$B$11,Paramètres!$A$1:$I$88,3,0)*0.475*44/12</f>
        <v>#N/A</v>
      </c>
      <c r="BR160" s="23" t="e">
        <f>EXP(-LN(2)/2)*BR159+(1-EXP(-LN(2)/2))/(LN(2)/2)*BL160*BO160*VLOOKUP('Données projet'!$B$11,Paramètres!$A$1:$I$88,3,0)*0.475*44/12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projet'!$B$12,Paramètres!$A$1:$I$88,3,0)*0.475*44/12</f>
        <v>#N/A</v>
      </c>
      <c r="CL160" s="23" t="e">
        <f>EXP(-LN(2)/25)*CL159+(1-EXP(-LN(2)/25))/(LN(2)/25)*Calculateur!CG160*Calculateur!CI160*VLOOKUP('Données projet'!$B$12,Paramètres!$A$1:$I$88,3,0)*0.475*44/12</f>
        <v>#N/A</v>
      </c>
      <c r="CM160" s="23" t="e">
        <f>EXP(-LN(2)/2)*CM159+(1-EXP(-LN(2)/2))/(LN(2)/2)*CG160*CJ160*VLOOKUP('Données projet'!$B$12,Paramètres!$A$1:$I$88,3,0)*0.475*44/12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5.6843418860808015E-13</v>
      </c>
      <c r="O161" s="14">
        <f>N161*VLOOKUP('Données projet'!$B$9,Paramètres!$A$1:$I$88,3,0)*VLOOKUP('Données projet'!$B$9,Paramètres!$A$1:$I$88,5,0)</f>
        <v>2.6602720026858149E-13</v>
      </c>
      <c r="P161" s="14">
        <f t="shared" si="141"/>
        <v>3.5662905043956649E-12</v>
      </c>
      <c r="Q161" s="22">
        <f t="shared" si="162"/>
        <v>6.6746200022902298E-12</v>
      </c>
      <c r="R161" s="62">
        <f t="shared" si="109"/>
        <v>293.33333333333997</v>
      </c>
      <c r="S161" s="62">
        <f ca="1">AVERAGE(OFFSET($R$3,0,0,'Données projet'!$E$9+1,1))-AVERAGE(OFFSET($H$3,0,0,'Données projet'!$E$9+1,1))</f>
        <v>316.04959780858269</v>
      </c>
      <c r="T161" s="62">
        <f t="shared" si="142"/>
        <v>213.60182977243113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103.41221099996537</v>
      </c>
      <c r="AA161" s="23">
        <f>EXP(-LN(2)/25)*AA160+(1-EXP(-LN(2)/25))/(LN(2)/25)*Calculateur!V161*Calculateur!X161*VLOOKUP('Données projet'!$B$9,Paramètres!$A$1:$I$88,3,0)*0.475*44/12</f>
        <v>12.957900160879989</v>
      </c>
      <c r="AB161" s="23">
        <f>EXP(-LN(2)/2)*AB160+(1-EXP(-LN(2)/2))/(LN(2)/2)*V161*Y161*VLOOKUP('Données projet'!$B$9,Paramètres!$A$1:$I$88,3,0)*0.475*44/12</f>
        <v>4.5640519540160629E-2</v>
      </c>
      <c r="AC161" s="24">
        <f t="shared" si="163"/>
        <v>116.41575168038551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-7.9580786405131221E-13</v>
      </c>
      <c r="AJ161" s="14">
        <f>AI161*VLOOKUP('Données projet'!$B$10,Paramètres!$A$1:$I$88,3,0)*VLOOKUP('Données projet'!$B$10,Paramètres!$A$1:$I$88,5,0)</f>
        <v>-4.448565960046835E-13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583.31979399672844</v>
      </c>
      <c r="AO161" s="62">
        <f t="shared" si="144"/>
        <v>544.21514138474731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65.768161397814609</v>
      </c>
      <c r="AV161" s="23">
        <f>EXP(-LN(2)/25)*AV160+(1-EXP(-LN(2)/25))/(LN(2)/25)*Calculateur!AQ161*Calculateur!AS161*VLOOKUP('Données projet'!$B$10,Paramètres!$A$1:$I$88,3,0)*0.475*44/12</f>
        <v>7.6084505092406411</v>
      </c>
      <c r="AW161" s="23">
        <f>EXP(-LN(2)/2)*AW160+(1-EXP(-LN(2)/2))/(LN(2)/2)*AQ161*AT161*VLOOKUP('Données projet'!$B$10,Paramètres!$A$1:$I$88,3,0)*0.475*44/12</f>
        <v>8.038976806440356E-11</v>
      </c>
      <c r="AX161" s="23">
        <f t="shared" si="166"/>
        <v>73.37661190713564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projet'!$B$11,Paramètres!$A$1:$I$88,3,0)*VLOOKUP('Données projet'!$B$11,Paramètres!$A$1:$I$88,5,0)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projet'!$B$11,Paramètres!$A$1:$I$88,3,0)*0.475*44/12</f>
        <v>#N/A</v>
      </c>
      <c r="BQ161" s="23" t="e">
        <f>EXP(-LN(2)/25)*BQ160+(1-EXP(-LN(2)/25))/(LN(2)/25)*Calculateur!BL161*Calculateur!BN161*VLOOKUP('Données projet'!$B$11,Paramètres!$A$1:$I$88,3,0)*0.475*44/12</f>
        <v>#N/A</v>
      </c>
      <c r="BR161" s="23" t="e">
        <f>EXP(-LN(2)/2)*BR160+(1-EXP(-LN(2)/2))/(LN(2)/2)*BL161*BO161*VLOOKUP('Données projet'!$B$11,Paramètres!$A$1:$I$88,3,0)*0.475*44/12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projet'!$B$12,Paramètres!$A$1:$I$88,3,0)*0.475*44/12</f>
        <v>#N/A</v>
      </c>
      <c r="CL161" s="23" t="e">
        <f>EXP(-LN(2)/25)*CL160+(1-EXP(-LN(2)/25))/(LN(2)/25)*Calculateur!CG161*Calculateur!CI161*VLOOKUP('Données projet'!$B$12,Paramètres!$A$1:$I$88,3,0)*0.475*44/12</f>
        <v>#N/A</v>
      </c>
      <c r="CM161" s="23" t="e">
        <f>EXP(-LN(2)/2)*CM160+(1-EXP(-LN(2)/2))/(LN(2)/2)*CG161*CJ161*VLOOKUP('Données projet'!$B$12,Paramètres!$A$1:$I$88,3,0)*0.475*44/12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5.6843418860808015E-13</v>
      </c>
      <c r="O162" s="14">
        <f>N162*VLOOKUP('Données projet'!$B$9,Paramètres!$A$1:$I$88,3,0)*VLOOKUP('Données projet'!$B$9,Paramètres!$A$1:$I$88,5,0)</f>
        <v>2.6602720026858149E-13</v>
      </c>
      <c r="P162" s="14">
        <f t="shared" si="141"/>
        <v>3.5662905043956649E-12</v>
      </c>
      <c r="Q162" s="22">
        <f t="shared" si="162"/>
        <v>6.6746200022902298E-12</v>
      </c>
      <c r="R162" s="62">
        <f t="shared" si="109"/>
        <v>293.33333333333997</v>
      </c>
      <c r="S162" s="62">
        <f ca="1">AVERAGE(OFFSET($R$3,0,0,'Données projet'!$E$9+1,1))-AVERAGE(OFFSET($H$3,0,0,'Données projet'!$E$9+1,1))</f>
        <v>316.04959780858269</v>
      </c>
      <c r="T162" s="62">
        <f t="shared" si="142"/>
        <v>213.60182977243113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101.3843606174766</v>
      </c>
      <c r="AA162" s="23">
        <f>EXP(-LN(2)/25)*AA161+(1-EXP(-LN(2)/25))/(LN(2)/25)*Calculateur!V162*Calculateur!X162*VLOOKUP('Données projet'!$B$9,Paramètres!$A$1:$I$88,3,0)*0.475*44/12</f>
        <v>12.603565699554371</v>
      </c>
      <c r="AB162" s="23">
        <f>EXP(-LN(2)/2)*AB161+(1-EXP(-LN(2)/2))/(LN(2)/2)*V162*Y162*VLOOKUP('Données projet'!$B$9,Paramètres!$A$1:$I$88,3,0)*0.475*44/12</f>
        <v>3.2272720863724708E-2</v>
      </c>
      <c r="AC162" s="24">
        <f t="shared" si="163"/>
        <v>114.0201990378947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-7.9580786405131221E-13</v>
      </c>
      <c r="AJ162" s="14">
        <f>AI162*VLOOKUP('Données projet'!$B$10,Paramètres!$A$1:$I$88,3,0)*VLOOKUP('Données projet'!$B$10,Paramètres!$A$1:$I$88,5,0)</f>
        <v>-4.448565960046835E-13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583.31979399672844</v>
      </c>
      <c r="AO162" s="62">
        <f t="shared" si="144"/>
        <v>544.21514138474731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64.478487867420924</v>
      </c>
      <c r="AV162" s="23">
        <f>EXP(-LN(2)/25)*AV161+(1-EXP(-LN(2)/25))/(LN(2)/25)*Calculateur!AQ162*Calculateur!AS162*VLOOKUP('Données projet'!$B$10,Paramètres!$A$1:$I$88,3,0)*0.475*44/12</f>
        <v>7.4003970299544326</v>
      </c>
      <c r="AW162" s="23">
        <f>EXP(-LN(2)/2)*AW161+(1-EXP(-LN(2)/2))/(LN(2)/2)*AQ162*AT162*VLOOKUP('Données projet'!$B$10,Paramètres!$A$1:$I$88,3,0)*0.475*44/12</f>
        <v>5.6844150136353518E-11</v>
      </c>
      <c r="AX162" s="23">
        <f t="shared" si="166"/>
        <v>71.878884897432201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projet'!$B$11,Paramètres!$A$1:$I$88,3,0)*VLOOKUP('Données projet'!$B$11,Paramètres!$A$1:$I$88,5,0)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projet'!$B$11,Paramètres!$A$1:$I$88,3,0)*0.475*44/12</f>
        <v>#N/A</v>
      </c>
      <c r="BQ162" s="23" t="e">
        <f>EXP(-LN(2)/25)*BQ161+(1-EXP(-LN(2)/25))/(LN(2)/25)*Calculateur!BL162*Calculateur!BN162*VLOOKUP('Données projet'!$B$11,Paramètres!$A$1:$I$88,3,0)*0.475*44/12</f>
        <v>#N/A</v>
      </c>
      <c r="BR162" s="23" t="e">
        <f>EXP(-LN(2)/2)*BR161+(1-EXP(-LN(2)/2))/(LN(2)/2)*BL162*BO162*VLOOKUP('Données projet'!$B$11,Paramètres!$A$1:$I$88,3,0)*0.475*44/12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projet'!$B$12,Paramètres!$A$1:$I$88,3,0)*0.475*44/12</f>
        <v>#N/A</v>
      </c>
      <c r="CL162" s="23" t="e">
        <f>EXP(-LN(2)/25)*CL161+(1-EXP(-LN(2)/25))/(LN(2)/25)*Calculateur!CG162*Calculateur!CI162*VLOOKUP('Données projet'!$B$12,Paramètres!$A$1:$I$88,3,0)*0.475*44/12</f>
        <v>#N/A</v>
      </c>
      <c r="CM162" s="23" t="e">
        <f>EXP(-LN(2)/2)*CM161+(1-EXP(-LN(2)/2))/(LN(2)/2)*CG162*CJ162*VLOOKUP('Données projet'!$B$12,Paramètres!$A$1:$I$88,3,0)*0.475*44/12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5.6843418860808015E-13</v>
      </c>
      <c r="O163" s="14">
        <f>N163*VLOOKUP('Données projet'!$B$9,Paramètres!$A$1:$I$88,3,0)*VLOOKUP('Données projet'!$B$9,Paramètres!$A$1:$I$88,5,0)</f>
        <v>2.6602720026858149E-13</v>
      </c>
      <c r="P163" s="14">
        <f t="shared" si="141"/>
        <v>3.5662905043956649E-12</v>
      </c>
      <c r="Q163" s="22">
        <f t="shared" si="162"/>
        <v>6.6746200022902298E-12</v>
      </c>
      <c r="R163" s="62">
        <f t="shared" si="109"/>
        <v>293.33333333333997</v>
      </c>
      <c r="S163" s="62">
        <f ca="1">AVERAGE(OFFSET($R$3,0,0,'Données projet'!$E$9+1,1))-AVERAGE(OFFSET($H$3,0,0,'Données projet'!$E$9+1,1))</f>
        <v>316.04959780858269</v>
      </c>
      <c r="T163" s="62">
        <f t="shared" si="142"/>
        <v>213.60182977243113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99.39627514412183</v>
      </c>
      <c r="AA163" s="23">
        <f>EXP(-LN(2)/25)*AA162+(1-EXP(-LN(2)/25))/(LN(2)/25)*Calculateur!V163*Calculateur!X163*VLOOKUP('Données projet'!$B$9,Paramètres!$A$1:$I$88,3,0)*0.475*44/12</f>
        <v>12.258920532707343</v>
      </c>
      <c r="AB163" s="23">
        <f>EXP(-LN(2)/2)*AB162+(1-EXP(-LN(2)/2))/(LN(2)/2)*V163*Y163*VLOOKUP('Données projet'!$B$9,Paramètres!$A$1:$I$88,3,0)*0.475*44/12</f>
        <v>2.2820259770080314E-2</v>
      </c>
      <c r="AC163" s="24">
        <f t="shared" si="163"/>
        <v>111.67801593659927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-7.9580786405131221E-13</v>
      </c>
      <c r="AJ163" s="14">
        <f>AI163*VLOOKUP('Données projet'!$B$10,Paramètres!$A$1:$I$88,3,0)*VLOOKUP('Données projet'!$B$10,Paramètres!$A$1:$I$88,5,0)</f>
        <v>-4.448565960046835E-13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583.31979399672844</v>
      </c>
      <c r="AO163" s="62">
        <f t="shared" si="144"/>
        <v>544.21514138474731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63.214104048335081</v>
      </c>
      <c r="AV163" s="23">
        <f>EXP(-LN(2)/25)*AV162+(1-EXP(-LN(2)/25))/(LN(2)/25)*Calculateur!AQ163*Calculateur!AS163*VLOOKUP('Données projet'!$B$10,Paramètres!$A$1:$I$88,3,0)*0.475*44/12</f>
        <v>7.1980327840003628</v>
      </c>
      <c r="AW163" s="23">
        <f>EXP(-LN(2)/2)*AW162+(1-EXP(-LN(2)/2))/(LN(2)/2)*AQ163*AT163*VLOOKUP('Données projet'!$B$10,Paramètres!$A$1:$I$88,3,0)*0.475*44/12</f>
        <v>4.0194884032201787E-11</v>
      </c>
      <c r="AX163" s="23">
        <f t="shared" si="166"/>
        <v>70.412136832375637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projet'!$B$11,Paramètres!$A$1:$I$88,3,0)*VLOOKUP('Données projet'!$B$11,Paramètres!$A$1:$I$88,5,0)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projet'!$B$11,Paramètres!$A$1:$I$88,3,0)*0.475*44/12</f>
        <v>#N/A</v>
      </c>
      <c r="BQ163" s="23" t="e">
        <f>EXP(-LN(2)/25)*BQ162+(1-EXP(-LN(2)/25))/(LN(2)/25)*Calculateur!BL163*Calculateur!BN163*VLOOKUP('Données projet'!$B$11,Paramètres!$A$1:$I$88,3,0)*0.475*44/12</f>
        <v>#N/A</v>
      </c>
      <c r="BR163" s="23" t="e">
        <f>EXP(-LN(2)/2)*BR162+(1-EXP(-LN(2)/2))/(LN(2)/2)*BL163*BO163*VLOOKUP('Données projet'!$B$11,Paramètres!$A$1:$I$88,3,0)*0.475*44/12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projet'!$B$12,Paramètres!$A$1:$I$88,3,0)*0.475*44/12</f>
        <v>#N/A</v>
      </c>
      <c r="CL163" s="23" t="e">
        <f>EXP(-LN(2)/25)*CL162+(1-EXP(-LN(2)/25))/(LN(2)/25)*Calculateur!CG163*Calculateur!CI163*VLOOKUP('Données projet'!$B$12,Paramètres!$A$1:$I$88,3,0)*0.475*44/12</f>
        <v>#N/A</v>
      </c>
      <c r="CM163" s="23" t="e">
        <f>EXP(-LN(2)/2)*CM162+(1-EXP(-LN(2)/2))/(LN(2)/2)*CG163*CJ163*VLOOKUP('Données projet'!$B$12,Paramètres!$A$1:$I$88,3,0)*0.475*44/12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5.6843418860808015E-13</v>
      </c>
      <c r="O164" s="14">
        <f>N164*VLOOKUP('Données projet'!$B$9,Paramètres!$A$1:$I$88,3,0)*VLOOKUP('Données projet'!$B$9,Paramètres!$A$1:$I$88,5,0)</f>
        <v>2.6602720026858149E-13</v>
      </c>
      <c r="P164" s="14">
        <f t="shared" si="141"/>
        <v>3.5662905043956649E-12</v>
      </c>
      <c r="Q164" s="22">
        <f t="shared" si="162"/>
        <v>6.6746200022902298E-12</v>
      </c>
      <c r="R164" s="62">
        <f t="shared" si="109"/>
        <v>293.33333333333997</v>
      </c>
      <c r="S164" s="62">
        <f ca="1">AVERAGE(OFFSET($R$3,0,0,'Données projet'!$E$9+1,1))-AVERAGE(OFFSET($H$3,0,0,'Données projet'!$E$9+1,1))</f>
        <v>316.04959780858269</v>
      </c>
      <c r="T164" s="62">
        <f t="shared" si="142"/>
        <v>213.60182977243113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97.447174814287138</v>
      </c>
      <c r="AA164" s="23">
        <f>EXP(-LN(2)/25)*AA163+(1-EXP(-LN(2)/25))/(LN(2)/25)*Calculateur!V164*Calculateur!X164*VLOOKUP('Données projet'!$B$9,Paramètres!$A$1:$I$88,3,0)*0.475*44/12</f>
        <v>11.923699706071847</v>
      </c>
      <c r="AB164" s="23">
        <f>EXP(-LN(2)/2)*AB163+(1-EXP(-LN(2)/2))/(LN(2)/2)*V164*Y164*VLOOKUP('Données projet'!$B$9,Paramètres!$A$1:$I$88,3,0)*0.475*44/12</f>
        <v>1.6136360431862354E-2</v>
      </c>
      <c r="AC164" s="24">
        <f t="shared" si="163"/>
        <v>109.38701088079084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-7.9580786405131221E-13</v>
      </c>
      <c r="AJ164" s="14">
        <f>AI164*VLOOKUP('Données projet'!$B$10,Paramètres!$A$1:$I$88,3,0)*VLOOKUP('Données projet'!$B$10,Paramètres!$A$1:$I$88,5,0)</f>
        <v>-4.448565960046835E-13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583.31979399672844</v>
      </c>
      <c r="AO164" s="62">
        <f t="shared" si="144"/>
        <v>544.21514138474731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61.974514024743534</v>
      </c>
      <c r="AV164" s="23">
        <f>EXP(-LN(2)/25)*AV163+(1-EXP(-LN(2)/25))/(LN(2)/25)*Calculateur!AQ164*Calculateur!AS164*VLOOKUP('Données projet'!$B$10,Paramètres!$A$1:$I$88,3,0)*0.475*44/12</f>
        <v>7.0012021989937798</v>
      </c>
      <c r="AW164" s="23">
        <f>EXP(-LN(2)/2)*AW163+(1-EXP(-LN(2)/2))/(LN(2)/2)*AQ164*AT164*VLOOKUP('Données projet'!$B$10,Paramètres!$A$1:$I$88,3,0)*0.475*44/12</f>
        <v>2.8422075068176765E-11</v>
      </c>
      <c r="AX164" s="23">
        <f t="shared" si="166"/>
        <v>68.97571622376573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projet'!$B$11,Paramètres!$A$1:$I$88,3,0)*VLOOKUP('Données projet'!$B$11,Paramètres!$A$1:$I$88,5,0)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projet'!$B$11,Paramètres!$A$1:$I$88,3,0)*0.475*44/12</f>
        <v>#N/A</v>
      </c>
      <c r="BQ164" s="23" t="e">
        <f>EXP(-LN(2)/25)*BQ163+(1-EXP(-LN(2)/25))/(LN(2)/25)*Calculateur!BL164*Calculateur!BN164*VLOOKUP('Données projet'!$B$11,Paramètres!$A$1:$I$88,3,0)*0.475*44/12</f>
        <v>#N/A</v>
      </c>
      <c r="BR164" s="23" t="e">
        <f>EXP(-LN(2)/2)*BR163+(1-EXP(-LN(2)/2))/(LN(2)/2)*BL164*BO164*VLOOKUP('Données projet'!$B$11,Paramètres!$A$1:$I$88,3,0)*0.475*44/12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projet'!$B$12,Paramètres!$A$1:$I$88,3,0)*0.475*44/12</f>
        <v>#N/A</v>
      </c>
      <c r="CL164" s="23" t="e">
        <f>EXP(-LN(2)/25)*CL163+(1-EXP(-LN(2)/25))/(LN(2)/25)*Calculateur!CG164*Calculateur!CI164*VLOOKUP('Données projet'!$B$12,Paramètres!$A$1:$I$88,3,0)*0.475*44/12</f>
        <v>#N/A</v>
      </c>
      <c r="CM164" s="23" t="e">
        <f>EXP(-LN(2)/2)*CM163+(1-EXP(-LN(2)/2))/(LN(2)/2)*CG164*CJ164*VLOOKUP('Données projet'!$B$12,Paramètres!$A$1:$I$88,3,0)*0.475*44/12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5.6843418860808015E-13</v>
      </c>
      <c r="O165" s="14">
        <f>N165*VLOOKUP('Données projet'!$B$9,Paramètres!$A$1:$I$88,3,0)*VLOOKUP('Données projet'!$B$9,Paramètres!$A$1:$I$88,5,0)</f>
        <v>2.6602720026858149E-13</v>
      </c>
      <c r="P165" s="14">
        <f t="shared" si="141"/>
        <v>3.5662905043956649E-12</v>
      </c>
      <c r="Q165" s="22">
        <f t="shared" si="162"/>
        <v>6.6746200022902298E-12</v>
      </c>
      <c r="R165" s="62">
        <f t="shared" si="109"/>
        <v>293.33333333333997</v>
      </c>
      <c r="S165" s="62">
        <f ca="1">AVERAGE(OFFSET($R$3,0,0,'Données projet'!$E$9+1,1))-AVERAGE(OFFSET($H$3,0,0,'Données projet'!$E$9+1,1))</f>
        <v>316.04959780858269</v>
      </c>
      <c r="T165" s="62">
        <f t="shared" si="142"/>
        <v>213.60182977243113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95.536295153086698</v>
      </c>
      <c r="AA165" s="23">
        <f>EXP(-LN(2)/25)*AA164+(1-EXP(-LN(2)/25))/(LN(2)/25)*Calculateur!V165*Calculateur!X165*VLOOKUP('Données projet'!$B$9,Paramètres!$A$1:$I$88,3,0)*0.475*44/12</f>
        <v>11.597645510569198</v>
      </c>
      <c r="AB165" s="23">
        <f>EXP(-LN(2)/2)*AB164+(1-EXP(-LN(2)/2))/(LN(2)/2)*V165*Y165*VLOOKUP('Données projet'!$B$9,Paramètres!$A$1:$I$88,3,0)*0.475*44/12</f>
        <v>1.1410129885040157E-2</v>
      </c>
      <c r="AC165" s="24">
        <f t="shared" si="163"/>
        <v>107.14535079354093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-7.9580786405131221E-13</v>
      </c>
      <c r="AJ165" s="14">
        <f>AI165*VLOOKUP('Données projet'!$B$10,Paramètres!$A$1:$I$88,3,0)*VLOOKUP('Données projet'!$B$10,Paramètres!$A$1:$I$88,5,0)</f>
        <v>-4.448565960046835E-13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583.31979399672844</v>
      </c>
      <c r="AO165" s="62">
        <f t="shared" si="144"/>
        <v>544.21514138474731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60.759231605439361</v>
      </c>
      <c r="AV165" s="23">
        <f>EXP(-LN(2)/25)*AV164+(1-EXP(-LN(2)/25))/(LN(2)/25)*Calculateur!AQ165*Calculateur!AS165*VLOOKUP('Données projet'!$B$10,Paramètres!$A$1:$I$88,3,0)*0.475*44/12</f>
        <v>6.8097539566850731</v>
      </c>
      <c r="AW165" s="23">
        <f>EXP(-LN(2)/2)*AW164+(1-EXP(-LN(2)/2))/(LN(2)/2)*AQ165*AT165*VLOOKUP('Données projet'!$B$10,Paramètres!$A$1:$I$88,3,0)*0.475*44/12</f>
        <v>2.0097442016100897E-11</v>
      </c>
      <c r="AX165" s="23">
        <f t="shared" si="166"/>
        <v>67.568985562144533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projet'!$B$11,Paramètres!$A$1:$I$88,3,0)*VLOOKUP('Données projet'!$B$11,Paramètres!$A$1:$I$88,5,0)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projet'!$B$11,Paramètres!$A$1:$I$88,3,0)*0.475*44/12</f>
        <v>#N/A</v>
      </c>
      <c r="BQ165" s="23" t="e">
        <f>EXP(-LN(2)/25)*BQ164+(1-EXP(-LN(2)/25))/(LN(2)/25)*Calculateur!BL165*Calculateur!BN165*VLOOKUP('Données projet'!$B$11,Paramètres!$A$1:$I$88,3,0)*0.475*44/12</f>
        <v>#N/A</v>
      </c>
      <c r="BR165" s="23" t="e">
        <f>EXP(-LN(2)/2)*BR164+(1-EXP(-LN(2)/2))/(LN(2)/2)*BL165*BO165*VLOOKUP('Données projet'!$B$11,Paramètres!$A$1:$I$88,3,0)*0.475*44/12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projet'!$B$12,Paramètres!$A$1:$I$88,3,0)*0.475*44/12</f>
        <v>#N/A</v>
      </c>
      <c r="CL165" s="23" t="e">
        <f>EXP(-LN(2)/25)*CL164+(1-EXP(-LN(2)/25))/(LN(2)/25)*Calculateur!CG165*Calculateur!CI165*VLOOKUP('Données projet'!$B$12,Paramètres!$A$1:$I$88,3,0)*0.475*44/12</f>
        <v>#N/A</v>
      </c>
      <c r="CM165" s="23" t="e">
        <f>EXP(-LN(2)/2)*CM164+(1-EXP(-LN(2)/2))/(LN(2)/2)*CG165*CJ165*VLOOKUP('Données projet'!$B$12,Paramètres!$A$1:$I$88,3,0)*0.475*44/12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5.6843418860808015E-13</v>
      </c>
      <c r="O166" s="14">
        <f>N166*VLOOKUP('Données projet'!$B$9,Paramètres!$A$1:$I$88,3,0)*VLOOKUP('Données projet'!$B$9,Paramètres!$A$1:$I$88,5,0)</f>
        <v>2.6602720026858149E-13</v>
      </c>
      <c r="P166" s="14">
        <f t="shared" si="141"/>
        <v>3.5662905043956649E-12</v>
      </c>
      <c r="Q166" s="22">
        <f t="shared" si="162"/>
        <v>6.6746200022902298E-12</v>
      </c>
      <c r="R166" s="62">
        <f t="shared" si="109"/>
        <v>293.33333333333997</v>
      </c>
      <c r="S166" s="62">
        <f ca="1">AVERAGE(OFFSET($R$3,0,0,'Données projet'!$E$9+1,1))-AVERAGE(OFFSET($H$3,0,0,'Données projet'!$E$9+1,1))</f>
        <v>316.04959780858269</v>
      </c>
      <c r="T166" s="62">
        <f t="shared" si="142"/>
        <v>213.60182977243113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93.662886676520884</v>
      </c>
      <c r="AA166" s="23">
        <f>EXP(-LN(2)/25)*AA165+(1-EXP(-LN(2)/25))/(LN(2)/25)*Calculateur!V166*Calculateur!X166*VLOOKUP('Données projet'!$B$9,Paramètres!$A$1:$I$88,3,0)*0.475*44/12</f>
        <v>11.280507284189012</v>
      </c>
      <c r="AB166" s="23">
        <f>EXP(-LN(2)/2)*AB165+(1-EXP(-LN(2)/2))/(LN(2)/2)*V166*Y166*VLOOKUP('Données projet'!$B$9,Paramètres!$A$1:$I$88,3,0)*0.475*44/12</f>
        <v>8.0681802159311769E-3</v>
      </c>
      <c r="AC166" s="24">
        <f t="shared" si="163"/>
        <v>104.95146214092583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-7.9580786405131221E-13</v>
      </c>
      <c r="AJ166" s="14">
        <f>AI166*VLOOKUP('Données projet'!$B$10,Paramètres!$A$1:$I$88,3,0)*VLOOKUP('Données projet'!$B$10,Paramètres!$A$1:$I$88,5,0)</f>
        <v>-4.448565960046835E-13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583.31979399672844</v>
      </c>
      <c r="AO166" s="62">
        <f t="shared" si="144"/>
        <v>544.21514138474731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59.567780133128657</v>
      </c>
      <c r="AV166" s="23">
        <f>EXP(-LN(2)/25)*AV165+(1-EXP(-LN(2)/25))/(LN(2)/25)*Calculateur!AQ166*Calculateur!AS166*VLOOKUP('Données projet'!$B$10,Paramètres!$A$1:$I$88,3,0)*0.475*44/12</f>
        <v>6.6235408766301234</v>
      </c>
      <c r="AW166" s="23">
        <f>EXP(-LN(2)/2)*AW165+(1-EXP(-LN(2)/2))/(LN(2)/2)*AQ166*AT166*VLOOKUP('Données projet'!$B$10,Paramètres!$A$1:$I$88,3,0)*0.475*44/12</f>
        <v>1.4211037534088384E-11</v>
      </c>
      <c r="AX166" s="23">
        <f t="shared" si="166"/>
        <v>66.191321009772992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projet'!$B$11,Paramètres!$A$1:$I$88,3,0)*VLOOKUP('Données projet'!$B$11,Paramètres!$A$1:$I$88,5,0)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projet'!$B$11,Paramètres!$A$1:$I$88,3,0)*0.475*44/12</f>
        <v>#N/A</v>
      </c>
      <c r="BQ166" s="23" t="e">
        <f>EXP(-LN(2)/25)*BQ165+(1-EXP(-LN(2)/25))/(LN(2)/25)*Calculateur!BL166*Calculateur!BN166*VLOOKUP('Données projet'!$B$11,Paramètres!$A$1:$I$88,3,0)*0.475*44/12</f>
        <v>#N/A</v>
      </c>
      <c r="BR166" s="23" t="e">
        <f>EXP(-LN(2)/2)*BR165+(1-EXP(-LN(2)/2))/(LN(2)/2)*BL166*BO166*VLOOKUP('Données projet'!$B$11,Paramètres!$A$1:$I$88,3,0)*0.475*44/12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projet'!$B$12,Paramètres!$A$1:$I$88,3,0)*0.475*44/12</f>
        <v>#N/A</v>
      </c>
      <c r="CL166" s="23" t="e">
        <f>EXP(-LN(2)/25)*CL165+(1-EXP(-LN(2)/25))/(LN(2)/25)*Calculateur!CG166*Calculateur!CI166*VLOOKUP('Données projet'!$B$12,Paramètres!$A$1:$I$88,3,0)*0.475*44/12</f>
        <v>#N/A</v>
      </c>
      <c r="CM166" s="23" t="e">
        <f>EXP(-LN(2)/2)*CM165+(1-EXP(-LN(2)/2))/(LN(2)/2)*CG166*CJ166*VLOOKUP('Données projet'!$B$12,Paramètres!$A$1:$I$88,3,0)*0.475*44/12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5.6843418860808015E-13</v>
      </c>
      <c r="O167" s="14">
        <f>N167*VLOOKUP('Données projet'!$B$9,Paramètres!$A$1:$I$88,3,0)*VLOOKUP('Données projet'!$B$9,Paramètres!$A$1:$I$88,5,0)</f>
        <v>2.6602720026858149E-13</v>
      </c>
      <c r="P167" s="14">
        <f t="shared" si="141"/>
        <v>3.5662905043956649E-12</v>
      </c>
      <c r="Q167" s="22">
        <f t="shared" si="162"/>
        <v>6.6746200022902298E-12</v>
      </c>
      <c r="R167" s="62">
        <f t="shared" si="109"/>
        <v>293.33333333333997</v>
      </c>
      <c r="S167" s="62">
        <f ca="1">AVERAGE(OFFSET($R$3,0,0,'Données projet'!$E$9+1,1))-AVERAGE(OFFSET($H$3,0,0,'Données projet'!$E$9+1,1))</f>
        <v>316.04959780858269</v>
      </c>
      <c r="T167" s="62">
        <f t="shared" si="142"/>
        <v>213.60182977243113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91.826214597514195</v>
      </c>
      <c r="AA167" s="23">
        <f>EXP(-LN(2)/25)*AA166+(1-EXP(-LN(2)/25))/(LN(2)/25)*Calculateur!V167*Calculateur!X167*VLOOKUP('Données projet'!$B$9,Paramètres!$A$1:$I$88,3,0)*0.475*44/12</f>
        <v>10.972041219286767</v>
      </c>
      <c r="AB167" s="23">
        <f>EXP(-LN(2)/2)*AB166+(1-EXP(-LN(2)/2))/(LN(2)/2)*V167*Y167*VLOOKUP('Données projet'!$B$9,Paramètres!$A$1:$I$88,3,0)*0.475*44/12</f>
        <v>5.7050649425200786E-3</v>
      </c>
      <c r="AC167" s="24">
        <f t="shared" si="163"/>
        <v>102.80396088174348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-7.9580786405131221E-13</v>
      </c>
      <c r="AJ167" s="14">
        <f>AI167*VLOOKUP('Données projet'!$B$10,Paramètres!$A$1:$I$88,3,0)*VLOOKUP('Données projet'!$B$10,Paramètres!$A$1:$I$88,5,0)</f>
        <v>-4.448565960046835E-13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583.31979399672844</v>
      </c>
      <c r="AO167" s="62">
        <f t="shared" si="144"/>
        <v>544.21514138474731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58.399692297476321</v>
      </c>
      <c r="AV167" s="23">
        <f>EXP(-LN(2)/25)*AV166+(1-EXP(-LN(2)/25))/(LN(2)/25)*Calculateur!AQ167*Calculateur!AS167*VLOOKUP('Données projet'!$B$10,Paramètres!$A$1:$I$88,3,0)*0.475*44/12</f>
        <v>6.4424198030417958</v>
      </c>
      <c r="AW167" s="23">
        <f>EXP(-LN(2)/2)*AW166+(1-EXP(-LN(2)/2))/(LN(2)/2)*AQ167*AT167*VLOOKUP('Données projet'!$B$10,Paramètres!$A$1:$I$88,3,0)*0.475*44/12</f>
        <v>1.004872100805045E-11</v>
      </c>
      <c r="AX167" s="23">
        <f t="shared" si="166"/>
        <v>64.842112100528169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projet'!$B$11,Paramètres!$A$1:$I$88,3,0)*VLOOKUP('Données projet'!$B$11,Paramètres!$A$1:$I$88,5,0)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projet'!$B$11,Paramètres!$A$1:$I$88,3,0)*0.475*44/12</f>
        <v>#N/A</v>
      </c>
      <c r="BQ167" s="23" t="e">
        <f>EXP(-LN(2)/25)*BQ166+(1-EXP(-LN(2)/25))/(LN(2)/25)*Calculateur!BL167*Calculateur!BN167*VLOOKUP('Données projet'!$B$11,Paramètres!$A$1:$I$88,3,0)*0.475*44/12</f>
        <v>#N/A</v>
      </c>
      <c r="BR167" s="23" t="e">
        <f>EXP(-LN(2)/2)*BR166+(1-EXP(-LN(2)/2))/(LN(2)/2)*BL167*BO167*VLOOKUP('Données projet'!$B$11,Paramètres!$A$1:$I$88,3,0)*0.475*44/12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projet'!$B$12,Paramètres!$A$1:$I$88,3,0)*0.475*44/12</f>
        <v>#N/A</v>
      </c>
      <c r="CL167" s="23" t="e">
        <f>EXP(-LN(2)/25)*CL166+(1-EXP(-LN(2)/25))/(LN(2)/25)*Calculateur!CG167*Calculateur!CI167*VLOOKUP('Données projet'!$B$12,Paramètres!$A$1:$I$88,3,0)*0.475*44/12</f>
        <v>#N/A</v>
      </c>
      <c r="CM167" s="23" t="e">
        <f>EXP(-LN(2)/2)*CM166+(1-EXP(-LN(2)/2))/(LN(2)/2)*CG167*CJ167*VLOOKUP('Données projet'!$B$12,Paramètres!$A$1:$I$88,3,0)*0.475*44/12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5.6843418860808015E-13</v>
      </c>
      <c r="O168" s="14">
        <f>N168*VLOOKUP('Données projet'!$B$9,Paramètres!$A$1:$I$88,3,0)*VLOOKUP('Données projet'!$B$9,Paramètres!$A$1:$I$88,5,0)</f>
        <v>2.6602720026858149E-13</v>
      </c>
      <c r="P168" s="14">
        <f t="shared" si="141"/>
        <v>3.5662905043956649E-12</v>
      </c>
      <c r="Q168" s="22">
        <f t="shared" si="162"/>
        <v>6.6746200022902298E-12</v>
      </c>
      <c r="R168" s="62">
        <f t="shared" si="109"/>
        <v>293.33333333333997</v>
      </c>
      <c r="S168" s="62">
        <f ca="1">AVERAGE(OFFSET($R$3,0,0,'Données projet'!$E$9+1,1))-AVERAGE(OFFSET($H$3,0,0,'Données projet'!$E$9+1,1))</f>
        <v>316.04959780858269</v>
      </c>
      <c r="T168" s="62">
        <f t="shared" si="142"/>
        <v>213.60182977243113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90.025558537717473</v>
      </c>
      <c r="AA168" s="23">
        <f>EXP(-LN(2)/25)*AA167+(1-EXP(-LN(2)/25))/(LN(2)/25)*Calculateur!V168*Calculateur!X168*VLOOKUP('Données projet'!$B$9,Paramètres!$A$1:$I$88,3,0)*0.475*44/12</f>
        <v>10.672010175150801</v>
      </c>
      <c r="AB168" s="23">
        <f>EXP(-LN(2)/2)*AB167+(1-EXP(-LN(2)/2))/(LN(2)/2)*V168*Y168*VLOOKUP('Données projet'!$B$9,Paramètres!$A$1:$I$88,3,0)*0.475*44/12</f>
        <v>4.0340901079655885E-3</v>
      </c>
      <c r="AC168" s="24">
        <f t="shared" si="163"/>
        <v>100.70160280297624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-7.9580786405131221E-13</v>
      </c>
      <c r="AJ168" s="14">
        <f>AI168*VLOOKUP('Données projet'!$B$10,Paramètres!$A$1:$I$88,3,0)*VLOOKUP('Données projet'!$B$10,Paramètres!$A$1:$I$88,5,0)</f>
        <v>-4.448565960046835E-13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583.31979399672844</v>
      </c>
      <c r="AO168" s="62">
        <f t="shared" si="144"/>
        <v>544.21514138474731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57.254509951817901</v>
      </c>
      <c r="AV168" s="23">
        <f>EXP(-LN(2)/25)*AV167+(1-EXP(-LN(2)/25))/(LN(2)/25)*Calculateur!AQ168*Calculateur!AS168*VLOOKUP('Données projet'!$B$10,Paramètres!$A$1:$I$88,3,0)*0.475*44/12</f>
        <v>6.266251494735485</v>
      </c>
      <c r="AW168" s="23">
        <f>EXP(-LN(2)/2)*AW167+(1-EXP(-LN(2)/2))/(LN(2)/2)*AQ168*AT168*VLOOKUP('Données projet'!$B$10,Paramètres!$A$1:$I$88,3,0)*0.475*44/12</f>
        <v>7.1055187670441929E-12</v>
      </c>
      <c r="AX168" s="23">
        <f t="shared" si="166"/>
        <v>63.520761446560492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projet'!$B$11,Paramètres!$A$1:$I$88,3,0)*VLOOKUP('Données projet'!$B$11,Paramètres!$A$1:$I$88,5,0)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projet'!$B$11,Paramètres!$A$1:$I$88,3,0)*0.475*44/12</f>
        <v>#N/A</v>
      </c>
      <c r="BQ168" s="23" t="e">
        <f>EXP(-LN(2)/25)*BQ167+(1-EXP(-LN(2)/25))/(LN(2)/25)*Calculateur!BL168*Calculateur!BN168*VLOOKUP('Données projet'!$B$11,Paramètres!$A$1:$I$88,3,0)*0.475*44/12</f>
        <v>#N/A</v>
      </c>
      <c r="BR168" s="23" t="e">
        <f>EXP(-LN(2)/2)*BR167+(1-EXP(-LN(2)/2))/(LN(2)/2)*BL168*BO168*VLOOKUP('Données projet'!$B$11,Paramètres!$A$1:$I$88,3,0)*0.475*44/12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projet'!$B$12,Paramètres!$A$1:$I$88,3,0)*0.475*44/12</f>
        <v>#N/A</v>
      </c>
      <c r="CL168" s="23" t="e">
        <f>EXP(-LN(2)/25)*CL167+(1-EXP(-LN(2)/25))/(LN(2)/25)*Calculateur!CG168*Calculateur!CI168*VLOOKUP('Données projet'!$B$12,Paramètres!$A$1:$I$88,3,0)*0.475*44/12</f>
        <v>#N/A</v>
      </c>
      <c r="CM168" s="23" t="e">
        <f>EXP(-LN(2)/2)*CM167+(1-EXP(-LN(2)/2))/(LN(2)/2)*CG168*CJ168*VLOOKUP('Données projet'!$B$12,Paramètres!$A$1:$I$88,3,0)*0.475*44/12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5.6843418860808015E-13</v>
      </c>
      <c r="O169" s="14">
        <f>N169*VLOOKUP('Données projet'!$B$9,Paramètres!$A$1:$I$88,3,0)*VLOOKUP('Données projet'!$B$9,Paramètres!$A$1:$I$88,5,0)</f>
        <v>2.6602720026858149E-13</v>
      </c>
      <c r="P169" s="14">
        <f t="shared" si="141"/>
        <v>3.5662905043956649E-12</v>
      </c>
      <c r="Q169" s="22">
        <f t="shared" si="162"/>
        <v>6.6746200022902298E-12</v>
      </c>
      <c r="R169" s="62">
        <f t="shared" si="109"/>
        <v>293.33333333333997</v>
      </c>
      <c r="S169" s="62">
        <f ca="1">AVERAGE(OFFSET($R$3,0,0,'Données projet'!$E$9+1,1))-AVERAGE(OFFSET($H$3,0,0,'Données projet'!$E$9+1,1))</f>
        <v>316.04959780858269</v>
      </c>
      <c r="T169" s="62">
        <f t="shared" si="142"/>
        <v>213.60182977243113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88.260212244961608</v>
      </c>
      <c r="AA169" s="23">
        <f>EXP(-LN(2)/25)*AA168+(1-EXP(-LN(2)/25))/(LN(2)/25)*Calculateur!V169*Calculateur!X169*VLOOKUP('Données projet'!$B$9,Paramètres!$A$1:$I$88,3,0)*0.475*44/12</f>
        <v>10.380183495694679</v>
      </c>
      <c r="AB169" s="23">
        <f>EXP(-LN(2)/2)*AB168+(1-EXP(-LN(2)/2))/(LN(2)/2)*V169*Y169*VLOOKUP('Données projet'!$B$9,Paramètres!$A$1:$I$88,3,0)*0.475*44/12</f>
        <v>2.8525324712600393E-3</v>
      </c>
      <c r="AC169" s="24">
        <f t="shared" si="163"/>
        <v>98.643248273127554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-7.9580786405131221E-13</v>
      </c>
      <c r="AJ169" s="14">
        <f>AI169*VLOOKUP('Données projet'!$B$10,Paramètres!$A$1:$I$88,3,0)*VLOOKUP('Données projet'!$B$10,Paramètres!$A$1:$I$88,5,0)</f>
        <v>-4.448565960046835E-13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583.31979399672844</v>
      </c>
      <c r="AO169" s="62">
        <f t="shared" si="144"/>
        <v>544.21514138474731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56.131783933465584</v>
      </c>
      <c r="AV169" s="23">
        <f>EXP(-LN(2)/25)*AV168+(1-EXP(-LN(2)/25))/(LN(2)/25)*Calculateur!AQ169*Calculateur!AS169*VLOOKUP('Données projet'!$B$10,Paramètres!$A$1:$I$88,3,0)*0.475*44/12</f>
        <v>6.0949005180840992</v>
      </c>
      <c r="AW169" s="23">
        <f>EXP(-LN(2)/2)*AW168+(1-EXP(-LN(2)/2))/(LN(2)/2)*AQ169*AT169*VLOOKUP('Données projet'!$B$10,Paramètres!$A$1:$I$88,3,0)*0.475*44/12</f>
        <v>5.0243605040252257E-12</v>
      </c>
      <c r="AX169" s="23">
        <f t="shared" si="166"/>
        <v>62.226684451554711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projet'!$B$11,Paramètres!$A$1:$I$88,3,0)*VLOOKUP('Données projet'!$B$11,Paramètres!$A$1:$I$88,5,0)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projet'!$B$11,Paramètres!$A$1:$I$88,3,0)*0.475*44/12</f>
        <v>#N/A</v>
      </c>
      <c r="BQ169" s="23" t="e">
        <f>EXP(-LN(2)/25)*BQ168+(1-EXP(-LN(2)/25))/(LN(2)/25)*Calculateur!BL169*Calculateur!BN169*VLOOKUP('Données projet'!$B$11,Paramètres!$A$1:$I$88,3,0)*0.475*44/12</f>
        <v>#N/A</v>
      </c>
      <c r="BR169" s="23" t="e">
        <f>EXP(-LN(2)/2)*BR168+(1-EXP(-LN(2)/2))/(LN(2)/2)*BL169*BO169*VLOOKUP('Données projet'!$B$11,Paramètres!$A$1:$I$88,3,0)*0.475*44/12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projet'!$B$12,Paramètres!$A$1:$I$88,3,0)*0.475*44/12</f>
        <v>#N/A</v>
      </c>
      <c r="CL169" s="23" t="e">
        <f>EXP(-LN(2)/25)*CL168+(1-EXP(-LN(2)/25))/(LN(2)/25)*Calculateur!CG169*Calculateur!CI169*VLOOKUP('Données projet'!$B$12,Paramètres!$A$1:$I$88,3,0)*0.475*44/12</f>
        <v>#N/A</v>
      </c>
      <c r="CM169" s="23" t="e">
        <f>EXP(-LN(2)/2)*CM168+(1-EXP(-LN(2)/2))/(LN(2)/2)*CG169*CJ169*VLOOKUP('Données projet'!$B$12,Paramètres!$A$1:$I$88,3,0)*0.475*44/12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5.6843418860808015E-13</v>
      </c>
      <c r="O170" s="14">
        <f>N170*VLOOKUP('Données projet'!$B$9,Paramètres!$A$1:$I$88,3,0)*VLOOKUP('Données projet'!$B$9,Paramètres!$A$1:$I$88,5,0)</f>
        <v>2.6602720026858149E-13</v>
      </c>
      <c r="P170" s="14">
        <f t="shared" si="141"/>
        <v>3.5662905043956649E-12</v>
      </c>
      <c r="Q170" s="22">
        <f t="shared" si="162"/>
        <v>6.6746200022902298E-12</v>
      </c>
      <c r="R170" s="62">
        <f t="shared" si="109"/>
        <v>293.33333333333997</v>
      </c>
      <c r="S170" s="62">
        <f ca="1">AVERAGE(OFFSET($R$3,0,0,'Données projet'!$E$9+1,1))-AVERAGE(OFFSET($H$3,0,0,'Données projet'!$E$9+1,1))</f>
        <v>316.04959780858269</v>
      </c>
      <c r="T170" s="62">
        <f t="shared" si="142"/>
        <v>213.60182977243113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86.52948331625177</v>
      </c>
      <c r="AA170" s="23">
        <f>EXP(-LN(2)/25)*AA169+(1-EXP(-LN(2)/25))/(LN(2)/25)*Calculateur!V170*Calculateur!X170*VLOOKUP('Données projet'!$B$9,Paramètres!$A$1:$I$88,3,0)*0.475*44/12</f>
        <v>10.096336832134782</v>
      </c>
      <c r="AB170" s="23">
        <f>EXP(-LN(2)/2)*AB169+(1-EXP(-LN(2)/2))/(LN(2)/2)*V170*Y170*VLOOKUP('Données projet'!$B$9,Paramètres!$A$1:$I$88,3,0)*0.475*44/12</f>
        <v>2.0170450539827942E-3</v>
      </c>
      <c r="AC170" s="24">
        <f t="shared" si="163"/>
        <v>96.627837193440541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-7.9580786405131221E-13</v>
      </c>
      <c r="AJ170" s="14">
        <f>AI170*VLOOKUP('Données projet'!$B$10,Paramètres!$A$1:$I$88,3,0)*VLOOKUP('Données projet'!$B$10,Paramètres!$A$1:$I$88,5,0)</f>
        <v>-4.448565960046835E-13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583.31979399672844</v>
      </c>
      <c r="AO170" s="62">
        <f t="shared" si="144"/>
        <v>544.21514138474731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55.0310738875379</v>
      </c>
      <c r="AV170" s="23">
        <f>EXP(-LN(2)/25)*AV169+(1-EXP(-LN(2)/25))/(LN(2)/25)*Calculateur!AQ170*Calculateur!AS170*VLOOKUP('Données projet'!$B$10,Paramètres!$A$1:$I$88,3,0)*0.475*44/12</f>
        <v>5.9282351429002009</v>
      </c>
      <c r="AW170" s="23">
        <f>EXP(-LN(2)/2)*AW169+(1-EXP(-LN(2)/2))/(LN(2)/2)*AQ170*AT170*VLOOKUP('Données projet'!$B$10,Paramètres!$A$1:$I$88,3,0)*0.475*44/12</f>
        <v>3.5527593835220973E-12</v>
      </c>
      <c r="AX170" s="23">
        <f t="shared" si="166"/>
        <v>60.959309030441652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projet'!$B$11,Paramètres!$A$1:$I$88,3,0)*VLOOKUP('Données projet'!$B$11,Paramètres!$A$1:$I$88,5,0)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projet'!$B$11,Paramètres!$A$1:$I$88,3,0)*0.475*44/12</f>
        <v>#N/A</v>
      </c>
      <c r="BQ170" s="23" t="e">
        <f>EXP(-LN(2)/25)*BQ169+(1-EXP(-LN(2)/25))/(LN(2)/25)*Calculateur!BL170*Calculateur!BN170*VLOOKUP('Données projet'!$B$11,Paramètres!$A$1:$I$88,3,0)*0.475*44/12</f>
        <v>#N/A</v>
      </c>
      <c r="BR170" s="23" t="e">
        <f>EXP(-LN(2)/2)*BR169+(1-EXP(-LN(2)/2))/(LN(2)/2)*BL170*BO170*VLOOKUP('Données projet'!$B$11,Paramètres!$A$1:$I$88,3,0)*0.475*44/12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projet'!$B$12,Paramètres!$A$1:$I$88,3,0)*0.475*44/12</f>
        <v>#N/A</v>
      </c>
      <c r="CL170" s="23" t="e">
        <f>EXP(-LN(2)/25)*CL169+(1-EXP(-LN(2)/25))/(LN(2)/25)*Calculateur!CG170*Calculateur!CI170*VLOOKUP('Données projet'!$B$12,Paramètres!$A$1:$I$88,3,0)*0.475*44/12</f>
        <v>#N/A</v>
      </c>
      <c r="CM170" s="23" t="e">
        <f>EXP(-LN(2)/2)*CM169+(1-EXP(-LN(2)/2))/(LN(2)/2)*CG170*CJ170*VLOOKUP('Données projet'!$B$12,Paramètres!$A$1:$I$88,3,0)*0.475*44/12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5.6843418860808015E-13</v>
      </c>
      <c r="O171" s="14">
        <f>N171*VLOOKUP('Données projet'!$B$9,Paramètres!$A$1:$I$88,3,0)*VLOOKUP('Données projet'!$B$9,Paramètres!$A$1:$I$88,5,0)</f>
        <v>2.6602720026858149E-13</v>
      </c>
      <c r="P171" s="14">
        <f t="shared" si="141"/>
        <v>3.5662905043956649E-12</v>
      </c>
      <c r="Q171" s="22">
        <f t="shared" si="162"/>
        <v>6.6746200022902298E-12</v>
      </c>
      <c r="R171" s="62">
        <f t="shared" si="109"/>
        <v>293.33333333333997</v>
      </c>
      <c r="S171" s="62">
        <f ca="1">AVERAGE(OFFSET($R$3,0,0,'Données projet'!$E$9+1,1))-AVERAGE(OFFSET($H$3,0,0,'Données projet'!$E$9+1,1))</f>
        <v>316.04959780858269</v>
      </c>
      <c r="T171" s="62">
        <f t="shared" si="142"/>
        <v>213.60182977243113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84.832692926193531</v>
      </c>
      <c r="AA171" s="23">
        <f>EXP(-LN(2)/25)*AA170+(1-EXP(-LN(2)/25))/(LN(2)/25)*Calculateur!V171*Calculateur!X171*VLOOKUP('Données projet'!$B$9,Paramètres!$A$1:$I$88,3,0)*0.475*44/12</f>
        <v>9.820251970516777</v>
      </c>
      <c r="AB171" s="23">
        <f>EXP(-LN(2)/2)*AB170+(1-EXP(-LN(2)/2))/(LN(2)/2)*V171*Y171*VLOOKUP('Données projet'!$B$9,Paramètres!$A$1:$I$88,3,0)*0.475*44/12</f>
        <v>1.4262662356300197E-3</v>
      </c>
      <c r="AC171" s="24">
        <f t="shared" si="163"/>
        <v>94.654371162945935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-7.9580786405131221E-13</v>
      </c>
      <c r="AJ171" s="14">
        <f>AI171*VLOOKUP('Données projet'!$B$10,Paramètres!$A$1:$I$88,3,0)*VLOOKUP('Données projet'!$B$10,Paramètres!$A$1:$I$88,5,0)</f>
        <v>-4.448565960046835E-13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583.31979399672844</v>
      </c>
      <c r="AO171" s="62">
        <f t="shared" si="144"/>
        <v>544.21514138474731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53.951948094244024</v>
      </c>
      <c r="AV171" s="23">
        <f>EXP(-LN(2)/25)*AV170+(1-EXP(-LN(2)/25))/(LN(2)/25)*Calculateur!AQ171*Calculateur!AS171*VLOOKUP('Données projet'!$B$10,Paramètres!$A$1:$I$88,3,0)*0.475*44/12</f>
        <v>5.7661272411652575</v>
      </c>
      <c r="AW171" s="23">
        <f>EXP(-LN(2)/2)*AW170+(1-EXP(-LN(2)/2))/(LN(2)/2)*AQ171*AT171*VLOOKUP('Données projet'!$B$10,Paramètres!$A$1:$I$88,3,0)*0.475*44/12</f>
        <v>2.5121802520126133E-12</v>
      </c>
      <c r="AX171" s="23">
        <f t="shared" si="166"/>
        <v>59.718075335411797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projet'!$B$11,Paramètres!$A$1:$I$88,3,0)*VLOOKUP('Données projet'!$B$11,Paramètres!$A$1:$I$88,5,0)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projet'!$B$11,Paramètres!$A$1:$I$88,3,0)*0.475*44/12</f>
        <v>#N/A</v>
      </c>
      <c r="BQ171" s="23" t="e">
        <f>EXP(-LN(2)/25)*BQ170+(1-EXP(-LN(2)/25))/(LN(2)/25)*Calculateur!BL171*Calculateur!BN171*VLOOKUP('Données projet'!$B$11,Paramètres!$A$1:$I$88,3,0)*0.475*44/12</f>
        <v>#N/A</v>
      </c>
      <c r="BR171" s="23" t="e">
        <f>EXP(-LN(2)/2)*BR170+(1-EXP(-LN(2)/2))/(LN(2)/2)*BL171*BO171*VLOOKUP('Données projet'!$B$11,Paramètres!$A$1:$I$88,3,0)*0.475*44/12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projet'!$B$12,Paramètres!$A$1:$I$88,3,0)*0.475*44/12</f>
        <v>#N/A</v>
      </c>
      <c r="CL171" s="23" t="e">
        <f>EXP(-LN(2)/25)*CL170+(1-EXP(-LN(2)/25))/(LN(2)/25)*Calculateur!CG171*Calculateur!CI171*VLOOKUP('Données projet'!$B$12,Paramètres!$A$1:$I$88,3,0)*0.475*44/12</f>
        <v>#N/A</v>
      </c>
      <c r="CM171" s="23" t="e">
        <f>EXP(-LN(2)/2)*CM170+(1-EXP(-LN(2)/2))/(LN(2)/2)*CG171*CJ171*VLOOKUP('Données projet'!$B$12,Paramètres!$A$1:$I$88,3,0)*0.475*44/12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5.6843418860808015E-13</v>
      </c>
      <c r="O172" s="14">
        <f>N172*VLOOKUP('Données projet'!$B$9,Paramètres!$A$1:$I$88,3,0)*VLOOKUP('Données projet'!$B$9,Paramètres!$A$1:$I$88,5,0)</f>
        <v>2.6602720026858149E-13</v>
      </c>
      <c r="P172" s="14">
        <f t="shared" si="141"/>
        <v>3.5662905043956649E-12</v>
      </c>
      <c r="Q172" s="22">
        <f t="shared" si="162"/>
        <v>6.6746200022902298E-12</v>
      </c>
      <c r="R172" s="62">
        <f t="shared" si="109"/>
        <v>293.33333333333997</v>
      </c>
      <c r="S172" s="62">
        <f ca="1">AVERAGE(OFFSET($R$3,0,0,'Données projet'!$E$9+1,1))-AVERAGE(OFFSET($H$3,0,0,'Données projet'!$E$9+1,1))</f>
        <v>316.04959780858269</v>
      </c>
      <c r="T172" s="62">
        <f t="shared" si="142"/>
        <v>213.60182977243113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83.169175560744378</v>
      </c>
      <c r="AA172" s="23">
        <f>EXP(-LN(2)/25)*AA171+(1-EXP(-LN(2)/25))/(LN(2)/25)*Calculateur!V172*Calculateur!X172*VLOOKUP('Données projet'!$B$9,Paramètres!$A$1:$I$88,3,0)*0.475*44/12</f>
        <v>9.5517166639583895</v>
      </c>
      <c r="AB172" s="23">
        <f>EXP(-LN(2)/2)*AB171+(1-EXP(-LN(2)/2))/(LN(2)/2)*V172*Y172*VLOOKUP('Données projet'!$B$9,Paramètres!$A$1:$I$88,3,0)*0.475*44/12</f>
        <v>1.0085225269913971E-3</v>
      </c>
      <c r="AC172" s="24">
        <f t="shared" si="163"/>
        <v>92.721900747229753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-7.9580786405131221E-13</v>
      </c>
      <c r="AJ172" s="14">
        <f>AI172*VLOOKUP('Données projet'!$B$10,Paramètres!$A$1:$I$88,3,0)*VLOOKUP('Données projet'!$B$10,Paramètres!$A$1:$I$88,5,0)</f>
        <v>-4.448565960046835E-13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583.31979399672844</v>
      </c>
      <c r="AO172" s="62">
        <f t="shared" si="144"/>
        <v>544.21514138474731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52.893983299554897</v>
      </c>
      <c r="AV172" s="23">
        <f>EXP(-LN(2)/25)*AV171+(1-EXP(-LN(2)/25))/(LN(2)/25)*Calculateur!AQ172*Calculateur!AS172*VLOOKUP('Données projet'!$B$10,Paramètres!$A$1:$I$88,3,0)*0.475*44/12</f>
        <v>5.6084521885281404</v>
      </c>
      <c r="AW172" s="23">
        <f>EXP(-LN(2)/2)*AW171+(1-EXP(-LN(2)/2))/(LN(2)/2)*AQ172*AT172*VLOOKUP('Données projet'!$B$10,Paramètres!$A$1:$I$88,3,0)*0.475*44/12</f>
        <v>1.7763796917610488E-12</v>
      </c>
      <c r="AX172" s="23">
        <f t="shared" si="166"/>
        <v>58.502435488084814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projet'!$B$11,Paramètres!$A$1:$I$88,3,0)*VLOOKUP('Données projet'!$B$11,Paramètres!$A$1:$I$88,5,0)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projet'!$B$11,Paramètres!$A$1:$I$88,3,0)*0.475*44/12</f>
        <v>#N/A</v>
      </c>
      <c r="BQ172" s="23" t="e">
        <f>EXP(-LN(2)/25)*BQ171+(1-EXP(-LN(2)/25))/(LN(2)/25)*Calculateur!BL172*Calculateur!BN172*VLOOKUP('Données projet'!$B$11,Paramètres!$A$1:$I$88,3,0)*0.475*44/12</f>
        <v>#N/A</v>
      </c>
      <c r="BR172" s="23" t="e">
        <f>EXP(-LN(2)/2)*BR171+(1-EXP(-LN(2)/2))/(LN(2)/2)*BL172*BO172*VLOOKUP('Données projet'!$B$11,Paramètres!$A$1:$I$88,3,0)*0.475*44/12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projet'!$B$12,Paramètres!$A$1:$I$88,3,0)*0.475*44/12</f>
        <v>#N/A</v>
      </c>
      <c r="CL172" s="23" t="e">
        <f>EXP(-LN(2)/25)*CL171+(1-EXP(-LN(2)/25))/(LN(2)/25)*Calculateur!CG172*Calculateur!CI172*VLOOKUP('Données projet'!$B$12,Paramètres!$A$1:$I$88,3,0)*0.475*44/12</f>
        <v>#N/A</v>
      </c>
      <c r="CM172" s="23" t="e">
        <f>EXP(-LN(2)/2)*CM171+(1-EXP(-LN(2)/2))/(LN(2)/2)*CG172*CJ172*VLOOKUP('Données projet'!$B$12,Paramètres!$A$1:$I$88,3,0)*0.475*44/12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5.6843418860808015E-13</v>
      </c>
      <c r="O173" s="14">
        <f>N173*VLOOKUP('Données projet'!$B$9,Paramètres!$A$1:$I$88,3,0)*VLOOKUP('Données projet'!$B$9,Paramètres!$A$1:$I$88,5,0)</f>
        <v>2.6602720026858149E-13</v>
      </c>
      <c r="P173" s="14">
        <f t="shared" si="141"/>
        <v>3.5662905043956649E-12</v>
      </c>
      <c r="Q173" s="22">
        <f t="shared" si="162"/>
        <v>6.6746200022902298E-12</v>
      </c>
      <c r="R173" s="62">
        <f t="shared" si="109"/>
        <v>293.33333333333997</v>
      </c>
      <c r="S173" s="62">
        <f ca="1">AVERAGE(OFFSET($R$3,0,0,'Données projet'!$E$9+1,1))-AVERAGE(OFFSET($H$3,0,0,'Données projet'!$E$9+1,1))</f>
        <v>316.04959780858269</v>
      </c>
      <c r="T173" s="62">
        <f t="shared" si="142"/>
        <v>213.60182977243113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81.538278756186287</v>
      </c>
      <c r="AA173" s="23">
        <f>EXP(-LN(2)/25)*AA172+(1-EXP(-LN(2)/25))/(LN(2)/25)*Calculateur!V173*Calculateur!X173*VLOOKUP('Données projet'!$B$9,Paramètres!$A$1:$I$88,3,0)*0.475*44/12</f>
        <v>9.2905244694794984</v>
      </c>
      <c r="AB173" s="23">
        <f>EXP(-LN(2)/2)*AB172+(1-EXP(-LN(2)/2))/(LN(2)/2)*V173*Y173*VLOOKUP('Données projet'!$B$9,Paramètres!$A$1:$I$88,3,0)*0.475*44/12</f>
        <v>7.1313311781500983E-4</v>
      </c>
      <c r="AC173" s="24">
        <f t="shared" si="163"/>
        <v>90.829516358783593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-7.9580786405131221E-13</v>
      </c>
      <c r="AJ173" s="14">
        <f>AI173*VLOOKUP('Données projet'!$B$10,Paramètres!$A$1:$I$88,3,0)*VLOOKUP('Données projet'!$B$10,Paramètres!$A$1:$I$88,5,0)</f>
        <v>-4.448565960046835E-13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583.31979399672844</v>
      </c>
      <c r="AO173" s="62">
        <f t="shared" si="144"/>
        <v>544.21514138474731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51.856764549194814</v>
      </c>
      <c r="AV173" s="23">
        <f>EXP(-LN(2)/25)*AV172+(1-EXP(-LN(2)/25))/(LN(2)/25)*Calculateur!AQ173*Calculateur!AS173*VLOOKUP('Données projet'!$B$10,Paramètres!$A$1:$I$88,3,0)*0.475*44/12</f>
        <v>5.4550887684971565</v>
      </c>
      <c r="AW173" s="23">
        <f>EXP(-LN(2)/2)*AW172+(1-EXP(-LN(2)/2))/(LN(2)/2)*AQ173*AT173*VLOOKUP('Données projet'!$B$10,Paramètres!$A$1:$I$88,3,0)*0.475*44/12</f>
        <v>1.2560901260063068E-12</v>
      </c>
      <c r="AX173" s="23">
        <f t="shared" si="166"/>
        <v>57.311853317693227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projet'!$B$11,Paramètres!$A$1:$I$88,3,0)*VLOOKUP('Données projet'!$B$11,Paramètres!$A$1:$I$88,5,0)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projet'!$B$11,Paramètres!$A$1:$I$88,3,0)*0.475*44/12</f>
        <v>#N/A</v>
      </c>
      <c r="BQ173" s="23" t="e">
        <f>EXP(-LN(2)/25)*BQ172+(1-EXP(-LN(2)/25))/(LN(2)/25)*Calculateur!BL173*Calculateur!BN173*VLOOKUP('Données projet'!$B$11,Paramètres!$A$1:$I$88,3,0)*0.475*44/12</f>
        <v>#N/A</v>
      </c>
      <c r="BR173" s="23" t="e">
        <f>EXP(-LN(2)/2)*BR172+(1-EXP(-LN(2)/2))/(LN(2)/2)*BL173*BO173*VLOOKUP('Données projet'!$B$11,Paramètres!$A$1:$I$88,3,0)*0.475*44/12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projet'!$B$12,Paramètres!$A$1:$I$88,3,0)*0.475*44/12</f>
        <v>#N/A</v>
      </c>
      <c r="CL173" s="23" t="e">
        <f>EXP(-LN(2)/25)*CL172+(1-EXP(-LN(2)/25))/(LN(2)/25)*Calculateur!CG173*Calculateur!CI173*VLOOKUP('Données projet'!$B$12,Paramètres!$A$1:$I$88,3,0)*0.475*44/12</f>
        <v>#N/A</v>
      </c>
      <c r="CM173" s="23" t="e">
        <f>EXP(-LN(2)/2)*CM172+(1-EXP(-LN(2)/2))/(LN(2)/2)*CG173*CJ173*VLOOKUP('Données projet'!$B$12,Paramètres!$A$1:$I$88,3,0)*0.475*44/12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5.6843418860808015E-13</v>
      </c>
      <c r="O174" s="14">
        <f>N174*VLOOKUP('Données projet'!$B$9,Paramètres!$A$1:$I$88,3,0)*VLOOKUP('Données projet'!$B$9,Paramètres!$A$1:$I$88,5,0)</f>
        <v>2.6602720026858149E-13</v>
      </c>
      <c r="P174" s="14">
        <f t="shared" si="141"/>
        <v>3.5662905043956649E-12</v>
      </c>
      <c r="Q174" s="22">
        <f t="shared" si="162"/>
        <v>6.6746200022902298E-12</v>
      </c>
      <c r="R174" s="62">
        <f t="shared" si="109"/>
        <v>293.33333333333997</v>
      </c>
      <c r="S174" s="62">
        <f ca="1">AVERAGE(OFFSET($R$3,0,0,'Données projet'!$E$9+1,1))-AVERAGE(OFFSET($H$3,0,0,'Données projet'!$E$9+1,1))</f>
        <v>316.04959780858269</v>
      </c>
      <c r="T174" s="62">
        <f t="shared" si="142"/>
        <v>213.60182977243113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79.939362843216742</v>
      </c>
      <c r="AA174" s="23">
        <f>EXP(-LN(2)/25)*AA173+(1-EXP(-LN(2)/25))/(LN(2)/25)*Calculateur!V174*Calculateur!X174*VLOOKUP('Données projet'!$B$9,Paramètres!$A$1:$I$88,3,0)*0.475*44/12</f>
        <v>9.0364745892941336</v>
      </c>
      <c r="AB174" s="23">
        <f>EXP(-LN(2)/2)*AB173+(1-EXP(-LN(2)/2))/(LN(2)/2)*V174*Y174*VLOOKUP('Données projet'!$B$9,Paramètres!$A$1:$I$88,3,0)*0.475*44/12</f>
        <v>5.0426126349569856E-4</v>
      </c>
      <c r="AC174" s="24">
        <f t="shared" si="163"/>
        <v>88.976341693774373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-7.9580786405131221E-13</v>
      </c>
      <c r="AJ174" s="14">
        <f>AI174*VLOOKUP('Données projet'!$B$10,Paramètres!$A$1:$I$88,3,0)*VLOOKUP('Données projet'!$B$10,Paramètres!$A$1:$I$88,5,0)</f>
        <v>-4.448565960046835E-13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583.31979399672844</v>
      </c>
      <c r="AO174" s="62">
        <f t="shared" si="144"/>
        <v>544.21514138474731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50.839885025888321</v>
      </c>
      <c r="AV174" s="23">
        <f>EXP(-LN(2)/25)*AV173+(1-EXP(-LN(2)/25))/(LN(2)/25)*Calculateur!AQ174*Calculateur!AS174*VLOOKUP('Données projet'!$B$10,Paramètres!$A$1:$I$88,3,0)*0.475*44/12</f>
        <v>5.3059190792519511</v>
      </c>
      <c r="AW174" s="23">
        <f>EXP(-LN(2)/2)*AW173+(1-EXP(-LN(2)/2))/(LN(2)/2)*AQ174*AT174*VLOOKUP('Données projet'!$B$10,Paramètres!$A$1:$I$88,3,0)*0.475*44/12</f>
        <v>8.8818984588052462E-13</v>
      </c>
      <c r="AX174" s="23">
        <f t="shared" si="166"/>
        <v>56.14580410514116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projet'!$B$11,Paramètres!$A$1:$I$88,3,0)*VLOOKUP('Données projet'!$B$11,Paramètres!$A$1:$I$88,5,0)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projet'!$B$11,Paramètres!$A$1:$I$88,3,0)*0.475*44/12</f>
        <v>#N/A</v>
      </c>
      <c r="BQ174" s="23" t="e">
        <f>EXP(-LN(2)/25)*BQ173+(1-EXP(-LN(2)/25))/(LN(2)/25)*Calculateur!BL174*Calculateur!BN174*VLOOKUP('Données projet'!$B$11,Paramètres!$A$1:$I$88,3,0)*0.475*44/12</f>
        <v>#N/A</v>
      </c>
      <c r="BR174" s="23" t="e">
        <f>EXP(-LN(2)/2)*BR173+(1-EXP(-LN(2)/2))/(LN(2)/2)*BL174*BO174*VLOOKUP('Données projet'!$B$11,Paramètres!$A$1:$I$88,3,0)*0.475*44/12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projet'!$B$12,Paramètres!$A$1:$I$88,3,0)*0.475*44/12</f>
        <v>#N/A</v>
      </c>
      <c r="CL174" s="23" t="e">
        <f>EXP(-LN(2)/25)*CL173+(1-EXP(-LN(2)/25))/(LN(2)/25)*Calculateur!CG174*Calculateur!CI174*VLOOKUP('Données projet'!$B$12,Paramètres!$A$1:$I$88,3,0)*0.475*44/12</f>
        <v>#N/A</v>
      </c>
      <c r="CM174" s="23" t="e">
        <f>EXP(-LN(2)/2)*CM173+(1-EXP(-LN(2)/2))/(LN(2)/2)*CG174*CJ174*VLOOKUP('Données projet'!$B$12,Paramètres!$A$1:$I$88,3,0)*0.475*44/12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5.6843418860808015E-13</v>
      </c>
      <c r="O175" s="14">
        <f>N175*VLOOKUP('Données projet'!$B$9,Paramètres!$A$1:$I$88,3,0)*VLOOKUP('Données projet'!$B$9,Paramètres!$A$1:$I$88,5,0)</f>
        <v>2.6602720026858149E-13</v>
      </c>
      <c r="P175" s="14">
        <f t="shared" si="141"/>
        <v>3.5662905043956649E-12</v>
      </c>
      <c r="Q175" s="22">
        <f t="shared" si="162"/>
        <v>6.6746200022902298E-12</v>
      </c>
      <c r="R175" s="62">
        <f t="shared" si="109"/>
        <v>293.33333333333997</v>
      </c>
      <c r="S175" s="62">
        <f ca="1">AVERAGE(OFFSET($R$3,0,0,'Données projet'!$E$9+1,1))-AVERAGE(OFFSET($H$3,0,0,'Données projet'!$E$9+1,1))</f>
        <v>316.04959780858269</v>
      </c>
      <c r="T175" s="62">
        <f t="shared" si="142"/>
        <v>213.60182977243113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78.371800696058131</v>
      </c>
      <c r="AA175" s="23">
        <f>EXP(-LN(2)/25)*AA174+(1-EXP(-LN(2)/25))/(LN(2)/25)*Calculateur!V175*Calculateur!X175*VLOOKUP('Données projet'!$B$9,Paramètres!$A$1:$I$88,3,0)*0.475*44/12</f>
        <v>8.7893717164423393</v>
      </c>
      <c r="AB175" s="23">
        <f>EXP(-LN(2)/2)*AB174+(1-EXP(-LN(2)/2))/(LN(2)/2)*V175*Y175*VLOOKUP('Données projet'!$B$9,Paramètres!$A$1:$I$88,3,0)*0.475*44/12</f>
        <v>3.5656655890750491E-4</v>
      </c>
      <c r="AC175" s="24">
        <f t="shared" si="163"/>
        <v>87.161528979059369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-7.9580786405131221E-13</v>
      </c>
      <c r="AJ175" s="14">
        <f>AI175*VLOOKUP('Données projet'!$B$10,Paramètres!$A$1:$I$88,3,0)*VLOOKUP('Données projet'!$B$10,Paramètres!$A$1:$I$88,5,0)</f>
        <v>-4.448565960046835E-13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583.31979399672844</v>
      </c>
      <c r="AO175" s="62">
        <f t="shared" si="144"/>
        <v>544.21514138474731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49.842945889798607</v>
      </c>
      <c r="AV175" s="23">
        <f>EXP(-LN(2)/25)*AV174+(1-EXP(-LN(2)/25))/(LN(2)/25)*Calculateur!AQ175*Calculateur!AS175*VLOOKUP('Données projet'!$B$10,Paramètres!$A$1:$I$88,3,0)*0.475*44/12</f>
        <v>5.1608284430036493</v>
      </c>
      <c r="AW175" s="23">
        <f>EXP(-LN(2)/2)*AW174+(1-EXP(-LN(2)/2))/(LN(2)/2)*AQ175*AT175*VLOOKUP('Données projet'!$B$10,Paramètres!$A$1:$I$88,3,0)*0.475*44/12</f>
        <v>6.2804506300315352E-13</v>
      </c>
      <c r="AX175" s="23">
        <f t="shared" si="166"/>
        <v>55.003774332802884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projet'!$B$11,Paramètres!$A$1:$I$88,3,0)*VLOOKUP('Données projet'!$B$11,Paramètres!$A$1:$I$88,5,0)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projet'!$B$11,Paramètres!$A$1:$I$88,3,0)*0.475*44/12</f>
        <v>#N/A</v>
      </c>
      <c r="BQ175" s="23" t="e">
        <f>EXP(-LN(2)/25)*BQ174+(1-EXP(-LN(2)/25))/(LN(2)/25)*Calculateur!BL175*Calculateur!BN175*VLOOKUP('Données projet'!$B$11,Paramètres!$A$1:$I$88,3,0)*0.475*44/12</f>
        <v>#N/A</v>
      </c>
      <c r="BR175" s="23" t="e">
        <f>EXP(-LN(2)/2)*BR174+(1-EXP(-LN(2)/2))/(LN(2)/2)*BL175*BO175*VLOOKUP('Données projet'!$B$11,Paramètres!$A$1:$I$88,3,0)*0.475*44/12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projet'!$B$12,Paramètres!$A$1:$I$88,3,0)*0.475*44/12</f>
        <v>#N/A</v>
      </c>
      <c r="CL175" s="23" t="e">
        <f>EXP(-LN(2)/25)*CL174+(1-EXP(-LN(2)/25))/(LN(2)/25)*Calculateur!CG175*Calculateur!CI175*VLOOKUP('Données projet'!$B$12,Paramètres!$A$1:$I$88,3,0)*0.475*44/12</f>
        <v>#N/A</v>
      </c>
      <c r="CM175" s="23" t="e">
        <f>EXP(-LN(2)/2)*CM174+(1-EXP(-LN(2)/2))/(LN(2)/2)*CG175*CJ175*VLOOKUP('Données projet'!$B$12,Paramètres!$A$1:$I$88,3,0)*0.475*44/12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5.6843418860808015E-13</v>
      </c>
      <c r="O176" s="14">
        <f>N176*VLOOKUP('Données projet'!$B$9,Paramètres!$A$1:$I$88,3,0)*VLOOKUP('Données projet'!$B$9,Paramètres!$A$1:$I$88,5,0)</f>
        <v>2.6602720026858149E-13</v>
      </c>
      <c r="P176" s="14">
        <f t="shared" si="141"/>
        <v>3.5662905043956649E-12</v>
      </c>
      <c r="Q176" s="22">
        <f t="shared" si="162"/>
        <v>6.6746200022902298E-12</v>
      </c>
      <c r="R176" s="62">
        <f t="shared" si="109"/>
        <v>293.33333333333997</v>
      </c>
      <c r="S176" s="62">
        <f ca="1">AVERAGE(OFFSET($R$3,0,0,'Données projet'!$E$9+1,1))-AVERAGE(OFFSET($H$3,0,0,'Données projet'!$E$9+1,1))</f>
        <v>316.04959780858269</v>
      </c>
      <c r="T176" s="62">
        <f t="shared" si="142"/>
        <v>213.60182977243113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76.834977486486792</v>
      </c>
      <c r="AA176" s="23">
        <f>EXP(-LN(2)/25)*AA175+(1-EXP(-LN(2)/25))/(LN(2)/25)*Calculateur!V176*Calculateur!X176*VLOOKUP('Données projet'!$B$9,Paramètres!$A$1:$I$88,3,0)*0.475*44/12</f>
        <v>8.5490258846432532</v>
      </c>
      <c r="AB176" s="23">
        <f>EXP(-LN(2)/2)*AB175+(1-EXP(-LN(2)/2))/(LN(2)/2)*V176*Y176*VLOOKUP('Données projet'!$B$9,Paramètres!$A$1:$I$88,3,0)*0.475*44/12</f>
        <v>2.5213063174784928E-4</v>
      </c>
      <c r="AC176" s="24">
        <f t="shared" si="163"/>
        <v>85.3842555017618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-7.9580786405131221E-13</v>
      </c>
      <c r="AJ176" s="14">
        <f>AI176*VLOOKUP('Données projet'!$B$10,Paramètres!$A$1:$I$88,3,0)*VLOOKUP('Données projet'!$B$10,Paramètres!$A$1:$I$88,5,0)</f>
        <v>-4.448565960046835E-13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583.31979399672844</v>
      </c>
      <c r="AO176" s="62">
        <f t="shared" si="144"/>
        <v>544.21514138474731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48.86555612209478</v>
      </c>
      <c r="AV176" s="23">
        <f>EXP(-LN(2)/25)*AV175+(1-EXP(-LN(2)/25))/(LN(2)/25)*Calculateur!AQ176*Calculateur!AS176*VLOOKUP('Données projet'!$B$10,Paramètres!$A$1:$I$88,3,0)*0.475*44/12</f>
        <v>5.0197053178335418</v>
      </c>
      <c r="AW176" s="23">
        <f>EXP(-LN(2)/2)*AW175+(1-EXP(-LN(2)/2))/(LN(2)/2)*AQ176*AT176*VLOOKUP('Données projet'!$B$10,Paramètres!$A$1:$I$88,3,0)*0.475*44/12</f>
        <v>4.4409492294026236E-13</v>
      </c>
      <c r="AX176" s="23">
        <f t="shared" si="166"/>
        <v>53.885261439928769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projet'!$B$11,Paramètres!$A$1:$I$88,3,0)*VLOOKUP('Données projet'!$B$11,Paramètres!$A$1:$I$88,5,0)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projet'!$B$11,Paramètres!$A$1:$I$88,3,0)*0.475*44/12</f>
        <v>#N/A</v>
      </c>
      <c r="BQ176" s="23" t="e">
        <f>EXP(-LN(2)/25)*BQ175+(1-EXP(-LN(2)/25))/(LN(2)/25)*Calculateur!BL176*Calculateur!BN176*VLOOKUP('Données projet'!$B$11,Paramètres!$A$1:$I$88,3,0)*0.475*44/12</f>
        <v>#N/A</v>
      </c>
      <c r="BR176" s="23" t="e">
        <f>EXP(-LN(2)/2)*BR175+(1-EXP(-LN(2)/2))/(LN(2)/2)*BL176*BO176*VLOOKUP('Données projet'!$B$11,Paramètres!$A$1:$I$88,3,0)*0.475*44/12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projet'!$B$12,Paramètres!$A$1:$I$88,3,0)*0.475*44/12</f>
        <v>#N/A</v>
      </c>
      <c r="CL176" s="23" t="e">
        <f>EXP(-LN(2)/25)*CL175+(1-EXP(-LN(2)/25))/(LN(2)/25)*Calculateur!CG176*Calculateur!CI176*VLOOKUP('Données projet'!$B$12,Paramètres!$A$1:$I$88,3,0)*0.475*44/12</f>
        <v>#N/A</v>
      </c>
      <c r="CM176" s="23" t="e">
        <f>EXP(-LN(2)/2)*CM175+(1-EXP(-LN(2)/2))/(LN(2)/2)*CG176*CJ176*VLOOKUP('Données projet'!$B$12,Paramètres!$A$1:$I$88,3,0)*0.475*44/12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5.6843418860808015E-13</v>
      </c>
      <c r="O177" s="14">
        <f>N177*VLOOKUP('Données projet'!$B$9,Paramètres!$A$1:$I$88,3,0)*VLOOKUP('Données projet'!$B$9,Paramètres!$A$1:$I$88,5,0)</f>
        <v>2.6602720026858149E-13</v>
      </c>
      <c r="P177" s="14">
        <f t="shared" si="141"/>
        <v>3.5662905043956649E-12</v>
      </c>
      <c r="Q177" s="22">
        <f t="shared" si="162"/>
        <v>6.6746200022902298E-12</v>
      </c>
      <c r="R177" s="62">
        <f t="shared" si="109"/>
        <v>293.33333333333997</v>
      </c>
      <c r="S177" s="62">
        <f ca="1">AVERAGE(OFFSET($R$3,0,0,'Données projet'!$E$9+1,1))-AVERAGE(OFFSET($H$3,0,0,'Données projet'!$E$9+1,1))</f>
        <v>316.04959780858269</v>
      </c>
      <c r="T177" s="62">
        <f t="shared" si="142"/>
        <v>213.60182977243113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75.328290442685542</v>
      </c>
      <c r="AA177" s="23">
        <f>EXP(-LN(2)/25)*AA176+(1-EXP(-LN(2)/25))/(LN(2)/25)*Calculateur!V177*Calculateur!X177*VLOOKUP('Données projet'!$B$9,Paramètres!$A$1:$I$88,3,0)*0.475*44/12</f>
        <v>8.3152523222539507</v>
      </c>
      <c r="AB177" s="23">
        <f>EXP(-LN(2)/2)*AB176+(1-EXP(-LN(2)/2))/(LN(2)/2)*V177*Y177*VLOOKUP('Données projet'!$B$9,Paramètres!$A$1:$I$88,3,0)*0.475*44/12</f>
        <v>1.7828327945375246E-4</v>
      </c>
      <c r="AC177" s="24">
        <f t="shared" si="163"/>
        <v>83.64372104821895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-7.9580786405131221E-13</v>
      </c>
      <c r="AJ177" s="14">
        <f>AI177*VLOOKUP('Données projet'!$B$10,Paramètres!$A$1:$I$88,3,0)*VLOOKUP('Données projet'!$B$10,Paramètres!$A$1:$I$88,5,0)</f>
        <v>-4.448565960046835E-13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583.31979399672844</v>
      </c>
      <c r="AO177" s="62">
        <f t="shared" si="144"/>
        <v>544.21514138474731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47.907332371586733</v>
      </c>
      <c r="AV177" s="23">
        <f>EXP(-LN(2)/25)*AV176+(1-EXP(-LN(2)/25))/(LN(2)/25)*Calculateur!AQ177*Calculateur!AS177*VLOOKUP('Données projet'!$B$10,Paramètres!$A$1:$I$88,3,0)*0.475*44/12</f>
        <v>4.8824412119425533</v>
      </c>
      <c r="AW177" s="23">
        <f>EXP(-LN(2)/2)*AW176+(1-EXP(-LN(2)/2))/(LN(2)/2)*AQ177*AT177*VLOOKUP('Données projet'!$B$10,Paramètres!$A$1:$I$88,3,0)*0.475*44/12</f>
        <v>3.1402253150157681E-13</v>
      </c>
      <c r="AX177" s="23">
        <f t="shared" si="166"/>
        <v>52.789773583529602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projet'!$B$11,Paramètres!$A$1:$I$88,3,0)*VLOOKUP('Données projet'!$B$11,Paramètres!$A$1:$I$88,5,0)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projet'!$B$11,Paramètres!$A$1:$I$88,3,0)*0.475*44/12</f>
        <v>#N/A</v>
      </c>
      <c r="BQ177" s="23" t="e">
        <f>EXP(-LN(2)/25)*BQ176+(1-EXP(-LN(2)/25))/(LN(2)/25)*Calculateur!BL177*Calculateur!BN177*VLOOKUP('Données projet'!$B$11,Paramètres!$A$1:$I$88,3,0)*0.475*44/12</f>
        <v>#N/A</v>
      </c>
      <c r="BR177" s="23" t="e">
        <f>EXP(-LN(2)/2)*BR176+(1-EXP(-LN(2)/2))/(LN(2)/2)*BL177*BO177*VLOOKUP('Données projet'!$B$11,Paramètres!$A$1:$I$88,3,0)*0.475*44/12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projet'!$B$12,Paramètres!$A$1:$I$88,3,0)*0.475*44/12</f>
        <v>#N/A</v>
      </c>
      <c r="CL177" s="23" t="e">
        <f>EXP(-LN(2)/25)*CL176+(1-EXP(-LN(2)/25))/(LN(2)/25)*Calculateur!CG177*Calculateur!CI177*VLOOKUP('Données projet'!$B$12,Paramètres!$A$1:$I$88,3,0)*0.475*44/12</f>
        <v>#N/A</v>
      </c>
      <c r="CM177" s="23" t="e">
        <f>EXP(-LN(2)/2)*CM176+(1-EXP(-LN(2)/2))/(LN(2)/2)*CG177*CJ177*VLOOKUP('Données projet'!$B$12,Paramètres!$A$1:$I$88,3,0)*0.475*44/12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5.6843418860808015E-13</v>
      </c>
      <c r="O178" s="14">
        <f>N178*VLOOKUP('Données projet'!$B$9,Paramètres!$A$1:$I$88,3,0)*VLOOKUP('Données projet'!$B$9,Paramètres!$A$1:$I$88,5,0)</f>
        <v>2.6602720026858149E-13</v>
      </c>
      <c r="P178" s="14">
        <f t="shared" si="141"/>
        <v>3.5662905043956649E-12</v>
      </c>
      <c r="Q178" s="22">
        <f t="shared" si="162"/>
        <v>6.6746200022902298E-12</v>
      </c>
      <c r="R178" s="62">
        <f t="shared" si="109"/>
        <v>293.33333333333997</v>
      </c>
      <c r="S178" s="62">
        <f ca="1">AVERAGE(OFFSET($R$3,0,0,'Données projet'!$E$9+1,1))-AVERAGE(OFFSET($H$3,0,0,'Données projet'!$E$9+1,1))</f>
        <v>316.04959780858269</v>
      </c>
      <c r="T178" s="62">
        <f t="shared" si="142"/>
        <v>213.60182977243113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73.851148612824886</v>
      </c>
      <c r="AA178" s="23">
        <f>EXP(-LN(2)/25)*AA177+(1-EXP(-LN(2)/25))/(LN(2)/25)*Calculateur!V178*Calculateur!X178*VLOOKUP('Données projet'!$B$9,Paramètres!$A$1:$I$88,3,0)*0.475*44/12</f>
        <v>8.0878713102218018</v>
      </c>
      <c r="AB178" s="23">
        <f>EXP(-LN(2)/2)*AB177+(1-EXP(-LN(2)/2))/(LN(2)/2)*V178*Y178*VLOOKUP('Données projet'!$B$9,Paramètres!$A$1:$I$88,3,0)*0.475*44/12</f>
        <v>1.2606531587392464E-4</v>
      </c>
      <c r="AC178" s="24">
        <f t="shared" si="163"/>
        <v>81.939145988362554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-7.9580786405131221E-13</v>
      </c>
      <c r="AJ178" s="14">
        <f>AI178*VLOOKUP('Données projet'!$B$10,Paramètres!$A$1:$I$88,3,0)*VLOOKUP('Données projet'!$B$10,Paramètres!$A$1:$I$88,5,0)</f>
        <v>-4.448565960046835E-13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583.31979399672844</v>
      </c>
      <c r="AO178" s="62">
        <f t="shared" si="144"/>
        <v>544.21514138474731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46.967898804367373</v>
      </c>
      <c r="AV178" s="23">
        <f>EXP(-LN(2)/25)*AV177+(1-EXP(-LN(2)/25))/(LN(2)/25)*Calculateur!AQ178*Calculateur!AS178*VLOOKUP('Données projet'!$B$10,Paramètres!$A$1:$I$88,3,0)*0.475*44/12</f>
        <v>4.7489306002455596</v>
      </c>
      <c r="AW178" s="23">
        <f>EXP(-LN(2)/2)*AW177+(1-EXP(-LN(2)/2))/(LN(2)/2)*AQ178*AT178*VLOOKUP('Données projet'!$B$10,Paramètres!$A$1:$I$88,3,0)*0.475*44/12</f>
        <v>2.2204746147013121E-13</v>
      </c>
      <c r="AX178" s="23">
        <f t="shared" si="166"/>
        <v>51.716829404613151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projet'!$B$11,Paramètres!$A$1:$I$88,3,0)*VLOOKUP('Données projet'!$B$11,Paramètres!$A$1:$I$88,5,0)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projet'!$B$11,Paramètres!$A$1:$I$88,3,0)*0.475*44/12</f>
        <v>#N/A</v>
      </c>
      <c r="BQ178" s="23" t="e">
        <f>EXP(-LN(2)/25)*BQ177+(1-EXP(-LN(2)/25))/(LN(2)/25)*Calculateur!BL178*Calculateur!BN178*VLOOKUP('Données projet'!$B$11,Paramètres!$A$1:$I$88,3,0)*0.475*44/12</f>
        <v>#N/A</v>
      </c>
      <c r="BR178" s="23" t="e">
        <f>EXP(-LN(2)/2)*BR177+(1-EXP(-LN(2)/2))/(LN(2)/2)*BL178*BO178*VLOOKUP('Données projet'!$B$11,Paramètres!$A$1:$I$88,3,0)*0.475*44/12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projet'!$B$12,Paramètres!$A$1:$I$88,3,0)*0.475*44/12</f>
        <v>#N/A</v>
      </c>
      <c r="CL178" s="23" t="e">
        <f>EXP(-LN(2)/25)*CL177+(1-EXP(-LN(2)/25))/(LN(2)/25)*Calculateur!CG178*Calculateur!CI178*VLOOKUP('Données projet'!$B$12,Paramètres!$A$1:$I$88,3,0)*0.475*44/12</f>
        <v>#N/A</v>
      </c>
      <c r="CM178" s="23" t="e">
        <f>EXP(-LN(2)/2)*CM177+(1-EXP(-LN(2)/2))/(LN(2)/2)*CG178*CJ178*VLOOKUP('Données projet'!$B$12,Paramètres!$A$1:$I$88,3,0)*0.475*44/12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5.6843418860808015E-13</v>
      </c>
      <c r="O179" s="14">
        <f>N179*VLOOKUP('Données projet'!$B$9,Paramètres!$A$1:$I$88,3,0)*VLOOKUP('Données projet'!$B$9,Paramètres!$A$1:$I$88,5,0)</f>
        <v>2.6602720026858149E-13</v>
      </c>
      <c r="P179" s="14">
        <f t="shared" si="141"/>
        <v>3.5662905043956649E-12</v>
      </c>
      <c r="Q179" s="22">
        <f t="shared" si="162"/>
        <v>6.6746200022902298E-12</v>
      </c>
      <c r="R179" s="62">
        <f t="shared" si="109"/>
        <v>293.33333333333997</v>
      </c>
      <c r="S179" s="62">
        <f ca="1">AVERAGE(OFFSET($R$3,0,0,'Données projet'!$E$9+1,1))-AVERAGE(OFFSET($H$3,0,0,'Données projet'!$E$9+1,1))</f>
        <v>316.04959780858269</v>
      </c>
      <c r="T179" s="62">
        <f t="shared" si="142"/>
        <v>213.60182977243113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72.402972633280243</v>
      </c>
      <c r="AA179" s="23">
        <f>EXP(-LN(2)/25)*AA178+(1-EXP(-LN(2)/25))/(LN(2)/25)*Calculateur!V179*Calculateur!X179*VLOOKUP('Données projet'!$B$9,Paramètres!$A$1:$I$88,3,0)*0.475*44/12</f>
        <v>7.8667080439211192</v>
      </c>
      <c r="AB179" s="23">
        <f>EXP(-LN(2)/2)*AB178+(1-EXP(-LN(2)/2))/(LN(2)/2)*V179*Y179*VLOOKUP('Données projet'!$B$9,Paramètres!$A$1:$I$88,3,0)*0.475*44/12</f>
        <v>8.9141639726876228E-5</v>
      </c>
      <c r="AC179" s="24">
        <f t="shared" si="163"/>
        <v>80.269769818841098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-7.9580786405131221E-13</v>
      </c>
      <c r="AJ179" s="14">
        <f>AI179*VLOOKUP('Données projet'!$B$10,Paramètres!$A$1:$I$88,3,0)*VLOOKUP('Données projet'!$B$10,Paramètres!$A$1:$I$88,5,0)</f>
        <v>-4.448565960046835E-13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583.31979399672844</v>
      </c>
      <c r="AO179" s="62">
        <f t="shared" si="144"/>
        <v>544.21514138474731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46.046886956403284</v>
      </c>
      <c r="AV179" s="23">
        <f>EXP(-LN(2)/25)*AV178+(1-EXP(-LN(2)/25))/(LN(2)/25)*Calculateur!AQ179*Calculateur!AS179*VLOOKUP('Données projet'!$B$10,Paramètres!$A$1:$I$88,3,0)*0.475*44/12</f>
        <v>4.6190708432464387</v>
      </c>
      <c r="AW179" s="23">
        <f>EXP(-LN(2)/2)*AW178+(1-EXP(-LN(2)/2))/(LN(2)/2)*AQ179*AT179*VLOOKUP('Données projet'!$B$10,Paramètres!$A$1:$I$88,3,0)*0.475*44/12</f>
        <v>1.5701126575078843E-13</v>
      </c>
      <c r="AX179" s="23">
        <f t="shared" si="166"/>
        <v>50.665957799649881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projet'!$B$11,Paramètres!$A$1:$I$88,3,0)*VLOOKUP('Données projet'!$B$11,Paramètres!$A$1:$I$88,5,0)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projet'!$B$11,Paramètres!$A$1:$I$88,3,0)*0.475*44/12</f>
        <v>#N/A</v>
      </c>
      <c r="BQ179" s="23" t="e">
        <f>EXP(-LN(2)/25)*BQ178+(1-EXP(-LN(2)/25))/(LN(2)/25)*Calculateur!BL179*Calculateur!BN179*VLOOKUP('Données projet'!$B$11,Paramètres!$A$1:$I$88,3,0)*0.475*44/12</f>
        <v>#N/A</v>
      </c>
      <c r="BR179" s="23" t="e">
        <f>EXP(-LN(2)/2)*BR178+(1-EXP(-LN(2)/2))/(LN(2)/2)*BL179*BO179*VLOOKUP('Données projet'!$B$11,Paramètres!$A$1:$I$88,3,0)*0.475*44/12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projet'!$B$12,Paramètres!$A$1:$I$88,3,0)*0.475*44/12</f>
        <v>#N/A</v>
      </c>
      <c r="CL179" s="23" t="e">
        <f>EXP(-LN(2)/25)*CL178+(1-EXP(-LN(2)/25))/(LN(2)/25)*Calculateur!CG179*Calculateur!CI179*VLOOKUP('Données projet'!$B$12,Paramètres!$A$1:$I$88,3,0)*0.475*44/12</f>
        <v>#N/A</v>
      </c>
      <c r="CM179" s="23" t="e">
        <f>EXP(-LN(2)/2)*CM178+(1-EXP(-LN(2)/2))/(LN(2)/2)*CG179*CJ179*VLOOKUP('Données projet'!$B$12,Paramètres!$A$1:$I$88,3,0)*0.475*44/12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5.6843418860808015E-13</v>
      </c>
      <c r="O180" s="14">
        <f>N180*VLOOKUP('Données projet'!$B$9,Paramètres!$A$1:$I$88,3,0)*VLOOKUP('Données projet'!$B$9,Paramètres!$A$1:$I$88,5,0)</f>
        <v>2.6602720026858149E-13</v>
      </c>
      <c r="P180" s="14">
        <f t="shared" si="141"/>
        <v>3.5662905043956649E-12</v>
      </c>
      <c r="Q180" s="22">
        <f t="shared" si="162"/>
        <v>6.6746200022902298E-12</v>
      </c>
      <c r="R180" s="62">
        <f t="shared" si="109"/>
        <v>293.33333333333997</v>
      </c>
      <c r="S180" s="62">
        <f ca="1">AVERAGE(OFFSET($R$3,0,0,'Données projet'!$E$9+1,1))-AVERAGE(OFFSET($H$3,0,0,'Données projet'!$E$9+1,1))</f>
        <v>316.04959780858269</v>
      </c>
      <c r="T180" s="62">
        <f t="shared" si="142"/>
        <v>213.60182977243113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70.983194501394337</v>
      </c>
      <c r="AA180" s="23">
        <f>EXP(-LN(2)/25)*AA179+(1-EXP(-LN(2)/25))/(LN(2)/25)*Calculateur!V180*Calculateur!X180*VLOOKUP('Données projet'!$B$9,Paramètres!$A$1:$I$88,3,0)*0.475*44/12</f>
        <v>7.6515924987678998</v>
      </c>
      <c r="AB180" s="23">
        <f>EXP(-LN(2)/2)*AB179+(1-EXP(-LN(2)/2))/(LN(2)/2)*V180*Y180*VLOOKUP('Données projet'!$B$9,Paramètres!$A$1:$I$88,3,0)*0.475*44/12</f>
        <v>6.303265793696232E-5</v>
      </c>
      <c r="AC180" s="24">
        <f t="shared" si="163"/>
        <v>78.634850032820168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-7.9580786405131221E-13</v>
      </c>
      <c r="AJ180" s="14">
        <f>AI180*VLOOKUP('Données projet'!$B$10,Paramètres!$A$1:$I$88,3,0)*VLOOKUP('Données projet'!$B$10,Paramètres!$A$1:$I$88,5,0)</f>
        <v>-4.448565960046835E-13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583.31979399672844</v>
      </c>
      <c r="AO180" s="62">
        <f t="shared" si="144"/>
        <v>544.21514138474731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45.143935589016017</v>
      </c>
      <c r="AV180" s="23">
        <f>EXP(-LN(2)/25)*AV179+(1-EXP(-LN(2)/25))/(LN(2)/25)*Calculateur!AQ180*Calculateur!AS180*VLOOKUP('Données projet'!$B$10,Paramètres!$A$1:$I$88,3,0)*0.475*44/12</f>
        <v>4.4927621081314859</v>
      </c>
      <c r="AW180" s="23">
        <f>EXP(-LN(2)/2)*AW179+(1-EXP(-LN(2)/2))/(LN(2)/2)*AQ180*AT180*VLOOKUP('Données projet'!$B$10,Paramètres!$A$1:$I$88,3,0)*0.475*44/12</f>
        <v>1.1102373073506563E-13</v>
      </c>
      <c r="AX180" s="23">
        <f t="shared" si="166"/>
        <v>49.636697697147618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projet'!$B$11,Paramètres!$A$1:$I$88,3,0)*VLOOKUP('Données projet'!$B$11,Paramètres!$A$1:$I$88,5,0)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projet'!$B$11,Paramètres!$A$1:$I$88,3,0)*0.475*44/12</f>
        <v>#N/A</v>
      </c>
      <c r="BQ180" s="23" t="e">
        <f>EXP(-LN(2)/25)*BQ179+(1-EXP(-LN(2)/25))/(LN(2)/25)*Calculateur!BL180*Calculateur!BN180*VLOOKUP('Données projet'!$B$11,Paramètres!$A$1:$I$88,3,0)*0.475*44/12</f>
        <v>#N/A</v>
      </c>
      <c r="BR180" s="23" t="e">
        <f>EXP(-LN(2)/2)*BR179+(1-EXP(-LN(2)/2))/(LN(2)/2)*BL180*BO180*VLOOKUP('Données projet'!$B$11,Paramètres!$A$1:$I$88,3,0)*0.475*44/12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projet'!$B$12,Paramètres!$A$1:$I$88,3,0)*0.475*44/12</f>
        <v>#N/A</v>
      </c>
      <c r="CL180" s="23" t="e">
        <f>EXP(-LN(2)/25)*CL179+(1-EXP(-LN(2)/25))/(LN(2)/25)*Calculateur!CG180*Calculateur!CI180*VLOOKUP('Données projet'!$B$12,Paramètres!$A$1:$I$88,3,0)*0.475*44/12</f>
        <v>#N/A</v>
      </c>
      <c r="CM180" s="23" t="e">
        <f>EXP(-LN(2)/2)*CM179+(1-EXP(-LN(2)/2))/(LN(2)/2)*CG180*CJ180*VLOOKUP('Données projet'!$B$12,Paramètres!$A$1:$I$88,3,0)*0.475*44/12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5.6843418860808015E-13</v>
      </c>
      <c r="O181" s="14">
        <f>N181*VLOOKUP('Données projet'!$B$9,Paramètres!$A$1:$I$88,3,0)*VLOOKUP('Données projet'!$B$9,Paramètres!$A$1:$I$88,5,0)</f>
        <v>2.6602720026858149E-13</v>
      </c>
      <c r="P181" s="14">
        <f t="shared" si="141"/>
        <v>3.5662905043956649E-12</v>
      </c>
      <c r="Q181" s="22">
        <f t="shared" si="162"/>
        <v>6.6746200022902298E-12</v>
      </c>
      <c r="R181" s="62">
        <f t="shared" si="109"/>
        <v>293.33333333333997</v>
      </c>
      <c r="S181" s="62">
        <f ca="1">AVERAGE(OFFSET($R$3,0,0,'Données projet'!$E$9+1,1))-AVERAGE(OFFSET($H$3,0,0,'Données projet'!$E$9+1,1))</f>
        <v>316.04959780858269</v>
      </c>
      <c r="T181" s="62">
        <f t="shared" si="142"/>
        <v>213.60182977243113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69.591257352695564</v>
      </c>
      <c r="AA181" s="23">
        <f>EXP(-LN(2)/25)*AA180+(1-EXP(-LN(2)/25))/(LN(2)/25)*Calculateur!V181*Calculateur!X181*VLOOKUP('Données projet'!$B$9,Paramètres!$A$1:$I$88,3,0)*0.475*44/12</f>
        <v>7.44235929950933</v>
      </c>
      <c r="AB181" s="23">
        <f>EXP(-LN(2)/2)*AB180+(1-EXP(-LN(2)/2))/(LN(2)/2)*V181*Y181*VLOOKUP('Données projet'!$B$9,Paramètres!$A$1:$I$88,3,0)*0.475*44/12</f>
        <v>4.4570819863438114E-5</v>
      </c>
      <c r="AC181" s="24">
        <f t="shared" si="163"/>
        <v>77.033661223024765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-7.9580786405131221E-13</v>
      </c>
      <c r="AJ181" s="14">
        <f>AI181*VLOOKUP('Données projet'!$B$10,Paramètres!$A$1:$I$88,3,0)*VLOOKUP('Données projet'!$B$10,Paramètres!$A$1:$I$88,5,0)</f>
        <v>-4.448565960046835E-13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583.31979399672844</v>
      </c>
      <c r="AO181" s="62">
        <f t="shared" si="144"/>
        <v>544.21514138474731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44.258690547197261</v>
      </c>
      <c r="AV181" s="23">
        <f>EXP(-LN(2)/25)*AV180+(1-EXP(-LN(2)/25))/(LN(2)/25)*Calculateur!AQ181*Calculateur!AS181*VLOOKUP('Données projet'!$B$10,Paramètres!$A$1:$I$88,3,0)*0.475*44/12</f>
        <v>4.3699072920205397</v>
      </c>
      <c r="AW181" s="23">
        <f>EXP(-LN(2)/2)*AW180+(1-EXP(-LN(2)/2))/(LN(2)/2)*AQ181*AT181*VLOOKUP('Données projet'!$B$10,Paramètres!$A$1:$I$88,3,0)*0.475*44/12</f>
        <v>7.8505632875394228E-14</v>
      </c>
      <c r="AX181" s="23">
        <f t="shared" si="166"/>
        <v>48.628597839217882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projet'!$B$11,Paramètres!$A$1:$I$88,3,0)*VLOOKUP('Données projet'!$B$11,Paramètres!$A$1:$I$88,5,0)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projet'!$B$11,Paramètres!$A$1:$I$88,3,0)*0.475*44/12</f>
        <v>#N/A</v>
      </c>
      <c r="BQ181" s="23" t="e">
        <f>EXP(-LN(2)/25)*BQ180+(1-EXP(-LN(2)/25))/(LN(2)/25)*Calculateur!BL181*Calculateur!BN181*VLOOKUP('Données projet'!$B$11,Paramètres!$A$1:$I$88,3,0)*0.475*44/12</f>
        <v>#N/A</v>
      </c>
      <c r="BR181" s="23" t="e">
        <f>EXP(-LN(2)/2)*BR180+(1-EXP(-LN(2)/2))/(LN(2)/2)*BL181*BO181*VLOOKUP('Données projet'!$B$11,Paramètres!$A$1:$I$88,3,0)*0.475*44/12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projet'!$B$12,Paramètres!$A$1:$I$88,3,0)*0.475*44/12</f>
        <v>#N/A</v>
      </c>
      <c r="CL181" s="23" t="e">
        <f>EXP(-LN(2)/25)*CL180+(1-EXP(-LN(2)/25))/(LN(2)/25)*Calculateur!CG181*Calculateur!CI181*VLOOKUP('Données projet'!$B$12,Paramètres!$A$1:$I$88,3,0)*0.475*44/12</f>
        <v>#N/A</v>
      </c>
      <c r="CM181" s="23" t="e">
        <f>EXP(-LN(2)/2)*CM180+(1-EXP(-LN(2)/2))/(LN(2)/2)*CG181*CJ181*VLOOKUP('Données projet'!$B$12,Paramètres!$A$1:$I$88,3,0)*0.475*44/12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5.6843418860808015E-13</v>
      </c>
      <c r="O182" s="14">
        <f>N182*VLOOKUP('Données projet'!$B$9,Paramètres!$A$1:$I$88,3,0)*VLOOKUP('Données projet'!$B$9,Paramètres!$A$1:$I$88,5,0)</f>
        <v>2.6602720026858149E-13</v>
      </c>
      <c r="P182" s="14">
        <f t="shared" si="141"/>
        <v>3.5662905043956649E-12</v>
      </c>
      <c r="Q182" s="22">
        <f t="shared" si="162"/>
        <v>6.6746200022902298E-12</v>
      </c>
      <c r="R182" s="62">
        <f t="shared" si="109"/>
        <v>293.33333333333997</v>
      </c>
      <c r="S182" s="62">
        <f ca="1">AVERAGE(OFFSET($R$3,0,0,'Données projet'!$E$9+1,1))-AVERAGE(OFFSET($H$3,0,0,'Données projet'!$E$9+1,1))</f>
        <v>316.04959780858269</v>
      </c>
      <c r="T182" s="62">
        <f t="shared" si="142"/>
        <v>213.60182977243113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68.226615242484954</v>
      </c>
      <c r="AA182" s="23">
        <f>EXP(-LN(2)/25)*AA181+(1-EXP(-LN(2)/25))/(LN(2)/25)*Calculateur!V182*Calculateur!X182*VLOOKUP('Données projet'!$B$9,Paramètres!$A$1:$I$88,3,0)*0.475*44/12</f>
        <v>7.2388475930875815</v>
      </c>
      <c r="AB182" s="23">
        <f>EXP(-LN(2)/2)*AB181+(1-EXP(-LN(2)/2))/(LN(2)/2)*V182*Y182*VLOOKUP('Données projet'!$B$9,Paramètres!$A$1:$I$88,3,0)*0.475*44/12</f>
        <v>3.151632896848116E-5</v>
      </c>
      <c r="AC182" s="24">
        <f t="shared" si="163"/>
        <v>75.465494351901512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-7.9580786405131221E-13</v>
      </c>
      <c r="AJ182" s="14">
        <f>AI182*VLOOKUP('Données projet'!$B$10,Paramètres!$A$1:$I$88,3,0)*VLOOKUP('Données projet'!$B$10,Paramètres!$A$1:$I$88,5,0)</f>
        <v>-4.448565960046835E-13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583.31979399672844</v>
      </c>
      <c r="AO182" s="62">
        <f t="shared" si="144"/>
        <v>544.21514138474731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43.390804620702411</v>
      </c>
      <c r="AV182" s="23">
        <f>EXP(-LN(2)/25)*AV181+(1-EXP(-LN(2)/25))/(LN(2)/25)*Calculateur!AQ182*Calculateur!AS182*VLOOKUP('Données projet'!$B$10,Paramètres!$A$1:$I$88,3,0)*0.475*44/12</f>
        <v>4.2504119473168007</v>
      </c>
      <c r="AW182" s="23">
        <f>EXP(-LN(2)/2)*AW181+(1-EXP(-LN(2)/2))/(LN(2)/2)*AQ182*AT182*VLOOKUP('Données projet'!$B$10,Paramètres!$A$1:$I$88,3,0)*0.475*44/12</f>
        <v>5.551186536753282E-14</v>
      </c>
      <c r="AX182" s="23">
        <f t="shared" si="166"/>
        <v>47.641216568019267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projet'!$B$11,Paramètres!$A$1:$I$88,3,0)*VLOOKUP('Données projet'!$B$11,Paramètres!$A$1:$I$88,5,0)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projet'!$B$11,Paramètres!$A$1:$I$88,3,0)*0.475*44/12</f>
        <v>#N/A</v>
      </c>
      <c r="BQ182" s="23" t="e">
        <f>EXP(-LN(2)/25)*BQ181+(1-EXP(-LN(2)/25))/(LN(2)/25)*Calculateur!BL182*Calculateur!BN182*VLOOKUP('Données projet'!$B$11,Paramètres!$A$1:$I$88,3,0)*0.475*44/12</f>
        <v>#N/A</v>
      </c>
      <c r="BR182" s="23" t="e">
        <f>EXP(-LN(2)/2)*BR181+(1-EXP(-LN(2)/2))/(LN(2)/2)*BL182*BO182*VLOOKUP('Données projet'!$B$11,Paramètres!$A$1:$I$88,3,0)*0.475*44/12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projet'!$B$12,Paramètres!$A$1:$I$88,3,0)*0.475*44/12</f>
        <v>#N/A</v>
      </c>
      <c r="CL182" s="23" t="e">
        <f>EXP(-LN(2)/25)*CL181+(1-EXP(-LN(2)/25))/(LN(2)/25)*Calculateur!CG182*Calculateur!CI182*VLOOKUP('Données projet'!$B$12,Paramètres!$A$1:$I$88,3,0)*0.475*44/12</f>
        <v>#N/A</v>
      </c>
      <c r="CM182" s="23" t="e">
        <f>EXP(-LN(2)/2)*CM181+(1-EXP(-LN(2)/2))/(LN(2)/2)*CG182*CJ182*VLOOKUP('Données projet'!$B$12,Paramètres!$A$1:$I$88,3,0)*0.475*44/12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5.6843418860808015E-13</v>
      </c>
      <c r="O183" s="14">
        <f>N183*VLOOKUP('Données projet'!$B$9,Paramètres!$A$1:$I$88,3,0)*VLOOKUP('Données projet'!$B$9,Paramètres!$A$1:$I$88,5,0)</f>
        <v>2.6602720026858149E-13</v>
      </c>
      <c r="P183" s="14">
        <f t="shared" si="141"/>
        <v>3.5662905043956649E-12</v>
      </c>
      <c r="Q183" s="22">
        <f t="shared" si="162"/>
        <v>6.6746200022902298E-12</v>
      </c>
      <c r="R183" s="62">
        <f t="shared" si="109"/>
        <v>293.33333333333997</v>
      </c>
      <c r="S183" s="62">
        <f ca="1">AVERAGE(OFFSET($R$3,0,0,'Données projet'!$E$9+1,1))-AVERAGE(OFFSET($H$3,0,0,'Données projet'!$E$9+1,1))</f>
        <v>316.04959780858269</v>
      </c>
      <c r="T183" s="62">
        <f t="shared" si="142"/>
        <v>213.60182977243113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66.888732931706073</v>
      </c>
      <c r="AA183" s="23">
        <f>EXP(-LN(2)/25)*AA182+(1-EXP(-LN(2)/25))/(LN(2)/25)*Calculateur!V183*Calculateur!X183*VLOOKUP('Données projet'!$B$9,Paramètres!$A$1:$I$88,3,0)*0.475*44/12</f>
        <v>7.0409009249801509</v>
      </c>
      <c r="AB183" s="23">
        <f>EXP(-LN(2)/2)*AB182+(1-EXP(-LN(2)/2))/(LN(2)/2)*V183*Y183*VLOOKUP('Données projet'!$B$9,Paramètres!$A$1:$I$88,3,0)*0.475*44/12</f>
        <v>2.2285409931719057E-5</v>
      </c>
      <c r="AC183" s="24">
        <f t="shared" si="163"/>
        <v>73.92965614209615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-7.9580786405131221E-13</v>
      </c>
      <c r="AJ183" s="14">
        <f>AI183*VLOOKUP('Données projet'!$B$10,Paramètres!$A$1:$I$88,3,0)*VLOOKUP('Données projet'!$B$10,Paramètres!$A$1:$I$88,5,0)</f>
        <v>-4.448565960046835E-13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583.31979399672844</v>
      </c>
      <c r="AO183" s="62">
        <f t="shared" si="144"/>
        <v>544.21514138474731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42.539937407867974</v>
      </c>
      <c r="AV183" s="23">
        <f>EXP(-LN(2)/25)*AV182+(1-EXP(-LN(2)/25))/(LN(2)/25)*Calculateur!AQ183*Calculateur!AS183*VLOOKUP('Données projet'!$B$10,Paramètres!$A$1:$I$88,3,0)*0.475*44/12</f>
        <v>4.134184209097973</v>
      </c>
      <c r="AW183" s="23">
        <f>EXP(-LN(2)/2)*AW182+(1-EXP(-LN(2)/2))/(LN(2)/2)*AQ183*AT183*VLOOKUP('Données projet'!$B$10,Paramètres!$A$1:$I$88,3,0)*0.475*44/12</f>
        <v>3.925281643769712E-14</v>
      </c>
      <c r="AX183" s="23">
        <f t="shared" si="166"/>
        <v>46.674121616965991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projet'!$B$11,Paramètres!$A$1:$I$88,3,0)*VLOOKUP('Données projet'!$B$11,Paramètres!$A$1:$I$88,5,0)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projet'!$B$11,Paramètres!$A$1:$I$88,3,0)*0.475*44/12</f>
        <v>#N/A</v>
      </c>
      <c r="BQ183" s="23" t="e">
        <f>EXP(-LN(2)/25)*BQ182+(1-EXP(-LN(2)/25))/(LN(2)/25)*Calculateur!BL183*Calculateur!BN183*VLOOKUP('Données projet'!$B$11,Paramètres!$A$1:$I$88,3,0)*0.475*44/12</f>
        <v>#N/A</v>
      </c>
      <c r="BR183" s="23" t="e">
        <f>EXP(-LN(2)/2)*BR182+(1-EXP(-LN(2)/2))/(LN(2)/2)*BL183*BO183*VLOOKUP('Données projet'!$B$11,Paramètres!$A$1:$I$88,3,0)*0.475*44/12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projet'!$B$12,Paramètres!$A$1:$I$88,3,0)*0.475*44/12</f>
        <v>#N/A</v>
      </c>
      <c r="CL183" s="23" t="e">
        <f>EXP(-LN(2)/25)*CL182+(1-EXP(-LN(2)/25))/(LN(2)/25)*Calculateur!CG183*Calculateur!CI183*VLOOKUP('Données projet'!$B$12,Paramètres!$A$1:$I$88,3,0)*0.475*44/12</f>
        <v>#N/A</v>
      </c>
      <c r="CM183" s="23" t="e">
        <f>EXP(-LN(2)/2)*CM182+(1-EXP(-LN(2)/2))/(LN(2)/2)*CG183*CJ183*VLOOKUP('Données projet'!$B$12,Paramètres!$A$1:$I$88,3,0)*0.475*44/12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5.6843418860808015E-13</v>
      </c>
      <c r="O184" s="14">
        <f>N184*VLOOKUP('Données projet'!$B$9,Paramètres!$A$1:$I$88,3,0)*VLOOKUP('Données projet'!$B$9,Paramètres!$A$1:$I$88,5,0)</f>
        <v>2.6602720026858149E-13</v>
      </c>
      <c r="P184" s="14">
        <f t="shared" si="141"/>
        <v>3.5662905043956649E-12</v>
      </c>
      <c r="Q184" s="22">
        <f t="shared" si="162"/>
        <v>6.6746200022902298E-12</v>
      </c>
      <c r="R184" s="62">
        <f t="shared" si="109"/>
        <v>293.33333333333997</v>
      </c>
      <c r="S184" s="62">
        <f ca="1">AVERAGE(OFFSET($R$3,0,0,'Données projet'!$E$9+1,1))-AVERAGE(OFFSET($H$3,0,0,'Données projet'!$E$9+1,1))</f>
        <v>316.04959780858269</v>
      </c>
      <c r="T184" s="62">
        <f t="shared" si="142"/>
        <v>213.60182977243113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65.577085677013926</v>
      </c>
      <c r="AA184" s="23">
        <f>EXP(-LN(2)/25)*AA183+(1-EXP(-LN(2)/25))/(LN(2)/25)*Calculateur!V184*Calculateur!X184*VLOOKUP('Données projet'!$B$9,Paramètres!$A$1:$I$88,3,0)*0.475*44/12</f>
        <v>6.848367118921681</v>
      </c>
      <c r="AB184" s="23">
        <f>EXP(-LN(2)/2)*AB183+(1-EXP(-LN(2)/2))/(LN(2)/2)*V184*Y184*VLOOKUP('Données projet'!$B$9,Paramètres!$A$1:$I$88,3,0)*0.475*44/12</f>
        <v>1.575816448424058E-5</v>
      </c>
      <c r="AC184" s="24">
        <f t="shared" si="163"/>
        <v>72.425468554100092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-7.9580786405131221E-13</v>
      </c>
      <c r="AJ184" s="14">
        <f>AI184*VLOOKUP('Données projet'!$B$10,Paramètres!$A$1:$I$88,3,0)*VLOOKUP('Données projet'!$B$10,Paramètres!$A$1:$I$88,5,0)</f>
        <v>-4.448565960046835E-13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583.31979399672844</v>
      </c>
      <c r="AO184" s="62">
        <f t="shared" si="144"/>
        <v>544.21514138474731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41.705755182099466</v>
      </c>
      <c r="AV184" s="23">
        <f>EXP(-LN(2)/25)*AV183+(1-EXP(-LN(2)/25))/(LN(2)/25)*Calculateur!AQ184*Calculateur!AS184*VLOOKUP('Données projet'!$B$10,Paramètres!$A$1:$I$88,3,0)*0.475*44/12</f>
        <v>4.0211347244928906</v>
      </c>
      <c r="AW184" s="23">
        <f>EXP(-LN(2)/2)*AW183+(1-EXP(-LN(2)/2))/(LN(2)/2)*AQ184*AT184*VLOOKUP('Données projet'!$B$10,Paramètres!$A$1:$I$88,3,0)*0.475*44/12</f>
        <v>2.7755932683766416E-14</v>
      </c>
      <c r="AX184" s="23">
        <f t="shared" si="166"/>
        <v>45.726889906592383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projet'!$B$11,Paramètres!$A$1:$I$88,3,0)*VLOOKUP('Données projet'!$B$11,Paramètres!$A$1:$I$88,5,0)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projet'!$B$11,Paramètres!$A$1:$I$88,3,0)*0.475*44/12</f>
        <v>#N/A</v>
      </c>
      <c r="BQ184" s="23" t="e">
        <f>EXP(-LN(2)/25)*BQ183+(1-EXP(-LN(2)/25))/(LN(2)/25)*Calculateur!BL184*Calculateur!BN184*VLOOKUP('Données projet'!$B$11,Paramètres!$A$1:$I$88,3,0)*0.475*44/12</f>
        <v>#N/A</v>
      </c>
      <c r="BR184" s="23" t="e">
        <f>EXP(-LN(2)/2)*BR183+(1-EXP(-LN(2)/2))/(LN(2)/2)*BL184*BO184*VLOOKUP('Données projet'!$B$11,Paramètres!$A$1:$I$88,3,0)*0.475*44/12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projet'!$B$12,Paramètres!$A$1:$I$88,3,0)*0.475*44/12</f>
        <v>#N/A</v>
      </c>
      <c r="CL184" s="23" t="e">
        <f>EXP(-LN(2)/25)*CL183+(1-EXP(-LN(2)/25))/(LN(2)/25)*Calculateur!CG184*Calculateur!CI184*VLOOKUP('Données projet'!$B$12,Paramètres!$A$1:$I$88,3,0)*0.475*44/12</f>
        <v>#N/A</v>
      </c>
      <c r="CM184" s="23" t="e">
        <f>EXP(-LN(2)/2)*CM183+(1-EXP(-LN(2)/2))/(LN(2)/2)*CG184*CJ184*VLOOKUP('Données projet'!$B$12,Paramètres!$A$1:$I$88,3,0)*0.475*44/12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5.6843418860808015E-13</v>
      </c>
      <c r="O185" s="14">
        <f>N185*VLOOKUP('Données projet'!$B$9,Paramètres!$A$1:$I$88,3,0)*VLOOKUP('Données projet'!$B$9,Paramètres!$A$1:$I$88,5,0)</f>
        <v>2.6602720026858149E-13</v>
      </c>
      <c r="P185" s="14">
        <f t="shared" si="141"/>
        <v>3.5662905043956649E-12</v>
      </c>
      <c r="Q185" s="22">
        <f t="shared" si="162"/>
        <v>6.6746200022902298E-12</v>
      </c>
      <c r="R185" s="62">
        <f t="shared" si="109"/>
        <v>293.33333333333997</v>
      </c>
      <c r="S185" s="62">
        <f ca="1">AVERAGE(OFFSET($R$3,0,0,'Données projet'!$E$9+1,1))-AVERAGE(OFFSET($H$3,0,0,'Données projet'!$E$9+1,1))</f>
        <v>316.04959780858269</v>
      </c>
      <c r="T185" s="62">
        <f t="shared" si="142"/>
        <v>213.60182977243113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64.291159024960464</v>
      </c>
      <c r="AA185" s="23">
        <f>EXP(-LN(2)/25)*AA184+(1-EXP(-LN(2)/25))/(LN(2)/25)*Calculateur!V185*Calculateur!X185*VLOOKUP('Données projet'!$B$9,Paramètres!$A$1:$I$88,3,0)*0.475*44/12</f>
        <v>6.6610981599147934</v>
      </c>
      <c r="AB185" s="23">
        <f>EXP(-LN(2)/2)*AB184+(1-EXP(-LN(2)/2))/(LN(2)/2)*V185*Y185*VLOOKUP('Données projet'!$B$9,Paramètres!$A$1:$I$88,3,0)*0.475*44/12</f>
        <v>1.1142704965859529E-5</v>
      </c>
      <c r="AC185" s="24">
        <f t="shared" si="163"/>
        <v>70.952268327580228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-7.9580786405131221E-13</v>
      </c>
      <c r="AJ185" s="14">
        <f>AI185*VLOOKUP('Données projet'!$B$10,Paramètres!$A$1:$I$88,3,0)*VLOOKUP('Données projet'!$B$10,Paramètres!$A$1:$I$88,5,0)</f>
        <v>-4.448565960046835E-13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583.31979399672844</v>
      </c>
      <c r="AO185" s="62">
        <f t="shared" si="144"/>
        <v>544.21514138474731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40.887930760977362</v>
      </c>
      <c r="AV185" s="23">
        <f>EXP(-LN(2)/25)*AV184+(1-EXP(-LN(2)/25))/(LN(2)/25)*Calculateur!AQ185*Calculateur!AS185*VLOOKUP('Données projet'!$B$10,Paramètres!$A$1:$I$88,3,0)*0.475*44/12</f>
        <v>3.9111765839893478</v>
      </c>
      <c r="AW185" s="23">
        <f>EXP(-LN(2)/2)*AW184+(1-EXP(-LN(2)/2))/(LN(2)/2)*AQ185*AT185*VLOOKUP('Données projet'!$B$10,Paramètres!$A$1:$I$88,3,0)*0.475*44/12</f>
        <v>1.9626408218848563E-14</v>
      </c>
      <c r="AX185" s="23">
        <f t="shared" si="166"/>
        <v>44.799107344966728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projet'!$B$11,Paramètres!$A$1:$I$88,3,0)*VLOOKUP('Données projet'!$B$11,Paramètres!$A$1:$I$88,5,0)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projet'!$B$11,Paramètres!$A$1:$I$88,3,0)*0.475*44/12</f>
        <v>#N/A</v>
      </c>
      <c r="BQ185" s="23" t="e">
        <f>EXP(-LN(2)/25)*BQ184+(1-EXP(-LN(2)/25))/(LN(2)/25)*Calculateur!BL185*Calculateur!BN185*VLOOKUP('Données projet'!$B$11,Paramètres!$A$1:$I$88,3,0)*0.475*44/12</f>
        <v>#N/A</v>
      </c>
      <c r="BR185" s="23" t="e">
        <f>EXP(-LN(2)/2)*BR184+(1-EXP(-LN(2)/2))/(LN(2)/2)*BL185*BO185*VLOOKUP('Données projet'!$B$11,Paramètres!$A$1:$I$88,3,0)*0.475*44/12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projet'!$B$12,Paramètres!$A$1:$I$88,3,0)*0.475*44/12</f>
        <v>#N/A</v>
      </c>
      <c r="CL185" s="23" t="e">
        <f>EXP(-LN(2)/25)*CL184+(1-EXP(-LN(2)/25))/(LN(2)/25)*Calculateur!CG185*Calculateur!CI185*VLOOKUP('Données projet'!$B$12,Paramètres!$A$1:$I$88,3,0)*0.475*44/12</f>
        <v>#N/A</v>
      </c>
      <c r="CM185" s="23" t="e">
        <f>EXP(-LN(2)/2)*CM184+(1-EXP(-LN(2)/2))/(LN(2)/2)*CG185*CJ185*VLOOKUP('Données projet'!$B$12,Paramètres!$A$1:$I$88,3,0)*0.475*44/12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5.6843418860808015E-13</v>
      </c>
      <c r="O186" s="14">
        <f>N186*VLOOKUP('Données projet'!$B$9,Paramètres!$A$1:$I$88,3,0)*VLOOKUP('Données projet'!$B$9,Paramètres!$A$1:$I$88,5,0)</f>
        <v>2.6602720026858149E-13</v>
      </c>
      <c r="P186" s="14">
        <f t="shared" si="141"/>
        <v>3.5662905043956649E-12</v>
      </c>
      <c r="Q186" s="22">
        <f t="shared" si="162"/>
        <v>6.6746200022902298E-12</v>
      </c>
      <c r="R186" s="62">
        <f t="shared" si="109"/>
        <v>293.33333333333997</v>
      </c>
      <c r="S186" s="62">
        <f ca="1">AVERAGE(OFFSET($R$3,0,0,'Données projet'!$E$9+1,1))-AVERAGE(OFFSET($H$3,0,0,'Données projet'!$E$9+1,1))</f>
        <v>316.04959780858269</v>
      </c>
      <c r="T186" s="62">
        <f t="shared" si="142"/>
        <v>213.60182977243113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63.030448610215963</v>
      </c>
      <c r="AA186" s="23">
        <f>EXP(-LN(2)/25)*AA185+(1-EXP(-LN(2)/25))/(LN(2)/25)*Calculateur!V186*Calculateur!X186*VLOOKUP('Données projet'!$B$9,Paramètres!$A$1:$I$88,3,0)*0.475*44/12</f>
        <v>6.4789500804399953</v>
      </c>
      <c r="AB186" s="23">
        <f>EXP(-LN(2)/2)*AB185+(1-EXP(-LN(2)/2))/(LN(2)/2)*V186*Y186*VLOOKUP('Données projet'!$B$9,Paramètres!$A$1:$I$88,3,0)*0.475*44/12</f>
        <v>7.8790822421202899E-6</v>
      </c>
      <c r="AC186" s="24">
        <f t="shared" si="163"/>
        <v>69.509406569738204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-7.9580786405131221E-13</v>
      </c>
      <c r="AJ186" s="14">
        <f>AI186*VLOOKUP('Données projet'!$B$10,Paramètres!$A$1:$I$88,3,0)*VLOOKUP('Données projet'!$B$10,Paramètres!$A$1:$I$88,5,0)</f>
        <v>-4.448565960046835E-13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583.31979399672844</v>
      </c>
      <c r="AO186" s="62">
        <f t="shared" si="144"/>
        <v>544.21514138474731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40.086143377929822</v>
      </c>
      <c r="AV186" s="23">
        <f>EXP(-LN(2)/25)*AV185+(1-EXP(-LN(2)/25))/(LN(2)/25)*Calculateur!AQ186*Calculateur!AS186*VLOOKUP('Données projet'!$B$10,Paramètres!$A$1:$I$88,3,0)*0.475*44/12</f>
        <v>3.8042252546203215</v>
      </c>
      <c r="AW186" s="23">
        <f>EXP(-LN(2)/2)*AW185+(1-EXP(-LN(2)/2))/(LN(2)/2)*AQ186*AT186*VLOOKUP('Données projet'!$B$10,Paramètres!$A$1:$I$88,3,0)*0.475*44/12</f>
        <v>1.387796634188321E-14</v>
      </c>
      <c r="AX186" s="23">
        <f t="shared" si="166"/>
        <v>43.890368632550157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projet'!$B$11,Paramètres!$A$1:$I$88,3,0)*VLOOKUP('Données projet'!$B$11,Paramètres!$A$1:$I$88,5,0)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projet'!$B$11,Paramètres!$A$1:$I$88,3,0)*0.475*44/12</f>
        <v>#N/A</v>
      </c>
      <c r="BQ186" s="23" t="e">
        <f>EXP(-LN(2)/25)*BQ185+(1-EXP(-LN(2)/25))/(LN(2)/25)*Calculateur!BL186*Calculateur!BN186*VLOOKUP('Données projet'!$B$11,Paramètres!$A$1:$I$88,3,0)*0.475*44/12</f>
        <v>#N/A</v>
      </c>
      <c r="BR186" s="23" t="e">
        <f>EXP(-LN(2)/2)*BR185+(1-EXP(-LN(2)/2))/(LN(2)/2)*BL186*BO186*VLOOKUP('Données projet'!$B$11,Paramètres!$A$1:$I$88,3,0)*0.475*44/12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projet'!$B$12,Paramètres!$A$1:$I$88,3,0)*0.475*44/12</f>
        <v>#N/A</v>
      </c>
      <c r="CL186" s="23" t="e">
        <f>EXP(-LN(2)/25)*CL185+(1-EXP(-LN(2)/25))/(LN(2)/25)*Calculateur!CG186*Calculateur!CI186*VLOOKUP('Données projet'!$B$12,Paramètres!$A$1:$I$88,3,0)*0.475*44/12</f>
        <v>#N/A</v>
      </c>
      <c r="CM186" s="23" t="e">
        <f>EXP(-LN(2)/2)*CM185+(1-EXP(-LN(2)/2))/(LN(2)/2)*CG186*CJ186*VLOOKUP('Données projet'!$B$12,Paramètres!$A$1:$I$88,3,0)*0.475*44/12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5.6843418860808015E-13</v>
      </c>
      <c r="O187" s="14">
        <f>N187*VLOOKUP('Données projet'!$B$9,Paramètres!$A$1:$I$88,3,0)*VLOOKUP('Données projet'!$B$9,Paramètres!$A$1:$I$88,5,0)</f>
        <v>2.6602720026858149E-13</v>
      </c>
      <c r="P187" s="14">
        <f t="shared" si="141"/>
        <v>3.5662905043956649E-12</v>
      </c>
      <c r="Q187" s="22">
        <f t="shared" si="162"/>
        <v>6.6746200022902298E-12</v>
      </c>
      <c r="R187" s="62">
        <f t="shared" si="109"/>
        <v>293.33333333333997</v>
      </c>
      <c r="S187" s="62">
        <f ca="1">AVERAGE(OFFSET($R$3,0,0,'Données projet'!$E$9+1,1))-AVERAGE(OFFSET($H$3,0,0,'Données projet'!$E$9+1,1))</f>
        <v>316.04959780858269</v>
      </c>
      <c r="T187" s="62">
        <f t="shared" si="142"/>
        <v>213.60182977243113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61.794459957747172</v>
      </c>
      <c r="AA187" s="23">
        <f>EXP(-LN(2)/25)*AA186+(1-EXP(-LN(2)/25))/(LN(2)/25)*Calculateur!V187*Calculateur!X187*VLOOKUP('Données projet'!$B$9,Paramètres!$A$1:$I$88,3,0)*0.475*44/12</f>
        <v>6.3017828497771866</v>
      </c>
      <c r="AB187" s="23">
        <f>EXP(-LN(2)/2)*AB186+(1-EXP(-LN(2)/2))/(LN(2)/2)*V187*Y187*VLOOKUP('Données projet'!$B$9,Paramètres!$A$1:$I$88,3,0)*0.475*44/12</f>
        <v>5.5713524829297643E-6</v>
      </c>
      <c r="AC187" s="24">
        <f t="shared" si="163"/>
        <v>68.096248378876851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-7.9580786405131221E-13</v>
      </c>
      <c r="AJ187" s="14">
        <f>AI187*VLOOKUP('Données projet'!$B$10,Paramètres!$A$1:$I$88,3,0)*VLOOKUP('Données projet'!$B$10,Paramètres!$A$1:$I$88,5,0)</f>
        <v>-4.448565960046835E-13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583.31979399672844</v>
      </c>
      <c r="AO187" s="62">
        <f t="shared" si="144"/>
        <v>544.21514138474731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39.30007855642183</v>
      </c>
      <c r="AV187" s="23">
        <f>EXP(-LN(2)/25)*AV186+(1-EXP(-LN(2)/25))/(LN(2)/25)*Calculateur!AQ187*Calculateur!AS187*VLOOKUP('Données projet'!$B$10,Paramètres!$A$1:$I$88,3,0)*0.475*44/12</f>
        <v>3.7001985149772172</v>
      </c>
      <c r="AW187" s="23">
        <f>EXP(-LN(2)/2)*AW186+(1-EXP(-LN(2)/2))/(LN(2)/2)*AQ187*AT187*VLOOKUP('Données projet'!$B$10,Paramètres!$A$1:$I$88,3,0)*0.475*44/12</f>
        <v>9.8132041094242832E-15</v>
      </c>
      <c r="AX187" s="23">
        <f t="shared" si="166"/>
        <v>43.000277071399054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projet'!$B$11,Paramètres!$A$1:$I$88,3,0)*VLOOKUP('Données projet'!$B$11,Paramètres!$A$1:$I$88,5,0)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projet'!$B$11,Paramètres!$A$1:$I$88,3,0)*0.475*44/12</f>
        <v>#N/A</v>
      </c>
      <c r="BQ187" s="23" t="e">
        <f>EXP(-LN(2)/25)*BQ186+(1-EXP(-LN(2)/25))/(LN(2)/25)*Calculateur!BL187*Calculateur!BN187*VLOOKUP('Données projet'!$B$11,Paramètres!$A$1:$I$88,3,0)*0.475*44/12</f>
        <v>#N/A</v>
      </c>
      <c r="BR187" s="23" t="e">
        <f>EXP(-LN(2)/2)*BR186+(1-EXP(-LN(2)/2))/(LN(2)/2)*BL187*BO187*VLOOKUP('Données projet'!$B$11,Paramètres!$A$1:$I$88,3,0)*0.475*44/12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projet'!$B$12,Paramètres!$A$1:$I$88,3,0)*0.475*44/12</f>
        <v>#N/A</v>
      </c>
      <c r="CL187" s="23" t="e">
        <f>EXP(-LN(2)/25)*CL186+(1-EXP(-LN(2)/25))/(LN(2)/25)*Calculateur!CG187*Calculateur!CI187*VLOOKUP('Données projet'!$B$12,Paramètres!$A$1:$I$88,3,0)*0.475*44/12</f>
        <v>#N/A</v>
      </c>
      <c r="CM187" s="23" t="e">
        <f>EXP(-LN(2)/2)*CM186+(1-EXP(-LN(2)/2))/(LN(2)/2)*CG187*CJ187*VLOOKUP('Données projet'!$B$12,Paramètres!$A$1:$I$88,3,0)*0.475*44/12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5.6843418860808015E-13</v>
      </c>
      <c r="O188" s="14">
        <f>N188*VLOOKUP('Données projet'!$B$9,Paramètres!$A$1:$I$88,3,0)*VLOOKUP('Données projet'!$B$9,Paramètres!$A$1:$I$88,5,0)</f>
        <v>2.6602720026858149E-13</v>
      </c>
      <c r="P188" s="14">
        <f t="shared" si="141"/>
        <v>3.5662905043956649E-12</v>
      </c>
      <c r="Q188" s="22">
        <f t="shared" si="162"/>
        <v>6.6746200022902298E-12</v>
      </c>
      <c r="R188" s="62">
        <f t="shared" si="109"/>
        <v>293.33333333333997</v>
      </c>
      <c r="S188" s="62">
        <f ca="1">AVERAGE(OFFSET($R$3,0,0,'Données projet'!$E$9+1,1))-AVERAGE(OFFSET($H$3,0,0,'Données projet'!$E$9+1,1))</f>
        <v>316.04959780858269</v>
      </c>
      <c r="T188" s="62">
        <f t="shared" si="142"/>
        <v>213.60182977243113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60.582708288874656</v>
      </c>
      <c r="AA188" s="23">
        <f>EXP(-LN(2)/25)*AA187+(1-EXP(-LN(2)/25))/(LN(2)/25)*Calculateur!V188*Calculateur!X188*VLOOKUP('Données projet'!$B$9,Paramètres!$A$1:$I$88,3,0)*0.475*44/12</f>
        <v>6.1294602663536724</v>
      </c>
      <c r="AB188" s="23">
        <f>EXP(-LN(2)/2)*AB187+(1-EXP(-LN(2)/2))/(LN(2)/2)*V188*Y188*VLOOKUP('Données projet'!$B$9,Paramètres!$A$1:$I$88,3,0)*0.475*44/12</f>
        <v>3.939541121060145E-6</v>
      </c>
      <c r="AC188" s="24">
        <f t="shared" si="163"/>
        <v>66.712172494769447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-7.9580786405131221E-13</v>
      </c>
      <c r="AJ188" s="14">
        <f>AI188*VLOOKUP('Données projet'!$B$10,Paramètres!$A$1:$I$88,3,0)*VLOOKUP('Données projet'!$B$10,Paramètres!$A$1:$I$88,5,0)</f>
        <v>-4.448565960046835E-13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583.31979399672844</v>
      </c>
      <c r="AO188" s="62">
        <f t="shared" si="144"/>
        <v>544.21514138474731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38.52942798661141</v>
      </c>
      <c r="AV188" s="23">
        <f>EXP(-LN(2)/25)*AV187+(1-EXP(-LN(2)/25))/(LN(2)/25)*Calculateur!AQ188*Calculateur!AS188*VLOOKUP('Données projet'!$B$10,Paramètres!$A$1:$I$88,3,0)*0.475*44/12</f>
        <v>3.5990163920001823</v>
      </c>
      <c r="AW188" s="23">
        <f>EXP(-LN(2)/2)*AW187+(1-EXP(-LN(2)/2))/(LN(2)/2)*AQ188*AT188*VLOOKUP('Données projet'!$B$10,Paramètres!$A$1:$I$88,3,0)*0.475*44/12</f>
        <v>6.9389831709416065E-15</v>
      </c>
      <c r="AX188" s="23">
        <f t="shared" si="166"/>
        <v>42.128444378611597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projet'!$B$11,Paramètres!$A$1:$I$88,3,0)*VLOOKUP('Données projet'!$B$11,Paramètres!$A$1:$I$88,5,0)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projet'!$B$11,Paramètres!$A$1:$I$88,3,0)*0.475*44/12</f>
        <v>#N/A</v>
      </c>
      <c r="BQ188" s="23" t="e">
        <f>EXP(-LN(2)/25)*BQ187+(1-EXP(-LN(2)/25))/(LN(2)/25)*Calculateur!BL188*Calculateur!BN188*VLOOKUP('Données projet'!$B$11,Paramètres!$A$1:$I$88,3,0)*0.475*44/12</f>
        <v>#N/A</v>
      </c>
      <c r="BR188" s="23" t="e">
        <f>EXP(-LN(2)/2)*BR187+(1-EXP(-LN(2)/2))/(LN(2)/2)*BL188*BO188*VLOOKUP('Données projet'!$B$11,Paramètres!$A$1:$I$88,3,0)*0.475*44/12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projet'!$B$12,Paramètres!$A$1:$I$88,3,0)*0.475*44/12</f>
        <v>#N/A</v>
      </c>
      <c r="CL188" s="23" t="e">
        <f>EXP(-LN(2)/25)*CL187+(1-EXP(-LN(2)/25))/(LN(2)/25)*Calculateur!CG188*Calculateur!CI188*VLOOKUP('Données projet'!$B$12,Paramètres!$A$1:$I$88,3,0)*0.475*44/12</f>
        <v>#N/A</v>
      </c>
      <c r="CM188" s="23" t="e">
        <f>EXP(-LN(2)/2)*CM187+(1-EXP(-LN(2)/2))/(LN(2)/2)*CG188*CJ188*VLOOKUP('Données projet'!$B$12,Paramètres!$A$1:$I$88,3,0)*0.475*44/12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5.6843418860808015E-13</v>
      </c>
      <c r="O189" s="14">
        <f>N189*VLOOKUP('Données projet'!$B$9,Paramètres!$A$1:$I$88,3,0)*VLOOKUP('Données projet'!$B$9,Paramètres!$A$1:$I$88,5,0)</f>
        <v>2.6602720026858149E-13</v>
      </c>
      <c r="P189" s="14">
        <f t="shared" si="141"/>
        <v>3.5662905043956649E-12</v>
      </c>
      <c r="Q189" s="22">
        <f t="shared" si="162"/>
        <v>6.6746200022902298E-12</v>
      </c>
      <c r="R189" s="62">
        <f t="shared" si="109"/>
        <v>293.33333333333997</v>
      </c>
      <c r="S189" s="62">
        <f ca="1">AVERAGE(OFFSET($R$3,0,0,'Données projet'!$E$9+1,1))-AVERAGE(OFFSET($H$3,0,0,'Données projet'!$E$9+1,1))</f>
        <v>316.04959780858269</v>
      </c>
      <c r="T189" s="62">
        <f t="shared" si="142"/>
        <v>213.60182977243113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59.394718331133191</v>
      </c>
      <c r="AA189" s="23">
        <f>EXP(-LN(2)/25)*AA188+(1-EXP(-LN(2)/25))/(LN(2)/25)*Calculateur!V189*Calculateur!X189*VLOOKUP('Données projet'!$B$9,Paramètres!$A$1:$I$88,3,0)*0.475*44/12</f>
        <v>5.9618498530359245</v>
      </c>
      <c r="AB189" s="23">
        <f>EXP(-LN(2)/2)*AB188+(1-EXP(-LN(2)/2))/(LN(2)/2)*V189*Y189*VLOOKUP('Données projet'!$B$9,Paramètres!$A$1:$I$88,3,0)*0.475*44/12</f>
        <v>2.7856762414648821E-6</v>
      </c>
      <c r="AC189" s="24">
        <f t="shared" si="163"/>
        <v>65.356570969845365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-7.9580786405131221E-13</v>
      </c>
      <c r="AJ189" s="14">
        <f>AI189*VLOOKUP('Données projet'!$B$10,Paramètres!$A$1:$I$88,3,0)*VLOOKUP('Données projet'!$B$10,Paramètres!$A$1:$I$88,5,0)</f>
        <v>-4.448565960046835E-13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583.31979399672844</v>
      </c>
      <c r="AO189" s="62">
        <f t="shared" si="144"/>
        <v>544.21514138474731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37.773889404424537</v>
      </c>
      <c r="AV189" s="23">
        <f>EXP(-LN(2)/25)*AV188+(1-EXP(-LN(2)/25))/(LN(2)/25)*Calculateur!AQ189*Calculateur!AS189*VLOOKUP('Données projet'!$B$10,Paramètres!$A$1:$I$88,3,0)*0.475*44/12</f>
        <v>3.5006010994968908</v>
      </c>
      <c r="AW189" s="23">
        <f>EXP(-LN(2)/2)*AW188+(1-EXP(-LN(2)/2))/(LN(2)/2)*AQ189*AT189*VLOOKUP('Données projet'!$B$10,Paramètres!$A$1:$I$88,3,0)*0.475*44/12</f>
        <v>4.9066020547121424E-15</v>
      </c>
      <c r="AX189" s="23">
        <f t="shared" si="166"/>
        <v>41.274490503921434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projet'!$B$11,Paramètres!$A$1:$I$88,3,0)*VLOOKUP('Données projet'!$B$11,Paramètres!$A$1:$I$88,5,0)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projet'!$B$11,Paramètres!$A$1:$I$88,3,0)*0.475*44/12</f>
        <v>#N/A</v>
      </c>
      <c r="BQ189" s="23" t="e">
        <f>EXP(-LN(2)/25)*BQ188+(1-EXP(-LN(2)/25))/(LN(2)/25)*Calculateur!BL189*Calculateur!BN189*VLOOKUP('Données projet'!$B$11,Paramètres!$A$1:$I$88,3,0)*0.475*44/12</f>
        <v>#N/A</v>
      </c>
      <c r="BR189" s="23" t="e">
        <f>EXP(-LN(2)/2)*BR188+(1-EXP(-LN(2)/2))/(LN(2)/2)*BL189*BO189*VLOOKUP('Données projet'!$B$11,Paramètres!$A$1:$I$88,3,0)*0.475*44/12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projet'!$B$12,Paramètres!$A$1:$I$88,3,0)*0.475*44/12</f>
        <v>#N/A</v>
      </c>
      <c r="CL189" s="23" t="e">
        <f>EXP(-LN(2)/25)*CL188+(1-EXP(-LN(2)/25))/(LN(2)/25)*Calculateur!CG189*Calculateur!CI189*VLOOKUP('Données projet'!$B$12,Paramètres!$A$1:$I$88,3,0)*0.475*44/12</f>
        <v>#N/A</v>
      </c>
      <c r="CM189" s="23" t="e">
        <f>EXP(-LN(2)/2)*CM188+(1-EXP(-LN(2)/2))/(LN(2)/2)*CG189*CJ189*VLOOKUP('Données projet'!$B$12,Paramètres!$A$1:$I$88,3,0)*0.475*44/12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5.6843418860808015E-13</v>
      </c>
      <c r="O190" s="14">
        <f>N190*VLOOKUP('Données projet'!$B$9,Paramètres!$A$1:$I$88,3,0)*VLOOKUP('Données projet'!$B$9,Paramètres!$A$1:$I$88,5,0)</f>
        <v>2.6602720026858149E-13</v>
      </c>
      <c r="P190" s="14">
        <f t="shared" si="141"/>
        <v>3.5662905043956649E-12</v>
      </c>
      <c r="Q190" s="22">
        <f t="shared" si="162"/>
        <v>6.6746200022902298E-12</v>
      </c>
      <c r="R190" s="62">
        <f t="shared" si="109"/>
        <v>293.33333333333997</v>
      </c>
      <c r="S190" s="62">
        <f ca="1">AVERAGE(OFFSET($R$3,0,0,'Données projet'!$E$9+1,1))-AVERAGE(OFFSET($H$3,0,0,'Données projet'!$E$9+1,1))</f>
        <v>316.04959780858269</v>
      </c>
      <c r="T190" s="62">
        <f t="shared" si="142"/>
        <v>213.60182977243113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58.230024131860709</v>
      </c>
      <c r="AA190" s="23">
        <f>EXP(-LN(2)/25)*AA189+(1-EXP(-LN(2)/25))/(LN(2)/25)*Calculateur!V190*Calculateur!X190*VLOOKUP('Données projet'!$B$9,Paramètres!$A$1:$I$88,3,0)*0.475*44/12</f>
        <v>5.7988227552845997</v>
      </c>
      <c r="AB190" s="23">
        <f>EXP(-LN(2)/2)*AB189+(1-EXP(-LN(2)/2))/(LN(2)/2)*V190*Y190*VLOOKUP('Données projet'!$B$9,Paramètres!$A$1:$I$88,3,0)*0.475*44/12</f>
        <v>1.9697705605300725E-6</v>
      </c>
      <c r="AC190" s="24">
        <f t="shared" si="163"/>
        <v>64.028848856915872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-7.9580786405131221E-13</v>
      </c>
      <c r="AJ190" s="14">
        <f>AI190*VLOOKUP('Données projet'!$B$10,Paramètres!$A$1:$I$88,3,0)*VLOOKUP('Données projet'!$B$10,Paramètres!$A$1:$I$88,5,0)</f>
        <v>-4.448565960046835E-13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583.31979399672844</v>
      </c>
      <c r="AO190" s="62">
        <f t="shared" si="144"/>
        <v>544.21514138474731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37.033166473001316</v>
      </c>
      <c r="AV190" s="23">
        <f>EXP(-LN(2)/25)*AV189+(1-EXP(-LN(2)/25))/(LN(2)/25)*Calculateur!AQ190*Calculateur!AS190*VLOOKUP('Données projet'!$B$10,Paramètres!$A$1:$I$88,3,0)*0.475*44/12</f>
        <v>3.4048769783425374</v>
      </c>
      <c r="AW190" s="23">
        <f>EXP(-LN(2)/2)*AW189+(1-EXP(-LN(2)/2))/(LN(2)/2)*AQ190*AT190*VLOOKUP('Données projet'!$B$10,Paramètres!$A$1:$I$88,3,0)*0.475*44/12</f>
        <v>3.4694915854708036E-15</v>
      </c>
      <c r="AX190" s="23">
        <f t="shared" si="166"/>
        <v>40.438043451343852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projet'!$B$11,Paramètres!$A$1:$I$88,3,0)*VLOOKUP('Données projet'!$B$11,Paramètres!$A$1:$I$88,5,0)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projet'!$B$11,Paramètres!$A$1:$I$88,3,0)*0.475*44/12</f>
        <v>#N/A</v>
      </c>
      <c r="BQ190" s="23" t="e">
        <f>EXP(-LN(2)/25)*BQ189+(1-EXP(-LN(2)/25))/(LN(2)/25)*Calculateur!BL190*Calculateur!BN190*VLOOKUP('Données projet'!$B$11,Paramètres!$A$1:$I$88,3,0)*0.475*44/12</f>
        <v>#N/A</v>
      </c>
      <c r="BR190" s="23" t="e">
        <f>EXP(-LN(2)/2)*BR189+(1-EXP(-LN(2)/2))/(LN(2)/2)*BL190*BO190*VLOOKUP('Données projet'!$B$11,Paramètres!$A$1:$I$88,3,0)*0.475*44/12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projet'!$B$12,Paramètres!$A$1:$I$88,3,0)*0.475*44/12</f>
        <v>#N/A</v>
      </c>
      <c r="CL190" s="23" t="e">
        <f>EXP(-LN(2)/25)*CL189+(1-EXP(-LN(2)/25))/(LN(2)/25)*Calculateur!CG190*Calculateur!CI190*VLOOKUP('Données projet'!$B$12,Paramètres!$A$1:$I$88,3,0)*0.475*44/12</f>
        <v>#N/A</v>
      </c>
      <c r="CM190" s="23" t="e">
        <f>EXP(-LN(2)/2)*CM189+(1-EXP(-LN(2)/2))/(LN(2)/2)*CG190*CJ190*VLOOKUP('Données projet'!$B$12,Paramètres!$A$1:$I$88,3,0)*0.475*44/12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5.6843418860808015E-13</v>
      </c>
      <c r="O191" s="14">
        <f>N191*VLOOKUP('Données projet'!$B$9,Paramètres!$A$1:$I$88,3,0)*VLOOKUP('Données projet'!$B$9,Paramètres!$A$1:$I$88,5,0)</f>
        <v>2.6602720026858149E-13</v>
      </c>
      <c r="P191" s="14">
        <f t="shared" si="141"/>
        <v>3.5662905043956649E-12</v>
      </c>
      <c r="Q191" s="22">
        <f t="shared" si="162"/>
        <v>6.6746200022902298E-12</v>
      </c>
      <c r="R191" s="62">
        <f t="shared" si="109"/>
        <v>293.33333333333997</v>
      </c>
      <c r="S191" s="62">
        <f ca="1">AVERAGE(OFFSET($R$3,0,0,'Données projet'!$E$9+1,1))-AVERAGE(OFFSET($H$3,0,0,'Données projet'!$E$9+1,1))</f>
        <v>316.04959780858269</v>
      </c>
      <c r="T191" s="62">
        <f t="shared" si="142"/>
        <v>213.60182977243113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57.088168875442648</v>
      </c>
      <c r="AA191" s="23">
        <f>EXP(-LN(2)/25)*AA190+(1-EXP(-LN(2)/25))/(LN(2)/25)*Calculateur!V191*Calculateur!X191*VLOOKUP('Données projet'!$B$9,Paramètres!$A$1:$I$88,3,0)*0.475*44/12</f>
        <v>5.6402536420945069</v>
      </c>
      <c r="AB191" s="23">
        <f>EXP(-LN(2)/2)*AB190+(1-EXP(-LN(2)/2))/(LN(2)/2)*V191*Y191*VLOOKUP('Données projet'!$B$9,Paramètres!$A$1:$I$88,3,0)*0.475*44/12</f>
        <v>1.3928381207324411E-6</v>
      </c>
      <c r="AC191" s="24">
        <f t="shared" si="163"/>
        <v>62.728423910375277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-7.9580786405131221E-13</v>
      </c>
      <c r="AJ191" s="14">
        <f>AI191*VLOOKUP('Données projet'!$B$10,Paramètres!$A$1:$I$88,3,0)*VLOOKUP('Données projet'!$B$10,Paramètres!$A$1:$I$88,5,0)</f>
        <v>-4.448565960046835E-13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583.31979399672844</v>
      </c>
      <c r="AO191" s="62">
        <f t="shared" si="144"/>
        <v>544.21514138474731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36.306968666466929</v>
      </c>
      <c r="AV191" s="23">
        <f>EXP(-LN(2)/25)*AV190+(1-EXP(-LN(2)/25))/(LN(2)/25)*Calculateur!AQ191*Calculateur!AS191*VLOOKUP('Données projet'!$B$10,Paramètres!$A$1:$I$88,3,0)*0.475*44/12</f>
        <v>3.3117704383150626</v>
      </c>
      <c r="AW191" s="23">
        <f>EXP(-LN(2)/2)*AW190+(1-EXP(-LN(2)/2))/(LN(2)/2)*AQ191*AT191*VLOOKUP('Données projet'!$B$10,Paramètres!$A$1:$I$88,3,0)*0.475*44/12</f>
        <v>2.4533010273560716E-15</v>
      </c>
      <c r="AX191" s="23">
        <f t="shared" si="166"/>
        <v>39.618739104781994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projet'!$B$11,Paramètres!$A$1:$I$88,3,0)*VLOOKUP('Données projet'!$B$11,Paramètres!$A$1:$I$88,5,0)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projet'!$B$11,Paramètres!$A$1:$I$88,3,0)*0.475*44/12</f>
        <v>#N/A</v>
      </c>
      <c r="BQ191" s="23" t="e">
        <f>EXP(-LN(2)/25)*BQ190+(1-EXP(-LN(2)/25))/(LN(2)/25)*Calculateur!BL191*Calculateur!BN191*VLOOKUP('Données projet'!$B$11,Paramètres!$A$1:$I$88,3,0)*0.475*44/12</f>
        <v>#N/A</v>
      </c>
      <c r="BR191" s="23" t="e">
        <f>EXP(-LN(2)/2)*BR190+(1-EXP(-LN(2)/2))/(LN(2)/2)*BL191*BO191*VLOOKUP('Données projet'!$B$11,Paramètres!$A$1:$I$88,3,0)*0.475*44/12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projet'!$B$12,Paramètres!$A$1:$I$88,3,0)*0.475*44/12</f>
        <v>#N/A</v>
      </c>
      <c r="CL191" s="23" t="e">
        <f>EXP(-LN(2)/25)*CL190+(1-EXP(-LN(2)/25))/(LN(2)/25)*Calculateur!CG191*Calculateur!CI191*VLOOKUP('Données projet'!$B$12,Paramètres!$A$1:$I$88,3,0)*0.475*44/12</f>
        <v>#N/A</v>
      </c>
      <c r="CM191" s="23" t="e">
        <f>EXP(-LN(2)/2)*CM190+(1-EXP(-LN(2)/2))/(LN(2)/2)*CG191*CJ191*VLOOKUP('Données projet'!$B$12,Paramètres!$A$1:$I$88,3,0)*0.475*44/12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5.6843418860808015E-13</v>
      </c>
      <c r="O192" s="14">
        <f>N192*VLOOKUP('Données projet'!$B$9,Paramètres!$A$1:$I$88,3,0)*VLOOKUP('Données projet'!$B$9,Paramètres!$A$1:$I$88,5,0)</f>
        <v>2.6602720026858149E-13</v>
      </c>
      <c r="P192" s="14">
        <f t="shared" si="141"/>
        <v>3.5662905043956649E-12</v>
      </c>
      <c r="Q192" s="22">
        <f t="shared" si="162"/>
        <v>6.6746200022902298E-12</v>
      </c>
      <c r="R192" s="62">
        <f t="shared" si="109"/>
        <v>293.33333333333997</v>
      </c>
      <c r="S192" s="62">
        <f ca="1">AVERAGE(OFFSET($R$3,0,0,'Données projet'!$E$9+1,1))-AVERAGE(OFFSET($H$3,0,0,'Données projet'!$E$9+1,1))</f>
        <v>316.04959780858269</v>
      </c>
      <c r="T192" s="62">
        <f t="shared" si="142"/>
        <v>213.60182977243113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55.968704704140009</v>
      </c>
      <c r="AA192" s="23">
        <f>EXP(-LN(2)/25)*AA191+(1-EXP(-LN(2)/25))/(LN(2)/25)*Calculateur!V192*Calculateur!X192*VLOOKUP('Données projet'!$B$9,Paramètres!$A$1:$I$88,3,0)*0.475*44/12</f>
        <v>5.4860206096433846</v>
      </c>
      <c r="AB192" s="23">
        <f>EXP(-LN(2)/2)*AB191+(1-EXP(-LN(2)/2))/(LN(2)/2)*V192*Y192*VLOOKUP('Données projet'!$B$9,Paramètres!$A$1:$I$88,3,0)*0.475*44/12</f>
        <v>9.8488528026503624E-7</v>
      </c>
      <c r="AC192" s="24">
        <f t="shared" si="163"/>
        <v>61.454726298668675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-7.9580786405131221E-13</v>
      </c>
      <c r="AJ192" s="14">
        <f>AI192*VLOOKUP('Données projet'!$B$10,Paramètres!$A$1:$I$88,3,0)*VLOOKUP('Données projet'!$B$10,Paramètres!$A$1:$I$88,5,0)</f>
        <v>-4.448565960046835E-13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583.31979399672844</v>
      </c>
      <c r="AO192" s="62">
        <f t="shared" si="144"/>
        <v>544.21514138474731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35.595011155981759</v>
      </c>
      <c r="AV192" s="23">
        <f>EXP(-LN(2)/25)*AV191+(1-EXP(-LN(2)/25))/(LN(2)/25)*Calculateur!AQ192*Calculateur!AS192*VLOOKUP('Données projet'!$B$10,Paramètres!$A$1:$I$88,3,0)*0.475*44/12</f>
        <v>3.2212099015208988</v>
      </c>
      <c r="AW192" s="23">
        <f>EXP(-LN(2)/2)*AW191+(1-EXP(-LN(2)/2))/(LN(2)/2)*AQ192*AT192*VLOOKUP('Données projet'!$B$10,Paramètres!$A$1:$I$88,3,0)*0.475*44/12</f>
        <v>1.734745792735402E-15</v>
      </c>
      <c r="AX192" s="23">
        <f t="shared" si="166"/>
        <v>38.816221057502659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projet'!$B$11,Paramètres!$A$1:$I$88,3,0)*VLOOKUP('Données projet'!$B$11,Paramètres!$A$1:$I$88,5,0)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projet'!$B$11,Paramètres!$A$1:$I$88,3,0)*0.475*44/12</f>
        <v>#N/A</v>
      </c>
      <c r="BQ192" s="23" t="e">
        <f>EXP(-LN(2)/25)*BQ191+(1-EXP(-LN(2)/25))/(LN(2)/25)*Calculateur!BL192*Calculateur!BN192*VLOOKUP('Données projet'!$B$11,Paramètres!$A$1:$I$88,3,0)*0.475*44/12</f>
        <v>#N/A</v>
      </c>
      <c r="BR192" s="23" t="e">
        <f>EXP(-LN(2)/2)*BR191+(1-EXP(-LN(2)/2))/(LN(2)/2)*BL192*BO192*VLOOKUP('Données projet'!$B$11,Paramètres!$A$1:$I$88,3,0)*0.475*44/12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projet'!$B$12,Paramètres!$A$1:$I$88,3,0)*0.475*44/12</f>
        <v>#N/A</v>
      </c>
      <c r="CL192" s="23" t="e">
        <f>EXP(-LN(2)/25)*CL191+(1-EXP(-LN(2)/25))/(LN(2)/25)*Calculateur!CG192*Calculateur!CI192*VLOOKUP('Données projet'!$B$12,Paramètres!$A$1:$I$88,3,0)*0.475*44/12</f>
        <v>#N/A</v>
      </c>
      <c r="CM192" s="23" t="e">
        <f>EXP(-LN(2)/2)*CM191+(1-EXP(-LN(2)/2))/(LN(2)/2)*CG192*CJ192*VLOOKUP('Données projet'!$B$12,Paramètres!$A$1:$I$88,3,0)*0.475*44/12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5.6843418860808015E-13</v>
      </c>
      <c r="O193" s="14">
        <f>N193*VLOOKUP('Données projet'!$B$9,Paramètres!$A$1:$I$88,3,0)*VLOOKUP('Données projet'!$B$9,Paramètres!$A$1:$I$88,5,0)</f>
        <v>2.6602720026858149E-13</v>
      </c>
      <c r="P193" s="14">
        <f t="shared" si="141"/>
        <v>3.5662905043956649E-12</v>
      </c>
      <c r="Q193" s="22">
        <f t="shared" si="162"/>
        <v>6.6746200022902298E-12</v>
      </c>
      <c r="R193" s="62">
        <f t="shared" si="109"/>
        <v>293.33333333333997</v>
      </c>
      <c r="S193" s="62">
        <f ca="1">AVERAGE(OFFSET($R$3,0,0,'Données projet'!$E$9+1,1))-AVERAGE(OFFSET($H$3,0,0,'Données projet'!$E$9+1,1))</f>
        <v>316.04959780858269</v>
      </c>
      <c r="T193" s="62">
        <f t="shared" si="142"/>
        <v>213.60182977243113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54.87119254243089</v>
      </c>
      <c r="AA193" s="23">
        <f>EXP(-LN(2)/25)*AA192+(1-EXP(-LN(2)/25))/(LN(2)/25)*Calculateur!V193*Calculateur!X193*VLOOKUP('Données projet'!$B$9,Paramètres!$A$1:$I$88,3,0)*0.475*44/12</f>
        <v>5.3360050875754013</v>
      </c>
      <c r="AB193" s="23">
        <f>EXP(-LN(2)/2)*AB192+(1-EXP(-LN(2)/2))/(LN(2)/2)*V193*Y193*VLOOKUP('Données projet'!$B$9,Paramètres!$A$1:$I$88,3,0)*0.475*44/12</f>
        <v>6.9641906036622053E-7</v>
      </c>
      <c r="AC193" s="24">
        <f t="shared" si="163"/>
        <v>60.207198326425349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-7.9580786405131221E-13</v>
      </c>
      <c r="AJ193" s="14">
        <f>AI193*VLOOKUP('Données projet'!$B$10,Paramètres!$A$1:$I$88,3,0)*VLOOKUP('Données projet'!$B$10,Paramètres!$A$1:$I$88,5,0)</f>
        <v>-4.448565960046835E-13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583.31979399672844</v>
      </c>
      <c r="AO193" s="62">
        <f t="shared" si="144"/>
        <v>544.21514138474731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34.897014698025998</v>
      </c>
      <c r="AV193" s="23">
        <f>EXP(-LN(2)/25)*AV192+(1-EXP(-LN(2)/25))/(LN(2)/25)*Calculateur!AQ193*Calculateur!AS193*VLOOKUP('Données projet'!$B$10,Paramètres!$A$1:$I$88,3,0)*0.475*44/12</f>
        <v>3.1331257473677434</v>
      </c>
      <c r="AW193" s="23">
        <f>EXP(-LN(2)/2)*AW192+(1-EXP(-LN(2)/2))/(LN(2)/2)*AQ193*AT193*VLOOKUP('Données projet'!$B$10,Paramètres!$A$1:$I$88,3,0)*0.475*44/12</f>
        <v>1.226650513678036E-15</v>
      </c>
      <c r="AX193" s="23">
        <f t="shared" si="166"/>
        <v>38.030140445393741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projet'!$B$11,Paramètres!$A$1:$I$88,3,0)*VLOOKUP('Données projet'!$B$11,Paramètres!$A$1:$I$88,5,0)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projet'!$B$11,Paramètres!$A$1:$I$88,3,0)*0.475*44/12</f>
        <v>#N/A</v>
      </c>
      <c r="BQ193" s="23" t="e">
        <f>EXP(-LN(2)/25)*BQ192+(1-EXP(-LN(2)/25))/(LN(2)/25)*Calculateur!BL193*Calculateur!BN193*VLOOKUP('Données projet'!$B$11,Paramètres!$A$1:$I$88,3,0)*0.475*44/12</f>
        <v>#N/A</v>
      </c>
      <c r="BR193" s="23" t="e">
        <f>EXP(-LN(2)/2)*BR192+(1-EXP(-LN(2)/2))/(LN(2)/2)*BL193*BO193*VLOOKUP('Données projet'!$B$11,Paramètres!$A$1:$I$88,3,0)*0.475*44/12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projet'!$B$12,Paramètres!$A$1:$I$88,3,0)*0.475*44/12</f>
        <v>#N/A</v>
      </c>
      <c r="CL193" s="23" t="e">
        <f>EXP(-LN(2)/25)*CL192+(1-EXP(-LN(2)/25))/(LN(2)/25)*Calculateur!CG193*Calculateur!CI193*VLOOKUP('Données projet'!$B$12,Paramètres!$A$1:$I$88,3,0)*0.475*44/12</f>
        <v>#N/A</v>
      </c>
      <c r="CM193" s="23" t="e">
        <f>EXP(-LN(2)/2)*CM192+(1-EXP(-LN(2)/2))/(LN(2)/2)*CG193*CJ193*VLOOKUP('Données projet'!$B$12,Paramètres!$A$1:$I$88,3,0)*0.475*44/12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5.6843418860808015E-13</v>
      </c>
      <c r="O194" s="14">
        <f>N194*VLOOKUP('Données projet'!$B$9,Paramètres!$A$1:$I$88,3,0)*VLOOKUP('Données projet'!$B$9,Paramètres!$A$1:$I$88,5,0)</f>
        <v>2.6602720026858149E-13</v>
      </c>
      <c r="P194" s="14">
        <f t="shared" si="141"/>
        <v>3.5662905043956649E-12</v>
      </c>
      <c r="Q194" s="22">
        <f t="shared" si="162"/>
        <v>6.6746200022902298E-12</v>
      </c>
      <c r="R194" s="62">
        <f t="shared" si="109"/>
        <v>293.33333333333997</v>
      </c>
      <c r="S194" s="62">
        <f ca="1">AVERAGE(OFFSET($R$3,0,0,'Données projet'!$E$9+1,1))-AVERAGE(OFFSET($H$3,0,0,'Données projet'!$E$9+1,1))</f>
        <v>316.04959780858269</v>
      </c>
      <c r="T194" s="62">
        <f t="shared" si="142"/>
        <v>213.60182977243113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53.795201924796565</v>
      </c>
      <c r="AA194" s="23">
        <f>EXP(-LN(2)/25)*AA193+(1-EXP(-LN(2)/25))/(LN(2)/25)*Calculateur!V194*Calculateur!X194*VLOOKUP('Données projet'!$B$9,Paramètres!$A$1:$I$88,3,0)*0.475*44/12</f>
        <v>5.1900917478473403</v>
      </c>
      <c r="AB194" s="23">
        <f>EXP(-LN(2)/2)*AB193+(1-EXP(-LN(2)/2))/(LN(2)/2)*V194*Y194*VLOOKUP('Données projet'!$B$9,Paramètres!$A$1:$I$88,3,0)*0.475*44/12</f>
        <v>4.9244264013251812E-7</v>
      </c>
      <c r="AC194" s="24">
        <f t="shared" si="163"/>
        <v>58.985294165086543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-7.9580786405131221E-13</v>
      </c>
      <c r="AJ194" s="14">
        <f>AI194*VLOOKUP('Données projet'!$B$10,Paramètres!$A$1:$I$88,3,0)*VLOOKUP('Données projet'!$B$10,Paramètres!$A$1:$I$88,5,0)</f>
        <v>-4.448565960046835E-13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583.31979399672844</v>
      </c>
      <c r="AO194" s="62">
        <f t="shared" si="144"/>
        <v>544.21514138474731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34.212705524874949</v>
      </c>
      <c r="AV194" s="23">
        <f>EXP(-LN(2)/25)*AV193+(1-EXP(-LN(2)/25))/(LN(2)/25)*Calculateur!AQ194*Calculateur!AS194*VLOOKUP('Données projet'!$B$10,Paramètres!$A$1:$I$88,3,0)*0.475*44/12</f>
        <v>3.0474502590420505</v>
      </c>
      <c r="AW194" s="23">
        <f>EXP(-LN(2)/2)*AW193+(1-EXP(-LN(2)/2))/(LN(2)/2)*AQ194*AT194*VLOOKUP('Données projet'!$B$10,Paramètres!$A$1:$I$88,3,0)*0.475*44/12</f>
        <v>8.673728963677012E-16</v>
      </c>
      <c r="AX194" s="23">
        <f t="shared" si="166"/>
        <v>37.260155783917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projet'!$B$11,Paramètres!$A$1:$I$88,3,0)*VLOOKUP('Données projet'!$B$11,Paramètres!$A$1:$I$88,5,0)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projet'!$B$11,Paramètres!$A$1:$I$88,3,0)*0.475*44/12</f>
        <v>#N/A</v>
      </c>
      <c r="BQ194" s="23" t="e">
        <f>EXP(-LN(2)/25)*BQ193+(1-EXP(-LN(2)/25))/(LN(2)/25)*Calculateur!BL194*Calculateur!BN194*VLOOKUP('Données projet'!$B$11,Paramètres!$A$1:$I$88,3,0)*0.475*44/12</f>
        <v>#N/A</v>
      </c>
      <c r="BR194" s="23" t="e">
        <f>EXP(-LN(2)/2)*BR193+(1-EXP(-LN(2)/2))/(LN(2)/2)*BL194*BO194*VLOOKUP('Données projet'!$B$11,Paramètres!$A$1:$I$88,3,0)*0.475*44/12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projet'!$B$12,Paramètres!$A$1:$I$88,3,0)*0.475*44/12</f>
        <v>#N/A</v>
      </c>
      <c r="CL194" s="23" t="e">
        <f>EXP(-LN(2)/25)*CL193+(1-EXP(-LN(2)/25))/(LN(2)/25)*Calculateur!CG194*Calculateur!CI194*VLOOKUP('Données projet'!$B$12,Paramètres!$A$1:$I$88,3,0)*0.475*44/12</f>
        <v>#N/A</v>
      </c>
      <c r="CM194" s="23" t="e">
        <f>EXP(-LN(2)/2)*CM193+(1-EXP(-LN(2)/2))/(LN(2)/2)*CG194*CJ194*VLOOKUP('Données projet'!$B$12,Paramètres!$A$1:$I$88,3,0)*0.475*44/12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5.6843418860808015E-13</v>
      </c>
      <c r="O195" s="14">
        <f>N195*VLOOKUP('Données projet'!$B$9,Paramètres!$A$1:$I$88,3,0)*VLOOKUP('Données projet'!$B$9,Paramètres!$A$1:$I$88,5,0)</f>
        <v>2.6602720026858149E-13</v>
      </c>
      <c r="P195" s="14">
        <f t="shared" si="141"/>
        <v>3.5662905043956649E-12</v>
      </c>
      <c r="Q195" s="22">
        <f t="shared" si="162"/>
        <v>6.6746200022902298E-12</v>
      </c>
      <c r="R195" s="62">
        <f t="shared" ref="R195:R203" si="191">Q195+(I195+J195)*44/12</f>
        <v>293.33333333333997</v>
      </c>
      <c r="S195" s="62">
        <f ca="1">AVERAGE(OFFSET($R$3,0,0,'Données projet'!$E$9+1,1))-AVERAGE(OFFSET($H$3,0,0,'Données projet'!$E$9+1,1))</f>
        <v>316.04959780858269</v>
      </c>
      <c r="T195" s="62">
        <f t="shared" si="142"/>
        <v>213.60182977243113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52.740310826884581</v>
      </c>
      <c r="AA195" s="23">
        <f>EXP(-LN(2)/25)*AA194+(1-EXP(-LN(2)/25))/(LN(2)/25)*Calculateur!V195*Calculateur!X195*VLOOKUP('Données projet'!$B$9,Paramètres!$A$1:$I$88,3,0)*0.475*44/12</f>
        <v>5.0481684160673916</v>
      </c>
      <c r="AB195" s="23">
        <f>EXP(-LN(2)/2)*AB194+(1-EXP(-LN(2)/2))/(LN(2)/2)*V195*Y195*VLOOKUP('Données projet'!$B$9,Paramètres!$A$1:$I$88,3,0)*0.475*44/12</f>
        <v>3.4820953018311027E-7</v>
      </c>
      <c r="AC195" s="24">
        <f t="shared" si="163"/>
        <v>57.788479591161504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-7.9580786405131221E-13</v>
      </c>
      <c r="AJ195" s="14">
        <f>AI195*VLOOKUP('Données projet'!$B$10,Paramètres!$A$1:$I$88,3,0)*VLOOKUP('Données projet'!$B$10,Paramètres!$A$1:$I$88,5,0)</f>
        <v>-4.448565960046835E-13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583.31979399672844</v>
      </c>
      <c r="AO195" s="62">
        <f t="shared" si="144"/>
        <v>544.21514138474731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33.541815237222011</v>
      </c>
      <c r="AV195" s="23">
        <f>EXP(-LN(2)/25)*AV194+(1-EXP(-LN(2)/25))/(LN(2)/25)*Calculateur!AQ195*Calculateur!AS195*VLOOKUP('Données projet'!$B$10,Paramètres!$A$1:$I$88,3,0)*0.475*44/12</f>
        <v>2.9641175714501014</v>
      </c>
      <c r="AW195" s="23">
        <f>EXP(-LN(2)/2)*AW194+(1-EXP(-LN(2)/2))/(LN(2)/2)*AQ195*AT195*VLOOKUP('Données projet'!$B$10,Paramètres!$A$1:$I$88,3,0)*0.475*44/12</f>
        <v>6.133252568390181E-16</v>
      </c>
      <c r="AX195" s="23">
        <f t="shared" si="166"/>
        <v>36.505932808672114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projet'!$B$11,Paramètres!$A$1:$I$88,3,0)*VLOOKUP('Données projet'!$B$11,Paramètres!$A$1:$I$88,5,0)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projet'!$B$11,Paramètres!$A$1:$I$88,3,0)*0.475*44/12</f>
        <v>#N/A</v>
      </c>
      <c r="BQ195" s="23" t="e">
        <f>EXP(-LN(2)/25)*BQ194+(1-EXP(-LN(2)/25))/(LN(2)/25)*Calculateur!BL195*Calculateur!BN195*VLOOKUP('Données projet'!$B$11,Paramètres!$A$1:$I$88,3,0)*0.475*44/12</f>
        <v>#N/A</v>
      </c>
      <c r="BR195" s="23" t="e">
        <f>EXP(-LN(2)/2)*BR194+(1-EXP(-LN(2)/2))/(LN(2)/2)*BL195*BO195*VLOOKUP('Données projet'!$B$11,Paramètres!$A$1:$I$88,3,0)*0.475*44/12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projet'!$B$12,Paramètres!$A$1:$I$88,3,0)*0.475*44/12</f>
        <v>#N/A</v>
      </c>
      <c r="CL195" s="23" t="e">
        <f>EXP(-LN(2)/25)*CL194+(1-EXP(-LN(2)/25))/(LN(2)/25)*Calculateur!CG195*Calculateur!CI195*VLOOKUP('Données projet'!$B$12,Paramètres!$A$1:$I$88,3,0)*0.475*44/12</f>
        <v>#N/A</v>
      </c>
      <c r="CM195" s="23" t="e">
        <f>EXP(-LN(2)/2)*CM194+(1-EXP(-LN(2)/2))/(LN(2)/2)*CG195*CJ195*VLOOKUP('Données projet'!$B$12,Paramètres!$A$1:$I$88,3,0)*0.475*44/12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5.6843418860808015E-13</v>
      </c>
      <c r="O196" s="14">
        <f>N196*VLOOKUP('Données projet'!$B$9,Paramètres!$A$1:$I$88,3,0)*VLOOKUP('Données projet'!$B$9,Paramètres!$A$1:$I$88,5,0)</f>
        <v>2.6602720026858149E-13</v>
      </c>
      <c r="P196" s="14">
        <f t="shared" si="141"/>
        <v>3.5662905043956649E-12</v>
      </c>
      <c r="Q196" s="22">
        <f t="shared" si="162"/>
        <v>6.6746200022902298E-12</v>
      </c>
      <c r="R196" s="62">
        <f t="shared" si="191"/>
        <v>293.33333333333997</v>
      </c>
      <c r="S196" s="62">
        <f ca="1">AVERAGE(OFFSET($R$3,0,0,'Données projet'!$E$9+1,1))-AVERAGE(OFFSET($H$3,0,0,'Données projet'!$E$9+1,1))</f>
        <v>316.04959780858269</v>
      </c>
      <c r="T196" s="62">
        <f t="shared" si="142"/>
        <v>213.60182977243113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51.706105499982613</v>
      </c>
      <c r="AA196" s="23">
        <f>EXP(-LN(2)/25)*AA195+(1-EXP(-LN(2)/25))/(LN(2)/25)*Calculateur!V196*Calculateur!X196*VLOOKUP('Données projet'!$B$9,Paramètres!$A$1:$I$88,3,0)*0.475*44/12</f>
        <v>4.9101259852583894</v>
      </c>
      <c r="AB196" s="23">
        <f>EXP(-LN(2)/2)*AB195+(1-EXP(-LN(2)/2))/(LN(2)/2)*V196*Y196*VLOOKUP('Données projet'!$B$9,Paramètres!$A$1:$I$88,3,0)*0.475*44/12</f>
        <v>2.4622132006625906E-7</v>
      </c>
      <c r="AC196" s="24">
        <f t="shared" si="163"/>
        <v>56.616231731462321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-7.9580786405131221E-13</v>
      </c>
      <c r="AJ196" s="14">
        <f>AI196*VLOOKUP('Données projet'!$B$10,Paramètres!$A$1:$I$88,3,0)*VLOOKUP('Données projet'!$B$10,Paramètres!$A$1:$I$88,5,0)</f>
        <v>-4.448565960046835E-13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583.31979399672844</v>
      </c>
      <c r="AO196" s="62">
        <f t="shared" si="144"/>
        <v>544.21514138474731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32.884080698907276</v>
      </c>
      <c r="AV196" s="23">
        <f>EXP(-LN(2)/25)*AV195+(1-EXP(-LN(2)/25))/(LN(2)/25)*Calculateur!AQ196*Calculateur!AS196*VLOOKUP('Données projet'!$B$10,Paramètres!$A$1:$I$88,3,0)*0.475*44/12</f>
        <v>2.8830636205826297</v>
      </c>
      <c r="AW196" s="23">
        <f>EXP(-LN(2)/2)*AW195+(1-EXP(-LN(2)/2))/(LN(2)/2)*AQ196*AT196*VLOOKUP('Données projet'!$B$10,Paramètres!$A$1:$I$88,3,0)*0.475*44/12</f>
        <v>4.3368644818385065E-16</v>
      </c>
      <c r="AX196" s="23">
        <f t="shared" si="166"/>
        <v>35.767144319489908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projet'!$B$11,Paramètres!$A$1:$I$88,3,0)*VLOOKUP('Données projet'!$B$11,Paramètres!$A$1:$I$88,5,0)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projet'!$B$11,Paramètres!$A$1:$I$88,3,0)*0.475*44/12</f>
        <v>#N/A</v>
      </c>
      <c r="BQ196" s="23" t="e">
        <f>EXP(-LN(2)/25)*BQ195+(1-EXP(-LN(2)/25))/(LN(2)/25)*Calculateur!BL196*Calculateur!BN196*VLOOKUP('Données projet'!$B$11,Paramètres!$A$1:$I$88,3,0)*0.475*44/12</f>
        <v>#N/A</v>
      </c>
      <c r="BR196" s="23" t="e">
        <f>EXP(-LN(2)/2)*BR195+(1-EXP(-LN(2)/2))/(LN(2)/2)*BL196*BO196*VLOOKUP('Données projet'!$B$11,Paramètres!$A$1:$I$88,3,0)*0.475*44/12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projet'!$B$12,Paramètres!$A$1:$I$88,3,0)*0.475*44/12</f>
        <v>#N/A</v>
      </c>
      <c r="CL196" s="23" t="e">
        <f>EXP(-LN(2)/25)*CL195+(1-EXP(-LN(2)/25))/(LN(2)/25)*Calculateur!CG196*Calculateur!CI196*VLOOKUP('Données projet'!$B$12,Paramètres!$A$1:$I$88,3,0)*0.475*44/12</f>
        <v>#N/A</v>
      </c>
      <c r="CM196" s="23" t="e">
        <f>EXP(-LN(2)/2)*CM195+(1-EXP(-LN(2)/2))/(LN(2)/2)*CG196*CJ196*VLOOKUP('Données projet'!$B$12,Paramètres!$A$1:$I$88,3,0)*0.475*44/12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5.6843418860808015E-13</v>
      </c>
      <c r="O197" s="14">
        <f>N197*VLOOKUP('Données projet'!$B$9,Paramètres!$A$1:$I$88,3,0)*VLOOKUP('Données projet'!$B$9,Paramètres!$A$1:$I$88,5,0)</f>
        <v>2.6602720026858149E-13</v>
      </c>
      <c r="P197" s="14">
        <f t="shared" ref="P197:P203" si="203">EXP(-1.0587+0.8836*LN(O197)+0.284)</f>
        <v>3.5662905043956649E-12</v>
      </c>
      <c r="Q197" s="22">
        <f t="shared" si="162"/>
        <v>6.6746200022902298E-12</v>
      </c>
      <c r="R197" s="62">
        <f t="shared" si="191"/>
        <v>293.33333333333997</v>
      </c>
      <c r="S197" s="62">
        <f ca="1">AVERAGE(OFFSET($R$3,0,0,'Données projet'!$E$9+1,1))-AVERAGE(OFFSET($H$3,0,0,'Données projet'!$E$9+1,1))</f>
        <v>316.04959780858269</v>
      </c>
      <c r="T197" s="62">
        <f t="shared" ref="T197:T203" si="204">$T$3</f>
        <v>213.60182977243113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50.69218030873823</v>
      </c>
      <c r="AA197" s="23">
        <f>EXP(-LN(2)/25)*AA196+(1-EXP(-LN(2)/25))/(LN(2)/25)*Calculateur!V197*Calculateur!X197*VLOOKUP('Données projet'!$B$9,Paramètres!$A$1:$I$88,3,0)*0.475*44/12</f>
        <v>4.7758583319791956</v>
      </c>
      <c r="AB197" s="23">
        <f>EXP(-LN(2)/2)*AB196+(1-EXP(-LN(2)/2))/(LN(2)/2)*V197*Y197*VLOOKUP('Données projet'!$B$9,Paramètres!$A$1:$I$88,3,0)*0.475*44/12</f>
        <v>1.7410476509155513E-7</v>
      </c>
      <c r="AC197" s="24">
        <f t="shared" si="163"/>
        <v>55.468038814822187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-7.9580786405131221E-13</v>
      </c>
      <c r="AJ197" s="14">
        <f>AI197*VLOOKUP('Données projet'!$B$10,Paramètres!$A$1:$I$88,3,0)*VLOOKUP('Données projet'!$B$10,Paramètres!$A$1:$I$88,5,0)</f>
        <v>-4.448565960046835E-13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583.31979399672844</v>
      </c>
      <c r="AO197" s="62">
        <f t="shared" ref="AO197:AO203" si="205">$AO$3</f>
        <v>544.21514138474731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32.239243933710434</v>
      </c>
      <c r="AV197" s="23">
        <f>EXP(-LN(2)/25)*AV196+(1-EXP(-LN(2)/25))/(LN(2)/25)*Calculateur!AQ197*Calculateur!AS197*VLOOKUP('Données projet'!$B$10,Paramètres!$A$1:$I$88,3,0)*0.475*44/12</f>
        <v>2.8042260942640711</v>
      </c>
      <c r="AW197" s="23">
        <f>EXP(-LN(2)/2)*AW196+(1-EXP(-LN(2)/2))/(LN(2)/2)*AQ197*AT197*VLOOKUP('Données projet'!$B$10,Paramètres!$A$1:$I$88,3,0)*0.475*44/12</f>
        <v>3.066626284195091E-16</v>
      </c>
      <c r="AX197" s="23">
        <f t="shared" si="166"/>
        <v>35.043470027974507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projet'!$B$11,Paramètres!$A$1:$I$88,3,0)*VLOOKUP('Données projet'!$B$11,Paramètres!$A$1:$I$88,5,0)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projet'!$B$11,Paramètres!$A$1:$I$88,3,0)*0.475*44/12</f>
        <v>#N/A</v>
      </c>
      <c r="BQ197" s="23" t="e">
        <f>EXP(-LN(2)/25)*BQ196+(1-EXP(-LN(2)/25))/(LN(2)/25)*Calculateur!BL197*Calculateur!BN197*VLOOKUP('Données projet'!$B$11,Paramètres!$A$1:$I$88,3,0)*0.475*44/12</f>
        <v>#N/A</v>
      </c>
      <c r="BR197" s="23" t="e">
        <f>EXP(-LN(2)/2)*BR196+(1-EXP(-LN(2)/2))/(LN(2)/2)*BL197*BO197*VLOOKUP('Données projet'!$B$11,Paramètres!$A$1:$I$88,3,0)*0.475*44/12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projet'!$B$12,Paramètres!$A$1:$I$88,3,0)*0.475*44/12</f>
        <v>#N/A</v>
      </c>
      <c r="CL197" s="23" t="e">
        <f>EXP(-LN(2)/25)*CL196+(1-EXP(-LN(2)/25))/(LN(2)/25)*Calculateur!CG197*Calculateur!CI197*VLOOKUP('Données projet'!$B$12,Paramètres!$A$1:$I$88,3,0)*0.475*44/12</f>
        <v>#N/A</v>
      </c>
      <c r="CM197" s="23" t="e">
        <f>EXP(-LN(2)/2)*CM196+(1-EXP(-LN(2)/2))/(LN(2)/2)*CG197*CJ197*VLOOKUP('Données projet'!$B$12,Paramètres!$A$1:$I$88,3,0)*0.475*44/12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5.6843418860808015E-13</v>
      </c>
      <c r="O198" s="14">
        <f>N198*VLOOKUP('Données projet'!$B$9,Paramètres!$A$1:$I$88,3,0)*VLOOKUP('Données projet'!$B$9,Paramètres!$A$1:$I$88,5,0)</f>
        <v>2.6602720026858149E-13</v>
      </c>
      <c r="P198" s="14">
        <f t="shared" si="203"/>
        <v>3.5662905043956649E-12</v>
      </c>
      <c r="Q198" s="22">
        <f t="shared" si="162"/>
        <v>6.6746200022902298E-12</v>
      </c>
      <c r="R198" s="62">
        <f t="shared" si="191"/>
        <v>293.33333333333997</v>
      </c>
      <c r="S198" s="62">
        <f ca="1">AVERAGE(OFFSET($R$3,0,0,'Données projet'!$E$9+1,1))-AVERAGE(OFFSET($H$3,0,0,'Données projet'!$E$9+1,1))</f>
        <v>316.04959780858269</v>
      </c>
      <c r="T198" s="62">
        <f t="shared" si="204"/>
        <v>213.60182977243113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49.698137572060844</v>
      </c>
      <c r="AA198" s="23">
        <f>EXP(-LN(2)/25)*AA197+(1-EXP(-LN(2)/25))/(LN(2)/25)*Calculateur!V198*Calculateur!X198*VLOOKUP('Données projet'!$B$9,Paramètres!$A$1:$I$88,3,0)*0.475*44/12</f>
        <v>4.6452622347397501</v>
      </c>
      <c r="AB198" s="23">
        <f>EXP(-LN(2)/2)*AB197+(1-EXP(-LN(2)/2))/(LN(2)/2)*V198*Y198*VLOOKUP('Données projet'!$B$9,Paramètres!$A$1:$I$88,3,0)*0.475*44/12</f>
        <v>1.2311066003312953E-7</v>
      </c>
      <c r="AC198" s="24">
        <f t="shared" si="163"/>
        <v>54.34339992991125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-7.9580786405131221E-13</v>
      </c>
      <c r="AJ198" s="14">
        <f>AI198*VLOOKUP('Données projet'!$B$10,Paramètres!$A$1:$I$88,3,0)*VLOOKUP('Données projet'!$B$10,Paramètres!$A$1:$I$88,5,0)</f>
        <v>-4.448565960046835E-13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583.31979399672844</v>
      </c>
      <c r="AO198" s="62">
        <f t="shared" si="205"/>
        <v>544.21514138474731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31.607052024167512</v>
      </c>
      <c r="AV198" s="23">
        <f>EXP(-LN(2)/25)*AV197+(1-EXP(-LN(2)/25))/(LN(2)/25)*Calculateur!AQ198*Calculateur!AS198*VLOOKUP('Données projet'!$B$10,Paramètres!$A$1:$I$88,3,0)*0.475*44/12</f>
        <v>2.7275443842485791</v>
      </c>
      <c r="AW198" s="23">
        <f>EXP(-LN(2)/2)*AW197+(1-EXP(-LN(2)/2))/(LN(2)/2)*AQ198*AT198*VLOOKUP('Données projet'!$B$10,Paramètres!$A$1:$I$88,3,0)*0.475*44/12</f>
        <v>2.1684322409192538E-16</v>
      </c>
      <c r="AX198" s="23">
        <f t="shared" si="166"/>
        <v>34.33459640841609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projet'!$B$11,Paramètres!$A$1:$I$88,3,0)*VLOOKUP('Données projet'!$B$11,Paramètres!$A$1:$I$88,5,0)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projet'!$B$11,Paramètres!$A$1:$I$88,3,0)*0.475*44/12</f>
        <v>#N/A</v>
      </c>
      <c r="BQ198" s="23" t="e">
        <f>EXP(-LN(2)/25)*BQ197+(1-EXP(-LN(2)/25))/(LN(2)/25)*Calculateur!BL198*Calculateur!BN198*VLOOKUP('Données projet'!$B$11,Paramètres!$A$1:$I$88,3,0)*0.475*44/12</f>
        <v>#N/A</v>
      </c>
      <c r="BR198" s="23" t="e">
        <f>EXP(-LN(2)/2)*BR197+(1-EXP(-LN(2)/2))/(LN(2)/2)*BL198*BO198*VLOOKUP('Données projet'!$B$11,Paramètres!$A$1:$I$88,3,0)*0.475*44/12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projet'!$B$12,Paramètres!$A$1:$I$88,3,0)*0.475*44/12</f>
        <v>#N/A</v>
      </c>
      <c r="CL198" s="23" t="e">
        <f>EXP(-LN(2)/25)*CL197+(1-EXP(-LN(2)/25))/(LN(2)/25)*Calculateur!CG198*Calculateur!CI198*VLOOKUP('Données projet'!$B$12,Paramètres!$A$1:$I$88,3,0)*0.475*44/12</f>
        <v>#N/A</v>
      </c>
      <c r="CM198" s="23" t="e">
        <f>EXP(-LN(2)/2)*CM197+(1-EXP(-LN(2)/2))/(LN(2)/2)*CG198*CJ198*VLOOKUP('Données projet'!$B$12,Paramètres!$A$1:$I$88,3,0)*0.475*44/12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5.6843418860808015E-13</v>
      </c>
      <c r="O199" s="14">
        <f>N199*VLOOKUP('Données projet'!$B$9,Paramètres!$A$1:$I$88,3,0)*VLOOKUP('Données projet'!$B$9,Paramètres!$A$1:$I$88,5,0)</f>
        <v>2.6602720026858149E-13</v>
      </c>
      <c r="P199" s="14">
        <f t="shared" si="203"/>
        <v>3.5662905043956649E-12</v>
      </c>
      <c r="Q199" s="22">
        <f t="shared" si="162"/>
        <v>6.6746200022902298E-12</v>
      </c>
      <c r="R199" s="62">
        <f t="shared" si="191"/>
        <v>293.33333333333997</v>
      </c>
      <c r="S199" s="62">
        <f ca="1">AVERAGE(OFFSET($R$3,0,0,'Données projet'!$E$9+1,1))-AVERAGE(OFFSET($H$3,0,0,'Données projet'!$E$9+1,1))</f>
        <v>316.04959780858269</v>
      </c>
      <c r="T199" s="62">
        <f t="shared" si="204"/>
        <v>213.60182977243113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48.723587407143505</v>
      </c>
      <c r="AA199" s="23">
        <f>EXP(-LN(2)/25)*AA198+(1-EXP(-LN(2)/25))/(LN(2)/25)*Calculateur!V199*Calculateur!X199*VLOOKUP('Données projet'!$B$9,Paramètres!$A$1:$I$88,3,0)*0.475*44/12</f>
        <v>4.5182372946470677</v>
      </c>
      <c r="AB199" s="23">
        <f>EXP(-LN(2)/2)*AB198+(1-EXP(-LN(2)/2))/(LN(2)/2)*V199*Y199*VLOOKUP('Données projet'!$B$9,Paramètres!$A$1:$I$88,3,0)*0.475*44/12</f>
        <v>8.7052382545777567E-8</v>
      </c>
      <c r="AC199" s="24">
        <f t="shared" si="163"/>
        <v>53.241824788842955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-7.9580786405131221E-13</v>
      </c>
      <c r="AJ199" s="14">
        <f>AI199*VLOOKUP('Données projet'!$B$10,Paramètres!$A$1:$I$88,3,0)*VLOOKUP('Données projet'!$B$10,Paramètres!$A$1:$I$88,5,0)</f>
        <v>-4.448565960046835E-13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583.31979399672844</v>
      </c>
      <c r="AO199" s="62">
        <f t="shared" si="205"/>
        <v>544.21514138474731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30.987257012371739</v>
      </c>
      <c r="AV199" s="23">
        <f>EXP(-LN(2)/25)*AV198+(1-EXP(-LN(2)/25))/(LN(2)/25)*Calculateur!AQ199*Calculateur!AS199*VLOOKUP('Données projet'!$B$10,Paramètres!$A$1:$I$88,3,0)*0.475*44/12</f>
        <v>2.6529595396259764</v>
      </c>
      <c r="AW199" s="23">
        <f>EXP(-LN(2)/2)*AW198+(1-EXP(-LN(2)/2))/(LN(2)/2)*AQ199*AT199*VLOOKUP('Données projet'!$B$10,Paramètres!$A$1:$I$88,3,0)*0.475*44/12</f>
        <v>1.5333131420975457E-16</v>
      </c>
      <c r="AX199" s="23">
        <f t="shared" si="166"/>
        <v>33.640216551997717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projet'!$B$11,Paramètres!$A$1:$I$88,3,0)*VLOOKUP('Données projet'!$B$11,Paramètres!$A$1:$I$88,5,0)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projet'!$B$11,Paramètres!$A$1:$I$88,3,0)*0.475*44/12</f>
        <v>#N/A</v>
      </c>
      <c r="BQ199" s="23" t="e">
        <f>EXP(-LN(2)/25)*BQ198+(1-EXP(-LN(2)/25))/(LN(2)/25)*Calculateur!BL199*Calculateur!BN199*VLOOKUP('Données projet'!$B$11,Paramètres!$A$1:$I$88,3,0)*0.475*44/12</f>
        <v>#N/A</v>
      </c>
      <c r="BR199" s="23" t="e">
        <f>EXP(-LN(2)/2)*BR198+(1-EXP(-LN(2)/2))/(LN(2)/2)*BL199*BO199*VLOOKUP('Données projet'!$B$11,Paramètres!$A$1:$I$88,3,0)*0.475*44/12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projet'!$B$12,Paramètres!$A$1:$I$88,3,0)*0.475*44/12</f>
        <v>#N/A</v>
      </c>
      <c r="CL199" s="23" t="e">
        <f>EXP(-LN(2)/25)*CL198+(1-EXP(-LN(2)/25))/(LN(2)/25)*Calculateur!CG199*Calculateur!CI199*VLOOKUP('Données projet'!$B$12,Paramètres!$A$1:$I$88,3,0)*0.475*44/12</f>
        <v>#N/A</v>
      </c>
      <c r="CM199" s="23" t="e">
        <f>EXP(-LN(2)/2)*CM198+(1-EXP(-LN(2)/2))/(LN(2)/2)*CG199*CJ199*VLOOKUP('Données projet'!$B$12,Paramètres!$A$1:$I$88,3,0)*0.475*44/12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5.6843418860808015E-13</v>
      </c>
      <c r="O200" s="14">
        <f>N200*VLOOKUP('Données projet'!$B$9,Paramètres!$A$1:$I$88,3,0)*VLOOKUP('Données projet'!$B$9,Paramètres!$A$1:$I$88,5,0)</f>
        <v>2.6602720026858149E-13</v>
      </c>
      <c r="P200" s="14">
        <f t="shared" si="203"/>
        <v>3.5662905043956649E-12</v>
      </c>
      <c r="Q200" s="22">
        <f t="shared" si="162"/>
        <v>6.6746200022902298E-12</v>
      </c>
      <c r="R200" s="62">
        <f t="shared" si="191"/>
        <v>293.33333333333997</v>
      </c>
      <c r="S200" s="62">
        <f ca="1">AVERAGE(OFFSET($R$3,0,0,'Données projet'!$E$9+1,1))-AVERAGE(OFFSET($H$3,0,0,'Données projet'!$E$9+1,1))</f>
        <v>316.04959780858269</v>
      </c>
      <c r="T200" s="62">
        <f t="shared" si="204"/>
        <v>213.60182977243113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47.768147576543285</v>
      </c>
      <c r="AA200" s="23">
        <f>EXP(-LN(2)/25)*AA199+(1-EXP(-LN(2)/25))/(LN(2)/25)*Calculateur!V200*Calculateur!X200*VLOOKUP('Données projet'!$B$9,Paramètres!$A$1:$I$88,3,0)*0.475*44/12</f>
        <v>4.3946858582211705</v>
      </c>
      <c r="AB200" s="23">
        <f>EXP(-LN(2)/2)*AB199+(1-EXP(-LN(2)/2))/(LN(2)/2)*V200*Y200*VLOOKUP('Données projet'!$B$9,Paramètres!$A$1:$I$88,3,0)*0.475*44/12</f>
        <v>6.1555330016564765E-8</v>
      </c>
      <c r="AC200" s="24">
        <f t="shared" si="163"/>
        <v>52.162833496319791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-7.9580786405131221E-13</v>
      </c>
      <c r="AJ200" s="14">
        <f>AI200*VLOOKUP('Données projet'!$B$10,Paramètres!$A$1:$I$88,3,0)*VLOOKUP('Données projet'!$B$10,Paramètres!$A$1:$I$88,5,0)</f>
        <v>-4.448565960046835E-13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583.31979399672844</v>
      </c>
      <c r="AO200" s="62">
        <f t="shared" si="205"/>
        <v>544.21514138474731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30.379615802719652</v>
      </c>
      <c r="AV200" s="23">
        <f>EXP(-LN(2)/25)*AV199+(1-EXP(-LN(2)/25))/(LN(2)/25)*Calculateur!AQ200*Calculateur!AS200*VLOOKUP('Données projet'!$B$10,Paramètres!$A$1:$I$88,3,0)*0.475*44/12</f>
        <v>2.5804142215018255</v>
      </c>
      <c r="AW200" s="23">
        <f>EXP(-LN(2)/2)*AW199+(1-EXP(-LN(2)/2))/(LN(2)/2)*AQ200*AT200*VLOOKUP('Données projet'!$B$10,Paramètres!$A$1:$I$88,3,0)*0.475*44/12</f>
        <v>1.084216120459627E-16</v>
      </c>
      <c r="AX200" s="23">
        <f t="shared" si="166"/>
        <v>32.960030024221474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projet'!$B$11,Paramètres!$A$1:$I$88,3,0)*VLOOKUP('Données projet'!$B$11,Paramètres!$A$1:$I$88,5,0)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projet'!$B$11,Paramètres!$A$1:$I$88,3,0)*0.475*44/12</f>
        <v>#N/A</v>
      </c>
      <c r="BQ200" s="23" t="e">
        <f>EXP(-LN(2)/25)*BQ199+(1-EXP(-LN(2)/25))/(LN(2)/25)*Calculateur!BL200*Calculateur!BN200*VLOOKUP('Données projet'!$B$11,Paramètres!$A$1:$I$88,3,0)*0.475*44/12</f>
        <v>#N/A</v>
      </c>
      <c r="BR200" s="23" t="e">
        <f>EXP(-LN(2)/2)*BR199+(1-EXP(-LN(2)/2))/(LN(2)/2)*BL200*BO200*VLOOKUP('Données projet'!$B$11,Paramètres!$A$1:$I$88,3,0)*0.475*44/12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projet'!$B$12,Paramètres!$A$1:$I$88,3,0)*0.475*44/12</f>
        <v>#N/A</v>
      </c>
      <c r="CL200" s="23" t="e">
        <f>EXP(-LN(2)/25)*CL199+(1-EXP(-LN(2)/25))/(LN(2)/25)*Calculateur!CG200*Calculateur!CI200*VLOOKUP('Données projet'!$B$12,Paramètres!$A$1:$I$88,3,0)*0.475*44/12</f>
        <v>#N/A</v>
      </c>
      <c r="CM200" s="23" t="e">
        <f>EXP(-LN(2)/2)*CM199+(1-EXP(-LN(2)/2))/(LN(2)/2)*CG200*CJ200*VLOOKUP('Données projet'!$B$12,Paramètres!$A$1:$I$88,3,0)*0.475*44/12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5.6843418860808015E-13</v>
      </c>
      <c r="O201" s="14">
        <f>N201*VLOOKUP('Données projet'!$B$9,Paramètres!$A$1:$I$88,3,0)*VLOOKUP('Données projet'!$B$9,Paramètres!$A$1:$I$88,5,0)</f>
        <v>2.6602720026858149E-13</v>
      </c>
      <c r="P201" s="14">
        <f t="shared" si="203"/>
        <v>3.5662905043956649E-12</v>
      </c>
      <c r="Q201" s="22">
        <f t="shared" si="162"/>
        <v>6.6746200022902298E-12</v>
      </c>
      <c r="R201" s="62">
        <f t="shared" si="191"/>
        <v>293.33333333333997</v>
      </c>
      <c r="S201" s="62">
        <f ca="1">AVERAGE(OFFSET($R$3,0,0,'Données projet'!$E$9+1,1))-AVERAGE(OFFSET($H$3,0,0,'Données projet'!$E$9+1,1))</f>
        <v>316.04959780858269</v>
      </c>
      <c r="T201" s="62">
        <f t="shared" si="204"/>
        <v>213.60182977243113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46.831443338260385</v>
      </c>
      <c r="AA201" s="23">
        <f>EXP(-LN(2)/25)*AA200+(1-EXP(-LN(2)/25))/(LN(2)/25)*Calculateur!V201*Calculateur!X201*VLOOKUP('Données projet'!$B$9,Paramètres!$A$1:$I$88,3,0)*0.475*44/12</f>
        <v>4.2745129423216275</v>
      </c>
      <c r="AB201" s="23">
        <f>EXP(-LN(2)/2)*AB200+(1-EXP(-LN(2)/2))/(LN(2)/2)*V201*Y201*VLOOKUP('Données projet'!$B$9,Paramètres!$A$1:$I$88,3,0)*0.475*44/12</f>
        <v>4.3526191272888783E-8</v>
      </c>
      <c r="AC201" s="24">
        <f t="shared" si="163"/>
        <v>51.105956324108206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-7.9580786405131221E-13</v>
      </c>
      <c r="AJ201" s="14">
        <f>AI201*VLOOKUP('Données projet'!$B$10,Paramètres!$A$1:$I$88,3,0)*VLOOKUP('Données projet'!$B$10,Paramètres!$A$1:$I$88,5,0)</f>
        <v>-4.448565960046835E-13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583.31979399672844</v>
      </c>
      <c r="AO201" s="62">
        <f t="shared" si="205"/>
        <v>544.21514138474731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29.7838900665643</v>
      </c>
      <c r="AV201" s="23">
        <f>EXP(-LN(2)/25)*AV200+(1-EXP(-LN(2)/25))/(LN(2)/25)*Calculateur!AQ201*Calculateur!AS201*VLOOKUP('Données projet'!$B$10,Paramètres!$A$1:$I$88,3,0)*0.475*44/12</f>
        <v>2.5098526589167718</v>
      </c>
      <c r="AW201" s="23">
        <f>EXP(-LN(2)/2)*AW200+(1-EXP(-LN(2)/2))/(LN(2)/2)*AQ201*AT201*VLOOKUP('Données projet'!$B$10,Paramètres!$A$1:$I$88,3,0)*0.475*44/12</f>
        <v>7.6665657104877299E-17</v>
      </c>
      <c r="AX201" s="23">
        <f t="shared" si="166"/>
        <v>32.293742725481074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projet'!$B$11,Paramètres!$A$1:$I$88,3,0)*VLOOKUP('Données projet'!$B$11,Paramètres!$A$1:$I$88,5,0)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projet'!$B$11,Paramètres!$A$1:$I$88,3,0)*0.475*44/12</f>
        <v>#N/A</v>
      </c>
      <c r="BQ201" s="23" t="e">
        <f>EXP(-LN(2)/25)*BQ200+(1-EXP(-LN(2)/25))/(LN(2)/25)*Calculateur!BL201*Calculateur!BN201*VLOOKUP('Données projet'!$B$11,Paramètres!$A$1:$I$88,3,0)*0.475*44/12</f>
        <v>#N/A</v>
      </c>
      <c r="BR201" s="23" t="e">
        <f>EXP(-LN(2)/2)*BR200+(1-EXP(-LN(2)/2))/(LN(2)/2)*BL201*BO201*VLOOKUP('Données projet'!$B$11,Paramètres!$A$1:$I$88,3,0)*0.475*44/12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projet'!$B$12,Paramètres!$A$1:$I$88,3,0)*0.475*44/12</f>
        <v>#N/A</v>
      </c>
      <c r="CL201" s="23" t="e">
        <f>EXP(-LN(2)/25)*CL200+(1-EXP(-LN(2)/25))/(LN(2)/25)*Calculateur!CG201*Calculateur!CI201*VLOOKUP('Données projet'!$B$12,Paramètres!$A$1:$I$88,3,0)*0.475*44/12</f>
        <v>#N/A</v>
      </c>
      <c r="CM201" s="23" t="e">
        <f>EXP(-LN(2)/2)*CM200+(1-EXP(-LN(2)/2))/(LN(2)/2)*CG201*CJ201*VLOOKUP('Données projet'!$B$12,Paramètres!$A$1:$I$88,3,0)*0.475*44/12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5.6843418860808015E-13</v>
      </c>
      <c r="O202" s="14">
        <f>N202*VLOOKUP('Données projet'!$B$9,Paramètres!$A$1:$I$88,3,0)*VLOOKUP('Données projet'!$B$9,Paramètres!$A$1:$I$88,5,0)</f>
        <v>2.6602720026858149E-13</v>
      </c>
      <c r="P202" s="14">
        <f t="shared" si="203"/>
        <v>3.5662905043956649E-12</v>
      </c>
      <c r="Q202" s="22">
        <f t="shared" si="162"/>
        <v>6.6746200022902298E-12</v>
      </c>
      <c r="R202" s="62">
        <f t="shared" si="191"/>
        <v>293.33333333333997</v>
      </c>
      <c r="S202" s="62">
        <f ca="1">AVERAGE(OFFSET($R$3,0,0,'Données projet'!$E$9+1,1))-AVERAGE(OFFSET($H$3,0,0,'Données projet'!$E$9+1,1))</f>
        <v>316.04959780858269</v>
      </c>
      <c r="T202" s="62">
        <f t="shared" si="204"/>
        <v>213.60182977243113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45.913107298757041</v>
      </c>
      <c r="AA202" s="23">
        <f>EXP(-LN(2)/25)*AA201+(1-EXP(-LN(2)/25))/(LN(2)/25)*Calculateur!V202*Calculateur!X202*VLOOKUP('Données projet'!$B$9,Paramètres!$A$1:$I$88,3,0)*0.475*44/12</f>
        <v>4.1576261611269762</v>
      </c>
      <c r="AB202" s="23">
        <f>EXP(-LN(2)/2)*AB201+(1-EXP(-LN(2)/2))/(LN(2)/2)*V202*Y202*VLOOKUP('Données projet'!$B$9,Paramètres!$A$1:$I$88,3,0)*0.475*44/12</f>
        <v>3.0777665008282383E-8</v>
      </c>
      <c r="AC202" s="24">
        <f t="shared" si="163"/>
        <v>50.070733490661681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-7.9580786405131221E-13</v>
      </c>
      <c r="AJ202" s="14">
        <f>AI202*VLOOKUP('Données projet'!$B$10,Paramètres!$A$1:$I$88,3,0)*VLOOKUP('Données projet'!$B$10,Paramètres!$A$1:$I$88,5,0)</f>
        <v>-4.448565960046835E-13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583.31979399672844</v>
      </c>
      <c r="AO202" s="62">
        <f t="shared" si="205"/>
        <v>544.21514138474731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29.199846148738136</v>
      </c>
      <c r="AV202" s="23">
        <f>EXP(-LN(2)/25)*AV201+(1-EXP(-LN(2)/25))/(LN(2)/25)*Calculateur!AQ202*Calculateur!AS202*VLOOKUP('Données projet'!$B$10,Paramètres!$A$1:$I$88,3,0)*0.475*44/12</f>
        <v>2.4412206059712775</v>
      </c>
      <c r="AW202" s="23">
        <f>EXP(-LN(2)/2)*AW201+(1-EXP(-LN(2)/2))/(LN(2)/2)*AQ202*AT202*VLOOKUP('Données projet'!$B$10,Paramètres!$A$1:$I$88,3,0)*0.475*44/12</f>
        <v>5.4210806022981356E-17</v>
      </c>
      <c r="AX202" s="23">
        <f t="shared" si="166"/>
        <v>31.641066754709414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projet'!$B$11,Paramètres!$A$1:$I$88,3,0)*VLOOKUP('Données projet'!$B$11,Paramètres!$A$1:$I$88,5,0)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projet'!$B$11,Paramètres!$A$1:$I$88,3,0)*0.475*44/12</f>
        <v>#N/A</v>
      </c>
      <c r="BQ202" s="23" t="e">
        <f>EXP(-LN(2)/25)*BQ201+(1-EXP(-LN(2)/25))/(LN(2)/25)*Calculateur!BL202*Calculateur!BN202*VLOOKUP('Données projet'!$B$11,Paramètres!$A$1:$I$88,3,0)*0.475*44/12</f>
        <v>#N/A</v>
      </c>
      <c r="BR202" s="23" t="e">
        <f>EXP(-LN(2)/2)*BR201+(1-EXP(-LN(2)/2))/(LN(2)/2)*BL202*BO202*VLOOKUP('Données projet'!$B$11,Paramètres!$A$1:$I$88,3,0)*0.475*44/12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projet'!$B$12,Paramètres!$A$1:$I$88,3,0)*0.475*44/12</f>
        <v>#N/A</v>
      </c>
      <c r="CL202" s="23" t="e">
        <f>EXP(-LN(2)/25)*CL201+(1-EXP(-LN(2)/25))/(LN(2)/25)*Calculateur!CG202*Calculateur!CI202*VLOOKUP('Données projet'!$B$12,Paramètres!$A$1:$I$88,3,0)*0.475*44/12</f>
        <v>#N/A</v>
      </c>
      <c r="CM202" s="23" t="e">
        <f>EXP(-LN(2)/2)*CM201+(1-EXP(-LN(2)/2))/(LN(2)/2)*CG202*CJ202*VLOOKUP('Données projet'!$B$12,Paramètres!$A$1:$I$88,3,0)*0.475*44/12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5.6843418860808015E-13</v>
      </c>
      <c r="O203" s="14">
        <f>N203*VLOOKUP('Données projet'!$B$9,Paramètres!$A$1:$I$88,3,0)*VLOOKUP('Données projet'!$B$9,Paramètres!$A$1:$I$88,5,0)</f>
        <v>2.6602720026858149E-13</v>
      </c>
      <c r="P203" s="14">
        <f t="shared" si="203"/>
        <v>3.5662905043956649E-12</v>
      </c>
      <c r="Q203" s="22">
        <f t="shared" si="162"/>
        <v>6.6746200022902298E-12</v>
      </c>
      <c r="R203" s="62">
        <f t="shared" si="191"/>
        <v>293.33333333333997</v>
      </c>
      <c r="S203" s="62">
        <f ca="1">AVERAGE(OFFSET($R$3,0,0,'Données projet'!$E$9+1,1))-AVERAGE(OFFSET($H$3,0,0,'Données projet'!$E$9+1,1))</f>
        <v>316.04959780858269</v>
      </c>
      <c r="T203" s="62">
        <f t="shared" si="204"/>
        <v>213.60182977243113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45.012779268858679</v>
      </c>
      <c r="AA203" s="23">
        <f>EXP(-LN(2)/25)*AA202+(1-EXP(-LN(2)/25))/(LN(2)/25)*Calculateur!V203*Calculateur!X203*VLOOKUP('Données projet'!$B$9,Paramètres!$A$1:$I$88,3,0)*0.475*44/12</f>
        <v>4.0439356551109018</v>
      </c>
      <c r="AB203" s="23">
        <f>EXP(-LN(2)/2)*AB202+(1-EXP(-LN(2)/2))/(LN(2)/2)*V203*Y203*VLOOKUP('Données projet'!$B$9,Paramètres!$A$1:$I$88,3,0)*0.475*44/12</f>
        <v>2.1763095636444392E-8</v>
      </c>
      <c r="AC203" s="24">
        <f t="shared" si="163"/>
        <v>49.056714945732672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-7.9580786405131221E-13</v>
      </c>
      <c r="AJ203" s="14">
        <f>AI203*VLOOKUP('Données projet'!$B$10,Paramètres!$A$1:$I$88,3,0)*VLOOKUP('Données projet'!$B$10,Paramètres!$A$1:$I$88,5,0)</f>
        <v>-4.448565960046835E-13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583.31979399672844</v>
      </c>
      <c r="AO203" s="62">
        <f t="shared" si="205"/>
        <v>544.21514138474731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28.627254975908926</v>
      </c>
      <c r="AV203" s="23">
        <f>EXP(-LN(2)/25)*AV202+(1-EXP(-LN(2)/25))/(LN(2)/25)*Calculateur!AQ203*Calculateur!AS203*VLOOKUP('Données projet'!$B$10,Paramètres!$A$1:$I$88,3,0)*0.475*44/12</f>
        <v>2.3744653001227807</v>
      </c>
      <c r="AW203" s="23">
        <f>EXP(-LN(2)/2)*AW202+(1-EXP(-LN(2)/2))/(LN(2)/2)*AQ203*AT203*VLOOKUP('Données projet'!$B$10,Paramètres!$A$1:$I$88,3,0)*0.475*44/12</f>
        <v>3.8332828552438656E-17</v>
      </c>
      <c r="AX203" s="23">
        <f t="shared" si="166"/>
        <v>31.001720276031705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projet'!$B$11,Paramètres!$A$1:$I$88,3,0)*VLOOKUP('Données projet'!$B$11,Paramètres!$A$1:$I$88,5,0)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projet'!$B$11,Paramètres!$A$1:$I$88,3,0)*0.475*44/12</f>
        <v>#N/A</v>
      </c>
      <c r="BQ203" s="23" t="e">
        <f>EXP(-LN(2)/25)*BQ202+(1-EXP(-LN(2)/25))/(LN(2)/25)*Calculateur!BL203*Calculateur!BN203*VLOOKUP('Données projet'!$B$11,Paramètres!$A$1:$I$88,3,0)*0.475*44/12</f>
        <v>#N/A</v>
      </c>
      <c r="BR203" s="23" t="e">
        <f>EXP(-LN(2)/2)*BR202+(1-EXP(-LN(2)/2))/(LN(2)/2)*BL203*BO203*VLOOKUP('Données projet'!$B$11,Paramètres!$A$1:$I$88,3,0)*0.475*44/12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projet'!$B$12,Paramètres!$A$1:$I$88,3,0)*0.475*44/12</f>
        <v>#N/A</v>
      </c>
      <c r="CL203" s="23" t="e">
        <f>EXP(-LN(2)/25)*CL202+(1-EXP(-LN(2)/25))/(LN(2)/25)*Calculateur!CG203*Calculateur!CI203*VLOOKUP('Données projet'!$B$12,Paramètres!$A$1:$I$88,3,0)*0.475*44/12</f>
        <v>#N/A</v>
      </c>
      <c r="CM203" s="23" t="e">
        <f>EXP(-LN(2)/2)*CM202+(1-EXP(-LN(2)/2))/(LN(2)/2)*CG203*CJ203*VLOOKUP('Données projet'!$B$12,Paramètres!$A$1:$I$88,3,0)*0.475*44/12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1.1867200975826817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1.4037863041747067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AD3Petg27uLkBWNLkoCstus9QK4UFEFQKVgtUE5W3qYiwGMPSQIqKa+UwvEW3Uii34BwtIor110/xmaHWjp+w==" saltValue="GHb6zcSGUkNQybd2GuQjbQ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A22" workbookViewId="0">
      <selection activeCell="D23" sqref="D23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1" t="s">
        <v>0</v>
      </c>
      <c r="B1" s="122" t="s">
        <v>106</v>
      </c>
      <c r="C1" s="123" t="s">
        <v>144</v>
      </c>
      <c r="D1" s="122" t="s">
        <v>100</v>
      </c>
      <c r="E1" s="123" t="s">
        <v>145</v>
      </c>
      <c r="F1" s="123" t="s">
        <v>100</v>
      </c>
      <c r="G1" s="123" t="s">
        <v>146</v>
      </c>
      <c r="H1" s="123" t="s">
        <v>100</v>
      </c>
      <c r="I1" s="124" t="s">
        <v>147</v>
      </c>
      <c r="J1" s="101"/>
      <c r="K1" s="101"/>
      <c r="L1" s="101"/>
      <c r="M1" s="101"/>
      <c r="N1" s="101"/>
    </row>
    <row r="2" spans="1:16" x14ac:dyDescent="0.3">
      <c r="A2" s="125" t="s">
        <v>1</v>
      </c>
      <c r="B2" s="126" t="s">
        <v>53</v>
      </c>
      <c r="C2" s="127">
        <v>0.62</v>
      </c>
      <c r="D2" s="127" t="s">
        <v>161</v>
      </c>
      <c r="E2" s="127">
        <v>1.56</v>
      </c>
      <c r="F2" s="127" t="s">
        <v>275</v>
      </c>
      <c r="G2" s="128">
        <v>0.43</v>
      </c>
      <c r="H2" s="129" t="s">
        <v>279</v>
      </c>
      <c r="I2" s="130">
        <v>0.25</v>
      </c>
      <c r="J2" s="101"/>
      <c r="K2" s="101"/>
      <c r="L2" s="101"/>
      <c r="M2" s="101"/>
      <c r="N2" s="101"/>
      <c r="O2" s="295" t="s">
        <v>238</v>
      </c>
      <c r="P2" s="131">
        <v>0</v>
      </c>
    </row>
    <row r="3" spans="1:16" ht="15" thickBot="1" x14ac:dyDescent="0.35">
      <c r="A3" s="132" t="s">
        <v>2</v>
      </c>
      <c r="B3" s="133" t="s">
        <v>54</v>
      </c>
      <c r="C3" s="134">
        <v>0.64</v>
      </c>
      <c r="D3" s="134" t="s">
        <v>161</v>
      </c>
      <c r="E3" s="134">
        <v>1.56</v>
      </c>
      <c r="F3" s="135" t="s">
        <v>275</v>
      </c>
      <c r="G3" s="136">
        <v>0.43</v>
      </c>
      <c r="H3" s="134" t="s">
        <v>279</v>
      </c>
      <c r="I3" s="137">
        <v>0.25</v>
      </c>
      <c r="J3" s="101"/>
      <c r="K3" s="101"/>
      <c r="L3" s="101"/>
      <c r="M3" s="101"/>
      <c r="N3" s="101"/>
      <c r="O3" s="296"/>
      <c r="P3" s="138">
        <v>0.2</v>
      </c>
    </row>
    <row r="4" spans="1:16" ht="15" thickBot="1" x14ac:dyDescent="0.35">
      <c r="A4" s="132" t="s">
        <v>98</v>
      </c>
      <c r="B4" s="133" t="s">
        <v>99</v>
      </c>
      <c r="C4" s="134">
        <v>0.42</v>
      </c>
      <c r="D4" s="134" t="s">
        <v>161</v>
      </c>
      <c r="E4" s="134">
        <v>1.56</v>
      </c>
      <c r="F4" s="135" t="s">
        <v>275</v>
      </c>
      <c r="G4" s="136">
        <v>0.43</v>
      </c>
      <c r="H4" s="134" t="s">
        <v>279</v>
      </c>
      <c r="I4" s="137">
        <v>0.25</v>
      </c>
      <c r="J4" s="101"/>
      <c r="K4" s="101"/>
      <c r="L4" s="101"/>
      <c r="M4" s="101"/>
      <c r="N4" s="101"/>
    </row>
    <row r="5" spans="1:16" x14ac:dyDescent="0.3">
      <c r="A5" s="132" t="s">
        <v>4</v>
      </c>
      <c r="B5" s="133" t="s">
        <v>55</v>
      </c>
      <c r="C5" s="134">
        <v>0.42</v>
      </c>
      <c r="D5" s="134" t="s">
        <v>161</v>
      </c>
      <c r="E5" s="134">
        <v>1.56</v>
      </c>
      <c r="F5" s="135" t="s">
        <v>275</v>
      </c>
      <c r="G5" s="136">
        <v>0.43</v>
      </c>
      <c r="H5" s="134" t="s">
        <v>279</v>
      </c>
      <c r="I5" s="137">
        <v>0.25</v>
      </c>
      <c r="J5" s="101"/>
      <c r="K5" s="101"/>
      <c r="L5" s="101"/>
      <c r="M5" s="101"/>
      <c r="N5" s="101"/>
      <c r="O5" s="295" t="s">
        <v>237</v>
      </c>
      <c r="P5" s="131">
        <v>0</v>
      </c>
    </row>
    <row r="6" spans="1:16" x14ac:dyDescent="0.3">
      <c r="A6" s="132" t="s">
        <v>3</v>
      </c>
      <c r="B6" s="133" t="s">
        <v>97</v>
      </c>
      <c r="C6" s="134">
        <v>0.42</v>
      </c>
      <c r="D6" s="134" t="s">
        <v>161</v>
      </c>
      <c r="E6" s="134">
        <v>1.56</v>
      </c>
      <c r="F6" s="135" t="s">
        <v>275</v>
      </c>
      <c r="G6" s="136">
        <v>0.43</v>
      </c>
      <c r="H6" s="134" t="s">
        <v>279</v>
      </c>
      <c r="I6" s="137">
        <v>0.25</v>
      </c>
      <c r="J6" s="101"/>
      <c r="K6" s="101"/>
      <c r="L6" s="101"/>
      <c r="M6" s="101"/>
      <c r="N6" s="101"/>
      <c r="O6" s="297"/>
      <c r="P6" s="139">
        <v>0.05</v>
      </c>
    </row>
    <row r="7" spans="1:16" x14ac:dyDescent="0.3">
      <c r="A7" s="132" t="s">
        <v>5</v>
      </c>
      <c r="B7" s="133" t="s">
        <v>56</v>
      </c>
      <c r="C7" s="134">
        <v>0.52</v>
      </c>
      <c r="D7" s="134" t="s">
        <v>161</v>
      </c>
      <c r="E7" s="134">
        <v>1.56</v>
      </c>
      <c r="F7" s="135" t="s">
        <v>275</v>
      </c>
      <c r="G7" s="136">
        <v>0.43</v>
      </c>
      <c r="H7" s="134" t="s">
        <v>279</v>
      </c>
      <c r="I7" s="137">
        <v>0.25</v>
      </c>
      <c r="J7" s="101"/>
      <c r="K7" s="101"/>
      <c r="L7" s="101"/>
      <c r="M7" s="101"/>
      <c r="N7" s="101"/>
      <c r="O7" s="297"/>
      <c r="P7" s="139">
        <v>0.1</v>
      </c>
    </row>
    <row r="8" spans="1:16" ht="15" thickBot="1" x14ac:dyDescent="0.35">
      <c r="A8" s="132" t="s">
        <v>164</v>
      </c>
      <c r="B8" s="133" t="s">
        <v>57</v>
      </c>
      <c r="C8" s="134">
        <v>0.36</v>
      </c>
      <c r="D8" s="134" t="s">
        <v>161</v>
      </c>
      <c r="E8" s="134">
        <v>1.3</v>
      </c>
      <c r="F8" s="135" t="s">
        <v>275</v>
      </c>
      <c r="G8" s="136">
        <v>0.55000000000000004</v>
      </c>
      <c r="H8" s="134" t="s">
        <v>153</v>
      </c>
      <c r="I8" s="137">
        <v>0.43</v>
      </c>
      <c r="J8" s="101"/>
      <c r="K8" s="101"/>
      <c r="L8" s="101"/>
      <c r="M8" s="101"/>
      <c r="N8" s="101"/>
      <c r="O8" s="296"/>
      <c r="P8" s="138">
        <v>0.15</v>
      </c>
    </row>
    <row r="9" spans="1:16" ht="15" thickBot="1" x14ac:dyDescent="0.35">
      <c r="A9" s="132" t="s">
        <v>6</v>
      </c>
      <c r="B9" s="133" t="s">
        <v>58</v>
      </c>
      <c r="C9" s="134">
        <v>0.61</v>
      </c>
      <c r="D9" s="134" t="s">
        <v>161</v>
      </c>
      <c r="E9" s="134">
        <v>1.56</v>
      </c>
      <c r="F9" s="135" t="s">
        <v>275</v>
      </c>
      <c r="G9" s="136">
        <v>0.43</v>
      </c>
      <c r="H9" s="134" t="s">
        <v>279</v>
      </c>
      <c r="I9" s="137">
        <v>0.25</v>
      </c>
      <c r="J9" s="101"/>
      <c r="K9" s="101"/>
      <c r="L9" s="101"/>
      <c r="M9" s="101"/>
      <c r="N9" s="101"/>
    </row>
    <row r="10" spans="1:16" x14ac:dyDescent="0.3">
      <c r="A10" s="132" t="s">
        <v>7</v>
      </c>
      <c r="B10" s="133" t="s">
        <v>59</v>
      </c>
      <c r="C10" s="134">
        <v>0.66</v>
      </c>
      <c r="D10" s="134" t="s">
        <v>161</v>
      </c>
      <c r="E10" s="134">
        <v>1.56</v>
      </c>
      <c r="F10" s="135" t="s">
        <v>275</v>
      </c>
      <c r="G10" s="136">
        <v>0.43</v>
      </c>
      <c r="H10" s="134" t="s">
        <v>279</v>
      </c>
      <c r="I10" s="137">
        <v>0.25</v>
      </c>
      <c r="J10" s="101"/>
      <c r="K10" s="101"/>
      <c r="L10" s="101"/>
      <c r="M10" s="101"/>
      <c r="N10" s="101"/>
      <c r="O10" s="295" t="s">
        <v>236</v>
      </c>
      <c r="P10" s="131">
        <v>0</v>
      </c>
    </row>
    <row r="11" spans="1:16" ht="15" thickBot="1" x14ac:dyDescent="0.35">
      <c r="A11" s="132" t="s">
        <v>8</v>
      </c>
      <c r="B11" s="133" t="s">
        <v>60</v>
      </c>
      <c r="C11" s="134">
        <v>0.47</v>
      </c>
      <c r="D11" s="134" t="s">
        <v>161</v>
      </c>
      <c r="E11" s="134">
        <v>1.56</v>
      </c>
      <c r="F11" s="135" t="s">
        <v>275</v>
      </c>
      <c r="G11" s="136">
        <v>0.43</v>
      </c>
      <c r="H11" s="134" t="s">
        <v>279</v>
      </c>
      <c r="I11" s="137">
        <v>0.25</v>
      </c>
      <c r="J11" s="101"/>
      <c r="K11" s="101"/>
      <c r="L11" s="101"/>
      <c r="M11" s="101"/>
      <c r="N11" s="101"/>
      <c r="O11" s="296"/>
      <c r="P11" s="138">
        <v>0.1</v>
      </c>
    </row>
    <row r="12" spans="1:16" x14ac:dyDescent="0.3">
      <c r="A12" s="132" t="s">
        <v>9</v>
      </c>
      <c r="B12" s="133" t="s">
        <v>61</v>
      </c>
      <c r="C12" s="134">
        <v>0.67</v>
      </c>
      <c r="D12" s="134" t="s">
        <v>161</v>
      </c>
      <c r="E12" s="134">
        <v>1.56</v>
      </c>
      <c r="F12" s="135" t="s">
        <v>275</v>
      </c>
      <c r="G12" s="136">
        <v>0.43</v>
      </c>
      <c r="H12" s="134" t="s">
        <v>152</v>
      </c>
      <c r="I12" s="137">
        <v>0.25</v>
      </c>
      <c r="J12" s="101"/>
      <c r="K12" s="101"/>
      <c r="L12" s="101"/>
      <c r="M12" s="101"/>
      <c r="N12" s="101"/>
    </row>
    <row r="13" spans="1:16" x14ac:dyDescent="0.3">
      <c r="A13" s="132" t="s">
        <v>10</v>
      </c>
      <c r="B13" s="133" t="s">
        <v>62</v>
      </c>
      <c r="C13" s="134">
        <v>0.7</v>
      </c>
      <c r="D13" s="134" t="s">
        <v>161</v>
      </c>
      <c r="E13" s="134">
        <v>1.56</v>
      </c>
      <c r="F13" s="135" t="s">
        <v>275</v>
      </c>
      <c r="G13" s="136">
        <v>0.43</v>
      </c>
      <c r="H13" s="134" t="s">
        <v>152</v>
      </c>
      <c r="I13" s="137">
        <v>0.25</v>
      </c>
      <c r="J13" s="101"/>
      <c r="K13" s="101"/>
      <c r="L13" s="101"/>
      <c r="M13" s="101"/>
      <c r="N13" s="101"/>
    </row>
    <row r="14" spans="1:16" x14ac:dyDescent="0.3">
      <c r="A14" s="132" t="s">
        <v>11</v>
      </c>
      <c r="B14" s="133" t="s">
        <v>63</v>
      </c>
      <c r="C14" s="134">
        <v>0.54</v>
      </c>
      <c r="D14" s="134" t="s">
        <v>161</v>
      </c>
      <c r="E14" s="134">
        <v>1.56</v>
      </c>
      <c r="F14" s="135" t="s">
        <v>275</v>
      </c>
      <c r="G14" s="136">
        <v>0.43</v>
      </c>
      <c r="H14" s="134" t="s">
        <v>152</v>
      </c>
      <c r="I14" s="137">
        <v>0.25</v>
      </c>
      <c r="J14" s="101"/>
      <c r="K14" s="101"/>
      <c r="L14" s="101"/>
      <c r="M14" s="101"/>
      <c r="N14" s="101"/>
    </row>
    <row r="15" spans="1:16" x14ac:dyDescent="0.3">
      <c r="A15" s="132" t="s">
        <v>12</v>
      </c>
      <c r="B15" s="133" t="s">
        <v>64</v>
      </c>
      <c r="C15" s="134">
        <v>0.65</v>
      </c>
      <c r="D15" s="134" t="s">
        <v>161</v>
      </c>
      <c r="E15" s="134">
        <v>1.56</v>
      </c>
      <c r="F15" s="135" t="s">
        <v>275</v>
      </c>
      <c r="G15" s="136">
        <v>0.43</v>
      </c>
      <c r="H15" s="134" t="s">
        <v>152</v>
      </c>
      <c r="I15" s="137">
        <v>0.25</v>
      </c>
      <c r="J15" s="101"/>
      <c r="K15" s="101"/>
      <c r="L15" s="101"/>
      <c r="M15" s="101"/>
      <c r="N15" s="101"/>
    </row>
    <row r="16" spans="1:16" x14ac:dyDescent="0.3">
      <c r="A16" s="132" t="s">
        <v>13</v>
      </c>
      <c r="B16" s="133" t="s">
        <v>65</v>
      </c>
      <c r="C16" s="134">
        <v>0.56000000000000005</v>
      </c>
      <c r="D16" s="134" t="s">
        <v>161</v>
      </c>
      <c r="E16" s="134">
        <v>1.56</v>
      </c>
      <c r="F16" s="135" t="s">
        <v>275</v>
      </c>
      <c r="G16" s="136">
        <v>0.43</v>
      </c>
      <c r="H16" s="134" t="s">
        <v>152</v>
      </c>
      <c r="I16" s="137">
        <v>0.25</v>
      </c>
      <c r="J16" s="101"/>
      <c r="K16" s="101"/>
      <c r="L16" s="101"/>
      <c r="M16" s="101"/>
      <c r="N16" s="101"/>
    </row>
    <row r="17" spans="1:14" x14ac:dyDescent="0.3">
      <c r="A17" s="132" t="s">
        <v>14</v>
      </c>
      <c r="B17" s="133" t="s">
        <v>66</v>
      </c>
      <c r="C17" s="134">
        <v>0.57999999999999996</v>
      </c>
      <c r="D17" s="134" t="s">
        <v>161</v>
      </c>
      <c r="E17" s="134">
        <v>1.56</v>
      </c>
      <c r="F17" s="135" t="s">
        <v>275</v>
      </c>
      <c r="G17" s="136">
        <v>0.43</v>
      </c>
      <c r="H17" s="134" t="s">
        <v>152</v>
      </c>
      <c r="I17" s="137">
        <v>0.25</v>
      </c>
      <c r="J17" s="101"/>
      <c r="K17" s="101"/>
      <c r="L17" s="101"/>
      <c r="M17" s="101"/>
      <c r="N17" s="101"/>
    </row>
    <row r="18" spans="1:14" x14ac:dyDescent="0.3">
      <c r="A18" s="132" t="s">
        <v>15</v>
      </c>
      <c r="B18" s="133" t="s">
        <v>67</v>
      </c>
      <c r="C18" s="134">
        <v>0.64</v>
      </c>
      <c r="D18" s="134" t="s">
        <v>161</v>
      </c>
      <c r="E18" s="134">
        <v>1.56</v>
      </c>
      <c r="F18" s="135" t="s">
        <v>275</v>
      </c>
      <c r="G18" s="136">
        <v>0.43</v>
      </c>
      <c r="H18" s="134" t="s">
        <v>152</v>
      </c>
      <c r="I18" s="137">
        <v>0.25</v>
      </c>
      <c r="J18" s="101"/>
      <c r="K18" s="101"/>
      <c r="L18" s="101"/>
      <c r="M18" s="101"/>
      <c r="N18" s="101"/>
    </row>
    <row r="19" spans="1:14" x14ac:dyDescent="0.3">
      <c r="A19" s="132" t="s">
        <v>16</v>
      </c>
      <c r="B19" s="133" t="s">
        <v>68</v>
      </c>
      <c r="C19" s="134">
        <v>0.73</v>
      </c>
      <c r="D19" s="134" t="s">
        <v>161</v>
      </c>
      <c r="E19" s="134">
        <v>1.56</v>
      </c>
      <c r="F19" s="135" t="s">
        <v>275</v>
      </c>
      <c r="G19" s="136">
        <v>0.43</v>
      </c>
      <c r="H19" s="134" t="s">
        <v>152</v>
      </c>
      <c r="I19" s="137">
        <v>0.25</v>
      </c>
      <c r="J19" s="101"/>
      <c r="K19" s="101"/>
      <c r="L19" s="101"/>
      <c r="M19" s="101"/>
      <c r="N19" s="101"/>
    </row>
    <row r="20" spans="1:14" x14ac:dyDescent="0.3">
      <c r="A20" s="132" t="s">
        <v>52</v>
      </c>
      <c r="B20" s="133" t="s">
        <v>69</v>
      </c>
      <c r="C20" s="134">
        <v>0.69</v>
      </c>
      <c r="D20" s="134" t="s">
        <v>131</v>
      </c>
      <c r="E20" s="134">
        <v>1.56</v>
      </c>
      <c r="F20" s="135" t="s">
        <v>275</v>
      </c>
      <c r="G20" s="136">
        <v>0.43</v>
      </c>
      <c r="H20" s="134" t="s">
        <v>283</v>
      </c>
      <c r="I20" s="137">
        <v>0.25</v>
      </c>
      <c r="J20" s="101"/>
      <c r="K20" s="101"/>
      <c r="L20" s="101"/>
      <c r="M20" s="101"/>
      <c r="N20" s="101"/>
    </row>
    <row r="21" spans="1:14" x14ac:dyDescent="0.3">
      <c r="A21" s="132" t="s">
        <v>154</v>
      </c>
      <c r="B21" s="133" t="s">
        <v>155</v>
      </c>
      <c r="C21" s="134">
        <v>0.36</v>
      </c>
      <c r="D21" s="134" t="s">
        <v>161</v>
      </c>
      <c r="E21" s="134">
        <v>1.3</v>
      </c>
      <c r="F21" s="135" t="s">
        <v>275</v>
      </c>
      <c r="G21" s="136">
        <v>0.55000000000000004</v>
      </c>
      <c r="H21" s="134" t="s">
        <v>153</v>
      </c>
      <c r="I21" s="137">
        <v>0.43</v>
      </c>
      <c r="J21" s="101"/>
      <c r="K21" s="101"/>
      <c r="L21" s="101"/>
      <c r="M21" s="101"/>
      <c r="N21" s="101"/>
    </row>
    <row r="22" spans="1:14" x14ac:dyDescent="0.3">
      <c r="A22" s="132" t="s">
        <v>17</v>
      </c>
      <c r="B22" s="133" t="s">
        <v>70</v>
      </c>
      <c r="C22" s="134">
        <v>0.4</v>
      </c>
      <c r="D22" s="134" t="s">
        <v>161</v>
      </c>
      <c r="E22" s="134">
        <v>1.3</v>
      </c>
      <c r="F22" s="135" t="s">
        <v>275</v>
      </c>
      <c r="G22" s="136">
        <v>0.55000000000000004</v>
      </c>
      <c r="H22" s="134" t="s">
        <v>153</v>
      </c>
      <c r="I22" s="137">
        <v>0.43</v>
      </c>
      <c r="J22" s="101"/>
      <c r="K22" s="101"/>
      <c r="L22" s="101"/>
      <c r="M22" s="101"/>
      <c r="N22" s="101"/>
    </row>
    <row r="23" spans="1:14" x14ac:dyDescent="0.3">
      <c r="A23" s="132" t="s">
        <v>18</v>
      </c>
      <c r="B23" s="133" t="s">
        <v>71</v>
      </c>
      <c r="C23" s="134">
        <v>0.43</v>
      </c>
      <c r="D23" s="134" t="s">
        <v>161</v>
      </c>
      <c r="E23" s="134">
        <v>1.3</v>
      </c>
      <c r="F23" s="135" t="s">
        <v>275</v>
      </c>
      <c r="G23" s="136">
        <v>0.55000000000000004</v>
      </c>
      <c r="H23" s="134" t="s">
        <v>153</v>
      </c>
      <c r="I23" s="137">
        <v>0.43</v>
      </c>
      <c r="J23" s="101"/>
      <c r="K23" s="101"/>
      <c r="L23" s="101"/>
      <c r="M23" s="101"/>
      <c r="N23" s="101"/>
    </row>
    <row r="24" spans="1:14" x14ac:dyDescent="0.3">
      <c r="A24" s="132" t="s">
        <v>19</v>
      </c>
      <c r="B24" s="133" t="s">
        <v>72</v>
      </c>
      <c r="C24" s="134">
        <v>0.37</v>
      </c>
      <c r="D24" s="134" t="s">
        <v>161</v>
      </c>
      <c r="E24" s="134">
        <v>1.3</v>
      </c>
      <c r="F24" s="135" t="s">
        <v>275</v>
      </c>
      <c r="G24" s="136">
        <v>0.55000000000000004</v>
      </c>
      <c r="H24" s="134" t="s">
        <v>152</v>
      </c>
      <c r="I24" s="137">
        <v>0.43</v>
      </c>
      <c r="J24" s="101"/>
      <c r="K24" s="101"/>
      <c r="L24" s="101"/>
      <c r="M24" s="101"/>
      <c r="N24" s="101"/>
    </row>
    <row r="25" spans="1:14" x14ac:dyDescent="0.3">
      <c r="A25" s="132" t="s">
        <v>20</v>
      </c>
      <c r="B25" s="133" t="s">
        <v>73</v>
      </c>
      <c r="C25" s="134">
        <v>0.36</v>
      </c>
      <c r="D25" s="134" t="s">
        <v>161</v>
      </c>
      <c r="E25" s="134">
        <v>1.3</v>
      </c>
      <c r="F25" s="135" t="s">
        <v>275</v>
      </c>
      <c r="G25" s="136">
        <v>0.55000000000000004</v>
      </c>
      <c r="H25" s="134" t="s">
        <v>152</v>
      </c>
      <c r="I25" s="137">
        <v>0.43</v>
      </c>
      <c r="J25" s="101"/>
      <c r="K25" s="101"/>
      <c r="L25" s="101"/>
      <c r="M25" s="101"/>
      <c r="N25" s="101"/>
    </row>
    <row r="26" spans="1:14" x14ac:dyDescent="0.3">
      <c r="A26" s="132" t="s">
        <v>21</v>
      </c>
      <c r="B26" s="133" t="s">
        <v>74</v>
      </c>
      <c r="C26" s="134">
        <v>0.56000000000000005</v>
      </c>
      <c r="D26" s="134" t="s">
        <v>161</v>
      </c>
      <c r="E26" s="134">
        <v>1.56</v>
      </c>
      <c r="F26" s="135" t="s">
        <v>275</v>
      </c>
      <c r="G26" s="136">
        <v>0.53</v>
      </c>
      <c r="H26" s="134" t="s">
        <v>276</v>
      </c>
      <c r="I26" s="137">
        <v>0.25</v>
      </c>
      <c r="J26" s="101"/>
      <c r="K26" s="101"/>
      <c r="L26" s="101"/>
      <c r="M26" s="101"/>
      <c r="N26" s="101"/>
    </row>
    <row r="27" spans="1:14" x14ac:dyDescent="0.3">
      <c r="A27" s="132" t="s">
        <v>22</v>
      </c>
      <c r="B27" s="133" t="s">
        <v>75</v>
      </c>
      <c r="C27" s="134">
        <v>0.51</v>
      </c>
      <c r="D27" s="134" t="s">
        <v>161</v>
      </c>
      <c r="E27" s="134">
        <v>1.56</v>
      </c>
      <c r="F27" s="135" t="s">
        <v>275</v>
      </c>
      <c r="G27" s="136">
        <v>0.53</v>
      </c>
      <c r="H27" s="134" t="s">
        <v>276</v>
      </c>
      <c r="I27" s="137">
        <v>0.25</v>
      </c>
      <c r="J27" s="101"/>
      <c r="K27" s="101"/>
      <c r="L27" s="101"/>
      <c r="M27" s="101"/>
      <c r="N27" s="101"/>
    </row>
    <row r="28" spans="1:14" x14ac:dyDescent="0.3">
      <c r="A28" s="132" t="s">
        <v>23</v>
      </c>
      <c r="B28" s="133" t="s">
        <v>76</v>
      </c>
      <c r="C28" s="134">
        <v>0.51</v>
      </c>
      <c r="D28" s="134" t="s">
        <v>161</v>
      </c>
      <c r="E28" s="134">
        <v>1.56</v>
      </c>
      <c r="F28" s="135" t="s">
        <v>275</v>
      </c>
      <c r="G28" s="136">
        <v>0.53</v>
      </c>
      <c r="H28" s="134" t="s">
        <v>276</v>
      </c>
      <c r="I28" s="137">
        <v>0.25</v>
      </c>
      <c r="J28" s="101"/>
      <c r="K28" s="101"/>
      <c r="L28" s="101"/>
      <c r="M28" s="101"/>
      <c r="N28" s="101"/>
    </row>
    <row r="29" spans="1:14" x14ac:dyDescent="0.3">
      <c r="A29" s="132" t="s">
        <v>24</v>
      </c>
      <c r="B29" s="133" t="s">
        <v>24</v>
      </c>
      <c r="C29" s="134">
        <v>0.56000000000000005</v>
      </c>
      <c r="D29" s="134" t="s">
        <v>161</v>
      </c>
      <c r="E29" s="134">
        <v>1.56</v>
      </c>
      <c r="F29" s="135" t="s">
        <v>275</v>
      </c>
      <c r="G29" s="136">
        <v>0.53</v>
      </c>
      <c r="H29" s="134" t="s">
        <v>276</v>
      </c>
      <c r="I29" s="137">
        <v>0.25</v>
      </c>
      <c r="J29" s="101"/>
      <c r="K29" s="101"/>
      <c r="L29" s="101"/>
      <c r="M29" s="101"/>
      <c r="N29" s="101"/>
    </row>
    <row r="30" spans="1:14" x14ac:dyDescent="0.3">
      <c r="A30" s="132" t="s">
        <v>25</v>
      </c>
      <c r="B30" s="133" t="s">
        <v>77</v>
      </c>
      <c r="C30" s="134">
        <v>0.55000000000000004</v>
      </c>
      <c r="D30" s="134" t="s">
        <v>161</v>
      </c>
      <c r="E30" s="134">
        <v>1.56</v>
      </c>
      <c r="F30" s="135" t="s">
        <v>275</v>
      </c>
      <c r="G30" s="136">
        <v>0.53</v>
      </c>
      <c r="H30" s="134" t="s">
        <v>152</v>
      </c>
      <c r="I30" s="137">
        <v>0.25</v>
      </c>
      <c r="J30" s="101"/>
      <c r="K30" s="101"/>
      <c r="L30" s="101"/>
      <c r="M30" s="101"/>
      <c r="N30" s="101"/>
    </row>
    <row r="31" spans="1:14" x14ac:dyDescent="0.3">
      <c r="A31" s="132" t="s">
        <v>26</v>
      </c>
      <c r="B31" s="133" t="s">
        <v>78</v>
      </c>
      <c r="C31" s="134">
        <v>0.56000000000000005</v>
      </c>
      <c r="D31" s="134" t="s">
        <v>161</v>
      </c>
      <c r="E31" s="134">
        <v>1.56</v>
      </c>
      <c r="F31" s="135" t="s">
        <v>275</v>
      </c>
      <c r="G31" s="136">
        <v>0.43</v>
      </c>
      <c r="H31" s="134" t="s">
        <v>279</v>
      </c>
      <c r="I31" s="137">
        <v>0.25</v>
      </c>
      <c r="J31" s="101"/>
      <c r="K31" s="101"/>
      <c r="L31" s="101"/>
      <c r="M31" s="101"/>
      <c r="N31" s="101"/>
    </row>
    <row r="32" spans="1:14" x14ac:dyDescent="0.3">
      <c r="A32" s="132" t="s">
        <v>27</v>
      </c>
      <c r="B32" s="133" t="s">
        <v>79</v>
      </c>
      <c r="C32" s="134">
        <v>0.48</v>
      </c>
      <c r="D32" s="134" t="s">
        <v>161</v>
      </c>
      <c r="E32" s="134">
        <v>1.3</v>
      </c>
      <c r="F32" s="135" t="s">
        <v>275</v>
      </c>
      <c r="G32" s="136">
        <v>0.6</v>
      </c>
      <c r="H32" s="134" t="s">
        <v>282</v>
      </c>
      <c r="I32" s="137">
        <v>0.43</v>
      </c>
      <c r="J32" s="101"/>
      <c r="K32" s="101"/>
      <c r="L32" s="101"/>
      <c r="M32" s="101"/>
      <c r="N32" s="101"/>
    </row>
    <row r="33" spans="1:14" x14ac:dyDescent="0.3">
      <c r="A33" s="132" t="s">
        <v>28</v>
      </c>
      <c r="B33" s="133" t="s">
        <v>80</v>
      </c>
      <c r="C33" s="134">
        <v>0.42</v>
      </c>
      <c r="D33" s="134" t="s">
        <v>161</v>
      </c>
      <c r="E33" s="134">
        <v>1.3</v>
      </c>
      <c r="F33" s="135" t="s">
        <v>275</v>
      </c>
      <c r="G33" s="136">
        <v>0.6</v>
      </c>
      <c r="H33" s="134" t="s">
        <v>282</v>
      </c>
      <c r="I33" s="137">
        <v>0.43</v>
      </c>
      <c r="J33" s="101"/>
      <c r="K33" s="101"/>
      <c r="L33" s="101"/>
      <c r="M33" s="101"/>
      <c r="N33" s="101"/>
    </row>
    <row r="34" spans="1:14" x14ac:dyDescent="0.3">
      <c r="A34" s="132" t="s">
        <v>81</v>
      </c>
      <c r="B34" s="133" t="s">
        <v>163</v>
      </c>
      <c r="C34" s="134">
        <v>0.42</v>
      </c>
      <c r="D34" s="134" t="s">
        <v>103</v>
      </c>
      <c r="E34" s="134">
        <v>1.3</v>
      </c>
      <c r="F34" s="135" t="s">
        <v>275</v>
      </c>
      <c r="G34" s="136">
        <v>0.6</v>
      </c>
      <c r="H34" s="133" t="s">
        <v>281</v>
      </c>
      <c r="I34" s="137">
        <v>0.43</v>
      </c>
      <c r="J34" s="101"/>
      <c r="K34" s="101"/>
      <c r="L34" s="101"/>
      <c r="M34" s="101"/>
      <c r="N34" s="101"/>
    </row>
    <row r="35" spans="1:14" x14ac:dyDescent="0.3">
      <c r="A35" s="132" t="s">
        <v>29</v>
      </c>
      <c r="B35" s="133" t="s">
        <v>82</v>
      </c>
      <c r="C35" s="134">
        <v>0.5</v>
      </c>
      <c r="D35" s="134" t="s">
        <v>161</v>
      </c>
      <c r="E35" s="134">
        <v>1.56</v>
      </c>
      <c r="F35" s="135" t="s">
        <v>275</v>
      </c>
      <c r="G35" s="136">
        <v>0.43</v>
      </c>
      <c r="H35" s="134" t="s">
        <v>279</v>
      </c>
      <c r="I35" s="137">
        <v>0.25</v>
      </c>
      <c r="J35" s="101"/>
      <c r="K35" s="101"/>
      <c r="L35" s="101"/>
      <c r="M35" s="101"/>
      <c r="N35" s="101"/>
    </row>
    <row r="36" spans="1:14" x14ac:dyDescent="0.3">
      <c r="A36" s="132" t="s">
        <v>102</v>
      </c>
      <c r="B36" s="133" t="s">
        <v>101</v>
      </c>
      <c r="C36" s="134">
        <v>0.55000000000000004</v>
      </c>
      <c r="D36" s="134" t="s">
        <v>161</v>
      </c>
      <c r="E36" s="134">
        <v>1.56</v>
      </c>
      <c r="F36" s="135" t="s">
        <v>275</v>
      </c>
      <c r="G36" s="136">
        <v>0.53</v>
      </c>
      <c r="H36" s="134" t="s">
        <v>276</v>
      </c>
      <c r="I36" s="137">
        <v>0.25</v>
      </c>
      <c r="J36" s="101"/>
      <c r="K36" s="101"/>
      <c r="L36" s="101"/>
      <c r="M36" s="101"/>
      <c r="N36" s="101"/>
    </row>
    <row r="37" spans="1:14" x14ac:dyDescent="0.3">
      <c r="A37" s="132" t="s">
        <v>30</v>
      </c>
      <c r="B37" s="133" t="s">
        <v>104</v>
      </c>
      <c r="C37" s="134">
        <v>0.52</v>
      </c>
      <c r="D37" s="134" t="s">
        <v>161</v>
      </c>
      <c r="E37" s="134">
        <v>1.56</v>
      </c>
      <c r="F37" s="135" t="s">
        <v>275</v>
      </c>
      <c r="G37" s="136">
        <v>0.53</v>
      </c>
      <c r="H37" s="134" t="s">
        <v>276</v>
      </c>
      <c r="I37" s="137">
        <v>0.25</v>
      </c>
      <c r="J37" s="101"/>
      <c r="K37" s="101"/>
      <c r="L37" s="101"/>
      <c r="M37" s="101"/>
      <c r="N37" s="101"/>
    </row>
    <row r="38" spans="1:14" x14ac:dyDescent="0.3">
      <c r="A38" s="132" t="s">
        <v>31</v>
      </c>
      <c r="B38" s="133" t="s">
        <v>105</v>
      </c>
      <c r="C38" s="134">
        <v>0.52</v>
      </c>
      <c r="D38" s="134" t="s">
        <v>161</v>
      </c>
      <c r="E38" s="134">
        <v>1.56</v>
      </c>
      <c r="F38" s="135" t="s">
        <v>275</v>
      </c>
      <c r="G38" s="136">
        <v>0.43</v>
      </c>
      <c r="H38" s="134" t="s">
        <v>279</v>
      </c>
      <c r="I38" s="137">
        <v>0.25</v>
      </c>
      <c r="J38" s="101"/>
      <c r="K38" s="101"/>
      <c r="L38" s="101"/>
      <c r="M38" s="101"/>
      <c r="N38" s="101"/>
    </row>
    <row r="39" spans="1:14" x14ac:dyDescent="0.3">
      <c r="A39" s="132" t="s">
        <v>107</v>
      </c>
      <c r="B39" s="133" t="s">
        <v>132</v>
      </c>
      <c r="C39" s="134">
        <v>0.313</v>
      </c>
      <c r="D39" s="134" t="s">
        <v>130</v>
      </c>
      <c r="E39" s="134">
        <v>1.56</v>
      </c>
      <c r="F39" s="135" t="s">
        <v>275</v>
      </c>
      <c r="G39" s="136">
        <v>0.6</v>
      </c>
      <c r="H39" s="134" t="s">
        <v>284</v>
      </c>
      <c r="I39" s="137">
        <v>1.03</v>
      </c>
      <c r="J39" s="101"/>
      <c r="K39" s="101"/>
      <c r="L39" s="101"/>
      <c r="M39" s="101"/>
      <c r="N39" s="101"/>
    </row>
    <row r="40" spans="1:14" x14ac:dyDescent="0.3">
      <c r="A40" s="132" t="s">
        <v>108</v>
      </c>
      <c r="B40" s="133" t="s">
        <v>132</v>
      </c>
      <c r="C40" s="134">
        <v>0.35199999999999998</v>
      </c>
      <c r="D40" s="134" t="s">
        <v>130</v>
      </c>
      <c r="E40" s="134">
        <v>1.56</v>
      </c>
      <c r="F40" s="135" t="s">
        <v>275</v>
      </c>
      <c r="G40" s="136">
        <v>0.6</v>
      </c>
      <c r="H40" s="134" t="s">
        <v>284</v>
      </c>
      <c r="I40" s="137">
        <v>1.03</v>
      </c>
      <c r="J40" s="101"/>
      <c r="K40" s="101"/>
      <c r="L40" s="101"/>
      <c r="M40" s="101"/>
      <c r="N40" s="101"/>
    </row>
    <row r="41" spans="1:14" x14ac:dyDescent="0.3">
      <c r="A41" s="132" t="s">
        <v>121</v>
      </c>
      <c r="B41" s="133" t="s">
        <v>132</v>
      </c>
      <c r="C41" s="134">
        <v>0.32200000000000001</v>
      </c>
      <c r="D41" s="134" t="s">
        <v>130</v>
      </c>
      <c r="E41" s="134">
        <v>1.56</v>
      </c>
      <c r="F41" s="135" t="s">
        <v>275</v>
      </c>
      <c r="G41" s="136">
        <v>0.6</v>
      </c>
      <c r="H41" s="134" t="s">
        <v>284</v>
      </c>
      <c r="I41" s="137">
        <v>1.03</v>
      </c>
      <c r="J41" s="101"/>
      <c r="K41" s="101"/>
      <c r="L41" s="101"/>
      <c r="M41" s="101"/>
      <c r="N41" s="101"/>
    </row>
    <row r="42" spans="1:14" x14ac:dyDescent="0.3">
      <c r="A42" s="132" t="s">
        <v>122</v>
      </c>
      <c r="B42" s="133" t="s">
        <v>132</v>
      </c>
      <c r="C42" s="134">
        <v>0.311</v>
      </c>
      <c r="D42" s="134" t="s">
        <v>130</v>
      </c>
      <c r="E42" s="134">
        <v>1.56</v>
      </c>
      <c r="F42" s="135" t="s">
        <v>275</v>
      </c>
      <c r="G42" s="136">
        <v>0.6</v>
      </c>
      <c r="H42" s="134" t="s">
        <v>284</v>
      </c>
      <c r="I42" s="137">
        <v>1.03</v>
      </c>
      <c r="J42" s="101"/>
      <c r="K42" s="101"/>
      <c r="L42" s="101"/>
      <c r="M42" s="101"/>
      <c r="N42" s="101"/>
    </row>
    <row r="43" spans="1:14" x14ac:dyDescent="0.3">
      <c r="A43" s="132" t="s">
        <v>109</v>
      </c>
      <c r="B43" s="133" t="s">
        <v>132</v>
      </c>
      <c r="C43" s="134">
        <v>0.33900000000000002</v>
      </c>
      <c r="D43" s="134" t="s">
        <v>130</v>
      </c>
      <c r="E43" s="134">
        <v>1.56</v>
      </c>
      <c r="F43" s="135" t="s">
        <v>275</v>
      </c>
      <c r="G43" s="136">
        <v>0.6</v>
      </c>
      <c r="H43" s="134" t="s">
        <v>284</v>
      </c>
      <c r="I43" s="137">
        <v>1.03</v>
      </c>
      <c r="J43" s="101"/>
      <c r="K43" s="101"/>
      <c r="L43" s="101"/>
      <c r="M43" s="101"/>
      <c r="N43" s="101"/>
    </row>
    <row r="44" spans="1:14" x14ac:dyDescent="0.3">
      <c r="A44" s="132" t="s">
        <v>123</v>
      </c>
      <c r="B44" s="133" t="s">
        <v>132</v>
      </c>
      <c r="C44" s="134">
        <v>0.33600000000000002</v>
      </c>
      <c r="D44" s="134" t="s">
        <v>130</v>
      </c>
      <c r="E44" s="134">
        <v>1.56</v>
      </c>
      <c r="F44" s="135" t="s">
        <v>275</v>
      </c>
      <c r="G44" s="136">
        <v>0.6</v>
      </c>
      <c r="H44" s="134" t="s">
        <v>284</v>
      </c>
      <c r="I44" s="137">
        <v>1.03</v>
      </c>
      <c r="J44" s="101"/>
      <c r="K44" s="101"/>
      <c r="L44" s="101"/>
      <c r="M44" s="101"/>
      <c r="N44" s="101"/>
    </row>
    <row r="45" spans="1:14" x14ac:dyDescent="0.3">
      <c r="A45" s="132" t="s">
        <v>110</v>
      </c>
      <c r="B45" s="133" t="s">
        <v>132</v>
      </c>
      <c r="C45" s="134">
        <v>0.32900000000000001</v>
      </c>
      <c r="D45" s="134" t="s">
        <v>130</v>
      </c>
      <c r="E45" s="134">
        <v>1.56</v>
      </c>
      <c r="F45" s="135" t="s">
        <v>275</v>
      </c>
      <c r="G45" s="136">
        <v>0.6</v>
      </c>
      <c r="H45" s="134" t="s">
        <v>284</v>
      </c>
      <c r="I45" s="137">
        <v>1.03</v>
      </c>
      <c r="J45" s="101"/>
      <c r="K45" s="101"/>
      <c r="L45" s="101"/>
      <c r="M45" s="101"/>
      <c r="N45" s="101"/>
    </row>
    <row r="46" spans="1:14" x14ac:dyDescent="0.3">
      <c r="A46" s="132" t="s">
        <v>124</v>
      </c>
      <c r="B46" s="133" t="s">
        <v>132</v>
      </c>
      <c r="C46" s="134">
        <v>0.34300000000000003</v>
      </c>
      <c r="D46" s="134" t="s">
        <v>130</v>
      </c>
      <c r="E46" s="134">
        <v>1.56</v>
      </c>
      <c r="F46" s="135" t="s">
        <v>275</v>
      </c>
      <c r="G46" s="136">
        <v>0.6</v>
      </c>
      <c r="H46" s="134" t="s">
        <v>284</v>
      </c>
      <c r="I46" s="137">
        <v>1.03</v>
      </c>
      <c r="J46" s="101"/>
      <c r="K46" s="101"/>
      <c r="L46" s="101"/>
      <c r="M46" s="101"/>
      <c r="N46" s="101"/>
    </row>
    <row r="47" spans="1:14" x14ac:dyDescent="0.3">
      <c r="A47" s="132" t="s">
        <v>125</v>
      </c>
      <c r="B47" s="133" t="s">
        <v>132</v>
      </c>
      <c r="C47" s="134">
        <v>0.32500000000000001</v>
      </c>
      <c r="D47" s="134" t="s">
        <v>130</v>
      </c>
      <c r="E47" s="134">
        <v>1.56</v>
      </c>
      <c r="F47" s="135" t="s">
        <v>275</v>
      </c>
      <c r="G47" s="136">
        <v>0.6</v>
      </c>
      <c r="H47" s="134" t="s">
        <v>284</v>
      </c>
      <c r="I47" s="137">
        <v>1.03</v>
      </c>
      <c r="J47" s="101"/>
      <c r="K47" s="101"/>
      <c r="L47" s="101"/>
      <c r="M47" s="101"/>
      <c r="N47" s="101"/>
    </row>
    <row r="48" spans="1:14" x14ac:dyDescent="0.3">
      <c r="A48" s="132" t="s">
        <v>126</v>
      </c>
      <c r="B48" s="133" t="s">
        <v>132</v>
      </c>
      <c r="C48" s="134">
        <v>0.32</v>
      </c>
      <c r="D48" s="134" t="s">
        <v>130</v>
      </c>
      <c r="E48" s="134">
        <v>1.56</v>
      </c>
      <c r="F48" s="135" t="s">
        <v>275</v>
      </c>
      <c r="G48" s="136">
        <v>0.6</v>
      </c>
      <c r="H48" s="134" t="s">
        <v>284</v>
      </c>
      <c r="I48" s="137">
        <v>1.03</v>
      </c>
      <c r="J48" s="101"/>
      <c r="K48" s="101"/>
      <c r="L48" s="101"/>
      <c r="M48" s="101"/>
      <c r="N48" s="101"/>
    </row>
    <row r="49" spans="1:14" x14ac:dyDescent="0.3">
      <c r="A49" s="132" t="s">
        <v>111</v>
      </c>
      <c r="B49" s="133" t="s">
        <v>132</v>
      </c>
      <c r="C49" s="134">
        <v>0.28199999999999997</v>
      </c>
      <c r="D49" s="134" t="s">
        <v>130</v>
      </c>
      <c r="E49" s="134">
        <v>1.56</v>
      </c>
      <c r="F49" s="135" t="s">
        <v>275</v>
      </c>
      <c r="G49" s="136">
        <v>0.6</v>
      </c>
      <c r="H49" s="134" t="s">
        <v>284</v>
      </c>
      <c r="I49" s="137">
        <v>1.03</v>
      </c>
      <c r="J49" s="101"/>
      <c r="K49" s="101"/>
      <c r="L49" s="101"/>
      <c r="M49" s="101"/>
      <c r="N49" s="101"/>
    </row>
    <row r="50" spans="1:14" x14ac:dyDescent="0.3">
      <c r="A50" s="132" t="s">
        <v>127</v>
      </c>
      <c r="B50" s="133" t="s">
        <v>132</v>
      </c>
      <c r="C50" s="134">
        <v>0.32800000000000001</v>
      </c>
      <c r="D50" s="134" t="s">
        <v>130</v>
      </c>
      <c r="E50" s="134">
        <v>1.56</v>
      </c>
      <c r="F50" s="135" t="s">
        <v>275</v>
      </c>
      <c r="G50" s="136">
        <v>0.6</v>
      </c>
      <c r="H50" s="134" t="s">
        <v>284</v>
      </c>
      <c r="I50" s="137">
        <v>1.03</v>
      </c>
      <c r="J50" s="101"/>
      <c r="K50" s="101"/>
      <c r="L50" s="101"/>
      <c r="M50" s="101"/>
      <c r="N50" s="101"/>
    </row>
    <row r="51" spans="1:14" x14ac:dyDescent="0.3">
      <c r="A51" s="132" t="s">
        <v>112</v>
      </c>
      <c r="B51" s="133" t="s">
        <v>132</v>
      </c>
      <c r="C51" s="134">
        <v>0.32600000000000001</v>
      </c>
      <c r="D51" s="134" t="s">
        <v>130</v>
      </c>
      <c r="E51" s="134">
        <v>1.56</v>
      </c>
      <c r="F51" s="135" t="s">
        <v>275</v>
      </c>
      <c r="G51" s="136">
        <v>0.6</v>
      </c>
      <c r="H51" s="134" t="s">
        <v>284</v>
      </c>
      <c r="I51" s="137">
        <v>1.03</v>
      </c>
      <c r="J51" s="101"/>
      <c r="K51" s="101"/>
      <c r="L51" s="101"/>
      <c r="M51" s="101"/>
      <c r="N51" s="101"/>
    </row>
    <row r="52" spans="1:14" x14ac:dyDescent="0.3">
      <c r="A52" s="132" t="s">
        <v>113</v>
      </c>
      <c r="B52" s="133" t="s">
        <v>132</v>
      </c>
      <c r="C52" s="134">
        <v>0.35899999999999999</v>
      </c>
      <c r="D52" s="134" t="s">
        <v>130</v>
      </c>
      <c r="E52" s="134">
        <v>1.56</v>
      </c>
      <c r="F52" s="135" t="s">
        <v>275</v>
      </c>
      <c r="G52" s="136">
        <v>0.6</v>
      </c>
      <c r="H52" s="134" t="s">
        <v>284</v>
      </c>
      <c r="I52" s="137">
        <v>1.03</v>
      </c>
      <c r="J52" s="101"/>
      <c r="K52" s="101"/>
      <c r="L52" s="101"/>
      <c r="M52" s="101"/>
      <c r="N52" s="101"/>
    </row>
    <row r="53" spans="1:14" x14ac:dyDescent="0.3">
      <c r="A53" s="132" t="s">
        <v>114</v>
      </c>
      <c r="B53" s="133" t="s">
        <v>132</v>
      </c>
      <c r="C53" s="134">
        <v>0.34599999999999997</v>
      </c>
      <c r="D53" s="134" t="s">
        <v>130</v>
      </c>
      <c r="E53" s="134">
        <v>1.56</v>
      </c>
      <c r="F53" s="135" t="s">
        <v>275</v>
      </c>
      <c r="G53" s="136">
        <v>0.6</v>
      </c>
      <c r="H53" s="134" t="s">
        <v>284</v>
      </c>
      <c r="I53" s="137">
        <v>1.03</v>
      </c>
      <c r="J53" s="101"/>
      <c r="K53" s="101"/>
      <c r="L53" s="101"/>
      <c r="M53" s="101"/>
      <c r="N53" s="101"/>
    </row>
    <row r="54" spans="1:14" x14ac:dyDescent="0.3">
      <c r="A54" s="132" t="s">
        <v>115</v>
      </c>
      <c r="B54" s="133" t="s">
        <v>132</v>
      </c>
      <c r="C54" s="134">
        <v>0.32600000000000001</v>
      </c>
      <c r="D54" s="134" t="s">
        <v>130</v>
      </c>
      <c r="E54" s="134">
        <v>1.56</v>
      </c>
      <c r="F54" s="135" t="s">
        <v>275</v>
      </c>
      <c r="G54" s="136">
        <v>0.6</v>
      </c>
      <c r="H54" s="134" t="s">
        <v>284</v>
      </c>
      <c r="I54" s="137">
        <v>1.03</v>
      </c>
      <c r="J54" s="101"/>
      <c r="K54" s="101"/>
      <c r="L54" s="101"/>
      <c r="M54" s="101"/>
      <c r="N54" s="101"/>
    </row>
    <row r="55" spans="1:14" x14ac:dyDescent="0.3">
      <c r="A55" s="132" t="s">
        <v>116</v>
      </c>
      <c r="B55" s="133" t="s">
        <v>132</v>
      </c>
      <c r="C55" s="134">
        <v>0.30499999999999999</v>
      </c>
      <c r="D55" s="134" t="s">
        <v>130</v>
      </c>
      <c r="E55" s="134">
        <v>1.56</v>
      </c>
      <c r="F55" s="135" t="s">
        <v>275</v>
      </c>
      <c r="G55" s="136">
        <v>0.6</v>
      </c>
      <c r="H55" s="134" t="s">
        <v>284</v>
      </c>
      <c r="I55" s="137">
        <v>1.03</v>
      </c>
      <c r="J55" s="101"/>
      <c r="K55" s="101"/>
      <c r="L55" s="101"/>
      <c r="M55" s="101"/>
      <c r="N55" s="101"/>
    </row>
    <row r="56" spans="1:14" x14ac:dyDescent="0.3">
      <c r="A56" s="132" t="s">
        <v>128</v>
      </c>
      <c r="B56" s="133" t="s">
        <v>132</v>
      </c>
      <c r="C56" s="134">
        <v>0.32300000000000001</v>
      </c>
      <c r="D56" s="134" t="s">
        <v>130</v>
      </c>
      <c r="E56" s="134">
        <v>1.56</v>
      </c>
      <c r="F56" s="135" t="s">
        <v>275</v>
      </c>
      <c r="G56" s="136">
        <v>0.6</v>
      </c>
      <c r="H56" s="134" t="s">
        <v>284</v>
      </c>
      <c r="I56" s="137">
        <v>1.03</v>
      </c>
      <c r="J56" s="101"/>
      <c r="K56" s="101"/>
      <c r="L56" s="101"/>
      <c r="M56" s="101"/>
      <c r="N56" s="101"/>
    </row>
    <row r="57" spans="1:14" x14ac:dyDescent="0.3">
      <c r="A57" s="132" t="s">
        <v>129</v>
      </c>
      <c r="B57" s="133" t="s">
        <v>132</v>
      </c>
      <c r="C57" s="134">
        <v>0.36699999999999999</v>
      </c>
      <c r="D57" s="134" t="s">
        <v>130</v>
      </c>
      <c r="E57" s="134">
        <v>1.56</v>
      </c>
      <c r="F57" s="135" t="s">
        <v>275</v>
      </c>
      <c r="G57" s="136">
        <v>0.6</v>
      </c>
      <c r="H57" s="134" t="s">
        <v>284</v>
      </c>
      <c r="I57" s="137">
        <v>1.03</v>
      </c>
      <c r="J57" s="101"/>
      <c r="K57" s="101"/>
      <c r="L57" s="101"/>
      <c r="M57" s="101"/>
      <c r="N57" s="101"/>
    </row>
    <row r="58" spans="1:14" x14ac:dyDescent="0.3">
      <c r="A58" s="132" t="s">
        <v>117</v>
      </c>
      <c r="B58" s="133" t="s">
        <v>132</v>
      </c>
      <c r="C58" s="134">
        <v>0.36</v>
      </c>
      <c r="D58" s="134" t="s">
        <v>130</v>
      </c>
      <c r="E58" s="134">
        <v>1.56</v>
      </c>
      <c r="F58" s="135" t="s">
        <v>275</v>
      </c>
      <c r="G58" s="136">
        <v>0.6</v>
      </c>
      <c r="H58" s="134" t="s">
        <v>284</v>
      </c>
      <c r="I58" s="137">
        <v>1.03</v>
      </c>
      <c r="J58" s="101"/>
      <c r="K58" s="101"/>
      <c r="L58" s="101"/>
      <c r="M58" s="101"/>
      <c r="N58" s="101"/>
    </row>
    <row r="59" spans="1:14" x14ac:dyDescent="0.3">
      <c r="A59" s="132" t="s">
        <v>118</v>
      </c>
      <c r="B59" s="133" t="s">
        <v>132</v>
      </c>
      <c r="C59" s="134">
        <v>0.36799999999999999</v>
      </c>
      <c r="D59" s="134" t="s">
        <v>130</v>
      </c>
      <c r="E59" s="134">
        <v>1.56</v>
      </c>
      <c r="F59" s="135" t="s">
        <v>275</v>
      </c>
      <c r="G59" s="136">
        <v>0.6</v>
      </c>
      <c r="H59" s="134" t="s">
        <v>284</v>
      </c>
      <c r="I59" s="137">
        <v>1.03</v>
      </c>
      <c r="J59" s="101"/>
      <c r="K59" s="101"/>
      <c r="L59" s="101"/>
      <c r="M59" s="101"/>
      <c r="N59" s="101"/>
    </row>
    <row r="60" spans="1:14" x14ac:dyDescent="0.3">
      <c r="A60" s="132" t="s">
        <v>119</v>
      </c>
      <c r="B60" s="133" t="s">
        <v>132</v>
      </c>
      <c r="C60" s="134">
        <v>0.30599999999999999</v>
      </c>
      <c r="D60" s="134" t="s">
        <v>130</v>
      </c>
      <c r="E60" s="134">
        <v>1.56</v>
      </c>
      <c r="F60" s="135" t="s">
        <v>275</v>
      </c>
      <c r="G60" s="136">
        <v>0.6</v>
      </c>
      <c r="H60" s="134" t="s">
        <v>284</v>
      </c>
      <c r="I60" s="137">
        <v>1.03</v>
      </c>
      <c r="J60" s="101"/>
      <c r="K60" s="101"/>
      <c r="L60" s="101"/>
      <c r="M60" s="101"/>
      <c r="N60" s="101"/>
    </row>
    <row r="61" spans="1:14" x14ac:dyDescent="0.3">
      <c r="A61" s="132" t="s">
        <v>120</v>
      </c>
      <c r="B61" s="133" t="s">
        <v>132</v>
      </c>
      <c r="C61" s="134">
        <v>0.313</v>
      </c>
      <c r="D61" s="134" t="s">
        <v>130</v>
      </c>
      <c r="E61" s="134">
        <v>1.56</v>
      </c>
      <c r="F61" s="135" t="s">
        <v>275</v>
      </c>
      <c r="G61" s="136">
        <v>0.6</v>
      </c>
      <c r="H61" s="134" t="s">
        <v>284</v>
      </c>
      <c r="I61" s="137">
        <v>1.03</v>
      </c>
      <c r="J61" s="101"/>
      <c r="K61" s="101"/>
      <c r="L61" s="101"/>
      <c r="M61" s="101"/>
      <c r="N61" s="101"/>
    </row>
    <row r="62" spans="1:14" x14ac:dyDescent="0.3">
      <c r="A62" s="132" t="s">
        <v>32</v>
      </c>
      <c r="B62" s="133" t="s">
        <v>133</v>
      </c>
      <c r="C62" s="134">
        <v>0.37</v>
      </c>
      <c r="D62" s="134" t="s">
        <v>161</v>
      </c>
      <c r="E62" s="134">
        <v>1.56</v>
      </c>
      <c r="F62" s="135" t="s">
        <v>275</v>
      </c>
      <c r="G62" s="136">
        <v>0.6</v>
      </c>
      <c r="H62" s="134" t="s">
        <v>284</v>
      </c>
      <c r="I62" s="137">
        <v>1.03</v>
      </c>
      <c r="J62" s="101"/>
      <c r="K62" s="101"/>
      <c r="L62" s="101"/>
      <c r="M62" s="101"/>
      <c r="N62" s="101"/>
    </row>
    <row r="63" spans="1:14" x14ac:dyDescent="0.3">
      <c r="A63" s="132" t="s">
        <v>90</v>
      </c>
      <c r="B63" s="133" t="s">
        <v>83</v>
      </c>
      <c r="C63" s="134">
        <v>0.45</v>
      </c>
      <c r="D63" s="134" t="s">
        <v>161</v>
      </c>
      <c r="E63" s="134">
        <v>1.3</v>
      </c>
      <c r="F63" s="135" t="s">
        <v>275</v>
      </c>
      <c r="G63" s="136">
        <v>0.45</v>
      </c>
      <c r="H63" s="134" t="s">
        <v>277</v>
      </c>
      <c r="I63" s="137">
        <v>0.43</v>
      </c>
      <c r="J63" s="101"/>
      <c r="K63" s="101"/>
      <c r="L63" s="101"/>
      <c r="M63" s="101"/>
      <c r="N63" s="101"/>
    </row>
    <row r="64" spans="1:14" x14ac:dyDescent="0.3">
      <c r="A64" s="132" t="s">
        <v>33</v>
      </c>
      <c r="B64" s="133" t="s">
        <v>134</v>
      </c>
      <c r="C64" s="134">
        <v>0.39</v>
      </c>
      <c r="D64" s="134" t="s">
        <v>161</v>
      </c>
      <c r="E64" s="134">
        <v>1.3</v>
      </c>
      <c r="F64" s="135" t="s">
        <v>275</v>
      </c>
      <c r="G64" s="136">
        <v>0.45</v>
      </c>
      <c r="H64" s="134" t="s">
        <v>277</v>
      </c>
      <c r="I64" s="137">
        <v>0.43</v>
      </c>
      <c r="J64" s="101"/>
      <c r="K64" s="101"/>
      <c r="L64" s="101"/>
      <c r="M64" s="101"/>
      <c r="N64" s="101"/>
    </row>
    <row r="65" spans="1:14" x14ac:dyDescent="0.3">
      <c r="A65" s="132" t="s">
        <v>34</v>
      </c>
      <c r="B65" s="133" t="s">
        <v>135</v>
      </c>
      <c r="C65" s="134">
        <v>0.44</v>
      </c>
      <c r="D65" s="134" t="s">
        <v>161</v>
      </c>
      <c r="E65" s="134">
        <v>1.3</v>
      </c>
      <c r="F65" s="135" t="s">
        <v>275</v>
      </c>
      <c r="G65" s="136">
        <v>0.45</v>
      </c>
      <c r="H65" s="134" t="s">
        <v>277</v>
      </c>
      <c r="I65" s="137">
        <v>0.43</v>
      </c>
      <c r="J65" s="101"/>
      <c r="K65" s="101"/>
      <c r="L65" s="101"/>
      <c r="M65" s="101"/>
      <c r="N65" s="101"/>
    </row>
    <row r="66" spans="1:14" x14ac:dyDescent="0.3">
      <c r="A66" s="132" t="s">
        <v>35</v>
      </c>
      <c r="B66" s="133" t="s">
        <v>84</v>
      </c>
      <c r="C66" s="134">
        <v>0.46</v>
      </c>
      <c r="D66" s="134" t="s">
        <v>161</v>
      </c>
      <c r="E66" s="134">
        <v>1.3</v>
      </c>
      <c r="F66" s="135" t="s">
        <v>275</v>
      </c>
      <c r="G66" s="136">
        <v>0.45</v>
      </c>
      <c r="H66" s="134" t="s">
        <v>277</v>
      </c>
      <c r="I66" s="137">
        <v>0.43</v>
      </c>
      <c r="J66" s="101"/>
      <c r="K66" s="101"/>
      <c r="L66" s="101"/>
      <c r="M66" s="101"/>
      <c r="N66" s="101"/>
    </row>
    <row r="67" spans="1:14" x14ac:dyDescent="0.3">
      <c r="A67" s="132" t="s">
        <v>36</v>
      </c>
      <c r="B67" s="133" t="s">
        <v>85</v>
      </c>
      <c r="C67" s="134">
        <v>0.46</v>
      </c>
      <c r="D67" s="134" t="s">
        <v>161</v>
      </c>
      <c r="E67" s="134">
        <v>1.3</v>
      </c>
      <c r="F67" s="135" t="s">
        <v>275</v>
      </c>
      <c r="G67" s="136">
        <v>0.45</v>
      </c>
      <c r="H67" s="134" t="s">
        <v>152</v>
      </c>
      <c r="I67" s="137">
        <v>0.59</v>
      </c>
      <c r="J67" s="101"/>
      <c r="K67" s="101"/>
      <c r="L67" s="101"/>
      <c r="M67" s="101"/>
      <c r="N67" s="101"/>
    </row>
    <row r="68" spans="1:14" x14ac:dyDescent="0.3">
      <c r="A68" s="132" t="s">
        <v>37</v>
      </c>
      <c r="B68" s="133" t="s">
        <v>136</v>
      </c>
      <c r="C68" s="134">
        <v>0.44</v>
      </c>
      <c r="D68" s="134" t="s">
        <v>161</v>
      </c>
      <c r="E68" s="134">
        <v>1.3</v>
      </c>
      <c r="F68" s="135" t="s">
        <v>275</v>
      </c>
      <c r="G68" s="136">
        <v>0.45</v>
      </c>
      <c r="H68" s="134" t="s">
        <v>277</v>
      </c>
      <c r="I68" s="137">
        <v>0.43</v>
      </c>
      <c r="J68" s="101"/>
      <c r="K68" s="101"/>
      <c r="L68" s="101"/>
      <c r="M68" s="101"/>
      <c r="N68" s="101"/>
    </row>
    <row r="69" spans="1:14" x14ac:dyDescent="0.3">
      <c r="A69" s="132" t="s">
        <v>38</v>
      </c>
      <c r="B69" s="133" t="s">
        <v>86</v>
      </c>
      <c r="C69" s="134">
        <v>0.46</v>
      </c>
      <c r="D69" s="134" t="s">
        <v>161</v>
      </c>
      <c r="E69" s="134">
        <v>1.3</v>
      </c>
      <c r="F69" s="135" t="s">
        <v>275</v>
      </c>
      <c r="G69" s="136">
        <v>0.45</v>
      </c>
      <c r="H69" s="134" t="s">
        <v>277</v>
      </c>
      <c r="I69" s="137">
        <v>0.43</v>
      </c>
      <c r="J69" s="101"/>
      <c r="K69" s="101"/>
      <c r="L69" s="101"/>
      <c r="M69" s="101"/>
      <c r="N69" s="101"/>
    </row>
    <row r="70" spans="1:14" x14ac:dyDescent="0.3">
      <c r="A70" s="132" t="s">
        <v>39</v>
      </c>
      <c r="B70" s="133" t="s">
        <v>137</v>
      </c>
      <c r="C70" s="134">
        <v>0.48</v>
      </c>
      <c r="D70" s="134" t="s">
        <v>161</v>
      </c>
      <c r="E70" s="134">
        <v>2.4</v>
      </c>
      <c r="F70" s="134" t="s">
        <v>285</v>
      </c>
      <c r="G70" s="136">
        <v>0.45</v>
      </c>
      <c r="H70" s="134" t="s">
        <v>277</v>
      </c>
      <c r="I70" s="137">
        <v>0.43</v>
      </c>
      <c r="J70" s="101"/>
      <c r="K70" s="101"/>
      <c r="L70" s="101"/>
      <c r="M70" s="101"/>
      <c r="N70" s="101"/>
    </row>
    <row r="71" spans="1:14" x14ac:dyDescent="0.3">
      <c r="A71" s="132" t="s">
        <v>40</v>
      </c>
      <c r="B71" s="133" t="s">
        <v>87</v>
      </c>
      <c r="C71" s="134">
        <v>0.46</v>
      </c>
      <c r="D71" s="134" t="s">
        <v>150</v>
      </c>
      <c r="E71" s="134">
        <v>1.3</v>
      </c>
      <c r="F71" s="135" t="s">
        <v>275</v>
      </c>
      <c r="G71" s="136">
        <v>0.45</v>
      </c>
      <c r="H71" s="134" t="s">
        <v>277</v>
      </c>
      <c r="I71" s="137">
        <v>0.43</v>
      </c>
      <c r="J71" s="101"/>
      <c r="K71" s="101"/>
      <c r="L71" s="101"/>
      <c r="M71" s="101"/>
      <c r="N71" s="101"/>
    </row>
    <row r="72" spans="1:14" x14ac:dyDescent="0.3">
      <c r="A72" s="132" t="s">
        <v>41</v>
      </c>
      <c r="B72" s="133" t="s">
        <v>88</v>
      </c>
      <c r="C72" s="134">
        <v>0.44</v>
      </c>
      <c r="D72" s="134" t="s">
        <v>161</v>
      </c>
      <c r="E72" s="134">
        <v>1.3</v>
      </c>
      <c r="F72" s="135" t="s">
        <v>275</v>
      </c>
      <c r="G72" s="136">
        <v>0.45</v>
      </c>
      <c r="H72" s="134" t="s">
        <v>277</v>
      </c>
      <c r="I72" s="137">
        <v>0.43</v>
      </c>
      <c r="J72" s="101"/>
      <c r="K72" s="101"/>
      <c r="L72" s="101"/>
      <c r="M72" s="101"/>
      <c r="N72" s="101"/>
    </row>
    <row r="73" spans="1:14" x14ac:dyDescent="0.3">
      <c r="A73" s="132" t="s">
        <v>138</v>
      </c>
      <c r="B73" s="133" t="s">
        <v>140</v>
      </c>
      <c r="C73" s="134">
        <v>0.46</v>
      </c>
      <c r="D73" s="134" t="s">
        <v>151</v>
      </c>
      <c r="E73" s="134">
        <v>1.3</v>
      </c>
      <c r="F73" s="135" t="s">
        <v>275</v>
      </c>
      <c r="G73" s="136">
        <v>0.45</v>
      </c>
      <c r="H73" s="134" t="s">
        <v>277</v>
      </c>
      <c r="I73" s="137">
        <v>0.43</v>
      </c>
      <c r="J73" s="101"/>
      <c r="K73" s="101"/>
      <c r="L73" s="101"/>
      <c r="M73" s="101"/>
      <c r="N73" s="101"/>
    </row>
    <row r="74" spans="1:14" x14ac:dyDescent="0.3">
      <c r="A74" s="132" t="s">
        <v>42</v>
      </c>
      <c r="B74" s="133" t="s">
        <v>139</v>
      </c>
      <c r="C74" s="134">
        <v>0.34</v>
      </c>
      <c r="D74" s="134" t="s">
        <v>161</v>
      </c>
      <c r="E74" s="134">
        <v>1.3</v>
      </c>
      <c r="F74" s="135" t="s">
        <v>275</v>
      </c>
      <c r="G74" s="136">
        <v>0.45</v>
      </c>
      <c r="H74" s="134" t="s">
        <v>277</v>
      </c>
      <c r="I74" s="137">
        <v>0.43</v>
      </c>
      <c r="J74" s="101"/>
      <c r="K74" s="101"/>
      <c r="L74" s="101"/>
      <c r="M74" s="101"/>
      <c r="N74" s="101"/>
    </row>
    <row r="75" spans="1:14" x14ac:dyDescent="0.3">
      <c r="A75" s="132" t="s">
        <v>43</v>
      </c>
      <c r="B75" s="133" t="s">
        <v>162</v>
      </c>
      <c r="C75" s="134">
        <v>0.5</v>
      </c>
      <c r="D75" s="134" t="s">
        <v>161</v>
      </c>
      <c r="E75" s="134">
        <v>1.56</v>
      </c>
      <c r="F75" s="135" t="s">
        <v>275</v>
      </c>
      <c r="G75" s="136">
        <v>0.53</v>
      </c>
      <c r="H75" s="134" t="s">
        <v>276</v>
      </c>
      <c r="I75" s="137">
        <v>0.25</v>
      </c>
      <c r="J75" s="101"/>
      <c r="K75" s="101"/>
      <c r="L75" s="101"/>
      <c r="M75" s="101"/>
      <c r="N75" s="101"/>
    </row>
    <row r="76" spans="1:14" x14ac:dyDescent="0.3">
      <c r="A76" s="132" t="s">
        <v>44</v>
      </c>
      <c r="B76" s="133" t="s">
        <v>89</v>
      </c>
      <c r="C76" s="134">
        <v>0.57999999999999996</v>
      </c>
      <c r="D76" s="134" t="s">
        <v>161</v>
      </c>
      <c r="E76" s="134">
        <v>1.56</v>
      </c>
      <c r="F76" s="135" t="s">
        <v>275</v>
      </c>
      <c r="G76" s="136">
        <v>0.3</v>
      </c>
      <c r="H76" s="134" t="s">
        <v>278</v>
      </c>
      <c r="I76" s="137">
        <v>0.25</v>
      </c>
      <c r="J76" s="101"/>
      <c r="K76" s="101"/>
      <c r="L76" s="101"/>
      <c r="M76" s="101"/>
      <c r="N76" s="101"/>
    </row>
    <row r="77" spans="1:14" x14ac:dyDescent="0.3">
      <c r="A77" s="132" t="s">
        <v>47</v>
      </c>
      <c r="B77" s="133" t="s">
        <v>141</v>
      </c>
      <c r="C77" s="134">
        <v>0.37</v>
      </c>
      <c r="D77" s="134" t="s">
        <v>161</v>
      </c>
      <c r="E77" s="134">
        <v>1.3</v>
      </c>
      <c r="F77" s="135" t="s">
        <v>275</v>
      </c>
      <c r="G77" s="136">
        <v>0.55000000000000004</v>
      </c>
      <c r="H77" s="134" t="s">
        <v>152</v>
      </c>
      <c r="I77" s="137">
        <v>0.43</v>
      </c>
      <c r="J77" s="101"/>
      <c r="K77" s="101"/>
      <c r="L77" s="101"/>
      <c r="M77" s="101"/>
      <c r="N77" s="101"/>
    </row>
    <row r="78" spans="1:14" x14ac:dyDescent="0.3">
      <c r="A78" s="132" t="s">
        <v>45</v>
      </c>
      <c r="B78" s="133" t="s">
        <v>96</v>
      </c>
      <c r="C78" s="134">
        <v>0.37</v>
      </c>
      <c r="D78" s="134" t="s">
        <v>161</v>
      </c>
      <c r="E78" s="134">
        <v>1.3</v>
      </c>
      <c r="F78" s="135" t="s">
        <v>275</v>
      </c>
      <c r="G78" s="136">
        <v>0.55000000000000004</v>
      </c>
      <c r="H78" s="134" t="s">
        <v>152</v>
      </c>
      <c r="I78" s="137">
        <v>0.43</v>
      </c>
      <c r="J78" s="101"/>
      <c r="K78" s="101"/>
      <c r="L78" s="101"/>
      <c r="M78" s="101"/>
      <c r="N78" s="101"/>
    </row>
    <row r="79" spans="1:14" x14ac:dyDescent="0.3">
      <c r="A79" s="132" t="s">
        <v>46</v>
      </c>
      <c r="B79" s="133" t="s">
        <v>95</v>
      </c>
      <c r="C79" s="134">
        <v>0.38</v>
      </c>
      <c r="D79" s="134" t="s">
        <v>161</v>
      </c>
      <c r="E79" s="134">
        <v>1.3</v>
      </c>
      <c r="F79" s="135" t="s">
        <v>275</v>
      </c>
      <c r="G79" s="136">
        <v>0.55000000000000004</v>
      </c>
      <c r="H79" s="134" t="s">
        <v>153</v>
      </c>
      <c r="I79" s="137">
        <v>0.43</v>
      </c>
      <c r="J79" s="101"/>
      <c r="K79" s="101"/>
      <c r="L79" s="101"/>
      <c r="M79" s="101"/>
      <c r="N79" s="101"/>
    </row>
    <row r="80" spans="1:14" x14ac:dyDescent="0.3">
      <c r="A80" s="132" t="s">
        <v>48</v>
      </c>
      <c r="B80" s="133" t="s">
        <v>94</v>
      </c>
      <c r="C80" s="134">
        <v>0.36</v>
      </c>
      <c r="D80" s="134" t="s">
        <v>161</v>
      </c>
      <c r="E80" s="134">
        <v>1.3</v>
      </c>
      <c r="F80" s="135" t="s">
        <v>275</v>
      </c>
      <c r="G80" s="136">
        <v>0.55000000000000004</v>
      </c>
      <c r="H80" s="134" t="s">
        <v>153</v>
      </c>
      <c r="I80" s="137">
        <v>0.43</v>
      </c>
      <c r="J80" s="101"/>
      <c r="K80" s="101"/>
      <c r="L80" s="101"/>
      <c r="M80" s="101"/>
      <c r="N80" s="101"/>
    </row>
    <row r="81" spans="1:14" x14ac:dyDescent="0.3">
      <c r="A81" s="132" t="s">
        <v>49</v>
      </c>
      <c r="B81" s="133" t="s">
        <v>142</v>
      </c>
      <c r="C81" s="134">
        <v>0.37</v>
      </c>
      <c r="D81" s="134" t="s">
        <v>161</v>
      </c>
      <c r="E81" s="134">
        <v>1.56</v>
      </c>
      <c r="F81" s="135" t="s">
        <v>275</v>
      </c>
      <c r="G81" s="136">
        <v>0.43</v>
      </c>
      <c r="H81" s="134" t="s">
        <v>279</v>
      </c>
      <c r="I81" s="137">
        <v>0.25</v>
      </c>
      <c r="J81" s="101"/>
      <c r="K81" s="101"/>
      <c r="L81" s="101"/>
      <c r="M81" s="101"/>
      <c r="N81" s="101"/>
    </row>
    <row r="82" spans="1:14" x14ac:dyDescent="0.3">
      <c r="A82" s="132" t="s">
        <v>158</v>
      </c>
      <c r="B82" s="133" t="s">
        <v>159</v>
      </c>
      <c r="C82" s="134">
        <v>0.35</v>
      </c>
      <c r="D82" s="134" t="s">
        <v>160</v>
      </c>
      <c r="E82" s="134">
        <v>1.3</v>
      </c>
      <c r="F82" s="135" t="s">
        <v>275</v>
      </c>
      <c r="G82" s="136">
        <v>0.55000000000000004</v>
      </c>
      <c r="H82" s="134" t="s">
        <v>153</v>
      </c>
      <c r="I82" s="137">
        <v>0.43</v>
      </c>
      <c r="J82" s="101"/>
      <c r="K82" s="101"/>
      <c r="L82" s="101"/>
      <c r="M82" s="101"/>
      <c r="N82" s="101"/>
    </row>
    <row r="83" spans="1:14" x14ac:dyDescent="0.3">
      <c r="A83" s="132" t="s">
        <v>156</v>
      </c>
      <c r="B83" s="133" t="s">
        <v>157</v>
      </c>
      <c r="C83" s="134">
        <v>0.34</v>
      </c>
      <c r="D83" s="134" t="s">
        <v>161</v>
      </c>
      <c r="E83" s="134">
        <v>1.3</v>
      </c>
      <c r="F83" s="135" t="s">
        <v>275</v>
      </c>
      <c r="G83" s="136">
        <v>0.55000000000000004</v>
      </c>
      <c r="H83" s="134" t="s">
        <v>153</v>
      </c>
      <c r="I83" s="137">
        <v>0.43</v>
      </c>
      <c r="J83" s="101"/>
      <c r="K83" s="101"/>
      <c r="L83" s="101"/>
      <c r="M83" s="101"/>
      <c r="N83" s="101"/>
    </row>
    <row r="84" spans="1:14" x14ac:dyDescent="0.3">
      <c r="A84" s="132" t="s">
        <v>92</v>
      </c>
      <c r="B84" s="133" t="s">
        <v>93</v>
      </c>
      <c r="C84" s="134">
        <v>0.31</v>
      </c>
      <c r="D84" s="134" t="s">
        <v>161</v>
      </c>
      <c r="E84" s="134">
        <v>1.3</v>
      </c>
      <c r="F84" s="135" t="s">
        <v>275</v>
      </c>
      <c r="G84" s="136">
        <v>0.55000000000000004</v>
      </c>
      <c r="H84" s="134" t="s">
        <v>153</v>
      </c>
      <c r="I84" s="137">
        <v>0.43</v>
      </c>
      <c r="J84" s="101"/>
      <c r="K84" s="101"/>
      <c r="L84" s="101"/>
      <c r="M84" s="101"/>
      <c r="N84" s="101"/>
    </row>
    <row r="85" spans="1:14" x14ac:dyDescent="0.3">
      <c r="A85" s="132" t="s">
        <v>50</v>
      </c>
      <c r="B85" s="133" t="s">
        <v>143</v>
      </c>
      <c r="C85" s="134">
        <v>0.43</v>
      </c>
      <c r="D85" s="134" t="s">
        <v>161</v>
      </c>
      <c r="E85" s="134">
        <v>1.56</v>
      </c>
      <c r="F85" s="135" t="s">
        <v>275</v>
      </c>
      <c r="G85" s="136">
        <v>0.53</v>
      </c>
      <c r="H85" s="134" t="s">
        <v>276</v>
      </c>
      <c r="I85" s="137">
        <v>0.25</v>
      </c>
      <c r="J85" s="101"/>
      <c r="K85" s="101"/>
      <c r="L85" s="101"/>
      <c r="M85" s="101"/>
      <c r="N85" s="101"/>
    </row>
    <row r="86" spans="1:14" x14ac:dyDescent="0.3">
      <c r="A86" s="132" t="s">
        <v>51</v>
      </c>
      <c r="B86" s="133" t="s">
        <v>91</v>
      </c>
      <c r="C86" s="134">
        <v>0.38</v>
      </c>
      <c r="D86" s="134" t="s">
        <v>161</v>
      </c>
      <c r="E86" s="134">
        <v>1.56</v>
      </c>
      <c r="F86" s="135" t="s">
        <v>275</v>
      </c>
      <c r="G86" s="136">
        <v>0.6</v>
      </c>
      <c r="H86" s="134" t="s">
        <v>280</v>
      </c>
      <c r="I86" s="137">
        <v>0.25</v>
      </c>
      <c r="J86" s="101"/>
      <c r="K86" s="101"/>
      <c r="L86" s="101"/>
      <c r="M86" s="101"/>
      <c r="N86" s="101"/>
    </row>
    <row r="87" spans="1:14" x14ac:dyDescent="0.3">
      <c r="A87" s="132" t="s">
        <v>148</v>
      </c>
      <c r="B87" s="140"/>
      <c r="C87" s="134">
        <v>0.42</v>
      </c>
      <c r="D87" s="134" t="s">
        <v>161</v>
      </c>
      <c r="E87" s="134">
        <v>1.3</v>
      </c>
      <c r="F87" s="135" t="s">
        <v>275</v>
      </c>
      <c r="G87" s="141"/>
      <c r="H87" s="140"/>
      <c r="I87" s="142"/>
    </row>
    <row r="88" spans="1:14" ht="15" thickBot="1" x14ac:dyDescent="0.35">
      <c r="A88" s="143" t="s">
        <v>149</v>
      </c>
      <c r="B88" s="144"/>
      <c r="C88" s="145">
        <v>0.56999999999999995</v>
      </c>
      <c r="D88" s="146" t="s">
        <v>161</v>
      </c>
      <c r="E88" s="145">
        <v>1.56</v>
      </c>
      <c r="F88" s="145" t="s">
        <v>275</v>
      </c>
      <c r="G88" s="144"/>
      <c r="H88" s="144"/>
      <c r="I88" s="147"/>
    </row>
    <row r="92" spans="1:14" x14ac:dyDescent="0.3">
      <c r="A92" s="132" t="s">
        <v>208</v>
      </c>
    </row>
    <row r="93" spans="1:14" x14ac:dyDescent="0.3">
      <c r="A93" s="132" t="s">
        <v>209</v>
      </c>
    </row>
    <row r="94" spans="1:14" x14ac:dyDescent="0.3">
      <c r="A94" s="132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G1" workbookViewId="0">
      <selection activeCell="N18" sqref="N1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286" t="s">
        <v>272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44"/>
      <c r="J3" s="244"/>
      <c r="K3" s="244"/>
      <c r="L3" s="244"/>
      <c r="M3" s="244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44"/>
      <c r="J4" s="244"/>
      <c r="K4" s="244"/>
      <c r="L4" s="244"/>
      <c r="M4" s="244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8" t="s">
        <v>207</v>
      </c>
      <c r="B5" s="149" t="s">
        <v>250</v>
      </c>
      <c r="C5" s="150" t="str">
        <f>Calculateur!S2</f>
        <v>Stock moyen de long terme (tCO₂/ha)</v>
      </c>
      <c r="D5" s="150" t="str">
        <f>Calculateur!T2</f>
        <v>Δstock CO₂ 30 ans (tCO₂/ha)</v>
      </c>
      <c r="E5" s="150" t="s">
        <v>228</v>
      </c>
      <c r="F5" s="150" t="s">
        <v>239</v>
      </c>
      <c r="G5" s="150" t="s">
        <v>240</v>
      </c>
      <c r="H5" s="151" t="s">
        <v>241</v>
      </c>
      <c r="I5" s="152" t="s">
        <v>242</v>
      </c>
      <c r="J5" s="153" t="s">
        <v>243</v>
      </c>
      <c r="K5" s="154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5" t="str">
        <f>IF('Données projet'!$B$9="","",'Données projet'!$B$9)</f>
        <v>Cèdre de l'Atlas</v>
      </c>
      <c r="B6" s="156">
        <f>'Données projet'!D9</f>
        <v>4.4000000000000004</v>
      </c>
      <c r="C6" s="157">
        <f ca="1">IF(OR('Données projet'!B9="",'Données projet'!C9="",'Données projet'!C9=0%),0,Calculateur!S3)</f>
        <v>316.04959780858269</v>
      </c>
      <c r="D6" s="157">
        <f>IF(OR('Données projet'!B9="",'Données projet'!C9="",'Données projet'!C9=0%),0,Calculateur!T3)</f>
        <v>213.60182977243113</v>
      </c>
      <c r="E6" s="157">
        <f ca="1">MIN(C6,D6)</f>
        <v>213.60182977243113</v>
      </c>
      <c r="F6" s="157">
        <f ca="1">E6*B6</f>
        <v>939.84805099869709</v>
      </c>
      <c r="G6" s="157">
        <f ca="1">F6*(100%-'Données projet'!$C$24)*(100%-'Données projet'!$C$25)*(100%-'Données projet'!$C$26)*(100%-'Données projet'!$C$27)</f>
        <v>845.86324589882736</v>
      </c>
      <c r="H6" s="158">
        <f>IF(OR('Données projet'!B9="",'Données projet'!C9="",'Données projet'!C9=0%),0,AVERAGE(Calculateur!$AC$3:$AC$33)*B6)</f>
        <v>2.4050268857987227</v>
      </c>
      <c r="I6" s="159">
        <f>H6*(100%-'Données projet'!$C$24)*(100%-'Données projet'!$C$25)*(100%-'Données projet'!$C$26)*(100%-'Données projet'!$C$27)</f>
        <v>2.1645241972188507</v>
      </c>
      <c r="J6" s="160">
        <f>IF(OR('Données projet'!B9="",'Données projet'!C9="",'Données projet'!C9=0%),0,SUM(Calculateur!$V$3:$V$33)*VLOOKUP('Données projet'!$B$9,Paramètres!$A$1:$I$88,9,0)*B6)</f>
        <v>75.680000000000007</v>
      </c>
      <c r="K6" s="161">
        <f>J6*(100%-'Données projet'!$C$24)*(100%-'Données projet'!$C$25)*(100%-'Données projet'!$C$26)*(100%-'Données projet'!$C$27)</f>
        <v>68.112000000000009</v>
      </c>
      <c r="L6" s="162">
        <f ca="1">G6+I6+K6</f>
        <v>916.13977009604616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3" t="str">
        <f>IF('Données projet'!$B$10="","",'Données projet'!$B$10)</f>
        <v>Douglas</v>
      </c>
      <c r="B7" s="164">
        <f>'Données projet'!D10</f>
        <v>0.99999999999999967</v>
      </c>
      <c r="C7" s="157">
        <f ca="1">IF(OR('Données projet'!B10="",'Données projet'!C10="",'Données projet'!C10=0%),0,Calculateur!AN3)</f>
        <v>583.31979399672844</v>
      </c>
      <c r="D7" s="157">
        <f>IF(OR('Données projet'!B10="",'Données projet'!C10="",'Données projet'!C10=0%),0,Calculateur!AO3)</f>
        <v>544.21514138474731</v>
      </c>
      <c r="E7" s="157">
        <f t="shared" ref="E7:E15" ca="1" si="0">MIN(C7,D7)</f>
        <v>544.21514138474731</v>
      </c>
      <c r="F7" s="157">
        <f t="shared" ref="F7:F15" ca="1" si="1">E7*B7</f>
        <v>544.21514138474708</v>
      </c>
      <c r="G7" s="157">
        <f ca="1">F7*(100%-'Données projet'!$C$24)*(100%-'Données projet'!$C$25)*(100%-'Données projet'!$C$26)*(100%-'Données projet'!$C$27)</f>
        <v>489.79362724627237</v>
      </c>
      <c r="H7" s="165">
        <f>IF(OR('Données projet'!B10="",'Données projet'!C10="",'Données projet'!C10=0%),0,AVERAGE(Calculateur!$AX$3:$AX$33)*B7)</f>
        <v>3.9018768218784681</v>
      </c>
      <c r="I7" s="159">
        <f>H7*(100%-'Données projet'!$C$24)*(100%-'Données projet'!$C$25)*(100%-'Données projet'!$C$26)*(100%-'Données projet'!$C$27)</f>
        <v>3.5116891396906214</v>
      </c>
      <c r="J7" s="160">
        <f>IF(OR('Données projet'!B10="",'Données projet'!C10="",'Données projet'!C10=0%),0,SUM(Calculateur!$AQ$3:$AQ$33)*VLOOKUP('Données projet'!$B$10,Paramètres!$A$1:$I$88,9,0)*B7)</f>
        <v>44.289999999999985</v>
      </c>
      <c r="K7" s="161">
        <f>J7*(100%-'Données projet'!$C$24)*(100%-'Données projet'!$C$25)*(100%-'Données projet'!$C$26)*(100%-'Données projet'!$C$27)</f>
        <v>39.86099999999999</v>
      </c>
      <c r="L7" s="162">
        <f t="shared" ref="L7:L15" ca="1" si="2">G7+I7+K7</f>
        <v>533.166316385963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3" t="str">
        <f>IF('Données projet'!$B$11="","",'Données projet'!$B$11)</f>
        <v/>
      </c>
      <c r="B8" s="164">
        <f>'Données projet'!D11</f>
        <v>0</v>
      </c>
      <c r="C8" s="157">
        <f>IF(OR('Données projet'!B11="",'Données projet'!C11="",'Données projet'!C11=0%),0,Calculateur!BI3)</f>
        <v>0</v>
      </c>
      <c r="D8" s="157">
        <f>IF(OR('Données projet'!B11="",'Données projet'!C11="",'Données projet'!C11=0%),0,Calculateur!BJ3)</f>
        <v>0</v>
      </c>
      <c r="E8" s="157">
        <f t="shared" si="0"/>
        <v>0</v>
      </c>
      <c r="F8" s="157">
        <f t="shared" si="1"/>
        <v>0</v>
      </c>
      <c r="G8" s="157">
        <f>F8*(100%-'Données projet'!$C$24)*(100%-'Données projet'!$C$25)*(100%-'Données projet'!$C$26)*(100%-'Données projet'!$C$27)</f>
        <v>0</v>
      </c>
      <c r="H8" s="165">
        <f>IF(OR('Données projet'!B11="",'Données projet'!C11="",'Données projet'!C11=0%),0,AVERAGE(Calculateur!$BS$3:$BS$33)*B8)</f>
        <v>0</v>
      </c>
      <c r="I8" s="159">
        <f>H8*(100%-'Données projet'!$C$24)*(100%-'Données projet'!$C$25)*(100%-'Données projet'!$C$26)*(100%-'Données projet'!$C$27)</f>
        <v>0</v>
      </c>
      <c r="J8" s="160">
        <f>IF(OR('Données projet'!B11="",'Données projet'!C11="",'Données projet'!C11=0%),0,SUM(Calculateur!$BL$3:$BL$33)*VLOOKUP('Données projet'!$B$11,Paramètres!$A$1:$I$88,9,0)*B8)</f>
        <v>0</v>
      </c>
      <c r="K8" s="161">
        <f>J8*(100%-'Données projet'!$C$24)*(100%-'Données projet'!$C$25)*(100%-'Données projet'!$C$26)*(100%-'Données projet'!$C$27)</f>
        <v>0</v>
      </c>
      <c r="L8" s="162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3" t="str">
        <f>IF('Données projet'!$B$12="","",'Données projet'!$B$12)</f>
        <v/>
      </c>
      <c r="B9" s="164">
        <f>'Données projet'!D12</f>
        <v>0</v>
      </c>
      <c r="C9" s="157">
        <f>IF(OR('Données projet'!B12="",'Données projet'!C12="",'Données projet'!C12=0%),0,Calculateur!CD3)</f>
        <v>0</v>
      </c>
      <c r="D9" s="157">
        <f>IF(OR('Données projet'!B12="",'Données projet'!C12="",'Données projet'!C12=0%),0,Calculateur!CE3)</f>
        <v>0</v>
      </c>
      <c r="E9" s="157">
        <f t="shared" si="0"/>
        <v>0</v>
      </c>
      <c r="F9" s="157">
        <f t="shared" si="1"/>
        <v>0</v>
      </c>
      <c r="G9" s="157">
        <f>F9*(100%-'Données projet'!$C$24)*(100%-'Données projet'!$C$25)*(100%-'Données projet'!$C$26)*(100%-'Données projet'!$C$27)</f>
        <v>0</v>
      </c>
      <c r="H9" s="165">
        <f>IF(OR('Données projet'!B12="",'Données projet'!C12="",'Données projet'!C12=0%),0,AVERAGE(Calculateur!$CN$3:$CN$33)*B9)</f>
        <v>0</v>
      </c>
      <c r="I9" s="159">
        <f>H9*(100%-'Données projet'!$C$24)*(100%-'Données projet'!$C$25)*(100%-'Données projet'!$C$26)*(100%-'Données projet'!$C$27)</f>
        <v>0</v>
      </c>
      <c r="J9" s="160">
        <f>IF(OR('Données projet'!B12="",'Données projet'!C12="",'Données projet'!C12=0%),0,SUM(Calculateur!$CG$3:$CG$33)*VLOOKUP('Données projet'!$B$12,Paramètres!$A$1:$I$88,9,0)*B9)</f>
        <v>0</v>
      </c>
      <c r="K9" s="161">
        <f>J9*(100%-'Données projet'!$C$24)*(100%-'Données projet'!$C$25)*(100%-'Données projet'!$C$26)*(100%-'Données projet'!$C$27)</f>
        <v>0</v>
      </c>
      <c r="L9" s="162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3" t="str">
        <f>IF('Données projet'!$B$13="","",'Données projet'!$B$13)</f>
        <v/>
      </c>
      <c r="B10" s="164">
        <f>'Données projet'!D13</f>
        <v>0</v>
      </c>
      <c r="C10" s="157">
        <f>IF(OR('Données projet'!B13="",'Données projet'!C13="",'Données projet'!C13=0%),0,Calculateur!CY3)</f>
        <v>0</v>
      </c>
      <c r="D10" s="157">
        <f>IF(OR('Données projet'!B13="",'Données projet'!C13="",'Données projet'!C13=0%),0,Calculateur!CZ3)</f>
        <v>0</v>
      </c>
      <c r="E10" s="157">
        <f t="shared" si="0"/>
        <v>0</v>
      </c>
      <c r="F10" s="157">
        <f t="shared" si="1"/>
        <v>0</v>
      </c>
      <c r="G10" s="157">
        <f>F10*(100%-'Données projet'!$C$24)*(100%-'Données projet'!$C$25)*(100%-'Données projet'!$C$26)*(100%-'Données projet'!$C$27)</f>
        <v>0</v>
      </c>
      <c r="H10" s="165">
        <f>IF(OR('Données projet'!B13="",'Données projet'!C13="",'Données projet'!C13=0%),0,AVERAGE(Calculateur!$DI$3:$DI$33)*B10)</f>
        <v>0</v>
      </c>
      <c r="I10" s="159">
        <f>H10*(100%-'Données projet'!$C$24)*(100%-'Données projet'!$C$25)*(100%-'Données projet'!$C$26)*(100%-'Données projet'!$C$27)</f>
        <v>0</v>
      </c>
      <c r="J10" s="160">
        <f>IF(OR('Données projet'!B13="",'Données projet'!C13="",'Données projet'!C13=0%),0,SUM(Calculateur!$DB$3:$DB$33)*VLOOKUP('Données projet'!$B$13,Paramètres!$A$1:$I$88,9,0)*B10)</f>
        <v>0</v>
      </c>
      <c r="K10" s="161">
        <f>J10*(100%-'Données projet'!$C$24)*(100%-'Données projet'!$C$25)*(100%-'Données projet'!$C$26)*(100%-'Données projet'!$C$27)</f>
        <v>0</v>
      </c>
      <c r="L10" s="162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3" t="str">
        <f>IF('Données projet'!$B$14="","",'Données projet'!$B$14)</f>
        <v/>
      </c>
      <c r="B11" s="164">
        <f>'Données projet'!D14</f>
        <v>0</v>
      </c>
      <c r="C11" s="157">
        <f>IF(OR('Données projet'!B14="",'Données projet'!C14="",'Données projet'!C14=0%),0,Calculateur!DT3)</f>
        <v>0</v>
      </c>
      <c r="D11" s="157">
        <f>IF(OR('Données projet'!B14="",'Données projet'!C14="",'Données projet'!C14=0%),0,Calculateur!DU3)</f>
        <v>0</v>
      </c>
      <c r="E11" s="157">
        <f t="shared" si="0"/>
        <v>0</v>
      </c>
      <c r="F11" s="157">
        <f t="shared" si="1"/>
        <v>0</v>
      </c>
      <c r="G11" s="157">
        <f>F11*(100%-'Données projet'!$C$24)*(100%-'Données projet'!$C$25)*(100%-'Données projet'!$C$26)*(100%-'Données projet'!$C$27)</f>
        <v>0</v>
      </c>
      <c r="H11" s="165">
        <f>IF(OR('Données projet'!B14="",'Données projet'!C14="",'Données projet'!C14=0%),0,AVERAGE(Calculateur!$ED$3:$ED$33)*B11)</f>
        <v>0</v>
      </c>
      <c r="I11" s="159">
        <f>H11*(100%-'Données projet'!$C$24)*(100%-'Données projet'!$C$25)*(100%-'Données projet'!$C$26)*(100%-'Données projet'!$C$27)</f>
        <v>0</v>
      </c>
      <c r="J11" s="160">
        <f>IF(OR('Données projet'!B14="",'Données projet'!C14="",'Données projet'!C14=0%),0,SUM(Calculateur!$DW$3:$DW$33)*VLOOKUP('Données projet'!$B$14,Paramètres!$A$1:$I$88,9,0)*B11)</f>
        <v>0</v>
      </c>
      <c r="K11" s="161">
        <f>J11*(100%-'Données projet'!$C$24)*(100%-'Données projet'!$C$25)*(100%-'Données projet'!$C$26)*(100%-'Données projet'!$C$27)</f>
        <v>0</v>
      </c>
      <c r="L11" s="162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3" t="str">
        <f>IF('Données projet'!$B$15="","",'Données projet'!$B$15)</f>
        <v/>
      </c>
      <c r="B12" s="164">
        <f>'Données projet'!D15</f>
        <v>0</v>
      </c>
      <c r="C12" s="157">
        <f>IF(OR('Données projet'!B15="",'Données projet'!C15="",'Données projet'!C15=0%),0,Calculateur!EO3)</f>
        <v>0</v>
      </c>
      <c r="D12" s="157">
        <f>IF(OR('Données projet'!B15="",'Données projet'!C15="",'Données projet'!C15=0%),0,Calculateur!EP3)</f>
        <v>0</v>
      </c>
      <c r="E12" s="157">
        <f t="shared" si="0"/>
        <v>0</v>
      </c>
      <c r="F12" s="157">
        <f t="shared" si="1"/>
        <v>0</v>
      </c>
      <c r="G12" s="157">
        <f>F12*(100%-'Données projet'!$C$24)*(100%-'Données projet'!$C$25)*(100%-'Données projet'!$C$26)*(100%-'Données projet'!$C$27)</f>
        <v>0</v>
      </c>
      <c r="H12" s="165">
        <f>IF(OR('Données projet'!B15="",'Données projet'!C15="",'Données projet'!C15=0%),0,AVERAGE(Calculateur!$EY$3:$EY$33)*B12)</f>
        <v>0</v>
      </c>
      <c r="I12" s="159">
        <f>H12*(100%-'Données projet'!$C$24)*(100%-'Données projet'!$C$25)*(100%-'Données projet'!$C$26)*(100%-'Données projet'!$C$27)</f>
        <v>0</v>
      </c>
      <c r="J12" s="160">
        <f>IF(OR('Données projet'!B15="",'Données projet'!C15="",'Données projet'!C15=0%),0,SUM(Calculateur!$ER$3:$ER$33)*VLOOKUP('Données projet'!$B$15,Paramètres!$A$1:$I$88,9,0)*B12)</f>
        <v>0</v>
      </c>
      <c r="K12" s="161">
        <f>J12*(100%-'Données projet'!$C$24)*(100%-'Données projet'!$C$25)*(100%-'Données projet'!$C$26)*(100%-'Données projet'!$C$27)</f>
        <v>0</v>
      </c>
      <c r="L12" s="162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3" t="str">
        <f>IF('Données projet'!$B$16="","",'Données projet'!$B$16)</f>
        <v/>
      </c>
      <c r="B13" s="164">
        <f>'Données projet'!D16</f>
        <v>0</v>
      </c>
      <c r="C13" s="157">
        <f>IF(OR('Données projet'!B16="",'Données projet'!C16="",'Données projet'!C16=0%),0,Calculateur!FJ3)</f>
        <v>0</v>
      </c>
      <c r="D13" s="157">
        <f>IF(OR('Données projet'!B16="",'Données projet'!C16="",'Données projet'!C16=0%),0,Calculateur!FK3)</f>
        <v>0</v>
      </c>
      <c r="E13" s="157">
        <f t="shared" si="0"/>
        <v>0</v>
      </c>
      <c r="F13" s="157">
        <f t="shared" si="1"/>
        <v>0</v>
      </c>
      <c r="G13" s="157">
        <f>F13*(100%-'Données projet'!$C$24)*(100%-'Données projet'!$C$25)*(100%-'Données projet'!$C$26)*(100%-'Données projet'!$C$27)</f>
        <v>0</v>
      </c>
      <c r="H13" s="165">
        <f>IF(OR('Données projet'!B16="",'Données projet'!C16="",'Données projet'!C16=0%),0,AVERAGE(Calculateur!$FT$3:$FT$33)*B13)</f>
        <v>0</v>
      </c>
      <c r="I13" s="159">
        <f>H13*(100%-'Données projet'!$C$24)*(100%-'Données projet'!$C$25)*(100%-'Données projet'!$C$26)*(100%-'Données projet'!$C$27)</f>
        <v>0</v>
      </c>
      <c r="J13" s="160">
        <f>IF(OR('Données projet'!C16="",'Données projet'!C16=0%),0,SUM(Calculateur!$FM$3:$FM$33)*VLOOKUP('Données projet'!$B$16,Paramètres!$A$1:$I$88,9,0)*B13)</f>
        <v>0</v>
      </c>
      <c r="K13" s="161">
        <f>J13*(100%-'Données projet'!$C$24)*(100%-'Données projet'!$C$25)*(100%-'Données projet'!$C$26)*(100%-'Données projet'!$C$27)</f>
        <v>0</v>
      </c>
      <c r="L13" s="162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3" t="str">
        <f>IF('Données projet'!$B$17="","",'Données projet'!$B$17)</f>
        <v/>
      </c>
      <c r="B14" s="164">
        <f>'Données projet'!D17</f>
        <v>0</v>
      </c>
      <c r="C14" s="157">
        <f>IF(OR('Données projet'!B17="",'Données projet'!C17="",'Données projet'!C17=0%),0,Calculateur!GE3)</f>
        <v>0</v>
      </c>
      <c r="D14" s="157">
        <f>IF(OR('Données projet'!B17="",'Données projet'!C17="",'Données projet'!C17=0%),0,Calculateur!GF3)</f>
        <v>0</v>
      </c>
      <c r="E14" s="157">
        <f t="shared" si="0"/>
        <v>0</v>
      </c>
      <c r="F14" s="157">
        <f t="shared" si="1"/>
        <v>0</v>
      </c>
      <c r="G14" s="157">
        <f>F14*(100%-'Données projet'!$C$24)*(100%-'Données projet'!$C$25)*(100%-'Données projet'!$C$26)*(100%-'Données projet'!$C$27)</f>
        <v>0</v>
      </c>
      <c r="H14" s="165">
        <f>IF(OR('Données projet'!B17="",'Données projet'!C17="",'Données projet'!C17=0%),0,AVERAGE(Calculateur!$GO$3:$GO$33)*B14)</f>
        <v>0</v>
      </c>
      <c r="I14" s="159">
        <f>H14*(100%-'Données projet'!$C$24)*(100%-'Données projet'!$C$25)*(100%-'Données projet'!$C$26)*(100%-'Données projet'!$C$27)</f>
        <v>0</v>
      </c>
      <c r="J14" s="160">
        <f>IF(OR('Données projet'!B17="",'Données projet'!C17="",'Données projet'!C17=0%),0,SUM(Calculateur!$GH$3:$GH$33)*VLOOKUP('Données projet'!$B$17,Paramètres!$A$1:$I$88,9,0)*B14)</f>
        <v>0</v>
      </c>
      <c r="K14" s="161">
        <f>J14*(100%-'Données projet'!$C$24)*(100%-'Données projet'!$C$25)*(100%-'Données projet'!$C$26)*(100%-'Données projet'!$C$27)</f>
        <v>0</v>
      </c>
      <c r="L14" s="162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6" t="str">
        <f>IF('Données projet'!B18="","",'Données projet'!B18)</f>
        <v/>
      </c>
      <c r="B15" s="167">
        <f>'Données projet'!D18</f>
        <v>0</v>
      </c>
      <c r="C15" s="168">
        <f>IF(OR('Données projet'!B18="",'Données projet'!C18="",'Données projet'!C18=0%),0,Calculateur!GZ3)</f>
        <v>0</v>
      </c>
      <c r="D15" s="168">
        <f>IF(OR('Données projet'!B18="",'Données projet'!C18="",'Données projet'!C18=0%),0,Calculateur!HA3)</f>
        <v>0</v>
      </c>
      <c r="E15" s="168">
        <f t="shared" si="0"/>
        <v>0</v>
      </c>
      <c r="F15" s="169">
        <f t="shared" si="1"/>
        <v>0</v>
      </c>
      <c r="G15" s="169">
        <f>F15*(100%-'Données projet'!$C$24)*(100%-'Données projet'!$C$25)*(100%-'Données projet'!$C$26)*(100%-'Données projet'!$C$27)</f>
        <v>0</v>
      </c>
      <c r="H15" s="170">
        <f>IF(OR('Données projet'!B18="",'Données projet'!C18="",'Données projet'!C18=0%),0,AVERAGE(Calculateur!$HJ$3:$HJ$33)*B15)</f>
        <v>0</v>
      </c>
      <c r="I15" s="171">
        <f>H15*(100%-'Données projet'!$C$24)*(100%-'Données projet'!$C$25)*(100%-'Données projet'!$C$26)*(100%-'Données projet'!$C$27)</f>
        <v>0</v>
      </c>
      <c r="J15" s="172">
        <f>IF(OR('Données projet'!B18="",'Données projet'!C18="",'Données projet'!C18=0%),0,SUM(Calculateur!$HC$3:$HC$33)*VLOOKUP('Données projet'!$B$18,Paramètres!$A$1:$I$88,9,0)*B15)</f>
        <v>0</v>
      </c>
      <c r="K15" s="173">
        <f>J15*(100%-'Données projet'!$C$24)*(100%-'Données projet'!$C$25)*(100%-'Données projet'!$C$26)*(100%-'Données projet'!$C$27)</f>
        <v>0</v>
      </c>
      <c r="L15" s="174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37"/>
      <c r="B16" s="247"/>
      <c r="C16" s="248"/>
      <c r="D16" s="25"/>
      <c r="E16" s="25"/>
      <c r="F16" s="175">
        <f t="shared" ref="F16:L16" ca="1" si="3">SUM(F6:F15)</f>
        <v>1484.0631923834442</v>
      </c>
      <c r="G16" s="176">
        <f t="shared" ca="1" si="3"/>
        <v>1335.6568731450998</v>
      </c>
      <c r="H16" s="177">
        <f t="shared" si="3"/>
        <v>6.3069037076771908</v>
      </c>
      <c r="I16" s="177">
        <f t="shared" si="3"/>
        <v>5.6762133369094716</v>
      </c>
      <c r="J16" s="178">
        <f t="shared" si="3"/>
        <v>119.97</v>
      </c>
      <c r="K16" s="178">
        <f t="shared" si="3"/>
        <v>107.973</v>
      </c>
      <c r="L16" s="179">
        <f t="shared" ca="1" si="3"/>
        <v>1449.3060864820091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37"/>
      <c r="B17" s="247"/>
      <c r="C17" s="248"/>
      <c r="D17" s="244"/>
      <c r="E17" s="244"/>
      <c r="F17" s="298" t="s">
        <v>246</v>
      </c>
      <c r="G17" s="299"/>
      <c r="H17" s="299"/>
      <c r="I17" s="299"/>
      <c r="J17" s="299"/>
      <c r="K17" s="299"/>
      <c r="L17" s="29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37"/>
      <c r="B18" s="247"/>
      <c r="C18" s="248"/>
      <c r="D18" s="244"/>
      <c r="E18" s="244"/>
      <c r="F18" s="300"/>
      <c r="G18" s="300"/>
      <c r="H18" s="300"/>
      <c r="I18" s="300"/>
      <c r="J18" s="300"/>
      <c r="K18" s="300"/>
      <c r="L18" s="30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44"/>
      <c r="J19" s="244"/>
      <c r="K19" s="244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44"/>
      <c r="J20" s="244"/>
      <c r="K20" s="244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80" t="str">
        <f>A6</f>
        <v>Cèdre de l'Atlas</v>
      </c>
      <c r="B21" s="5"/>
      <c r="C21" s="5"/>
      <c r="D21" s="5"/>
      <c r="E21" s="5"/>
      <c r="F21" s="5"/>
      <c r="G21" s="5"/>
      <c r="H21" s="5"/>
      <c r="I21" s="244"/>
      <c r="J21" s="244"/>
      <c r="K21" s="244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44"/>
      <c r="J22" s="244"/>
      <c r="K22" s="244"/>
      <c r="L22" s="244"/>
      <c r="M22" s="244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44"/>
      <c r="J23" s="244"/>
      <c r="K23" s="244"/>
      <c r="L23" s="244"/>
      <c r="M23" s="244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44"/>
      <c r="J24" s="244"/>
      <c r="K24" s="244"/>
      <c r="L24" s="244"/>
      <c r="M24" s="244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44"/>
      <c r="J25" s="244"/>
      <c r="K25" s="244"/>
      <c r="L25" s="244"/>
      <c r="M25" s="244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44"/>
      <c r="J26" s="244"/>
      <c r="K26" s="244"/>
      <c r="L26" s="244"/>
      <c r="M26" s="244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44"/>
      <c r="J27" s="244"/>
      <c r="K27" s="244"/>
      <c r="L27" s="244"/>
      <c r="M27" s="244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44"/>
      <c r="J28" s="244"/>
      <c r="K28" s="244"/>
      <c r="L28" s="244"/>
      <c r="M28" s="244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44"/>
      <c r="J29" s="244"/>
      <c r="K29" s="244"/>
      <c r="L29" s="244"/>
      <c r="M29" s="244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44"/>
      <c r="J30" s="244"/>
      <c r="K30" s="244"/>
      <c r="L30" s="244"/>
      <c r="M30" s="244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44"/>
      <c r="J31" s="244"/>
      <c r="K31" s="244"/>
      <c r="L31" s="244"/>
      <c r="M31" s="244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44"/>
      <c r="J32" s="244"/>
      <c r="K32" s="244"/>
      <c r="L32" s="244"/>
      <c r="M32" s="244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44"/>
      <c r="J33" s="244"/>
      <c r="K33" s="244"/>
      <c r="L33" s="244"/>
      <c r="M33" s="244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44"/>
      <c r="J34" s="244"/>
      <c r="K34" s="244"/>
      <c r="L34" s="244"/>
      <c r="M34" s="244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44"/>
      <c r="J35" s="244"/>
      <c r="K35" s="244"/>
      <c r="L35" s="244"/>
      <c r="M35" s="244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44"/>
      <c r="J36" s="244"/>
      <c r="K36" s="244"/>
      <c r="L36" s="244"/>
      <c r="M36" s="244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44"/>
      <c r="J37" s="244"/>
      <c r="K37" s="244"/>
      <c r="L37" s="244"/>
      <c r="M37" s="244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44"/>
      <c r="J38" s="244"/>
      <c r="K38" s="244"/>
      <c r="L38" s="244"/>
      <c r="M38" s="244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80" t="str">
        <f>A7</f>
        <v>Douglas</v>
      </c>
      <c r="B39" s="5"/>
      <c r="C39" s="5"/>
      <c r="D39" s="5"/>
      <c r="E39" s="5"/>
      <c r="F39" s="5"/>
      <c r="G39" s="5"/>
      <c r="H39" s="5"/>
      <c r="I39" s="244"/>
      <c r="J39" s="244"/>
      <c r="K39" s="244"/>
      <c r="L39" s="244"/>
      <c r="M39" s="244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44"/>
      <c r="J40" s="244"/>
      <c r="K40" s="244"/>
      <c r="L40" s="244"/>
      <c r="M40" s="244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44"/>
      <c r="J41" s="244"/>
      <c r="K41" s="244"/>
      <c r="L41" s="244"/>
      <c r="M41" s="244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44"/>
      <c r="J42" s="244"/>
      <c r="K42" s="244"/>
      <c r="L42" s="244"/>
      <c r="M42" s="244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44"/>
      <c r="J43" s="244"/>
      <c r="K43" s="244"/>
      <c r="L43" s="244"/>
      <c r="M43" s="244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44"/>
      <c r="J44" s="244"/>
      <c r="K44" s="244"/>
      <c r="L44" s="244"/>
      <c r="M44" s="244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44"/>
      <c r="J45" s="244"/>
      <c r="K45" s="244"/>
      <c r="L45" s="244"/>
      <c r="M45" s="244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44"/>
      <c r="J46" s="244"/>
      <c r="K46" s="244"/>
      <c r="L46" s="244"/>
      <c r="M46" s="244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44"/>
      <c r="J47" s="244"/>
      <c r="K47" s="244"/>
      <c r="L47" s="244"/>
      <c r="M47" s="244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44"/>
      <c r="J48" s="244"/>
      <c r="K48" s="244"/>
      <c r="L48" s="244"/>
      <c r="M48" s="244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44"/>
      <c r="J49" s="244"/>
      <c r="K49" s="244"/>
      <c r="L49" s="244"/>
      <c r="M49" s="244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44"/>
      <c r="J50" s="244"/>
      <c r="K50" s="244"/>
      <c r="L50" s="244"/>
      <c r="M50" s="244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44"/>
      <c r="J51" s="244"/>
      <c r="K51" s="244"/>
      <c r="L51" s="244"/>
      <c r="M51" s="244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44"/>
      <c r="J52" s="244"/>
      <c r="K52" s="244"/>
      <c r="L52" s="244"/>
      <c r="M52" s="244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44"/>
      <c r="J53" s="244"/>
      <c r="K53" s="244"/>
      <c r="L53" s="244"/>
      <c r="M53" s="244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44"/>
      <c r="J54" s="244"/>
      <c r="K54" s="244"/>
      <c r="L54" s="244"/>
      <c r="M54" s="244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44"/>
      <c r="J55" s="244"/>
      <c r="K55" s="244"/>
      <c r="L55" s="244"/>
      <c r="M55" s="244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44"/>
      <c r="J56" s="244"/>
      <c r="K56" s="244"/>
      <c r="L56" s="244"/>
      <c r="M56" s="244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80" t="str">
        <f>A8</f>
        <v/>
      </c>
      <c r="B57" s="5"/>
      <c r="C57" s="5"/>
      <c r="D57" s="5"/>
      <c r="E57" s="5"/>
      <c r="F57" s="5"/>
      <c r="G57" s="5"/>
      <c r="H57" s="5"/>
      <c r="I57" s="244"/>
      <c r="J57" s="244"/>
      <c r="K57" s="244"/>
      <c r="L57" s="244"/>
      <c r="M57" s="244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44"/>
      <c r="J58" s="244"/>
      <c r="K58" s="244"/>
      <c r="L58" s="244"/>
      <c r="M58" s="244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44"/>
      <c r="J59" s="244"/>
      <c r="K59" s="244"/>
      <c r="L59" s="244"/>
      <c r="M59" s="244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44"/>
      <c r="J60" s="244"/>
      <c r="K60" s="244"/>
      <c r="L60" s="244"/>
      <c r="M60" s="244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44"/>
      <c r="J61" s="244"/>
      <c r="K61" s="244"/>
      <c r="L61" s="244"/>
      <c r="M61" s="244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44"/>
      <c r="J62" s="244"/>
      <c r="K62" s="244"/>
      <c r="L62" s="244"/>
      <c r="M62" s="244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44"/>
      <c r="J63" s="244"/>
      <c r="K63" s="244"/>
      <c r="L63" s="244"/>
      <c r="M63" s="244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44"/>
      <c r="J64" s="244"/>
      <c r="K64" s="244"/>
      <c r="L64" s="244"/>
      <c r="M64" s="244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44"/>
      <c r="J65" s="244"/>
      <c r="K65" s="244"/>
      <c r="L65" s="244"/>
      <c r="M65" s="244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44"/>
      <c r="J66" s="244"/>
      <c r="K66" s="244"/>
      <c r="L66" s="244"/>
      <c r="M66" s="244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44"/>
      <c r="J67" s="244"/>
      <c r="K67" s="244"/>
      <c r="L67" s="244"/>
      <c r="M67" s="244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44"/>
      <c r="J68" s="244"/>
      <c r="K68" s="244"/>
      <c r="L68" s="244"/>
      <c r="M68" s="244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44"/>
      <c r="J69" s="244"/>
      <c r="K69" s="244"/>
      <c r="L69" s="244"/>
      <c r="M69" s="244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44"/>
      <c r="J70" s="244"/>
      <c r="K70" s="244"/>
      <c r="L70" s="244"/>
      <c r="M70" s="244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44"/>
      <c r="J71" s="244"/>
      <c r="K71" s="244"/>
      <c r="L71" s="244"/>
      <c r="M71" s="244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44"/>
      <c r="J72" s="244"/>
      <c r="K72" s="244"/>
      <c r="L72" s="244"/>
      <c r="M72" s="244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44"/>
      <c r="J73" s="244"/>
      <c r="K73" s="244"/>
      <c r="L73" s="244"/>
      <c r="M73" s="244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44"/>
      <c r="J74" s="244"/>
      <c r="K74" s="244"/>
      <c r="L74" s="244"/>
      <c r="M74" s="244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44"/>
      <c r="J75" s="244"/>
      <c r="K75" s="244"/>
      <c r="L75" s="244"/>
      <c r="M75" s="244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80" t="str">
        <f>A9</f>
        <v/>
      </c>
      <c r="B76" s="5"/>
      <c r="C76" s="5"/>
      <c r="D76" s="5"/>
      <c r="E76" s="5"/>
      <c r="F76" s="5"/>
      <c r="G76" s="5"/>
      <c r="H76" s="5"/>
      <c r="I76" s="244"/>
      <c r="J76" s="244"/>
      <c r="K76" s="244"/>
      <c r="L76" s="244"/>
      <c r="M76" s="244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44"/>
      <c r="J77" s="244"/>
      <c r="K77" s="244"/>
      <c r="L77" s="244"/>
      <c r="M77" s="244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44"/>
      <c r="J78" s="244"/>
      <c r="K78" s="244"/>
      <c r="L78" s="244"/>
      <c r="M78" s="244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44"/>
      <c r="J79" s="244"/>
      <c r="K79" s="244"/>
      <c r="L79" s="244"/>
      <c r="M79" s="244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44"/>
      <c r="J80" s="244"/>
      <c r="K80" s="244"/>
      <c r="L80" s="244"/>
      <c r="M80" s="244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44"/>
      <c r="J81" s="244"/>
      <c r="K81" s="244"/>
      <c r="L81" s="244"/>
      <c r="M81" s="244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44"/>
      <c r="J82" s="244"/>
      <c r="K82" s="244"/>
      <c r="L82" s="244"/>
      <c r="M82" s="244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44"/>
      <c r="J83" s="244"/>
      <c r="K83" s="244"/>
      <c r="L83" s="244"/>
      <c r="M83" s="244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44"/>
      <c r="J84" s="244"/>
      <c r="K84" s="244"/>
      <c r="L84" s="244"/>
      <c r="M84" s="244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44"/>
      <c r="J85" s="244"/>
      <c r="K85" s="244"/>
      <c r="L85" s="244"/>
      <c r="M85" s="244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44"/>
      <c r="J86" s="244"/>
      <c r="K86" s="244"/>
      <c r="L86" s="244"/>
      <c r="M86" s="244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44"/>
      <c r="J87" s="244"/>
      <c r="K87" s="244"/>
      <c r="L87" s="244"/>
      <c r="M87" s="244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44"/>
      <c r="J88" s="244"/>
      <c r="K88" s="244"/>
      <c r="L88" s="244"/>
      <c r="M88" s="244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44"/>
      <c r="J89" s="244"/>
      <c r="K89" s="244"/>
      <c r="L89" s="244"/>
      <c r="M89" s="244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44"/>
      <c r="J90" s="244"/>
      <c r="K90" s="244"/>
      <c r="L90" s="244"/>
      <c r="M90" s="244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44"/>
      <c r="J91" s="244"/>
      <c r="K91" s="244"/>
      <c r="L91" s="244"/>
      <c r="M91" s="244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44"/>
      <c r="J92" s="244"/>
      <c r="K92" s="244"/>
      <c r="L92" s="244"/>
      <c r="M92" s="244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44"/>
      <c r="J93" s="244"/>
      <c r="K93" s="244"/>
      <c r="L93" s="244"/>
      <c r="M93" s="244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80" t="str">
        <f>A10</f>
        <v/>
      </c>
      <c r="B94" s="5"/>
      <c r="C94" s="5"/>
      <c r="D94" s="5"/>
      <c r="E94" s="5"/>
      <c r="F94" s="5"/>
      <c r="G94" s="5"/>
      <c r="H94" s="5"/>
      <c r="I94" s="244"/>
      <c r="J94" s="244"/>
      <c r="K94" s="244"/>
      <c r="L94" s="244"/>
      <c r="M94" s="244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44"/>
      <c r="J95" s="244"/>
      <c r="K95" s="244"/>
      <c r="L95" s="244"/>
      <c r="M95" s="244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44"/>
      <c r="J96" s="244"/>
      <c r="K96" s="244"/>
      <c r="L96" s="244"/>
      <c r="M96" s="244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44"/>
      <c r="J97" s="244"/>
      <c r="K97" s="244"/>
      <c r="L97" s="244"/>
      <c r="M97" s="244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44"/>
      <c r="J98" s="244"/>
      <c r="K98" s="244"/>
      <c r="L98" s="244"/>
      <c r="M98" s="244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44"/>
      <c r="J99" s="244"/>
      <c r="K99" s="244"/>
      <c r="L99" s="244"/>
      <c r="M99" s="244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44"/>
      <c r="J100" s="244"/>
      <c r="K100" s="244"/>
      <c r="L100" s="244"/>
      <c r="M100" s="244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44"/>
      <c r="J101" s="244"/>
      <c r="K101" s="244"/>
      <c r="L101" s="244"/>
      <c r="M101" s="244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44"/>
      <c r="J102" s="244"/>
      <c r="K102" s="244"/>
      <c r="L102" s="244"/>
      <c r="M102" s="244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44"/>
      <c r="J103" s="244"/>
      <c r="K103" s="244"/>
      <c r="L103" s="244"/>
      <c r="M103" s="244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44"/>
      <c r="J104" s="244"/>
      <c r="K104" s="244"/>
      <c r="L104" s="244"/>
      <c r="M104" s="244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44"/>
      <c r="J105" s="244"/>
      <c r="K105" s="244"/>
      <c r="L105" s="244"/>
      <c r="M105" s="244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44"/>
      <c r="J106" s="244"/>
      <c r="K106" s="244"/>
      <c r="L106" s="244"/>
      <c r="M106" s="244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44"/>
      <c r="J107" s="244"/>
      <c r="K107" s="244"/>
      <c r="L107" s="244"/>
      <c r="M107" s="244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44"/>
      <c r="J108" s="244"/>
      <c r="K108" s="244"/>
      <c r="L108" s="244"/>
      <c r="M108" s="244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44"/>
      <c r="J109" s="244"/>
      <c r="K109" s="244"/>
      <c r="L109" s="244"/>
      <c r="M109" s="244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44"/>
      <c r="J110" s="244"/>
      <c r="K110" s="244"/>
      <c r="L110" s="244"/>
      <c r="M110" s="244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44"/>
      <c r="J111" s="244"/>
      <c r="K111" s="244"/>
      <c r="L111" s="244"/>
      <c r="M111" s="244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80" t="str">
        <f>A11</f>
        <v/>
      </c>
      <c r="B112" s="5"/>
      <c r="C112" s="5"/>
      <c r="D112" s="5"/>
      <c r="E112" s="5"/>
      <c r="F112" s="5"/>
      <c r="G112" s="5"/>
      <c r="H112" s="5"/>
      <c r="I112" s="244"/>
      <c r="J112" s="244"/>
      <c r="K112" s="244"/>
      <c r="L112" s="244"/>
      <c r="M112" s="244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44"/>
      <c r="J113" s="244"/>
      <c r="K113" s="244"/>
      <c r="L113" s="244"/>
      <c r="M113" s="244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44"/>
      <c r="J114" s="244"/>
      <c r="K114" s="244"/>
      <c r="L114" s="244"/>
      <c r="M114" s="244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44"/>
      <c r="J115" s="244"/>
      <c r="K115" s="244"/>
      <c r="L115" s="244"/>
      <c r="M115" s="244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44"/>
      <c r="J116" s="244"/>
      <c r="K116" s="244"/>
      <c r="L116" s="244"/>
      <c r="M116" s="244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44"/>
      <c r="J117" s="244"/>
      <c r="K117" s="244"/>
      <c r="L117" s="244"/>
      <c r="M117" s="244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44"/>
      <c r="J118" s="244"/>
      <c r="K118" s="244"/>
      <c r="L118" s="244"/>
      <c r="M118" s="244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44"/>
      <c r="J119" s="244"/>
      <c r="K119" s="244"/>
      <c r="L119" s="244"/>
      <c r="M119" s="244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44"/>
      <c r="J120" s="244"/>
      <c r="K120" s="244"/>
      <c r="L120" s="244"/>
      <c r="M120" s="244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44"/>
      <c r="J121" s="244"/>
      <c r="K121" s="244"/>
      <c r="L121" s="244"/>
      <c r="M121" s="244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44"/>
      <c r="J122" s="244"/>
      <c r="K122" s="244"/>
      <c r="L122" s="244"/>
      <c r="M122" s="244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44"/>
      <c r="J123" s="244"/>
      <c r="K123" s="244"/>
      <c r="L123" s="244"/>
      <c r="M123" s="244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44"/>
      <c r="J124" s="244"/>
      <c r="K124" s="244"/>
      <c r="L124" s="244"/>
      <c r="M124" s="244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44"/>
      <c r="J125" s="244"/>
      <c r="K125" s="244"/>
      <c r="L125" s="244"/>
      <c r="M125" s="244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44"/>
      <c r="J126" s="244"/>
      <c r="K126" s="244"/>
      <c r="L126" s="244"/>
      <c r="M126" s="244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44"/>
      <c r="J127" s="244"/>
      <c r="K127" s="244"/>
      <c r="L127" s="244"/>
      <c r="M127" s="244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44"/>
      <c r="J128" s="244"/>
      <c r="K128" s="244"/>
      <c r="L128" s="244"/>
      <c r="M128" s="244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44"/>
      <c r="J129" s="244"/>
      <c r="K129" s="244"/>
      <c r="L129" s="244"/>
      <c r="M129" s="244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80" t="str">
        <f>A12</f>
        <v/>
      </c>
      <c r="B130" s="5"/>
      <c r="C130" s="5"/>
      <c r="D130" s="5"/>
      <c r="E130" s="5"/>
      <c r="F130" s="5"/>
      <c r="G130" s="5"/>
      <c r="H130" s="5"/>
      <c r="I130" s="244"/>
      <c r="J130" s="244"/>
      <c r="K130" s="244"/>
      <c r="L130" s="244"/>
      <c r="M130" s="244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44"/>
      <c r="J131" s="244"/>
      <c r="K131" s="244"/>
      <c r="L131" s="244"/>
      <c r="M131" s="244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44"/>
      <c r="J132" s="244"/>
      <c r="K132" s="244"/>
      <c r="L132" s="244"/>
      <c r="M132" s="244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44"/>
      <c r="J133" s="244"/>
      <c r="K133" s="244"/>
      <c r="L133" s="244"/>
      <c r="M133" s="244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44"/>
      <c r="J134" s="244"/>
      <c r="K134" s="244"/>
      <c r="L134" s="244"/>
      <c r="M134" s="244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44"/>
      <c r="J135" s="244"/>
      <c r="K135" s="244"/>
      <c r="L135" s="244"/>
      <c r="M135" s="244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44"/>
      <c r="J136" s="244"/>
      <c r="K136" s="244"/>
      <c r="L136" s="244"/>
      <c r="M136" s="244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44"/>
      <c r="J137" s="244"/>
      <c r="K137" s="244"/>
      <c r="L137" s="244"/>
      <c r="M137" s="244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44"/>
      <c r="J138" s="244"/>
      <c r="K138" s="244"/>
      <c r="L138" s="244"/>
      <c r="M138" s="244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44"/>
      <c r="J139" s="244"/>
      <c r="K139" s="244"/>
      <c r="L139" s="244"/>
      <c r="M139" s="244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44"/>
      <c r="J140" s="244"/>
      <c r="K140" s="244"/>
      <c r="L140" s="244"/>
      <c r="M140" s="244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44"/>
      <c r="J141" s="244"/>
      <c r="K141" s="244"/>
      <c r="L141" s="244"/>
      <c r="M141" s="244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44"/>
      <c r="J142" s="244"/>
      <c r="K142" s="244"/>
      <c r="L142" s="244"/>
      <c r="M142" s="244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44"/>
      <c r="J143" s="244"/>
      <c r="K143" s="244"/>
      <c r="L143" s="244"/>
      <c r="M143" s="244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44"/>
      <c r="J144" s="244"/>
      <c r="K144" s="244"/>
      <c r="L144" s="244"/>
      <c r="M144" s="244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44"/>
      <c r="J145" s="244"/>
      <c r="K145" s="244"/>
      <c r="L145" s="244"/>
      <c r="M145" s="244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44"/>
      <c r="J146" s="244"/>
      <c r="K146" s="244"/>
      <c r="L146" s="244"/>
      <c r="M146" s="244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44"/>
      <c r="J147" s="244"/>
      <c r="K147" s="244"/>
      <c r="L147" s="244"/>
      <c r="M147" s="244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80" t="str">
        <f>A13</f>
        <v/>
      </c>
      <c r="B148" s="5"/>
      <c r="C148" s="5"/>
      <c r="D148" s="5"/>
      <c r="E148" s="5"/>
      <c r="F148" s="5"/>
      <c r="G148" s="5"/>
      <c r="H148" s="5"/>
      <c r="I148" s="244"/>
      <c r="J148" s="244"/>
      <c r="K148" s="244"/>
      <c r="L148" s="244"/>
      <c r="M148" s="244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44"/>
      <c r="J149" s="244"/>
      <c r="K149" s="244"/>
      <c r="L149" s="244"/>
      <c r="M149" s="244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44"/>
      <c r="J150" s="244"/>
      <c r="K150" s="244"/>
      <c r="L150" s="244"/>
      <c r="M150" s="244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44"/>
      <c r="J151" s="244"/>
      <c r="K151" s="244"/>
      <c r="L151" s="244"/>
      <c r="M151" s="244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44"/>
      <c r="J152" s="244"/>
      <c r="K152" s="244"/>
      <c r="L152" s="244"/>
      <c r="M152" s="244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44"/>
      <c r="J153" s="244"/>
      <c r="K153" s="244"/>
      <c r="L153" s="244"/>
      <c r="M153" s="244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44"/>
      <c r="J154" s="244"/>
      <c r="K154" s="244"/>
      <c r="L154" s="244"/>
      <c r="M154" s="244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44"/>
      <c r="J155" s="244"/>
      <c r="K155" s="244"/>
      <c r="L155" s="244"/>
      <c r="M155" s="244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44"/>
      <c r="J156" s="244"/>
      <c r="K156" s="244"/>
      <c r="L156" s="244"/>
      <c r="M156" s="244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44"/>
      <c r="J157" s="244"/>
      <c r="K157" s="244"/>
      <c r="L157" s="244"/>
      <c r="M157" s="244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44"/>
      <c r="J158" s="244"/>
      <c r="K158" s="244"/>
      <c r="L158" s="244"/>
      <c r="M158" s="244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44"/>
      <c r="J159" s="244"/>
      <c r="K159" s="244"/>
      <c r="L159" s="244"/>
      <c r="M159" s="244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44"/>
      <c r="J160" s="244"/>
      <c r="K160" s="244"/>
      <c r="L160" s="244"/>
      <c r="M160" s="244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44"/>
      <c r="J161" s="244"/>
      <c r="K161" s="244"/>
      <c r="L161" s="244"/>
      <c r="M161" s="244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44"/>
      <c r="J162" s="244"/>
      <c r="K162" s="244"/>
      <c r="L162" s="244"/>
      <c r="M162" s="244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44"/>
      <c r="J163" s="244"/>
      <c r="K163" s="244"/>
      <c r="L163" s="244"/>
      <c r="M163" s="244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44"/>
      <c r="J164" s="244"/>
      <c r="K164" s="244"/>
      <c r="L164" s="244"/>
      <c r="M164" s="244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44"/>
      <c r="J165" s="244"/>
      <c r="K165" s="244"/>
      <c r="L165" s="244"/>
      <c r="M165" s="244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80" t="str">
        <f>A14</f>
        <v/>
      </c>
      <c r="B166" s="5"/>
      <c r="C166" s="5"/>
      <c r="D166" s="5"/>
      <c r="E166" s="5"/>
      <c r="F166" s="5"/>
      <c r="G166" s="5"/>
      <c r="H166" s="5"/>
      <c r="I166" s="244"/>
      <c r="J166" s="244"/>
      <c r="K166" s="244"/>
      <c r="L166" s="244"/>
      <c r="M166" s="244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44"/>
      <c r="J167" s="244"/>
      <c r="K167" s="244"/>
      <c r="L167" s="244"/>
      <c r="M167" s="244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44"/>
      <c r="J168" s="244"/>
      <c r="K168" s="244"/>
      <c r="L168" s="244"/>
      <c r="M168" s="244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44"/>
      <c r="J169" s="244"/>
      <c r="K169" s="244"/>
      <c r="L169" s="244"/>
      <c r="M169" s="244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44"/>
      <c r="J170" s="244"/>
      <c r="K170" s="244"/>
      <c r="L170" s="244"/>
      <c r="M170" s="244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44"/>
      <c r="J171" s="244"/>
      <c r="K171" s="244"/>
      <c r="L171" s="244"/>
      <c r="M171" s="244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44"/>
      <c r="J172" s="244"/>
      <c r="K172" s="244"/>
      <c r="L172" s="244"/>
      <c r="M172" s="244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44"/>
      <c r="J173" s="244"/>
      <c r="K173" s="244"/>
      <c r="L173" s="244"/>
      <c r="M173" s="244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44"/>
      <c r="J174" s="244"/>
      <c r="K174" s="244"/>
      <c r="L174" s="244"/>
      <c r="M174" s="244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44"/>
      <c r="J175" s="244"/>
      <c r="K175" s="244"/>
      <c r="L175" s="244"/>
      <c r="M175" s="244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44"/>
      <c r="J176" s="244"/>
      <c r="K176" s="244"/>
      <c r="L176" s="244"/>
      <c r="M176" s="244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44"/>
      <c r="J177" s="244"/>
      <c r="K177" s="244"/>
      <c r="L177" s="244"/>
      <c r="M177" s="244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44"/>
      <c r="J178" s="244"/>
      <c r="K178" s="244"/>
      <c r="L178" s="244"/>
      <c r="M178" s="244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44"/>
      <c r="J179" s="244"/>
      <c r="K179" s="244"/>
      <c r="L179" s="244"/>
      <c r="M179" s="244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44"/>
      <c r="J180" s="244"/>
      <c r="K180" s="244"/>
      <c r="L180" s="244"/>
      <c r="M180" s="244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44"/>
      <c r="J181" s="244"/>
      <c r="K181" s="244"/>
      <c r="L181" s="244"/>
      <c r="M181" s="244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44"/>
      <c r="J182" s="244"/>
      <c r="K182" s="244"/>
      <c r="L182" s="244"/>
      <c r="M182" s="244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44"/>
      <c r="J183" s="244"/>
      <c r="K183" s="244"/>
      <c r="L183" s="244"/>
      <c r="M183" s="244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80" t="str">
        <f>A15</f>
        <v/>
      </c>
      <c r="B184" s="5"/>
      <c r="C184" s="5"/>
      <c r="D184" s="5"/>
      <c r="E184" s="5"/>
      <c r="F184" s="5"/>
      <c r="G184" s="5"/>
      <c r="H184" s="5"/>
      <c r="I184" s="244"/>
      <c r="J184" s="244"/>
      <c r="K184" s="244"/>
      <c r="L184" s="244"/>
      <c r="M184" s="244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44"/>
      <c r="J185" s="244"/>
      <c r="K185" s="244"/>
      <c r="L185" s="244"/>
      <c r="M185" s="244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44"/>
      <c r="J186" s="244"/>
      <c r="K186" s="244"/>
      <c r="L186" s="244"/>
      <c r="M186" s="244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44"/>
      <c r="J187" s="244"/>
      <c r="K187" s="244"/>
      <c r="L187" s="244"/>
      <c r="M187" s="244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44"/>
      <c r="J188" s="244"/>
      <c r="K188" s="244"/>
      <c r="L188" s="244"/>
      <c r="M188" s="244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44"/>
      <c r="J189" s="244"/>
      <c r="K189" s="244"/>
      <c r="L189" s="244"/>
      <c r="M189" s="244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44"/>
      <c r="J190" s="244"/>
      <c r="K190" s="244"/>
      <c r="L190" s="244"/>
      <c r="M190" s="244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44"/>
      <c r="J191" s="244"/>
      <c r="K191" s="244"/>
      <c r="L191" s="244"/>
      <c r="M191" s="244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44"/>
      <c r="J192" s="244"/>
      <c r="K192" s="244"/>
      <c r="L192" s="244"/>
      <c r="M192" s="244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44"/>
      <c r="J193" s="244"/>
      <c r="K193" s="244"/>
      <c r="L193" s="244"/>
      <c r="M193" s="244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44"/>
      <c r="J194" s="244"/>
      <c r="K194" s="244"/>
      <c r="L194" s="244"/>
      <c r="M194" s="244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44"/>
      <c r="J195" s="244"/>
      <c r="K195" s="244"/>
      <c r="L195" s="244"/>
      <c r="M195" s="244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44"/>
      <c r="J196" s="244"/>
      <c r="K196" s="244"/>
      <c r="L196" s="244"/>
      <c r="M196" s="244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44"/>
      <c r="J197" s="244"/>
      <c r="K197" s="244"/>
      <c r="L197" s="244"/>
      <c r="M197" s="244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44"/>
      <c r="J198" s="244"/>
      <c r="K198" s="244"/>
      <c r="L198" s="244"/>
      <c r="M198" s="244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44"/>
      <c r="J199" s="244"/>
      <c r="K199" s="244"/>
      <c r="L199" s="244"/>
      <c r="M199" s="244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44"/>
      <c r="J200" s="244"/>
      <c r="K200" s="244"/>
      <c r="L200" s="244"/>
      <c r="M200" s="244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44"/>
      <c r="J201" s="244"/>
      <c r="K201" s="244"/>
      <c r="L201" s="244"/>
      <c r="M201" s="244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44"/>
      <c r="J202" s="244"/>
      <c r="K202" s="244"/>
      <c r="L202" s="244"/>
      <c r="M202" s="244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44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mpF27bePewg94B2eF1gxwc8v85oenEjCRmy2/XJK89cMMyj+8rNdg+67AFL5toKZVIlOE6PMI6HIdT0WDi+RjA==" saltValue="nqXUzVl1FySgJjcuIj9Ivg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500"/>
  <sheetViews>
    <sheetView topLeftCell="K1" zoomScale="70" zoomScaleNormal="70" workbookViewId="0">
      <selection activeCell="T23" sqref="T2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34" style="3" customWidth="1"/>
    <col min="7" max="7" width="11.44140625" style="3"/>
    <col min="8" max="8" width="11.44140625" style="1"/>
    <col min="9" max="9" width="33" style="1" customWidth="1"/>
    <col min="10" max="10" width="37" style="1" customWidth="1"/>
    <col min="11" max="15" width="11.44140625" style="1"/>
    <col min="16" max="16" width="21" style="1" customWidth="1"/>
    <col min="17" max="16384" width="11.44140625" style="1"/>
  </cols>
  <sheetData>
    <row r="1" spans="1:46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6.4" thickBot="1" x14ac:dyDescent="0.55000000000000004">
      <c r="A2" s="5"/>
      <c r="B2" s="286" t="s">
        <v>273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06" customFormat="1" x14ac:dyDescent="0.3">
      <c r="A3" s="100"/>
      <c r="B3" s="100"/>
      <c r="C3" s="100"/>
      <c r="D3" s="100"/>
      <c r="E3" s="100"/>
      <c r="F3" s="181"/>
      <c r="G3" s="181"/>
      <c r="H3" s="100"/>
      <c r="I3" s="182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</row>
    <row r="4" spans="1:46" s="206" customFormat="1" x14ac:dyDescent="0.3">
      <c r="A4" s="100"/>
      <c r="B4" s="100"/>
      <c r="C4" s="100"/>
      <c r="D4" s="100"/>
      <c r="E4" s="100"/>
      <c r="F4" s="181"/>
      <c r="G4" s="181"/>
      <c r="H4" s="100"/>
      <c r="I4" s="275" t="s">
        <v>190</v>
      </c>
      <c r="J4" s="275"/>
      <c r="K4" s="275"/>
      <c r="L4" s="275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1:46" s="206" customFormat="1" x14ac:dyDescent="0.3">
      <c r="A5" s="100"/>
      <c r="B5" s="100"/>
      <c r="C5" s="100"/>
      <c r="D5" s="100"/>
      <c r="E5" s="100"/>
      <c r="F5" s="240"/>
      <c r="G5" s="181"/>
      <c r="H5" s="100"/>
      <c r="I5" s="183"/>
      <c r="J5" s="183"/>
      <c r="K5" s="183"/>
      <c r="L5" s="183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1:46" s="206" customFormat="1" ht="25.8" x14ac:dyDescent="0.5">
      <c r="A6" s="100"/>
      <c r="B6" s="303" t="s">
        <v>192</v>
      </c>
      <c r="C6" s="303"/>
      <c r="D6" s="100"/>
      <c r="E6" s="100"/>
      <c r="F6" s="241"/>
      <c r="G6" s="242"/>
      <c r="H6" s="27"/>
      <c r="I6" s="188" t="s">
        <v>253</v>
      </c>
      <c r="J6" s="184">
        <v>4.4999999999999998E-2</v>
      </c>
      <c r="K6" s="27"/>
      <c r="L6" s="27"/>
      <c r="M6" s="27"/>
      <c r="N6" s="185"/>
      <c r="O6" s="303" t="s">
        <v>191</v>
      </c>
      <c r="P6" s="303"/>
      <c r="Q6" s="303"/>
      <c r="R6" s="303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</row>
    <row r="7" spans="1:46" x14ac:dyDescent="0.3">
      <c r="A7" s="25"/>
      <c r="B7" s="25"/>
      <c r="C7" s="25"/>
      <c r="D7" s="25"/>
      <c r="E7" s="25"/>
      <c r="F7" s="218"/>
      <c r="G7" s="230"/>
      <c r="H7" s="25"/>
      <c r="I7" s="5"/>
      <c r="J7" s="5"/>
      <c r="K7" s="222"/>
      <c r="L7" s="222"/>
      <c r="M7" s="25"/>
      <c r="N7" s="236"/>
      <c r="O7" s="25"/>
      <c r="P7" s="25"/>
      <c r="Q7" s="25"/>
      <c r="R7" s="25"/>
      <c r="S7" s="25"/>
      <c r="T7" s="25"/>
      <c r="U7" s="25"/>
      <c r="V7" s="2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3">
      <c r="A8" s="25"/>
      <c r="B8" s="25"/>
      <c r="C8" s="25"/>
      <c r="D8" s="25"/>
      <c r="E8" s="25"/>
      <c r="F8" s="218"/>
      <c r="G8" s="230"/>
      <c r="H8" s="25"/>
      <c r="I8" s="188" t="s">
        <v>178</v>
      </c>
      <c r="J8" s="188" t="s">
        <v>294</v>
      </c>
      <c r="K8" s="222"/>
      <c r="L8" s="222"/>
      <c r="M8" s="25"/>
      <c r="N8" s="236"/>
      <c r="O8" s="25"/>
      <c r="P8" s="25"/>
      <c r="Q8" s="25"/>
      <c r="R8" s="25"/>
      <c r="S8" s="25"/>
      <c r="T8" s="25"/>
      <c r="U8" s="25"/>
      <c r="V8" s="2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">
      <c r="A9" s="25"/>
      <c r="B9" s="25"/>
      <c r="C9" s="25"/>
      <c r="D9" s="25"/>
      <c r="E9" s="25"/>
      <c r="F9" s="218"/>
      <c r="G9" s="230"/>
      <c r="H9" s="25"/>
      <c r="I9" s="207"/>
      <c r="J9" s="208"/>
      <c r="K9" s="222"/>
      <c r="L9" s="222"/>
      <c r="M9" s="25"/>
      <c r="N9" s="236"/>
      <c r="O9" s="25"/>
      <c r="P9" s="25"/>
      <c r="Q9" s="25"/>
      <c r="R9" s="25"/>
      <c r="S9" s="25"/>
      <c r="T9" s="25"/>
      <c r="U9" s="25"/>
      <c r="V9" s="25"/>
      <c r="W9" s="25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">
      <c r="A10" s="25"/>
      <c r="B10" s="25"/>
      <c r="C10" s="25"/>
      <c r="D10" s="25"/>
      <c r="E10" s="25"/>
      <c r="F10" s="218"/>
      <c r="G10" s="230"/>
      <c r="H10" s="25"/>
      <c r="I10" s="5"/>
      <c r="J10" s="5"/>
      <c r="K10" s="222"/>
      <c r="L10" s="222"/>
      <c r="M10" s="25"/>
      <c r="N10" s="23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">
      <c r="A11" s="25"/>
      <c r="B11" s="25"/>
      <c r="C11" s="25"/>
      <c r="D11" s="25"/>
      <c r="E11" s="25"/>
      <c r="F11" s="218"/>
      <c r="G11" s="25"/>
      <c r="H11" s="25"/>
      <c r="I11" s="246" t="s">
        <v>178</v>
      </c>
      <c r="J11" s="246" t="s">
        <v>289</v>
      </c>
      <c r="K11" s="25"/>
      <c r="L11" s="222"/>
      <c r="M11" s="25"/>
      <c r="N11" s="23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">
      <c r="A12" s="25"/>
      <c r="B12" s="25"/>
      <c r="C12" s="25"/>
      <c r="D12" s="25"/>
      <c r="E12" s="25"/>
      <c r="F12" s="234"/>
      <c r="G12" s="243"/>
      <c r="H12" s="25"/>
      <c r="I12" s="207">
        <v>1</v>
      </c>
      <c r="J12" s="208">
        <f>(1400+273+300)*1.1</f>
        <v>2170.3000000000002</v>
      </c>
      <c r="K12" s="223"/>
      <c r="L12" s="224"/>
      <c r="M12" s="25"/>
      <c r="N12" s="186"/>
      <c r="O12" s="187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">
      <c r="A13" s="25"/>
      <c r="B13" s="25"/>
      <c r="C13" s="25"/>
      <c r="D13" s="25"/>
      <c r="E13" s="25"/>
      <c r="F13" s="234"/>
      <c r="G13" s="243"/>
      <c r="H13" s="25"/>
      <c r="I13" s="207">
        <v>2</v>
      </c>
      <c r="J13" s="208">
        <v>330</v>
      </c>
      <c r="K13" s="225"/>
      <c r="L13" s="224"/>
      <c r="M13" s="25"/>
      <c r="N13" s="236"/>
      <c r="O13" s="226"/>
      <c r="P13" s="25"/>
      <c r="Q13" s="25"/>
      <c r="R13" s="25"/>
      <c r="S13" s="25"/>
      <c r="T13" s="25"/>
      <c r="U13" s="25"/>
      <c r="V13" s="25"/>
      <c r="W13" s="2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">
      <c r="A14" s="25"/>
      <c r="B14" s="25"/>
      <c r="C14" s="25"/>
      <c r="D14" s="25"/>
      <c r="E14" s="25"/>
      <c r="F14" s="234"/>
      <c r="G14" s="243"/>
      <c r="H14" s="25"/>
      <c r="I14" s="207">
        <v>3</v>
      </c>
      <c r="J14" s="208">
        <v>330</v>
      </c>
      <c r="K14" s="225"/>
      <c r="L14" s="224"/>
      <c r="M14" s="25"/>
      <c r="N14" s="236"/>
      <c r="O14" s="226"/>
      <c r="P14" s="25"/>
      <c r="Q14" s="25"/>
      <c r="R14" s="25"/>
      <c r="S14" s="25"/>
      <c r="T14" s="25"/>
      <c r="U14" s="25"/>
      <c r="V14" s="25"/>
      <c r="W14" s="2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">
      <c r="A15" s="25"/>
      <c r="B15" s="25"/>
      <c r="C15" s="25"/>
      <c r="D15" s="25"/>
      <c r="E15" s="25"/>
      <c r="F15" s="234"/>
      <c r="G15" s="243"/>
      <c r="H15" s="25"/>
      <c r="I15" s="207">
        <v>4</v>
      </c>
      <c r="J15" s="208">
        <v>330</v>
      </c>
      <c r="K15" s="225"/>
      <c r="L15" s="224"/>
      <c r="M15" s="25"/>
      <c r="N15" s="236"/>
      <c r="O15" s="226"/>
      <c r="P15" s="25"/>
      <c r="Q15" s="25"/>
      <c r="R15" s="25"/>
      <c r="S15" s="25"/>
      <c r="T15" s="25"/>
      <c r="U15" s="25"/>
      <c r="V15" s="25"/>
      <c r="W15" s="2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">
      <c r="A16" s="25"/>
      <c r="B16" s="25"/>
      <c r="C16" s="25"/>
      <c r="D16" s="25"/>
      <c r="E16" s="25"/>
      <c r="F16" s="234"/>
      <c r="G16" s="243"/>
      <c r="H16" s="25"/>
      <c r="I16" s="207">
        <v>5</v>
      </c>
      <c r="J16" s="208">
        <v>330</v>
      </c>
      <c r="K16" s="225"/>
      <c r="L16" s="224"/>
      <c r="M16" s="25"/>
      <c r="N16" s="236"/>
      <c r="O16" s="226"/>
      <c r="P16" s="25"/>
      <c r="Q16" s="25"/>
      <c r="R16" s="25"/>
      <c r="S16" s="25"/>
      <c r="T16" s="25"/>
      <c r="U16" s="25"/>
      <c r="V16" s="25"/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3">
      <c r="A17" s="235"/>
      <c r="B17" s="235"/>
      <c r="C17" s="25"/>
      <c r="D17" s="25"/>
      <c r="E17" s="25"/>
      <c r="F17" s="218"/>
      <c r="G17" s="230"/>
      <c r="H17" s="25"/>
      <c r="I17" s="305" t="s">
        <v>292</v>
      </c>
      <c r="J17" s="305"/>
      <c r="K17" s="305"/>
      <c r="L17" s="305"/>
      <c r="M17" s="5"/>
      <c r="N17" s="186"/>
      <c r="O17" s="304" t="s">
        <v>254</v>
      </c>
      <c r="P17" s="304"/>
      <c r="Q17" s="2"/>
      <c r="R17" s="2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3">
      <c r="A18" s="49" t="s">
        <v>165</v>
      </c>
      <c r="B18" s="189" t="str">
        <f>IF('Données projet'!$B$9="","",'Données projet'!$B$9)</f>
        <v>Cèdre de l'Atlas</v>
      </c>
      <c r="C18" s="5"/>
      <c r="D18" s="5"/>
      <c r="E18" s="5"/>
      <c r="F18" s="218"/>
      <c r="G18" s="230"/>
      <c r="H18" s="25"/>
      <c r="I18" s="5"/>
      <c r="J18" s="5"/>
      <c r="K18" s="5"/>
      <c r="L18" s="5"/>
      <c r="M18" s="5"/>
      <c r="N18" s="186"/>
      <c r="O18" s="271" t="s">
        <v>291</v>
      </c>
      <c r="P18" s="271"/>
      <c r="Q18" s="190">
        <f>VLOOKUP(Q17,Calculateur!$A$2:$H$153,3,0)/VLOOKUP('Scénario référence'!$G$15,Paramètres!A1:I88,3,0)/VLOOKUP('Scénario référence'!$G$15,Paramètres!A1:I88,5,0)</f>
        <v>0</v>
      </c>
      <c r="R18" s="2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3">
      <c r="A19" s="5"/>
      <c r="B19" s="5"/>
      <c r="C19" s="5"/>
      <c r="D19" s="5"/>
      <c r="E19" s="5"/>
      <c r="F19" s="218"/>
      <c r="G19" s="230"/>
      <c r="H19" s="25"/>
      <c r="I19" s="5"/>
      <c r="J19" s="188" t="s">
        <v>263</v>
      </c>
      <c r="K19" s="191" t="s">
        <v>249</v>
      </c>
      <c r="L19" s="188" t="s">
        <v>264</v>
      </c>
      <c r="M19" s="25"/>
      <c r="N19" s="186"/>
      <c r="O19" s="271" t="s">
        <v>255</v>
      </c>
      <c r="P19" s="271"/>
      <c r="Q19" s="209"/>
      <c r="R19" s="2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3">
      <c r="A20" s="188" t="s">
        <v>180</v>
      </c>
      <c r="B20" s="51" t="s">
        <v>256</v>
      </c>
      <c r="C20" s="51" t="s">
        <v>255</v>
      </c>
      <c r="D20" s="188" t="s">
        <v>252</v>
      </c>
      <c r="E20" s="188" t="s">
        <v>288</v>
      </c>
      <c r="F20" s="218"/>
      <c r="G20" s="231"/>
      <c r="H20" s="25"/>
      <c r="I20" s="188" t="str">
        <f>B18</f>
        <v>Cèdre de l'Atlas</v>
      </c>
      <c r="J20" s="192">
        <f>IF(B18&lt;&gt;"",-E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+(D41-E41)/(1+$J$6)^A41,0)</f>
        <v>-2390.1763470228193</v>
      </c>
      <c r="K20" s="193">
        <f>'Données projet'!D9</f>
        <v>4.4000000000000004</v>
      </c>
      <c r="L20" s="192">
        <f>K20*J20</f>
        <v>-10516.775926900405</v>
      </c>
      <c r="M20" s="25"/>
      <c r="N20" s="186"/>
      <c r="O20" s="271" t="s">
        <v>290</v>
      </c>
      <c r="P20" s="271"/>
      <c r="Q20" s="194">
        <f>Q18*Q19</f>
        <v>0</v>
      </c>
      <c r="R20" s="2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ht="15.75" customHeight="1" x14ac:dyDescent="0.3">
      <c r="A21" s="214">
        <v>0</v>
      </c>
      <c r="B21" s="217" t="s">
        <v>132</v>
      </c>
      <c r="C21" s="216" t="s">
        <v>132</v>
      </c>
      <c r="D21" s="215" t="s">
        <v>132</v>
      </c>
      <c r="E21" s="210">
        <f>2717*1.1</f>
        <v>2988.7000000000003</v>
      </c>
      <c r="F21" s="218"/>
      <c r="G21" s="231"/>
      <c r="H21" s="25"/>
      <c r="I21" s="188" t="str">
        <f>B44</f>
        <v>Douglas</v>
      </c>
      <c r="J21" s="192">
        <f>IF(B44&lt;&gt;"",-E47+(D48-E48)/(1+$J$6)^A48+(D49-D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+(D66-E66)/(1+$J$6)^A66+(D67-E67)/(1+$J$6)^A67,0)</f>
        <v>2639.7835184972482</v>
      </c>
      <c r="K21" s="193">
        <f>'Données projet'!D10</f>
        <v>0.99999999999999967</v>
      </c>
      <c r="L21" s="192">
        <f t="shared" ref="L21:L29" si="0">K21*J21</f>
        <v>2639.7835184972473</v>
      </c>
      <c r="M21" s="25"/>
      <c r="N21" s="236"/>
      <c r="O21" s="237"/>
      <c r="P21" s="237"/>
      <c r="Q21" s="232"/>
      <c r="R21" s="25"/>
      <c r="S21" s="25"/>
      <c r="T21" s="25"/>
      <c r="U21" s="25"/>
      <c r="V21" s="2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3">
      <c r="A22" s="195">
        <f>'Données projet'!A36</f>
        <v>30</v>
      </c>
      <c r="B22" s="196">
        <f>'Données projet'!D36</f>
        <v>40</v>
      </c>
      <c r="C22" s="210">
        <f>'Données projet'!E36*30+('Données projet'!F36+'Données projet'!G36)*19.4+'Données projet'!H36*10</f>
        <v>19.399999999999999</v>
      </c>
      <c r="D22" s="197">
        <f>B22*C22</f>
        <v>776</v>
      </c>
      <c r="E22" s="210"/>
      <c r="F22" s="218"/>
      <c r="G22" s="227"/>
      <c r="H22" s="25"/>
      <c r="I22" s="188" t="str">
        <f>B70</f>
        <v/>
      </c>
      <c r="J22" s="192">
        <f>IF(B70&lt;&gt;"",-E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+(D91-E91)/(1+$J$6)^A91+(D92-E92)/(1+$J$6)^A92+(D93-E93)/(1+$J$6)^A93,0)</f>
        <v>0</v>
      </c>
      <c r="K22" s="193">
        <f>'Données projet'!D11</f>
        <v>0</v>
      </c>
      <c r="L22" s="192">
        <f t="shared" si="0"/>
        <v>0</v>
      </c>
      <c r="M22" s="25"/>
      <c r="N22" s="236"/>
      <c r="O22" s="25"/>
      <c r="P22" s="25"/>
      <c r="Q22" s="25"/>
      <c r="R22" s="25"/>
      <c r="S22" s="25"/>
      <c r="T22" s="25"/>
      <c r="U22" s="25"/>
      <c r="V22" s="2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3">
      <c r="A23" s="195">
        <f>'Données projet'!A37</f>
        <v>40</v>
      </c>
      <c r="B23" s="196">
        <f>'Données projet'!D37</f>
        <v>40</v>
      </c>
      <c r="C23" s="210">
        <f>'Données projet'!E37*30+('Données projet'!F37+'Données projet'!G37)*19.4+'Données projet'!H37*10</f>
        <v>21.52</v>
      </c>
      <c r="D23" s="197">
        <f t="shared" ref="D23:D41" si="1">B23*C23</f>
        <v>860.8</v>
      </c>
      <c r="E23" s="210"/>
      <c r="F23" s="219"/>
      <c r="G23" s="227"/>
      <c r="H23" s="25"/>
      <c r="I23" s="188" t="str">
        <f>B96</f>
        <v/>
      </c>
      <c r="J23" s="192">
        <f>IF(B96&lt;&gt;"",-E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+(D116-E116)/(1+$J$6)^A116+(D117-E117)/(1+$J$6)^A117+(D118-E118)/(1+$J$6)^A118+(D119-E119)/(1+$J$6)^A119,0)</f>
        <v>0</v>
      </c>
      <c r="K23" s="193">
        <f>'Données projet'!D12</f>
        <v>0</v>
      </c>
      <c r="L23" s="192">
        <f t="shared" si="0"/>
        <v>0</v>
      </c>
      <c r="M23" s="226"/>
      <c r="N23" s="198"/>
      <c r="O23" s="308" t="s">
        <v>261</v>
      </c>
      <c r="P23" s="308"/>
      <c r="Q23" s="308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60" x14ac:dyDescent="0.3">
      <c r="A24" s="195">
        <f>'Données projet'!A38</f>
        <v>50</v>
      </c>
      <c r="B24" s="196">
        <f>'Données projet'!D38</f>
        <v>30</v>
      </c>
      <c r="C24" s="210">
        <f>'Données projet'!E38*30+('Données projet'!F38+'Données projet'!G38)*19.4+'Données projet'!H38*10</f>
        <v>23.64</v>
      </c>
      <c r="D24" s="197">
        <f t="shared" si="1"/>
        <v>709.2</v>
      </c>
      <c r="E24" s="210"/>
      <c r="F24" s="219"/>
      <c r="G24" s="227"/>
      <c r="H24" s="25"/>
      <c r="I24" s="188" t="str">
        <f>B122</f>
        <v/>
      </c>
      <c r="J24" s="192">
        <f>IF(B122&lt;&gt;"",-E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+(D141-E141)/(1+$J$6)^A141+(D142-E142)/(1+$J$6)^A142+(D143-E143)/(1+$J$6)^A143+(D144-E144)/(1+$J$6)^A144+(D145-E145)/(1+$J$6)^A145,0)</f>
        <v>0</v>
      </c>
      <c r="K24" s="193">
        <f>'Données projet'!D13</f>
        <v>0</v>
      </c>
      <c r="L24" s="192">
        <f t="shared" si="0"/>
        <v>0</v>
      </c>
      <c r="M24" s="25"/>
      <c r="N24" s="186"/>
      <c r="O24" s="306" t="s">
        <v>286</v>
      </c>
      <c r="P24" s="306"/>
      <c r="Q24" s="306"/>
      <c r="R24" s="306"/>
      <c r="S24" s="306"/>
      <c r="T24" s="209">
        <v>0</v>
      </c>
      <c r="U24" s="25"/>
      <c r="V24" s="25"/>
      <c r="W24" s="2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ht="15" customHeight="1" x14ac:dyDescent="0.3">
      <c r="A25" s="195">
        <f>'Données projet'!A39</f>
        <v>60</v>
      </c>
      <c r="B25" s="196">
        <f>'Données projet'!D39</f>
        <v>30</v>
      </c>
      <c r="C25" s="210">
        <f>'Données projet'!E39*30+('Données projet'!F39+'Données projet'!G39)*19.4+'Données projet'!H39*10</f>
        <v>23.64</v>
      </c>
      <c r="D25" s="197">
        <f t="shared" si="1"/>
        <v>709.2</v>
      </c>
      <c r="E25" s="210"/>
      <c r="F25" s="219"/>
      <c r="G25" s="227"/>
      <c r="H25" s="25"/>
      <c r="I25" s="188" t="str">
        <f>B148</f>
        <v/>
      </c>
      <c r="J25" s="192">
        <f>IF(B148&lt;&gt;"",-E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+(D166-E166)/(1+$J$6)^A166+(D167-E167)/(1+$J$6)^A167+(D168-E168)/(1+$J$6)^A168+(D169-E169)/(1+$J$6)^A169+(D170-E170)/(1+$J$6)^A170+(D171-E171)/(1+$J$6)^A171,0)</f>
        <v>0</v>
      </c>
      <c r="K25" s="193">
        <f>'Données projet'!D14</f>
        <v>0</v>
      </c>
      <c r="L25" s="192">
        <f t="shared" si="0"/>
        <v>0</v>
      </c>
      <c r="M25" s="25"/>
      <c r="N25" s="186"/>
      <c r="O25" s="307" t="s">
        <v>258</v>
      </c>
      <c r="P25" s="307"/>
      <c r="Q25" s="307"/>
      <c r="R25" s="307"/>
      <c r="S25" s="307"/>
      <c r="T25" s="307"/>
      <c r="U25" s="25"/>
      <c r="V25" s="25"/>
      <c r="W25" s="2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3">
      <c r="A26" s="195">
        <f>'Données projet'!A40</f>
        <v>70</v>
      </c>
      <c r="B26" s="196">
        <f>'Données projet'!D40</f>
        <v>30</v>
      </c>
      <c r="C26" s="210">
        <f>'Données projet'!E40*30+('Données projet'!F40+'Données projet'!G40)*19.4+'Données projet'!H40*10</f>
        <v>25.759999999999998</v>
      </c>
      <c r="D26" s="197">
        <f t="shared" si="1"/>
        <v>772.8</v>
      </c>
      <c r="E26" s="210"/>
      <c r="F26" s="219"/>
      <c r="G26" s="227"/>
      <c r="H26" s="25"/>
      <c r="I26" s="188" t="str">
        <f>B174</f>
        <v/>
      </c>
      <c r="J26" s="192">
        <f>IF(B174&lt;&gt;"",-E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+(D191-E191)/(1+$J$6)^A191+(D192-E192)/(1+$J$6)^A192+(D193-E193)/(1+$J$6)^A193+(D194-E194)/(1+$J$6)^A194+(D195-E195)/(1+$J$6)^A195+(D196-E196)/(1+$J$6)^A196+(D197-E197)/(1+$J$6)^A197,0)</f>
        <v>0</v>
      </c>
      <c r="K26" s="193">
        <f>'Données projet'!D15</f>
        <v>0</v>
      </c>
      <c r="L26" s="192">
        <f t="shared" si="0"/>
        <v>0</v>
      </c>
      <c r="M26" s="25"/>
      <c r="N26" s="186"/>
      <c r="O26" s="307"/>
      <c r="P26" s="307"/>
      <c r="Q26" s="307"/>
      <c r="R26" s="307"/>
      <c r="S26" s="307"/>
      <c r="T26" s="307"/>
      <c r="U26" s="25"/>
      <c r="V26" s="25"/>
      <c r="W26" s="2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60" x14ac:dyDescent="0.3">
      <c r="A27" s="195">
        <f>'Données projet'!A41</f>
        <v>80</v>
      </c>
      <c r="B27" s="196">
        <f>'Données projet'!D41</f>
        <v>30</v>
      </c>
      <c r="C27" s="210">
        <f>'Données projet'!E41*30+('Données projet'!F41+'Données projet'!G41)*19.4+'Données projet'!H41*10</f>
        <v>25.759999999999998</v>
      </c>
      <c r="D27" s="197">
        <f t="shared" si="1"/>
        <v>772.8</v>
      </c>
      <c r="E27" s="210"/>
      <c r="F27" s="219"/>
      <c r="G27" s="227"/>
      <c r="H27" s="25"/>
      <c r="I27" s="188" t="str">
        <f>B200</f>
        <v/>
      </c>
      <c r="J27" s="192">
        <f>IF(B200&lt;&gt;"",-E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+(D216-E216)/(1+$J$6)^A216+(D217-E217)/(1+$J$6)^A217+(D218-E218)/(1+$J$6)^A218+(D219-E219)/(1+$J$6)^A219+(D220-E220)/(1+$J$6)^A220+(D221-E221)/(1+$J$6)^A221+(D222-E222)/(1+$J$6)^A222+(D223-E223)/(1+$J$6)^A223,0)</f>
        <v>0</v>
      </c>
      <c r="K27" s="193">
        <f>'Données projet'!D16</f>
        <v>0</v>
      </c>
      <c r="L27" s="192">
        <f t="shared" si="0"/>
        <v>0</v>
      </c>
      <c r="M27" s="25"/>
      <c r="N27" s="186"/>
      <c r="O27" s="199"/>
      <c r="P27" s="199"/>
      <c r="Q27" s="199"/>
      <c r="R27" s="199"/>
      <c r="S27" s="199"/>
      <c r="T27" s="245"/>
      <c r="U27" s="25"/>
      <c r="V27" s="25"/>
      <c r="W27" s="2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60" x14ac:dyDescent="0.3">
      <c r="A28" s="195">
        <f>'Données projet'!A42</f>
        <v>90</v>
      </c>
      <c r="B28" s="196">
        <f>'Données projet'!D42</f>
        <v>30</v>
      </c>
      <c r="C28" s="210">
        <f>'Données projet'!E42*30+('Données projet'!F42+'Données projet'!G42)*19.4+'Données projet'!H42*10</f>
        <v>27.88</v>
      </c>
      <c r="D28" s="197">
        <f t="shared" si="1"/>
        <v>836.4</v>
      </c>
      <c r="E28" s="210"/>
      <c r="F28" s="219"/>
      <c r="G28" s="227"/>
      <c r="H28" s="25"/>
      <c r="I28" s="188" t="str">
        <f>B226</f>
        <v/>
      </c>
      <c r="J28" s="192">
        <f>IF(B226&lt;&gt;"",-E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+(D241-E241)/(1+$J$6)^A241+(D242-E242)/(1+$J$6)^A242+(D243-E243)/(1+$J$6)^A243+(D244-E244)/(1+$J$6)^A244+(D245-E245)/(1+$J$6)^A245+(D246-E246)/(1+$J$6)^A246+(D247-E247)/(1+$J$6)^A247+(D248-E248)/(1+$J$6)^A248+(D249-E249)/(1+$J$6)^A249,0)</f>
        <v>0</v>
      </c>
      <c r="K28" s="193">
        <f>'Données projet'!D17</f>
        <v>0</v>
      </c>
      <c r="L28" s="192">
        <f t="shared" si="0"/>
        <v>0</v>
      </c>
      <c r="M28" s="25"/>
      <c r="N28" s="186"/>
      <c r="O28" s="188" t="s">
        <v>259</v>
      </c>
      <c r="P28" s="200">
        <f ca="1">SUM(OFFSET($S$29,0,0,MIN('Données projet'!$E$9:$E$18)+1,1))</f>
        <v>0</v>
      </c>
      <c r="Q28" s="5"/>
      <c r="R28" s="93" t="s">
        <v>178</v>
      </c>
      <c r="S28" s="93" t="s">
        <v>252</v>
      </c>
      <c r="T28" s="25"/>
      <c r="U28" s="25"/>
      <c r="V28" s="25"/>
      <c r="W28" s="2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">
      <c r="A29" s="195">
        <f>'Données projet'!A43</f>
        <v>100</v>
      </c>
      <c r="B29" s="196">
        <f>'Données projet'!D43</f>
        <v>20</v>
      </c>
      <c r="C29" s="210">
        <f>'Données projet'!E43*30+('Données projet'!F43+'Données projet'!G43)*19.4+'Données projet'!H43*10</f>
        <v>27.88</v>
      </c>
      <c r="D29" s="197">
        <f t="shared" si="1"/>
        <v>557.6</v>
      </c>
      <c r="E29" s="210"/>
      <c r="F29" s="219"/>
      <c r="G29" s="227"/>
      <c r="H29" s="25"/>
      <c r="I29" s="188" t="str">
        <f>B252</f>
        <v/>
      </c>
      <c r="J29" s="192">
        <f>IF(B252&lt;&gt;"",-E255+(D256-E256)/(1+$J$6)^A256+(D257-D257)/(1+$J$6)^A257+(D258-E258)/(1+$J$6)^A258+(D259-E259)/(1+$J$6)^A259+(D260-E260)/(1+$J$6)^A260+(D261-E261)/(1+$J$6)^A261+(D262-E262)/(1+$J$6)^A262+(D263-E263)/(1+$J$6)^A263+(D264-E264)/(1+$J$6)^A264+(D265-E265)/(1+$J$6)^A265+(D266-E266)/(1+$J$6)^A266+(D267-E267)/(1+$J$6)^A267+(D268-E268)/(1+$J$6)^A268+(D269-E269)/(1+$J$6)^A269+(D270-E270)/(1+$J$6)^A270+(D271-E271)/(1+$J$6)^A271+(D272-E272)/(1+$J$6)^A272+(D273-E273)/(1+$J$6)^A273+(D274-E274)/(1+$J$6)^A274+(D275-E275)/(1+$J$6)^A275,0)</f>
        <v>0</v>
      </c>
      <c r="K29" s="193">
        <f>'Données projet'!D18</f>
        <v>0</v>
      </c>
      <c r="L29" s="192">
        <f t="shared" si="0"/>
        <v>0</v>
      </c>
      <c r="M29" s="25"/>
      <c r="N29" s="186"/>
      <c r="O29" s="5"/>
      <c r="P29" s="5"/>
      <c r="Q29" s="5"/>
      <c r="R29" s="211">
        <v>0</v>
      </c>
      <c r="S29" s="201">
        <f>$T$24/(1+$J$6)^R29</f>
        <v>0</v>
      </c>
      <c r="T29" s="25"/>
      <c r="U29" s="25"/>
      <c r="V29" s="25"/>
      <c r="W29" s="2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">
      <c r="A30" s="195">
        <f>'Données projet'!A44</f>
        <v>110</v>
      </c>
      <c r="B30" s="196">
        <f>'Données projet'!D44</f>
        <v>20</v>
      </c>
      <c r="C30" s="210">
        <f>'Données projet'!E44*30+('Données projet'!F44+'Données projet'!G44)*19.4+'Données projet'!H44*10</f>
        <v>27.88</v>
      </c>
      <c r="D30" s="197">
        <f t="shared" si="1"/>
        <v>557.6</v>
      </c>
      <c r="E30" s="210"/>
      <c r="F30" s="219"/>
      <c r="G30" s="227"/>
      <c r="H30" s="25"/>
      <c r="M30" s="5"/>
      <c r="N30" s="186"/>
      <c r="O30" s="301" t="s">
        <v>260</v>
      </c>
      <c r="P30" s="301"/>
      <c r="Q30" s="302"/>
      <c r="R30" s="211">
        <f>IF(R29+1&lt;=MIN('Données projet'!$E$9:$E$18),R29+1,"STOP")</f>
        <v>1</v>
      </c>
      <c r="S30" s="201">
        <f t="shared" ref="S30:S46" si="2">$T$24/(1+$J$6)^R30</f>
        <v>0</v>
      </c>
      <c r="T30" s="25"/>
      <c r="U30" s="25"/>
      <c r="V30" s="25"/>
      <c r="W30" s="2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">
      <c r="A31" s="195">
        <f>'Données projet'!A45</f>
        <v>140</v>
      </c>
      <c r="B31" s="196">
        <f>'Données projet'!D45</f>
        <v>490</v>
      </c>
      <c r="C31" s="210">
        <f>'Données projet'!E45*30+('Données projet'!F45+'Données projet'!G45)*19.4+'Données projet'!H45*10</f>
        <v>27.88</v>
      </c>
      <c r="D31" s="197">
        <f t="shared" si="1"/>
        <v>13661.199999999999</v>
      </c>
      <c r="E31" s="210"/>
      <c r="F31" s="219"/>
      <c r="G31" s="227"/>
      <c r="H31" s="25"/>
      <c r="I31" s="25"/>
      <c r="J31" s="25"/>
      <c r="K31" s="25"/>
      <c r="L31" s="25"/>
      <c r="M31" s="5"/>
      <c r="N31" s="186"/>
      <c r="O31" s="301" t="s">
        <v>297</v>
      </c>
      <c r="P31" s="301"/>
      <c r="Q31" s="302"/>
      <c r="R31" s="211">
        <f>IF(R30+1&lt;=MIN('Données projet'!$E$9:$E$18),R30+1,"STOP")</f>
        <v>2</v>
      </c>
      <c r="S31" s="201">
        <f t="shared" si="2"/>
        <v>0</v>
      </c>
      <c r="T31" s="25"/>
      <c r="U31" s="25"/>
      <c r="V31" s="25"/>
      <c r="W31" s="2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">
      <c r="A32" s="195">
        <f>'Données projet'!A46</f>
        <v>0</v>
      </c>
      <c r="B32" s="196">
        <f>'Données projet'!D46</f>
        <v>0</v>
      </c>
      <c r="C32" s="210"/>
      <c r="D32" s="197">
        <f t="shared" si="1"/>
        <v>0</v>
      </c>
      <c r="E32" s="210"/>
      <c r="F32" s="219"/>
      <c r="G32" s="227"/>
      <c r="H32" s="25"/>
      <c r="I32" s="25"/>
      <c r="J32" s="25"/>
      <c r="K32" s="25"/>
      <c r="L32" s="25"/>
      <c r="M32" s="5"/>
      <c r="N32" s="236"/>
      <c r="O32" s="25"/>
      <c r="P32" s="25"/>
      <c r="Q32" s="25"/>
      <c r="R32" s="211">
        <f>IF(R31+1&lt;=MIN('Données projet'!$E$9:$E$18),R31+1,"STOP")</f>
        <v>3</v>
      </c>
      <c r="S32" s="201">
        <f t="shared" si="2"/>
        <v>0</v>
      </c>
      <c r="T32" s="25"/>
      <c r="U32" s="25"/>
      <c r="V32" s="25"/>
      <c r="W32" s="2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">
      <c r="A33" s="195">
        <f>'Données projet'!A47</f>
        <v>0</v>
      </c>
      <c r="B33" s="196">
        <f>'Données projet'!D47</f>
        <v>0</v>
      </c>
      <c r="C33" s="210"/>
      <c r="D33" s="197">
        <f t="shared" si="1"/>
        <v>0</v>
      </c>
      <c r="E33" s="210"/>
      <c r="F33" s="219"/>
      <c r="G33" s="227"/>
      <c r="H33" s="25"/>
      <c r="I33" s="188" t="s">
        <v>265</v>
      </c>
      <c r="J33" s="311">
        <f>SUM(L20:L29) - (J12/(1+J6)^I12 + J13/(1+J6)^I13 + J14/(1+J6)^I14 + J15/(1+J6)^I15 + J16/(1+J6)^I16 + J9/(1+J6)^I9)*'Données projet'!C5</f>
        <v>-25209.615177502401</v>
      </c>
      <c r="K33" s="311"/>
      <c r="L33" s="311"/>
      <c r="M33" s="25"/>
      <c r="N33" s="236"/>
      <c r="O33" s="25"/>
      <c r="P33" s="25"/>
      <c r="Q33" s="25"/>
      <c r="R33" s="211">
        <f>IF(R32+1&lt;=MIN('Données projet'!$E$9:$E$18),R32+1,"STOP")</f>
        <v>4</v>
      </c>
      <c r="S33" s="201">
        <f t="shared" si="2"/>
        <v>0</v>
      </c>
      <c r="T33" s="25"/>
      <c r="U33" s="25"/>
      <c r="V33" s="25"/>
      <c r="W33" s="2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">
      <c r="A34" s="195">
        <f>'Données projet'!A48</f>
        <v>0</v>
      </c>
      <c r="B34" s="196">
        <f>'Données projet'!D48</f>
        <v>0</v>
      </c>
      <c r="C34" s="210"/>
      <c r="D34" s="197">
        <f t="shared" si="1"/>
        <v>0</v>
      </c>
      <c r="E34" s="210"/>
      <c r="F34" s="219"/>
      <c r="G34" s="227"/>
      <c r="H34" s="25"/>
      <c r="I34" s="188" t="s">
        <v>262</v>
      </c>
      <c r="J34" s="312">
        <f ca="1">'Scénario référence'!$B$8*$P$28*'Données projet'!$C$5+('Scénario référence'!B9+'Scénario référence'!B10+'Scénario référence'!F8+'Scénario référence'!F9)*$Q$20/(1+J6)^Q17*'Données projet'!$C$5</f>
        <v>0</v>
      </c>
      <c r="K34" s="312"/>
      <c r="L34" s="312"/>
      <c r="M34" s="25"/>
      <c r="N34" s="236"/>
      <c r="O34" s="25"/>
      <c r="P34" s="25"/>
      <c r="Q34" s="25"/>
      <c r="R34" s="211">
        <f>IF(R33+1&lt;=MIN('Données projet'!$E$9:$E$18),R33+1,"STOP")</f>
        <v>5</v>
      </c>
      <c r="S34" s="201">
        <f t="shared" si="2"/>
        <v>0</v>
      </c>
      <c r="T34" s="25"/>
      <c r="U34" s="25"/>
      <c r="V34" s="25"/>
      <c r="W34" s="2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">
      <c r="A35" s="195">
        <f>'Données projet'!A49</f>
        <v>0</v>
      </c>
      <c r="B35" s="196">
        <f>'Données projet'!D49</f>
        <v>0</v>
      </c>
      <c r="C35" s="210"/>
      <c r="D35" s="197">
        <f t="shared" si="1"/>
        <v>0</v>
      </c>
      <c r="E35" s="210"/>
      <c r="F35" s="219"/>
      <c r="G35" s="227"/>
      <c r="H35" s="25"/>
      <c r="I35" s="202" t="s">
        <v>267</v>
      </c>
      <c r="J35" s="313">
        <f ca="1">J33-J34</f>
        <v>-25209.615177502401</v>
      </c>
      <c r="K35" s="313"/>
      <c r="L35" s="313"/>
      <c r="M35" s="25"/>
      <c r="N35" s="236"/>
      <c r="O35" s="25"/>
      <c r="P35" s="25"/>
      <c r="Q35" s="25"/>
      <c r="R35" s="211">
        <f>IF(R34+1&lt;=MIN('Données projet'!$E$9:$E$18),R34+1,"STOP")</f>
        <v>6</v>
      </c>
      <c r="S35" s="201">
        <f t="shared" si="2"/>
        <v>0</v>
      </c>
      <c r="T35" s="25"/>
      <c r="U35" s="25"/>
      <c r="V35" s="25"/>
      <c r="W35" s="2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">
      <c r="A36" s="195">
        <f>'Données projet'!A50</f>
        <v>0</v>
      </c>
      <c r="B36" s="196">
        <f>'Données projet'!D50</f>
        <v>0</v>
      </c>
      <c r="C36" s="210"/>
      <c r="D36" s="197">
        <f t="shared" si="1"/>
        <v>0</v>
      </c>
      <c r="E36" s="210"/>
      <c r="F36" s="219"/>
      <c r="G36" s="227"/>
      <c r="H36" s="25"/>
      <c r="I36" s="202" t="s">
        <v>266</v>
      </c>
      <c r="J36" s="310" t="str">
        <f ca="1">IF(J35&lt;0,"Votre projet est additionnel","Votre projet n'est pas additionnel")</f>
        <v>Votre projet est additionnel</v>
      </c>
      <c r="K36" s="310"/>
      <c r="L36" s="310"/>
      <c r="M36" s="25"/>
      <c r="N36" s="236"/>
      <c r="O36" s="25"/>
      <c r="P36" s="25"/>
      <c r="Q36" s="25"/>
      <c r="R36" s="211">
        <f>IF(R35+1&lt;=MIN('Données projet'!$E$9:$E$18),R35+1,"STOP")</f>
        <v>7</v>
      </c>
      <c r="S36" s="201">
        <f t="shared" si="2"/>
        <v>0</v>
      </c>
      <c r="T36" s="2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">
      <c r="A37" s="195">
        <f>'Données projet'!A51</f>
        <v>0</v>
      </c>
      <c r="B37" s="196">
        <f>'Données projet'!D51</f>
        <v>0</v>
      </c>
      <c r="C37" s="210"/>
      <c r="D37" s="197">
        <f t="shared" si="1"/>
        <v>0</v>
      </c>
      <c r="E37" s="210"/>
      <c r="F37" s="219"/>
      <c r="G37" s="227"/>
      <c r="H37" s="25"/>
      <c r="I37" s="314" t="s">
        <v>268</v>
      </c>
      <c r="J37" s="314"/>
      <c r="K37" s="314"/>
      <c r="L37" s="314"/>
      <c r="M37" s="25"/>
      <c r="N37" s="236"/>
      <c r="O37" s="25"/>
      <c r="P37" s="25"/>
      <c r="Q37" s="25"/>
      <c r="R37" s="211">
        <f>IF(R36+1&lt;=MIN('Données projet'!$E$9:$E$18),R36+1,"STOP")</f>
        <v>8</v>
      </c>
      <c r="S37" s="201">
        <f t="shared" si="2"/>
        <v>0</v>
      </c>
      <c r="T37" s="2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">
      <c r="A38" s="195">
        <f>'Données projet'!A52</f>
        <v>0</v>
      </c>
      <c r="B38" s="196">
        <f>'Données projet'!D52</f>
        <v>0</v>
      </c>
      <c r="C38" s="210"/>
      <c r="D38" s="197">
        <f t="shared" si="1"/>
        <v>0</v>
      </c>
      <c r="E38" s="210"/>
      <c r="F38" s="219"/>
      <c r="G38" s="227"/>
      <c r="H38" s="25"/>
      <c r="I38" s="25"/>
      <c r="J38" s="25"/>
      <c r="K38" s="25"/>
      <c r="L38" s="25"/>
      <c r="M38" s="25"/>
      <c r="N38" s="236"/>
      <c r="O38" s="25"/>
      <c r="P38" s="25"/>
      <c r="Q38" s="25"/>
      <c r="R38" s="211">
        <f>IF(R37+1&lt;=MIN('Données projet'!$E$9:$E$18),R37+1,"STOP")</f>
        <v>9</v>
      </c>
      <c r="S38" s="201">
        <f t="shared" si="2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">
      <c r="A39" s="195">
        <f>'Données projet'!A53</f>
        <v>0</v>
      </c>
      <c r="B39" s="196">
        <f>'Données projet'!D53</f>
        <v>0</v>
      </c>
      <c r="C39" s="210"/>
      <c r="D39" s="197">
        <f t="shared" si="1"/>
        <v>0</v>
      </c>
      <c r="E39" s="210"/>
      <c r="F39" s="219"/>
      <c r="G39" s="227"/>
      <c r="H39" s="25"/>
      <c r="I39" s="25"/>
      <c r="J39" s="25"/>
      <c r="K39" s="25"/>
      <c r="L39" s="25"/>
      <c r="M39" s="25"/>
      <c r="N39" s="236"/>
      <c r="O39" s="25"/>
      <c r="P39" s="25"/>
      <c r="Q39" s="25"/>
      <c r="R39" s="211">
        <f>IF(R38+1&lt;=MIN('Données projet'!$E$9:$E$18),R38+1,"STOP")</f>
        <v>10</v>
      </c>
      <c r="S39" s="201">
        <f t="shared" si="2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">
      <c r="A40" s="195">
        <f>'Données projet'!A54</f>
        <v>0</v>
      </c>
      <c r="B40" s="196">
        <f>'Données projet'!D54</f>
        <v>0</v>
      </c>
      <c r="C40" s="210"/>
      <c r="D40" s="197">
        <f t="shared" si="1"/>
        <v>0</v>
      </c>
      <c r="E40" s="210"/>
      <c r="F40" s="219"/>
      <c r="G40" s="227"/>
      <c r="H40" s="25"/>
      <c r="I40" s="25"/>
      <c r="J40" s="25"/>
      <c r="K40" s="25"/>
      <c r="L40" s="25"/>
      <c r="M40" s="25"/>
      <c r="N40" s="236"/>
      <c r="O40" s="25"/>
      <c r="P40" s="25"/>
      <c r="Q40" s="25"/>
      <c r="R40" s="211">
        <f>IF(R39+1&lt;=MIN('Données projet'!$E$9:$E$18),R39+1,"STOP")</f>
        <v>11</v>
      </c>
      <c r="S40" s="201">
        <f t="shared" si="2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3">
      <c r="A41" s="195">
        <f>'Données projet'!A55</f>
        <v>0</v>
      </c>
      <c r="B41" s="196">
        <f>'Données projet'!D55</f>
        <v>0</v>
      </c>
      <c r="C41" s="210"/>
      <c r="D41" s="197">
        <f t="shared" si="1"/>
        <v>0</v>
      </c>
      <c r="E41" s="210"/>
      <c r="F41" s="219"/>
      <c r="G41" s="227"/>
      <c r="H41" s="25"/>
      <c r="I41" s="25"/>
      <c r="J41" s="25"/>
      <c r="K41" s="25"/>
      <c r="L41" s="25"/>
      <c r="M41" s="25"/>
      <c r="N41" s="236"/>
      <c r="O41" s="25"/>
      <c r="P41" s="25"/>
      <c r="Q41" s="25"/>
      <c r="R41" s="211">
        <f>IF(R40+1&lt;=MIN('Données projet'!$E$9:$E$18),R40+1,"STOP")</f>
        <v>12</v>
      </c>
      <c r="S41" s="201">
        <f t="shared" si="2"/>
        <v>0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s="212" customFormat="1" ht="47.25" customHeight="1" x14ac:dyDescent="0.3">
      <c r="A42" s="203"/>
      <c r="B42" s="203"/>
      <c r="C42" s="203"/>
      <c r="D42" s="203"/>
      <c r="E42" s="305" t="s">
        <v>293</v>
      </c>
      <c r="F42" s="309"/>
      <c r="G42" s="228"/>
      <c r="H42" s="229"/>
      <c r="I42" s="229"/>
      <c r="J42" s="229"/>
      <c r="K42" s="229"/>
      <c r="L42" s="229"/>
      <c r="M42" s="229"/>
      <c r="N42" s="238"/>
      <c r="O42" s="229"/>
      <c r="P42" s="229"/>
      <c r="Q42" s="229"/>
      <c r="R42" s="211">
        <f>IF(R41+1&lt;=MIN('Données projet'!$E$9:$E$18),R41+1,"STOP")</f>
        <v>13</v>
      </c>
      <c r="S42" s="204">
        <f t="shared" si="2"/>
        <v>0</v>
      </c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</row>
    <row r="43" spans="1:60" x14ac:dyDescent="0.3">
      <c r="A43" s="5"/>
      <c r="B43" s="5"/>
      <c r="C43" s="5"/>
      <c r="D43" s="5"/>
      <c r="E43" s="5"/>
      <c r="F43" s="218"/>
      <c r="G43" s="230"/>
      <c r="H43" s="25"/>
      <c r="I43" s="25"/>
      <c r="J43" s="25"/>
      <c r="K43" s="25"/>
      <c r="L43" s="25"/>
      <c r="M43" s="25"/>
      <c r="N43" s="186"/>
      <c r="O43" s="5"/>
      <c r="P43" s="5"/>
      <c r="Q43" s="5"/>
      <c r="R43" s="211">
        <f>IF(R42+1&lt;=MIN('Données projet'!$E$9:$E$18),R42+1,"STOP")</f>
        <v>14</v>
      </c>
      <c r="S43" s="201">
        <f t="shared" si="2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">
      <c r="A44" s="49" t="s">
        <v>166</v>
      </c>
      <c r="B44" s="189" t="str">
        <f>IF('Données projet'!$B$10="","",'Données projet'!$B$10)</f>
        <v>Douglas</v>
      </c>
      <c r="C44" s="5"/>
      <c r="D44" s="5"/>
      <c r="E44" s="5"/>
      <c r="F44" s="218"/>
      <c r="G44" s="230"/>
      <c r="H44" s="25"/>
      <c r="I44" s="25"/>
      <c r="J44" s="25"/>
      <c r="K44" s="25"/>
      <c r="L44" s="25"/>
      <c r="M44" s="25"/>
      <c r="N44" s="186"/>
      <c r="O44" s="5"/>
      <c r="P44" s="5"/>
      <c r="Q44" s="5"/>
      <c r="R44" s="211">
        <f>IF(R43+1&lt;=MIN('Données projet'!$E$9:$E$18),R43+1,"STOP")</f>
        <v>15</v>
      </c>
      <c r="S44" s="201">
        <f t="shared" si="2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3">
      <c r="A45" s="5"/>
      <c r="B45" s="5"/>
      <c r="C45" s="5"/>
      <c r="D45" s="5"/>
      <c r="E45" s="5"/>
      <c r="F45" s="218"/>
      <c r="G45" s="230"/>
      <c r="H45" s="25"/>
      <c r="I45" s="25"/>
      <c r="J45" s="25"/>
      <c r="K45" s="25"/>
      <c r="L45" s="25"/>
      <c r="M45" s="25"/>
      <c r="N45" s="186"/>
      <c r="O45" s="5"/>
      <c r="P45" s="5"/>
      <c r="Q45" s="5"/>
      <c r="R45" s="211">
        <f>IF(R44+1&lt;=MIN('Données projet'!$E$9:$E$18),R44+1,"STOP")</f>
        <v>16</v>
      </c>
      <c r="S45" s="201">
        <f t="shared" si="2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15" customHeight="1" x14ac:dyDescent="0.3">
      <c r="A46" s="188" t="s">
        <v>180</v>
      </c>
      <c r="B46" s="51" t="s">
        <v>256</v>
      </c>
      <c r="C46" s="51" t="s">
        <v>255</v>
      </c>
      <c r="D46" s="188" t="s">
        <v>252</v>
      </c>
      <c r="E46" s="188" t="s">
        <v>288</v>
      </c>
      <c r="F46" s="220"/>
      <c r="G46" s="231"/>
      <c r="H46" s="25"/>
      <c r="I46" s="25"/>
      <c r="J46" s="25"/>
      <c r="K46" s="25"/>
      <c r="L46" s="25"/>
      <c r="M46" s="25"/>
      <c r="N46" s="186"/>
      <c r="O46" s="5"/>
      <c r="P46" s="5"/>
      <c r="Q46" s="5"/>
      <c r="R46" s="211">
        <f>IF(R45+1&lt;=MIN('Données projet'!$E$9:$E$18),R45+1,"STOP")</f>
        <v>17</v>
      </c>
      <c r="S46" s="201">
        <f t="shared" si="2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15" customHeight="1" x14ac:dyDescent="0.3">
      <c r="A47" s="214">
        <v>0</v>
      </c>
      <c r="B47" s="217" t="s">
        <v>132</v>
      </c>
      <c r="C47" s="216" t="s">
        <v>132</v>
      </c>
      <c r="D47" s="215" t="s">
        <v>132</v>
      </c>
      <c r="E47" s="210">
        <f>1300*1.1</f>
        <v>1430.0000000000002</v>
      </c>
      <c r="F47" s="220"/>
      <c r="G47" s="231"/>
      <c r="H47" s="25"/>
      <c r="I47" s="25"/>
      <c r="J47" s="25"/>
      <c r="K47" s="25"/>
      <c r="L47" s="25"/>
      <c r="M47" s="25"/>
      <c r="N47" s="186"/>
      <c r="O47" s="5"/>
      <c r="P47" s="5"/>
      <c r="Q47" s="5"/>
      <c r="R47" s="211">
        <f>IF(R46+1&lt;=MIN('Données projet'!$E$9:$E$18),R46+1,"STOP")</f>
        <v>18</v>
      </c>
      <c r="S47" s="201">
        <f t="shared" ref="S47:S60" si="3">$T$24/(1+$J$6)^R47</f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">
      <c r="A48" s="195">
        <f>'Données projet'!A62</f>
        <v>15</v>
      </c>
      <c r="B48" s="196">
        <f>'Données projet'!D62</f>
        <v>0</v>
      </c>
      <c r="C48" s="210">
        <f>'Données projet'!E62*65+('Données projet'!F62+'Données projet'!G62)*19.4+'Données projet'!H62*10</f>
        <v>19.399999999999999</v>
      </c>
      <c r="D48" s="194">
        <f>B48*C48</f>
        <v>0</v>
      </c>
      <c r="E48" s="210"/>
      <c r="F48" s="221"/>
      <c r="G48" s="232"/>
      <c r="H48" s="25"/>
      <c r="I48" s="25"/>
      <c r="J48" s="25"/>
      <c r="K48" s="25"/>
      <c r="L48" s="25"/>
      <c r="M48" s="25"/>
      <c r="N48" s="186"/>
      <c r="O48" s="5"/>
      <c r="P48" s="5"/>
      <c r="Q48" s="5"/>
      <c r="R48" s="211">
        <f>IF(R47+1&lt;=MIN('Données projet'!$E$9:$E$18),R47+1,"STOP")</f>
        <v>19</v>
      </c>
      <c r="S48" s="201">
        <f t="shared" si="3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">
      <c r="A49" s="195">
        <f>'Données projet'!A63</f>
        <v>20</v>
      </c>
      <c r="B49" s="196">
        <f>'Données projet'!D63</f>
        <v>0</v>
      </c>
      <c r="C49" s="210">
        <f>'Données projet'!E63*65+('Données projet'!F63+'Données projet'!G63)*19.4+'Données projet'!H63*10</f>
        <v>19.399999999999999</v>
      </c>
      <c r="D49" s="194">
        <f t="shared" ref="D49:D67" si="4">B49*C49</f>
        <v>0</v>
      </c>
      <c r="E49" s="210"/>
      <c r="F49" s="221"/>
      <c r="G49" s="232"/>
      <c r="H49" s="25"/>
      <c r="I49" s="25"/>
      <c r="J49" s="25"/>
      <c r="K49" s="25"/>
      <c r="L49" s="25"/>
      <c r="M49" s="25"/>
      <c r="N49" s="186"/>
      <c r="O49" s="5"/>
      <c r="P49" s="5"/>
      <c r="Q49" s="5"/>
      <c r="R49" s="211">
        <f>IF(R48+1&lt;=MIN('Données projet'!$E$9:$E$18),R48+1,"STOP")</f>
        <v>20</v>
      </c>
      <c r="S49" s="201">
        <f t="shared" si="3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">
      <c r="A50" s="195">
        <f>'Données projet'!A64</f>
        <v>25</v>
      </c>
      <c r="B50" s="196">
        <f>'Données projet'!D64</f>
        <v>43</v>
      </c>
      <c r="C50" s="210">
        <f>'Données projet'!E64*65+('Données projet'!F64+'Données projet'!G64)*19.4+'Données projet'!H64*10</f>
        <v>19.399999999999999</v>
      </c>
      <c r="D50" s="194">
        <f t="shared" si="4"/>
        <v>834.19999999999993</v>
      </c>
      <c r="E50" s="210"/>
      <c r="F50" s="221"/>
      <c r="G50" s="232"/>
      <c r="H50" s="25"/>
      <c r="I50" s="25"/>
      <c r="J50" s="25"/>
      <c r="K50" s="25"/>
      <c r="L50" s="25"/>
      <c r="M50" s="25"/>
      <c r="N50" s="186"/>
      <c r="O50" s="5"/>
      <c r="P50" s="5"/>
      <c r="Q50" s="5"/>
      <c r="R50" s="211">
        <f>IF(R49+1&lt;=MIN('Données projet'!$E$9:$E$18),R49+1,"STOP")</f>
        <v>21</v>
      </c>
      <c r="S50" s="201">
        <f t="shared" si="3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">
      <c r="A51" s="195">
        <f>'Données projet'!A65</f>
        <v>30</v>
      </c>
      <c r="B51" s="196">
        <f>'Données projet'!D65</f>
        <v>60</v>
      </c>
      <c r="C51" s="210">
        <f>'Données projet'!E65*65+('Données projet'!F65+'Données projet'!G65)*19.4+'Données projet'!H65*10</f>
        <v>19.399999999999999</v>
      </c>
      <c r="D51" s="194">
        <f t="shared" si="4"/>
        <v>1164</v>
      </c>
      <c r="E51" s="210"/>
      <c r="F51" s="221"/>
      <c r="G51" s="232"/>
      <c r="H51" s="25"/>
      <c r="I51" s="25"/>
      <c r="J51" s="25"/>
      <c r="K51" s="25"/>
      <c r="L51" s="25"/>
      <c r="M51" s="25"/>
      <c r="N51" s="186"/>
      <c r="O51" s="5"/>
      <c r="P51" s="5"/>
      <c r="Q51" s="5"/>
      <c r="R51" s="211">
        <f>IF(R50+1&lt;=MIN('Données projet'!$E$9:$E$18),R50+1,"STOP")</f>
        <v>22</v>
      </c>
      <c r="S51" s="201">
        <f t="shared" si="3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">
      <c r="A52" s="195">
        <f>'Données projet'!A66</f>
        <v>35</v>
      </c>
      <c r="B52" s="196">
        <f>'Données projet'!D66</f>
        <v>90</v>
      </c>
      <c r="C52" s="210">
        <f>'Données projet'!E66*65+('Données projet'!F66+'Données projet'!G66)*19.4+'Données projet'!H66*10</f>
        <v>28.52</v>
      </c>
      <c r="D52" s="194">
        <f t="shared" si="4"/>
        <v>2566.8000000000002</v>
      </c>
      <c r="E52" s="210"/>
      <c r="F52" s="221"/>
      <c r="G52" s="232"/>
      <c r="H52" s="25"/>
      <c r="I52" s="25"/>
      <c r="J52" s="233"/>
      <c r="K52" s="233"/>
      <c r="L52" s="233"/>
      <c r="M52" s="25"/>
      <c r="N52" s="186"/>
      <c r="O52" s="5"/>
      <c r="P52" s="5"/>
      <c r="Q52" s="5"/>
      <c r="R52" s="211">
        <f>IF(R51+1&lt;=MIN('Données projet'!$E$9:$E$18),R51+1,"STOP")</f>
        <v>23</v>
      </c>
      <c r="S52" s="201">
        <f t="shared" si="3"/>
        <v>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">
      <c r="A53" s="195">
        <f>'Données projet'!A67</f>
        <v>40</v>
      </c>
      <c r="B53" s="196">
        <f>'Données projet'!D67</f>
        <v>72</v>
      </c>
      <c r="C53" s="210">
        <f>'Données projet'!E67*65+('Données projet'!F67+'Données projet'!G67)*19.4+'Données projet'!H67*10</f>
        <v>28.52</v>
      </c>
      <c r="D53" s="194">
        <f t="shared" si="4"/>
        <v>2053.44</v>
      </c>
      <c r="E53" s="210"/>
      <c r="F53" s="221"/>
      <c r="G53" s="232"/>
      <c r="H53" s="25"/>
      <c r="I53" s="5"/>
      <c r="J53" s="205"/>
      <c r="K53" s="205"/>
      <c r="L53" s="205"/>
      <c r="M53" s="5"/>
      <c r="N53" s="186"/>
      <c r="O53" s="5"/>
      <c r="P53" s="5"/>
      <c r="Q53" s="5"/>
      <c r="R53" s="211">
        <f>IF(R52+1&lt;=MIN('Données projet'!$E$9:$E$18),R52+1,"STOP")</f>
        <v>24</v>
      </c>
      <c r="S53" s="201">
        <f t="shared" si="3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">
      <c r="A54" s="195">
        <f>'Données projet'!A68</f>
        <v>45</v>
      </c>
      <c r="B54" s="196">
        <f>'Données projet'!D68</f>
        <v>77</v>
      </c>
      <c r="C54" s="210">
        <f>'Données projet'!E68*65+('Données projet'!F68+'Données projet'!G68)*19.4+'Données projet'!H68*10</f>
        <v>37.64</v>
      </c>
      <c r="D54" s="194">
        <f t="shared" si="4"/>
        <v>2898.28</v>
      </c>
      <c r="E54" s="210"/>
      <c r="F54" s="221"/>
      <c r="G54" s="232"/>
      <c r="H54" s="25"/>
      <c r="I54" s="5"/>
      <c r="J54" s="205"/>
      <c r="K54" s="205"/>
      <c r="L54" s="205"/>
      <c r="M54" s="5"/>
      <c r="N54" s="186"/>
      <c r="O54" s="5"/>
      <c r="P54" s="5"/>
      <c r="Q54" s="5"/>
      <c r="R54" s="211">
        <f>IF(R53+1&lt;=MIN('Données projet'!$E$9:$E$18),R53+1,"STOP")</f>
        <v>25</v>
      </c>
      <c r="S54" s="201">
        <f t="shared" si="3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">
      <c r="A55" s="195">
        <f>'Données projet'!A69</f>
        <v>50</v>
      </c>
      <c r="B55" s="196">
        <f>'Données projet'!D69</f>
        <v>64</v>
      </c>
      <c r="C55" s="210">
        <f>'Données projet'!E69*65+('Données projet'!F69+'Données projet'!G69)*19.4+'Données projet'!H69*10</f>
        <v>37.64</v>
      </c>
      <c r="D55" s="194">
        <f t="shared" si="4"/>
        <v>2408.96</v>
      </c>
      <c r="E55" s="210"/>
      <c r="F55" s="221"/>
      <c r="G55" s="232"/>
      <c r="H55" s="25"/>
      <c r="I55" s="5"/>
      <c r="J55" s="205"/>
      <c r="K55" s="205"/>
      <c r="L55" s="205"/>
      <c r="M55" s="5"/>
      <c r="N55" s="186"/>
      <c r="O55" s="5"/>
      <c r="P55" s="5"/>
      <c r="Q55" s="5"/>
      <c r="R55" s="211">
        <f>IF(R54+1&lt;=MIN('Données projet'!$E$9:$E$18),R54+1,"STOP")</f>
        <v>26</v>
      </c>
      <c r="S55" s="201">
        <f t="shared" si="3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">
      <c r="A56" s="195">
        <f>'Données projet'!A70</f>
        <v>55</v>
      </c>
      <c r="B56" s="196">
        <f>'Données projet'!D70</f>
        <v>62</v>
      </c>
      <c r="C56" s="210">
        <f>'Données projet'!E70*65+('Données projet'!F70+'Données projet'!G70)*19.4+'Données projet'!H70*10</f>
        <v>46.76</v>
      </c>
      <c r="D56" s="194">
        <f t="shared" si="4"/>
        <v>2899.12</v>
      </c>
      <c r="E56" s="210"/>
      <c r="F56" s="221"/>
      <c r="G56" s="232"/>
      <c r="H56" s="25"/>
      <c r="I56" s="5"/>
      <c r="J56" s="205"/>
      <c r="K56" s="205"/>
      <c r="L56" s="205"/>
      <c r="M56" s="5"/>
      <c r="N56" s="186"/>
      <c r="O56" s="5"/>
      <c r="P56" s="5"/>
      <c r="Q56" s="5"/>
      <c r="R56" s="211">
        <f>IF(R55+1&lt;=MIN('Données projet'!$E$9:$E$18),R55+1,"STOP")</f>
        <v>27</v>
      </c>
      <c r="S56" s="201">
        <f t="shared" si="3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">
      <c r="A57" s="195">
        <f>'Données projet'!A71</f>
        <v>60</v>
      </c>
      <c r="B57" s="196">
        <f>'Données projet'!D71</f>
        <v>46</v>
      </c>
      <c r="C57" s="210">
        <f>'Données projet'!E71*65+('Données projet'!F71+'Données projet'!G71)*19.4+'Données projet'!H71*10</f>
        <v>46.76</v>
      </c>
      <c r="D57" s="194">
        <f t="shared" si="4"/>
        <v>2150.96</v>
      </c>
      <c r="E57" s="210"/>
      <c r="F57" s="221"/>
      <c r="G57" s="232"/>
      <c r="H57" s="25"/>
      <c r="I57" s="5"/>
      <c r="J57" s="205"/>
      <c r="K57" s="205"/>
      <c r="L57" s="205"/>
      <c r="M57" s="5"/>
      <c r="N57" s="186"/>
      <c r="O57" s="5"/>
      <c r="P57" s="5"/>
      <c r="Q57" s="5"/>
      <c r="R57" s="211">
        <f>IF(R56+1&lt;=MIN('Données projet'!$E$9:$E$18),R56+1,"STOP")</f>
        <v>28</v>
      </c>
      <c r="S57" s="201">
        <f t="shared" si="3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">
      <c r="A58" s="195">
        <f>'Données projet'!A72</f>
        <v>65</v>
      </c>
      <c r="B58" s="196">
        <f>'Données projet'!D72</f>
        <v>35</v>
      </c>
      <c r="C58" s="210">
        <f>'Données projet'!E72*65+('Données projet'!F72+'Données projet'!G72)*19.4+'Données projet'!H72*10</f>
        <v>51.32</v>
      </c>
      <c r="D58" s="194">
        <f t="shared" si="4"/>
        <v>1796.2</v>
      </c>
      <c r="E58" s="210"/>
      <c r="F58" s="221"/>
      <c r="G58" s="232"/>
      <c r="H58" s="25"/>
      <c r="I58" s="5"/>
      <c r="J58" s="205"/>
      <c r="K58" s="205"/>
      <c r="L58" s="205"/>
      <c r="M58" s="5"/>
      <c r="N58" s="186"/>
      <c r="O58" s="5"/>
      <c r="P58" s="5"/>
      <c r="Q58" s="5"/>
      <c r="R58" s="211">
        <f>IF(R57+1&lt;=MIN('Données projet'!$E$9:$E$18),R57+1,"STOP")</f>
        <v>29</v>
      </c>
      <c r="S58" s="201">
        <f t="shared" si="3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">
      <c r="A59" s="195">
        <f>'Données projet'!A73</f>
        <v>70</v>
      </c>
      <c r="B59" s="196">
        <f>'Données projet'!D73</f>
        <v>29</v>
      </c>
      <c r="C59" s="210">
        <f>'Données projet'!E73*65+('Données projet'!F73+'Données projet'!G73)*19.4+'Données projet'!H73*10</f>
        <v>51.32</v>
      </c>
      <c r="D59" s="194">
        <f t="shared" si="4"/>
        <v>1488.28</v>
      </c>
      <c r="E59" s="210"/>
      <c r="F59" s="221"/>
      <c r="G59" s="232"/>
      <c r="H59" s="25"/>
      <c r="I59" s="5"/>
      <c r="J59" s="205"/>
      <c r="K59" s="205"/>
      <c r="L59" s="205"/>
      <c r="M59" s="5"/>
      <c r="N59" s="186"/>
      <c r="O59" s="5"/>
      <c r="P59" s="5"/>
      <c r="Q59" s="5"/>
      <c r="R59" s="211">
        <f>IF(R58+1&lt;=MIN('Données projet'!$E$9:$E$18),R58+1,"STOP")</f>
        <v>30</v>
      </c>
      <c r="S59" s="201">
        <f t="shared" si="3"/>
        <v>0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">
      <c r="A60" s="195">
        <f>'Données projet'!A74</f>
        <v>75</v>
      </c>
      <c r="B60" s="196">
        <f>'Données projet'!D74</f>
        <v>29</v>
      </c>
      <c r="C60" s="210">
        <f>'Données projet'!E74*65+('Données projet'!F74+'Données projet'!G74)*19.4+'Données projet'!H74*10</f>
        <v>55.88</v>
      </c>
      <c r="D60" s="194">
        <f t="shared" si="4"/>
        <v>1620.52</v>
      </c>
      <c r="E60" s="210"/>
      <c r="F60" s="221"/>
      <c r="G60" s="232"/>
      <c r="H60" s="25"/>
      <c r="I60" s="5"/>
      <c r="J60" s="5"/>
      <c r="K60" s="5"/>
      <c r="L60" s="5"/>
      <c r="M60" s="5"/>
      <c r="N60" s="186"/>
      <c r="O60" s="5"/>
      <c r="P60" s="5"/>
      <c r="Q60" s="5"/>
      <c r="R60" s="211">
        <f>IF(R59+1&lt;=MIN('Données projet'!$E$9:$E$18),R59+1,"STOP")</f>
        <v>31</v>
      </c>
      <c r="S60" s="201">
        <f t="shared" si="3"/>
        <v>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">
      <c r="A61" s="195">
        <f>'Données projet'!A75</f>
        <v>80</v>
      </c>
      <c r="B61" s="196">
        <f>'Données projet'!D75</f>
        <v>769</v>
      </c>
      <c r="C61" s="210">
        <f>'Données projet'!E75*65+('Données projet'!F75+'Données projet'!G75)*19.4+'Données projet'!H75*10</f>
        <v>55.88</v>
      </c>
      <c r="D61" s="194">
        <f t="shared" si="4"/>
        <v>42971.72</v>
      </c>
      <c r="E61" s="210"/>
      <c r="F61" s="221"/>
      <c r="G61" s="232"/>
      <c r="H61" s="25"/>
      <c r="I61" s="5"/>
      <c r="J61" s="5"/>
      <c r="K61" s="5"/>
      <c r="L61" s="5"/>
      <c r="M61" s="5"/>
      <c r="N61" s="186"/>
      <c r="O61" s="5"/>
      <c r="P61" s="5"/>
      <c r="Q61" s="5"/>
      <c r="R61" s="211">
        <f>IF(R60+1&lt;=MIN('Données projet'!$E$9:$E$18),R60+1,"STOP")</f>
        <v>32</v>
      </c>
      <c r="S61" s="201">
        <f t="shared" ref="S61:S72" si="5">$T$24/(1+$J$6)^R61</f>
        <v>0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">
      <c r="A62" s="195">
        <f>'Données projet'!A76</f>
        <v>0</v>
      </c>
      <c r="B62" s="196">
        <f>'Données projet'!D76</f>
        <v>0</v>
      </c>
      <c r="C62" s="208"/>
      <c r="D62" s="194">
        <f t="shared" si="4"/>
        <v>0</v>
      </c>
      <c r="E62" s="210"/>
      <c r="F62" s="221"/>
      <c r="G62" s="232"/>
      <c r="H62" s="25"/>
      <c r="I62" s="5"/>
      <c r="J62" s="5"/>
      <c r="K62" s="5"/>
      <c r="L62" s="5"/>
      <c r="M62" s="5"/>
      <c r="N62" s="186"/>
      <c r="O62" s="5"/>
      <c r="P62" s="5"/>
      <c r="Q62" s="5"/>
      <c r="R62" s="211">
        <f>IF(R61+1&lt;=MIN('Données projet'!$E$9:$E$18),R61+1,"STOP")</f>
        <v>33</v>
      </c>
      <c r="S62" s="201">
        <f t="shared" si="5"/>
        <v>0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">
      <c r="A63" s="195">
        <f>'Données projet'!A77</f>
        <v>0</v>
      </c>
      <c r="B63" s="196">
        <f>'Données projet'!D77</f>
        <v>0</v>
      </c>
      <c r="C63" s="208"/>
      <c r="D63" s="194">
        <f t="shared" si="4"/>
        <v>0</v>
      </c>
      <c r="E63" s="210"/>
      <c r="F63" s="221"/>
      <c r="G63" s="232"/>
      <c r="H63" s="25"/>
      <c r="I63" s="5"/>
      <c r="J63" s="5"/>
      <c r="K63" s="5"/>
      <c r="L63" s="5"/>
      <c r="M63" s="5"/>
      <c r="N63" s="186"/>
      <c r="O63" s="5"/>
      <c r="P63" s="5"/>
      <c r="Q63" s="5"/>
      <c r="R63" s="211">
        <f>IF(R62+1&lt;=MIN('Données projet'!$E$9:$E$18),R62+1,"STOP")</f>
        <v>34</v>
      </c>
      <c r="S63" s="201">
        <f t="shared" si="5"/>
        <v>0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">
      <c r="A64" s="195">
        <f>'Données projet'!A78</f>
        <v>0</v>
      </c>
      <c r="B64" s="196">
        <f>'Données projet'!D78</f>
        <v>0</v>
      </c>
      <c r="C64" s="208"/>
      <c r="D64" s="194">
        <f t="shared" si="4"/>
        <v>0</v>
      </c>
      <c r="E64" s="210"/>
      <c r="F64" s="221"/>
      <c r="G64" s="232"/>
      <c r="H64" s="25"/>
      <c r="I64" s="5"/>
      <c r="J64" s="5"/>
      <c r="K64" s="5"/>
      <c r="L64" s="5"/>
      <c r="M64" s="5"/>
      <c r="N64" s="186"/>
      <c r="O64" s="5"/>
      <c r="P64" s="5"/>
      <c r="Q64" s="5"/>
      <c r="R64" s="211">
        <f>IF(R63+1&lt;=MIN('Données projet'!$E$9:$E$18),R63+1,"STOP")</f>
        <v>35</v>
      </c>
      <c r="S64" s="201">
        <f t="shared" si="5"/>
        <v>0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">
      <c r="A65" s="195">
        <f>'Données projet'!A79</f>
        <v>0</v>
      </c>
      <c r="B65" s="196">
        <f>'Données projet'!D79</f>
        <v>0</v>
      </c>
      <c r="C65" s="208"/>
      <c r="D65" s="194">
        <f t="shared" si="4"/>
        <v>0</v>
      </c>
      <c r="E65" s="210"/>
      <c r="F65" s="221"/>
      <c r="G65" s="232"/>
      <c r="H65" s="25"/>
      <c r="I65" s="5"/>
      <c r="J65" s="5"/>
      <c r="K65" s="5"/>
      <c r="L65" s="5"/>
      <c r="M65" s="5"/>
      <c r="N65" s="186"/>
      <c r="O65" s="5"/>
      <c r="P65" s="5"/>
      <c r="Q65" s="5"/>
      <c r="R65" s="211">
        <f>IF(R64+1&lt;=MIN('Données projet'!$E$9:$E$18),R64+1,"STOP")</f>
        <v>36</v>
      </c>
      <c r="S65" s="201">
        <f t="shared" si="5"/>
        <v>0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">
      <c r="A66" s="195">
        <f>'Données projet'!A80</f>
        <v>0</v>
      </c>
      <c r="B66" s="196">
        <f>'Données projet'!D80</f>
        <v>0</v>
      </c>
      <c r="C66" s="208"/>
      <c r="D66" s="194">
        <f t="shared" si="4"/>
        <v>0</v>
      </c>
      <c r="E66" s="210"/>
      <c r="F66" s="221"/>
      <c r="G66" s="232"/>
      <c r="H66" s="25"/>
      <c r="I66" s="5"/>
      <c r="J66" s="5"/>
      <c r="K66" s="5"/>
      <c r="L66" s="5"/>
      <c r="M66" s="5"/>
      <c r="N66" s="186"/>
      <c r="O66" s="5"/>
      <c r="P66" s="5"/>
      <c r="Q66" s="5"/>
      <c r="R66" s="211">
        <f>IF(R65+1&lt;=MIN('Données projet'!$E$9:$E$18),R65+1,"STOP")</f>
        <v>37</v>
      </c>
      <c r="S66" s="201">
        <f t="shared" si="5"/>
        <v>0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">
      <c r="A67" s="195">
        <f>'Données projet'!A81</f>
        <v>0</v>
      </c>
      <c r="B67" s="196">
        <f>'Données projet'!D81</f>
        <v>0</v>
      </c>
      <c r="C67" s="208"/>
      <c r="D67" s="194">
        <f t="shared" si="4"/>
        <v>0</v>
      </c>
      <c r="E67" s="210"/>
      <c r="F67" s="221"/>
      <c r="G67" s="232"/>
      <c r="H67" s="25"/>
      <c r="I67" s="5"/>
      <c r="J67" s="5"/>
      <c r="K67" s="5"/>
      <c r="L67" s="5"/>
      <c r="M67" s="5"/>
      <c r="N67" s="186"/>
      <c r="O67" s="5"/>
      <c r="P67" s="5"/>
      <c r="Q67" s="5"/>
      <c r="R67" s="211">
        <f>IF(R66+1&lt;=MIN('Données projet'!$E$9:$E$18),R66+1,"STOP")</f>
        <v>38</v>
      </c>
      <c r="S67" s="201">
        <f t="shared" si="5"/>
        <v>0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">
      <c r="A68" s="5"/>
      <c r="B68" s="5"/>
      <c r="C68" s="5"/>
      <c r="D68" s="5"/>
      <c r="E68" s="5"/>
      <c r="F68" s="218"/>
      <c r="G68" s="230"/>
      <c r="H68" s="25"/>
      <c r="I68" s="5"/>
      <c r="J68" s="5"/>
      <c r="K68" s="5"/>
      <c r="L68" s="5"/>
      <c r="M68" s="5"/>
      <c r="N68" s="186"/>
      <c r="O68" s="5"/>
      <c r="P68" s="5"/>
      <c r="Q68" s="5"/>
      <c r="R68" s="211">
        <f>IF(R67+1&lt;=MIN('Données projet'!$E$9:$E$18),R67+1,"STOP")</f>
        <v>39</v>
      </c>
      <c r="S68" s="201">
        <f t="shared" si="5"/>
        <v>0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">
      <c r="A69" s="5"/>
      <c r="B69" s="5"/>
      <c r="C69" s="5"/>
      <c r="D69" s="5"/>
      <c r="E69" s="5"/>
      <c r="F69" s="218"/>
      <c r="G69" s="230"/>
      <c r="H69" s="25"/>
      <c r="I69" s="5"/>
      <c r="J69" s="5"/>
      <c r="K69" s="5"/>
      <c r="L69" s="5"/>
      <c r="M69" s="5"/>
      <c r="N69" s="186"/>
      <c r="O69" s="5"/>
      <c r="P69" s="5"/>
      <c r="Q69" s="5"/>
      <c r="R69" s="211">
        <f>IF(R68+1&lt;=MIN('Données projet'!$E$9:$E$18),R68+1,"STOP")</f>
        <v>40</v>
      </c>
      <c r="S69" s="201">
        <f t="shared" si="5"/>
        <v>0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3">
      <c r="A70" s="49" t="s">
        <v>167</v>
      </c>
      <c r="B70" s="189" t="str">
        <f>IF('Données projet'!B11="","",'Données projet'!B11)</f>
        <v/>
      </c>
      <c r="C70" s="5"/>
      <c r="D70" s="5"/>
      <c r="E70" s="5"/>
      <c r="F70" s="218"/>
      <c r="G70" s="230"/>
      <c r="H70" s="25"/>
      <c r="I70" s="5"/>
      <c r="J70" s="5"/>
      <c r="K70" s="5"/>
      <c r="L70" s="5"/>
      <c r="M70" s="5"/>
      <c r="N70" s="186"/>
      <c r="O70" s="5"/>
      <c r="P70" s="5"/>
      <c r="Q70" s="5"/>
      <c r="R70" s="211">
        <f>IF(R69+1&lt;=MIN('Données projet'!$E$9:$E$18),R69+1,"STOP")</f>
        <v>41</v>
      </c>
      <c r="S70" s="201">
        <f t="shared" si="5"/>
        <v>0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">
      <c r="A71" s="5"/>
      <c r="B71" s="5"/>
      <c r="C71" s="5"/>
      <c r="D71" s="5"/>
      <c r="E71" s="5"/>
      <c r="F71" s="218"/>
      <c r="G71" s="230"/>
      <c r="H71" s="25"/>
      <c r="I71" s="5"/>
      <c r="J71" s="5"/>
      <c r="K71" s="5"/>
      <c r="L71" s="5"/>
      <c r="M71" s="5"/>
      <c r="N71" s="186"/>
      <c r="O71" s="5"/>
      <c r="P71" s="5"/>
      <c r="Q71" s="5"/>
      <c r="R71" s="211">
        <f>IF(R70+1&lt;=MIN('Données projet'!$E$9:$E$18),R70+1,"STOP")</f>
        <v>42</v>
      </c>
      <c r="S71" s="201">
        <f t="shared" si="5"/>
        <v>0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16.5" customHeight="1" x14ac:dyDescent="0.3">
      <c r="A72" s="188" t="s">
        <v>180</v>
      </c>
      <c r="B72" s="51" t="s">
        <v>256</v>
      </c>
      <c r="C72" s="51" t="s">
        <v>255</v>
      </c>
      <c r="D72" s="188" t="s">
        <v>252</v>
      </c>
      <c r="E72" s="188" t="s">
        <v>288</v>
      </c>
      <c r="F72" s="220"/>
      <c r="G72" s="231"/>
      <c r="H72" s="25"/>
      <c r="I72" s="5"/>
      <c r="J72" s="5"/>
      <c r="K72" s="5"/>
      <c r="L72" s="5"/>
      <c r="M72" s="5"/>
      <c r="N72" s="186"/>
      <c r="O72" s="5"/>
      <c r="P72" s="5"/>
      <c r="Q72" s="5"/>
      <c r="R72" s="211">
        <f>IF(R71+1&lt;=MIN('Données projet'!$E$9:$E$18),R71+1,"STOP")</f>
        <v>43</v>
      </c>
      <c r="S72" s="201">
        <f t="shared" si="5"/>
        <v>0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16.5" customHeight="1" x14ac:dyDescent="0.3">
      <c r="A73" s="214">
        <v>0</v>
      </c>
      <c r="B73" s="217" t="s">
        <v>132</v>
      </c>
      <c r="C73" s="216" t="s">
        <v>132</v>
      </c>
      <c r="D73" s="215" t="s">
        <v>132</v>
      </c>
      <c r="E73" s="210"/>
      <c r="F73" s="220"/>
      <c r="G73" s="231"/>
      <c r="H73" s="25"/>
      <c r="I73" s="5"/>
      <c r="J73" s="5"/>
      <c r="K73" s="5"/>
      <c r="L73" s="5"/>
      <c r="M73" s="5"/>
      <c r="N73" s="186"/>
      <c r="O73" s="5"/>
      <c r="P73" s="5"/>
      <c r="Q73" s="5"/>
      <c r="R73" s="211">
        <f>IF(R72+1&lt;=MIN('Données projet'!$E$9:$E$18),R72+1,"STOP")</f>
        <v>44</v>
      </c>
      <c r="S73" s="201">
        <f t="shared" ref="S73:S92" si="6">$T$24/(1+$J$6)^R73</f>
        <v>0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">
      <c r="A74" s="195">
        <f>'Données projet'!A88</f>
        <v>0</v>
      </c>
      <c r="B74" s="196">
        <f>'Données projet'!D88</f>
        <v>0</v>
      </c>
      <c r="C74" s="210"/>
      <c r="D74" s="194">
        <f>B74*C74</f>
        <v>0</v>
      </c>
      <c r="E74" s="210"/>
      <c r="F74" s="221"/>
      <c r="G74" s="232"/>
      <c r="H74" s="25"/>
      <c r="I74" s="5"/>
      <c r="J74" s="5"/>
      <c r="K74" s="5"/>
      <c r="L74" s="5"/>
      <c r="M74" s="5"/>
      <c r="N74" s="186"/>
      <c r="O74" s="5"/>
      <c r="P74" s="5"/>
      <c r="Q74" s="5"/>
      <c r="R74" s="211">
        <f>IF(R73+1&lt;=MIN('Données projet'!$E$9:$E$18),R73+1,"STOP")</f>
        <v>45</v>
      </c>
      <c r="S74" s="201">
        <f t="shared" si="6"/>
        <v>0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">
      <c r="A75" s="195">
        <f>'Données projet'!A89</f>
        <v>0</v>
      </c>
      <c r="B75" s="196">
        <f>'Données projet'!D89</f>
        <v>0</v>
      </c>
      <c r="C75" s="210"/>
      <c r="D75" s="194">
        <f t="shared" ref="D75:D93" si="7">B75*C75</f>
        <v>0</v>
      </c>
      <c r="E75" s="210"/>
      <c r="F75" s="221"/>
      <c r="G75" s="232"/>
      <c r="H75" s="25"/>
      <c r="I75" s="5"/>
      <c r="J75" s="5"/>
      <c r="K75" s="5"/>
      <c r="L75" s="5"/>
      <c r="M75" s="5"/>
      <c r="N75" s="186"/>
      <c r="O75" s="5"/>
      <c r="P75" s="5"/>
      <c r="Q75" s="5"/>
      <c r="R75" s="211">
        <f>IF(R74+1&lt;=MIN('Données projet'!$E$9:$E$18),R74+1,"STOP")</f>
        <v>46</v>
      </c>
      <c r="S75" s="201">
        <f t="shared" si="6"/>
        <v>0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">
      <c r="A76" s="195">
        <f>'Données projet'!A90</f>
        <v>0</v>
      </c>
      <c r="B76" s="196">
        <f>'Données projet'!D90</f>
        <v>0</v>
      </c>
      <c r="C76" s="210"/>
      <c r="D76" s="194">
        <f t="shared" si="7"/>
        <v>0</v>
      </c>
      <c r="E76" s="210"/>
      <c r="F76" s="221"/>
      <c r="G76" s="232"/>
      <c r="H76" s="25"/>
      <c r="I76" s="5"/>
      <c r="J76" s="5"/>
      <c r="K76" s="5"/>
      <c r="L76" s="5"/>
      <c r="M76" s="5"/>
      <c r="N76" s="186"/>
      <c r="O76" s="5"/>
      <c r="P76" s="5"/>
      <c r="Q76" s="5"/>
      <c r="R76" s="211">
        <f>IF(R75+1&lt;=MIN('Données projet'!$E$9:$E$18),R75+1,"STOP")</f>
        <v>47</v>
      </c>
      <c r="S76" s="201">
        <f t="shared" si="6"/>
        <v>0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">
      <c r="A77" s="195">
        <f>'Données projet'!A91</f>
        <v>0</v>
      </c>
      <c r="B77" s="196">
        <f>'Données projet'!D91</f>
        <v>0</v>
      </c>
      <c r="C77" s="210"/>
      <c r="D77" s="194">
        <f t="shared" si="7"/>
        <v>0</v>
      </c>
      <c r="E77" s="210"/>
      <c r="F77" s="221"/>
      <c r="G77" s="232"/>
      <c r="H77" s="25"/>
      <c r="I77" s="5"/>
      <c r="J77" s="5"/>
      <c r="K77" s="5"/>
      <c r="L77" s="5"/>
      <c r="M77" s="5"/>
      <c r="N77" s="186"/>
      <c r="O77" s="5"/>
      <c r="P77" s="5"/>
      <c r="Q77" s="5"/>
      <c r="R77" s="211">
        <f>IF(R76+1&lt;=MIN('Données projet'!$E$9:$E$18),R76+1,"STOP")</f>
        <v>48</v>
      </c>
      <c r="S77" s="201">
        <f t="shared" si="6"/>
        <v>0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">
      <c r="A78" s="195">
        <f>'Données projet'!A92</f>
        <v>0</v>
      </c>
      <c r="B78" s="196">
        <f>'Données projet'!D92</f>
        <v>0</v>
      </c>
      <c r="C78" s="210"/>
      <c r="D78" s="194">
        <f t="shared" si="7"/>
        <v>0</v>
      </c>
      <c r="E78" s="210"/>
      <c r="F78" s="221"/>
      <c r="G78" s="232"/>
      <c r="H78" s="25"/>
      <c r="I78" s="5"/>
      <c r="J78" s="5"/>
      <c r="K78" s="5"/>
      <c r="L78" s="5"/>
      <c r="M78" s="5"/>
      <c r="N78" s="186"/>
      <c r="O78" s="5"/>
      <c r="P78" s="5"/>
      <c r="Q78" s="5"/>
      <c r="R78" s="211">
        <f>IF(R77+1&lt;=MIN('Données projet'!$E$9:$E$18),R77+1,"STOP")</f>
        <v>49</v>
      </c>
      <c r="S78" s="201">
        <f t="shared" si="6"/>
        <v>0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">
      <c r="A79" s="195">
        <f>'Données projet'!A93</f>
        <v>0</v>
      </c>
      <c r="B79" s="196">
        <f>'Données projet'!D93</f>
        <v>0</v>
      </c>
      <c r="C79" s="210"/>
      <c r="D79" s="194">
        <f t="shared" si="7"/>
        <v>0</v>
      </c>
      <c r="E79" s="210"/>
      <c r="F79" s="221"/>
      <c r="G79" s="232"/>
      <c r="H79" s="25"/>
      <c r="I79" s="5"/>
      <c r="J79" s="5"/>
      <c r="K79" s="5"/>
      <c r="L79" s="5"/>
      <c r="M79" s="5"/>
      <c r="N79" s="186"/>
      <c r="O79" s="5"/>
      <c r="P79" s="5"/>
      <c r="Q79" s="5"/>
      <c r="R79" s="211">
        <f>IF(R78+1&lt;=MIN('Données projet'!$E$9:$E$18),R78+1,"STOP")</f>
        <v>50</v>
      </c>
      <c r="S79" s="201">
        <f t="shared" si="6"/>
        <v>0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">
      <c r="A80" s="195">
        <f>'Données projet'!A94</f>
        <v>0</v>
      </c>
      <c r="B80" s="196">
        <f>'Données projet'!D94</f>
        <v>0</v>
      </c>
      <c r="C80" s="210"/>
      <c r="D80" s="194">
        <f t="shared" si="7"/>
        <v>0</v>
      </c>
      <c r="E80" s="210"/>
      <c r="F80" s="221"/>
      <c r="G80" s="232"/>
      <c r="H80" s="25"/>
      <c r="I80" s="5"/>
      <c r="J80" s="5"/>
      <c r="K80" s="5"/>
      <c r="L80" s="5"/>
      <c r="M80" s="5"/>
      <c r="N80" s="186"/>
      <c r="O80" s="5"/>
      <c r="P80" s="5"/>
      <c r="Q80" s="5"/>
      <c r="R80" s="211">
        <f>IF(R79+1&lt;=MIN('Données projet'!$E$9:$E$18),R79+1,"STOP")</f>
        <v>51</v>
      </c>
      <c r="S80" s="201">
        <f t="shared" si="6"/>
        <v>0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">
      <c r="A81" s="195">
        <f>'Données projet'!A95</f>
        <v>0</v>
      </c>
      <c r="B81" s="196">
        <f>'Données projet'!D95</f>
        <v>0</v>
      </c>
      <c r="C81" s="210"/>
      <c r="D81" s="194">
        <f t="shared" si="7"/>
        <v>0</v>
      </c>
      <c r="E81" s="210"/>
      <c r="F81" s="221"/>
      <c r="G81" s="232"/>
      <c r="H81" s="25"/>
      <c r="I81" s="5"/>
      <c r="J81" s="5"/>
      <c r="K81" s="5"/>
      <c r="L81" s="5"/>
      <c r="M81" s="5"/>
      <c r="N81" s="186"/>
      <c r="O81" s="5"/>
      <c r="P81" s="5"/>
      <c r="Q81" s="5"/>
      <c r="R81" s="211">
        <f>IF(R80+1&lt;=MIN('Données projet'!$E$9:$E$18),R80+1,"STOP")</f>
        <v>52</v>
      </c>
      <c r="S81" s="201">
        <f t="shared" si="6"/>
        <v>0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">
      <c r="A82" s="195">
        <f>'Données projet'!A96</f>
        <v>0</v>
      </c>
      <c r="B82" s="196">
        <f>'Données projet'!D96</f>
        <v>0</v>
      </c>
      <c r="C82" s="210"/>
      <c r="D82" s="194">
        <f t="shared" si="7"/>
        <v>0</v>
      </c>
      <c r="E82" s="210"/>
      <c r="F82" s="221"/>
      <c r="G82" s="232"/>
      <c r="H82" s="25"/>
      <c r="I82" s="5"/>
      <c r="J82" s="5"/>
      <c r="K82" s="5"/>
      <c r="L82" s="5"/>
      <c r="M82" s="5"/>
      <c r="N82" s="186"/>
      <c r="O82" s="5"/>
      <c r="P82" s="5"/>
      <c r="Q82" s="5"/>
      <c r="R82" s="211">
        <f>IF(R81+1&lt;=MIN('Données projet'!$E$9:$E$18),R81+1,"STOP")</f>
        <v>53</v>
      </c>
      <c r="S82" s="201">
        <f t="shared" si="6"/>
        <v>0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">
      <c r="A83" s="195">
        <f>'Données projet'!A97</f>
        <v>0</v>
      </c>
      <c r="B83" s="196">
        <f>'Données projet'!D97</f>
        <v>0</v>
      </c>
      <c r="C83" s="210"/>
      <c r="D83" s="194">
        <f t="shared" si="7"/>
        <v>0</v>
      </c>
      <c r="E83" s="210"/>
      <c r="F83" s="221"/>
      <c r="G83" s="232"/>
      <c r="H83" s="25"/>
      <c r="I83" s="5"/>
      <c r="J83" s="5"/>
      <c r="K83" s="5"/>
      <c r="L83" s="5"/>
      <c r="M83" s="5"/>
      <c r="N83" s="186"/>
      <c r="O83" s="5"/>
      <c r="P83" s="5"/>
      <c r="Q83" s="5"/>
      <c r="R83" s="211">
        <f>IF(R82+1&lt;=MIN('Données projet'!$E$9:$E$18),R82+1,"STOP")</f>
        <v>54</v>
      </c>
      <c r="S83" s="201">
        <f t="shared" si="6"/>
        <v>0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">
      <c r="A84" s="195">
        <f>'Données projet'!A98</f>
        <v>0</v>
      </c>
      <c r="B84" s="196">
        <f>'Données projet'!D98</f>
        <v>0</v>
      </c>
      <c r="C84" s="210"/>
      <c r="D84" s="194">
        <f t="shared" si="7"/>
        <v>0</v>
      </c>
      <c r="E84" s="210"/>
      <c r="F84" s="221"/>
      <c r="G84" s="232"/>
      <c r="H84" s="25"/>
      <c r="I84" s="5"/>
      <c r="J84" s="5"/>
      <c r="K84" s="5"/>
      <c r="L84" s="5"/>
      <c r="M84" s="5"/>
      <c r="N84" s="186"/>
      <c r="O84" s="5"/>
      <c r="P84" s="5"/>
      <c r="Q84" s="5"/>
      <c r="R84" s="211">
        <f>IF(R83+1&lt;=MIN('Données projet'!$E$9:$E$18),R83+1,"STOP")</f>
        <v>55</v>
      </c>
      <c r="S84" s="201">
        <f t="shared" si="6"/>
        <v>0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">
      <c r="A85" s="195">
        <f>'Données projet'!A99</f>
        <v>0</v>
      </c>
      <c r="B85" s="196">
        <f>'Données projet'!D99</f>
        <v>0</v>
      </c>
      <c r="C85" s="210"/>
      <c r="D85" s="194">
        <f t="shared" si="7"/>
        <v>0</v>
      </c>
      <c r="E85" s="210"/>
      <c r="F85" s="221"/>
      <c r="G85" s="232"/>
      <c r="H85" s="25"/>
      <c r="I85" s="5"/>
      <c r="J85" s="5"/>
      <c r="K85" s="5"/>
      <c r="L85" s="5"/>
      <c r="M85" s="5"/>
      <c r="N85" s="186"/>
      <c r="O85" s="5"/>
      <c r="P85" s="5"/>
      <c r="Q85" s="5"/>
      <c r="R85" s="211">
        <f>IF(R84+1&lt;=MIN('Données projet'!$E$9:$E$18),R84+1,"STOP")</f>
        <v>56</v>
      </c>
      <c r="S85" s="201">
        <f t="shared" si="6"/>
        <v>0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">
      <c r="A86" s="195">
        <f>'Données projet'!A100</f>
        <v>0</v>
      </c>
      <c r="B86" s="196">
        <f>'Données projet'!D100</f>
        <v>0</v>
      </c>
      <c r="C86" s="210"/>
      <c r="D86" s="194">
        <f t="shared" si="7"/>
        <v>0</v>
      </c>
      <c r="E86" s="210"/>
      <c r="F86" s="221"/>
      <c r="G86" s="232"/>
      <c r="H86" s="25"/>
      <c r="I86" s="5"/>
      <c r="J86" s="5"/>
      <c r="K86" s="5"/>
      <c r="L86" s="5"/>
      <c r="M86" s="5"/>
      <c r="N86" s="186"/>
      <c r="O86" s="5"/>
      <c r="P86" s="5"/>
      <c r="Q86" s="5"/>
      <c r="R86" s="211">
        <f>IF(R85+1&lt;=MIN('Données projet'!$E$9:$E$18),R85+1,"STOP")</f>
        <v>57</v>
      </c>
      <c r="S86" s="201">
        <f t="shared" si="6"/>
        <v>0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">
      <c r="A87" s="195">
        <f>'Données projet'!A101</f>
        <v>0</v>
      </c>
      <c r="B87" s="196">
        <f>'Données projet'!D101</f>
        <v>0</v>
      </c>
      <c r="C87" s="210"/>
      <c r="D87" s="194">
        <f t="shared" si="7"/>
        <v>0</v>
      </c>
      <c r="E87" s="210"/>
      <c r="F87" s="221"/>
      <c r="G87" s="232"/>
      <c r="H87" s="25"/>
      <c r="I87" s="5"/>
      <c r="J87" s="5"/>
      <c r="K87" s="5"/>
      <c r="L87" s="5"/>
      <c r="M87" s="5"/>
      <c r="N87" s="186"/>
      <c r="O87" s="5"/>
      <c r="P87" s="5"/>
      <c r="Q87" s="5"/>
      <c r="R87" s="211">
        <f>IF(R86+1&lt;=MIN('Données projet'!$E$9:$E$18),R86+1,"STOP")</f>
        <v>58</v>
      </c>
      <c r="S87" s="201">
        <f t="shared" si="6"/>
        <v>0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">
      <c r="A88" s="195">
        <f>'Données projet'!A102</f>
        <v>0</v>
      </c>
      <c r="B88" s="196">
        <f>'Données projet'!D102</f>
        <v>0</v>
      </c>
      <c r="C88" s="210"/>
      <c r="D88" s="194">
        <f t="shared" si="7"/>
        <v>0</v>
      </c>
      <c r="E88" s="210"/>
      <c r="F88" s="221"/>
      <c r="G88" s="232"/>
      <c r="H88" s="25"/>
      <c r="I88" s="5"/>
      <c r="J88" s="5"/>
      <c r="K88" s="5"/>
      <c r="L88" s="5"/>
      <c r="M88" s="5"/>
      <c r="N88" s="186"/>
      <c r="O88" s="5"/>
      <c r="P88" s="5"/>
      <c r="Q88" s="5"/>
      <c r="R88" s="211">
        <f>IF(R87+1&lt;=MIN('Données projet'!$E$9:$E$18),R87+1,"STOP")</f>
        <v>59</v>
      </c>
      <c r="S88" s="201">
        <f t="shared" si="6"/>
        <v>0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">
      <c r="A89" s="195">
        <f>'Données projet'!A103</f>
        <v>0</v>
      </c>
      <c r="B89" s="196">
        <f>'Données projet'!D103</f>
        <v>0</v>
      </c>
      <c r="C89" s="210"/>
      <c r="D89" s="194">
        <f t="shared" si="7"/>
        <v>0</v>
      </c>
      <c r="E89" s="210"/>
      <c r="F89" s="221"/>
      <c r="G89" s="232"/>
      <c r="H89" s="25"/>
      <c r="I89" s="5"/>
      <c r="J89" s="5"/>
      <c r="K89" s="5"/>
      <c r="L89" s="5"/>
      <c r="M89" s="5"/>
      <c r="N89" s="186"/>
      <c r="O89" s="5"/>
      <c r="P89" s="5"/>
      <c r="Q89" s="5"/>
      <c r="R89" s="211">
        <f>IF(R88+1&lt;=MIN('Données projet'!$E$9:$E$18),R88+1,"STOP")</f>
        <v>60</v>
      </c>
      <c r="S89" s="201">
        <f t="shared" si="6"/>
        <v>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">
      <c r="A90" s="195">
        <f>'Données projet'!A104</f>
        <v>0</v>
      </c>
      <c r="B90" s="196">
        <f>'Données projet'!D104</f>
        <v>0</v>
      </c>
      <c r="C90" s="210"/>
      <c r="D90" s="194">
        <f t="shared" si="7"/>
        <v>0</v>
      </c>
      <c r="E90" s="210"/>
      <c r="F90" s="221"/>
      <c r="G90" s="232"/>
      <c r="H90" s="25"/>
      <c r="I90" s="5"/>
      <c r="J90" s="5"/>
      <c r="K90" s="5"/>
      <c r="L90" s="5"/>
      <c r="M90" s="5"/>
      <c r="N90" s="186"/>
      <c r="O90" s="5"/>
      <c r="P90" s="5"/>
      <c r="Q90" s="5"/>
      <c r="R90" s="211">
        <f>IF(R89+1&lt;=MIN('Données projet'!$E$9:$E$18),R89+1,"STOP")</f>
        <v>61</v>
      </c>
      <c r="S90" s="201">
        <f t="shared" si="6"/>
        <v>0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">
      <c r="A91" s="195">
        <f>'Données projet'!A105</f>
        <v>0</v>
      </c>
      <c r="B91" s="196">
        <f>'Données projet'!D105</f>
        <v>0</v>
      </c>
      <c r="C91" s="210"/>
      <c r="D91" s="194">
        <f t="shared" si="7"/>
        <v>0</v>
      </c>
      <c r="E91" s="210"/>
      <c r="F91" s="221"/>
      <c r="G91" s="232"/>
      <c r="H91" s="25"/>
      <c r="I91" s="5"/>
      <c r="J91" s="5"/>
      <c r="K91" s="5"/>
      <c r="L91" s="5"/>
      <c r="M91" s="5"/>
      <c r="N91" s="186"/>
      <c r="O91" s="5"/>
      <c r="P91" s="5"/>
      <c r="Q91" s="5"/>
      <c r="R91" s="211">
        <f>IF(R90+1&lt;=MIN('Données projet'!$E$9:$E$18),R90+1,"STOP")</f>
        <v>62</v>
      </c>
      <c r="S91" s="201">
        <f t="shared" si="6"/>
        <v>0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">
      <c r="A92" s="195">
        <f>'Données projet'!A106</f>
        <v>0</v>
      </c>
      <c r="B92" s="196">
        <f>'Données projet'!D106</f>
        <v>0</v>
      </c>
      <c r="C92" s="210"/>
      <c r="D92" s="194">
        <f t="shared" si="7"/>
        <v>0</v>
      </c>
      <c r="E92" s="210"/>
      <c r="F92" s="221"/>
      <c r="G92" s="232"/>
      <c r="H92" s="25"/>
      <c r="I92" s="5"/>
      <c r="J92" s="5"/>
      <c r="K92" s="5"/>
      <c r="L92" s="5"/>
      <c r="M92" s="5"/>
      <c r="N92" s="186"/>
      <c r="O92" s="5"/>
      <c r="P92" s="5"/>
      <c r="Q92" s="5"/>
      <c r="R92" s="211">
        <f>IF(R91+1&lt;=MIN('Données projet'!$E$9:$E$18),R91+1,"STOP")</f>
        <v>63</v>
      </c>
      <c r="S92" s="201">
        <f t="shared" si="6"/>
        <v>0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">
      <c r="A93" s="195">
        <f>'Données projet'!A107</f>
        <v>0</v>
      </c>
      <c r="B93" s="196">
        <f>'Données projet'!D107</f>
        <v>0</v>
      </c>
      <c r="C93" s="210"/>
      <c r="D93" s="194">
        <f t="shared" si="7"/>
        <v>0</v>
      </c>
      <c r="E93" s="210"/>
      <c r="F93" s="221"/>
      <c r="G93" s="232"/>
      <c r="H93" s="25"/>
      <c r="I93" s="5"/>
      <c r="J93" s="5"/>
      <c r="K93" s="5"/>
      <c r="L93" s="5"/>
      <c r="M93" s="5"/>
      <c r="N93" s="186"/>
      <c r="O93" s="5"/>
      <c r="P93" s="5"/>
      <c r="Q93" s="5"/>
      <c r="R93" s="211">
        <f>IF(R92+1&lt;=MIN('Données projet'!$E$9:$E$18),R92+1,"STOP")</f>
        <v>64</v>
      </c>
      <c r="S93" s="201">
        <f t="shared" ref="S93:S98" si="8">$T$24/(1+$J$6)^R93</f>
        <v>0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">
      <c r="A94" s="5"/>
      <c r="B94" s="5"/>
      <c r="C94" s="5"/>
      <c r="D94" s="5"/>
      <c r="E94" s="5"/>
      <c r="F94" s="218"/>
      <c r="G94" s="230"/>
      <c r="H94" s="25"/>
      <c r="I94" s="5"/>
      <c r="J94" s="5"/>
      <c r="K94" s="5"/>
      <c r="L94" s="5"/>
      <c r="M94" s="5"/>
      <c r="N94" s="186"/>
      <c r="O94" s="5"/>
      <c r="P94" s="5"/>
      <c r="Q94" s="5"/>
      <c r="R94" s="211">
        <f>IF(R93+1&lt;=MIN('Données projet'!$E$9:$E$18),R93+1,"STOP")</f>
        <v>65</v>
      </c>
      <c r="S94" s="201">
        <f t="shared" si="8"/>
        <v>0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x14ac:dyDescent="0.3">
      <c r="A95" s="5"/>
      <c r="B95" s="5"/>
      <c r="C95" s="5"/>
      <c r="D95" s="5"/>
      <c r="E95" s="5"/>
      <c r="F95" s="218"/>
      <c r="G95" s="230"/>
      <c r="H95" s="25"/>
      <c r="I95" s="5"/>
      <c r="J95" s="5"/>
      <c r="K95" s="5"/>
      <c r="L95" s="5"/>
      <c r="M95" s="5"/>
      <c r="N95" s="186"/>
      <c r="O95" s="5"/>
      <c r="P95" s="5"/>
      <c r="Q95" s="5"/>
      <c r="R95" s="211">
        <f>IF(R94+1&lt;=MIN('Données projet'!$E$9:$E$18),R94+1,"STOP")</f>
        <v>66</v>
      </c>
      <c r="S95" s="201">
        <f t="shared" si="8"/>
        <v>0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">
      <c r="A96" s="49" t="s">
        <v>168</v>
      </c>
      <c r="B96" s="189" t="str">
        <f>IF('Données projet'!B12="","",'Données projet'!B12)</f>
        <v/>
      </c>
      <c r="C96" s="5"/>
      <c r="D96" s="5"/>
      <c r="E96" s="5"/>
      <c r="F96" s="218"/>
      <c r="G96" s="230"/>
      <c r="H96" s="25"/>
      <c r="I96" s="5"/>
      <c r="J96" s="5"/>
      <c r="K96" s="5"/>
      <c r="L96" s="5"/>
      <c r="M96" s="5"/>
      <c r="N96" s="186"/>
      <c r="O96" s="5"/>
      <c r="P96" s="5"/>
      <c r="Q96" s="5"/>
      <c r="R96" s="211">
        <f>IF(R95+1&lt;=MIN('Données projet'!$E$9:$E$18),R95+1,"STOP")</f>
        <v>67</v>
      </c>
      <c r="S96" s="201">
        <f t="shared" si="8"/>
        <v>0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">
      <c r="A97" s="5"/>
      <c r="B97" s="5"/>
      <c r="C97" s="5"/>
      <c r="D97" s="5"/>
      <c r="E97" s="5"/>
      <c r="F97" s="218"/>
      <c r="G97" s="230"/>
      <c r="H97" s="25"/>
      <c r="I97" s="5"/>
      <c r="J97" s="5"/>
      <c r="K97" s="5"/>
      <c r="L97" s="5"/>
      <c r="M97" s="5"/>
      <c r="N97" s="186"/>
      <c r="O97" s="5"/>
      <c r="P97" s="5"/>
      <c r="Q97" s="5"/>
      <c r="R97" s="211">
        <f>IF(R96+1&lt;=MIN('Données projet'!$E$9:$E$18),R96+1,"STOP")</f>
        <v>68</v>
      </c>
      <c r="S97" s="201">
        <f t="shared" si="8"/>
        <v>0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16.5" customHeight="1" x14ac:dyDescent="0.3">
      <c r="A98" s="188" t="s">
        <v>180</v>
      </c>
      <c r="B98" s="51" t="s">
        <v>256</v>
      </c>
      <c r="C98" s="51" t="s">
        <v>255</v>
      </c>
      <c r="D98" s="188" t="s">
        <v>252</v>
      </c>
      <c r="E98" s="188" t="s">
        <v>288</v>
      </c>
      <c r="F98" s="220"/>
      <c r="G98" s="231"/>
      <c r="H98" s="25"/>
      <c r="I98" s="5"/>
      <c r="J98" s="5"/>
      <c r="K98" s="5"/>
      <c r="L98" s="5"/>
      <c r="M98" s="5"/>
      <c r="N98" s="186"/>
      <c r="O98" s="5"/>
      <c r="P98" s="5"/>
      <c r="Q98" s="5"/>
      <c r="R98" s="211">
        <f>IF(R97+1&lt;=MIN('Données projet'!$E$9:$E$18),R97+1,"STOP")</f>
        <v>69</v>
      </c>
      <c r="S98" s="201">
        <f t="shared" si="8"/>
        <v>0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16.5" customHeight="1" x14ac:dyDescent="0.3">
      <c r="A99" s="214">
        <v>0</v>
      </c>
      <c r="B99" s="217" t="s">
        <v>132</v>
      </c>
      <c r="C99" s="216" t="s">
        <v>132</v>
      </c>
      <c r="D99" s="215" t="s">
        <v>132</v>
      </c>
      <c r="E99" s="210"/>
      <c r="F99" s="220"/>
      <c r="G99" s="231"/>
      <c r="H99" s="25"/>
      <c r="I99" s="5"/>
      <c r="J99" s="5"/>
      <c r="K99" s="5"/>
      <c r="L99" s="5"/>
      <c r="M99" s="5"/>
      <c r="N99" s="186"/>
      <c r="O99" s="5"/>
      <c r="P99" s="5"/>
      <c r="Q99" s="5"/>
      <c r="R99" s="211">
        <f>IF(R98+1&lt;=MIN('Données projet'!$E$9:$E$18),R98+1,"STOP")</f>
        <v>70</v>
      </c>
      <c r="S99" s="201">
        <f t="shared" ref="S99:S128" si="9">$T$24/(1+$J$6)^R99</f>
        <v>0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">
      <c r="A100" s="195">
        <f>'Données projet'!A114</f>
        <v>0</v>
      </c>
      <c r="B100" s="196">
        <f>'Données projet'!D114</f>
        <v>0</v>
      </c>
      <c r="C100" s="210"/>
      <c r="D100" s="194">
        <f>B100*C100</f>
        <v>0</v>
      </c>
      <c r="E100" s="210"/>
      <c r="F100" s="221"/>
      <c r="G100" s="232"/>
      <c r="H100" s="25"/>
      <c r="I100" s="5"/>
      <c r="J100" s="5"/>
      <c r="K100" s="5"/>
      <c r="L100" s="5"/>
      <c r="M100" s="5"/>
      <c r="N100" s="186"/>
      <c r="O100" s="5"/>
      <c r="P100" s="5"/>
      <c r="Q100" s="5"/>
      <c r="R100" s="211">
        <f>IF(R99+1&lt;=MIN('Données projet'!$E$9:$E$18),R99+1,"STOP")</f>
        <v>71</v>
      </c>
      <c r="S100" s="201">
        <f t="shared" si="9"/>
        <v>0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">
      <c r="A101" s="195">
        <f>'Données projet'!A115</f>
        <v>0</v>
      </c>
      <c r="B101" s="196">
        <f>'Données projet'!D115</f>
        <v>0</v>
      </c>
      <c r="C101" s="210"/>
      <c r="D101" s="194">
        <f t="shared" ref="D101:D119" si="10">B101*C101</f>
        <v>0</v>
      </c>
      <c r="E101" s="210"/>
      <c r="F101" s="221"/>
      <c r="G101" s="232"/>
      <c r="H101" s="25"/>
      <c r="I101" s="5"/>
      <c r="J101" s="5"/>
      <c r="K101" s="5"/>
      <c r="L101" s="5"/>
      <c r="M101" s="5"/>
      <c r="N101" s="186"/>
      <c r="O101" s="5"/>
      <c r="P101" s="5"/>
      <c r="Q101" s="5"/>
      <c r="R101" s="211">
        <f>IF(R100+1&lt;=MIN('Données projet'!$E$9:$E$18),R100+1,"STOP")</f>
        <v>72</v>
      </c>
      <c r="S101" s="201">
        <f t="shared" si="9"/>
        <v>0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">
      <c r="A102" s="195">
        <f>'Données projet'!A116</f>
        <v>0</v>
      </c>
      <c r="B102" s="196">
        <f>'Données projet'!D116</f>
        <v>0</v>
      </c>
      <c r="C102" s="210"/>
      <c r="D102" s="194">
        <f t="shared" si="10"/>
        <v>0</v>
      </c>
      <c r="E102" s="210"/>
      <c r="F102" s="221"/>
      <c r="G102" s="232"/>
      <c r="H102" s="25"/>
      <c r="I102" s="5"/>
      <c r="J102" s="5"/>
      <c r="K102" s="5"/>
      <c r="L102" s="5"/>
      <c r="M102" s="5"/>
      <c r="N102" s="186"/>
      <c r="O102" s="5"/>
      <c r="P102" s="5"/>
      <c r="Q102" s="5"/>
      <c r="R102" s="211">
        <f>IF(R101+1&lt;=MIN('Données projet'!$E$9:$E$18),R101+1,"STOP")</f>
        <v>73</v>
      </c>
      <c r="S102" s="201">
        <f t="shared" si="9"/>
        <v>0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">
      <c r="A103" s="195">
        <f>'Données projet'!A117</f>
        <v>0</v>
      </c>
      <c r="B103" s="196">
        <f>'Données projet'!D117</f>
        <v>0</v>
      </c>
      <c r="C103" s="210"/>
      <c r="D103" s="194">
        <f t="shared" si="10"/>
        <v>0</v>
      </c>
      <c r="E103" s="210"/>
      <c r="F103" s="221"/>
      <c r="G103" s="232"/>
      <c r="H103" s="25"/>
      <c r="I103" s="5"/>
      <c r="J103" s="5"/>
      <c r="K103" s="5"/>
      <c r="L103" s="5"/>
      <c r="M103" s="5"/>
      <c r="N103" s="186"/>
      <c r="O103" s="5"/>
      <c r="P103" s="5"/>
      <c r="Q103" s="5"/>
      <c r="R103" s="211">
        <f>IF(R102+1&lt;=MIN('Données projet'!$E$9:$E$18),R102+1,"STOP")</f>
        <v>74</v>
      </c>
      <c r="S103" s="201">
        <f t="shared" si="9"/>
        <v>0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">
      <c r="A104" s="195">
        <f>'Données projet'!A118</f>
        <v>0</v>
      </c>
      <c r="B104" s="196">
        <f>'Données projet'!D118</f>
        <v>0</v>
      </c>
      <c r="C104" s="210"/>
      <c r="D104" s="194">
        <f t="shared" si="10"/>
        <v>0</v>
      </c>
      <c r="E104" s="210"/>
      <c r="F104" s="221"/>
      <c r="G104" s="232"/>
      <c r="H104" s="25"/>
      <c r="I104" s="5"/>
      <c r="J104" s="5"/>
      <c r="K104" s="5"/>
      <c r="L104" s="5"/>
      <c r="M104" s="5"/>
      <c r="N104" s="186"/>
      <c r="O104" s="5"/>
      <c r="P104" s="5"/>
      <c r="Q104" s="5"/>
      <c r="R104" s="211">
        <f>IF(R103+1&lt;=MIN('Données projet'!$E$9:$E$18),R103+1,"STOP")</f>
        <v>75</v>
      </c>
      <c r="S104" s="201">
        <f t="shared" si="9"/>
        <v>0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">
      <c r="A105" s="195">
        <f>'Données projet'!A119</f>
        <v>0</v>
      </c>
      <c r="B105" s="196">
        <f>'Données projet'!D119</f>
        <v>0</v>
      </c>
      <c r="C105" s="210"/>
      <c r="D105" s="194">
        <f t="shared" si="10"/>
        <v>0</v>
      </c>
      <c r="E105" s="210"/>
      <c r="F105" s="221"/>
      <c r="G105" s="232"/>
      <c r="H105" s="25"/>
      <c r="I105" s="5"/>
      <c r="J105" s="5"/>
      <c r="K105" s="5"/>
      <c r="L105" s="5"/>
      <c r="M105" s="5"/>
      <c r="N105" s="186"/>
      <c r="O105" s="5"/>
      <c r="P105" s="5"/>
      <c r="Q105" s="5"/>
      <c r="R105" s="211">
        <f>IF(R104+1&lt;=MIN('Données projet'!$E$9:$E$18),R104+1,"STOP")</f>
        <v>76</v>
      </c>
      <c r="S105" s="201">
        <f t="shared" si="9"/>
        <v>0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">
      <c r="A106" s="195">
        <f>'Données projet'!A120</f>
        <v>0</v>
      </c>
      <c r="B106" s="196">
        <f>'Données projet'!D120</f>
        <v>0</v>
      </c>
      <c r="C106" s="210"/>
      <c r="D106" s="194">
        <f t="shared" si="10"/>
        <v>0</v>
      </c>
      <c r="E106" s="210"/>
      <c r="F106" s="221"/>
      <c r="G106" s="232"/>
      <c r="H106" s="25"/>
      <c r="I106" s="5"/>
      <c r="J106" s="5"/>
      <c r="K106" s="5"/>
      <c r="L106" s="5"/>
      <c r="M106" s="5"/>
      <c r="N106" s="186"/>
      <c r="O106" s="5"/>
      <c r="P106" s="5"/>
      <c r="Q106" s="5"/>
      <c r="R106" s="211">
        <f>IF(R105+1&lt;=MIN('Données projet'!$E$9:$E$18),R105+1,"STOP")</f>
        <v>77</v>
      </c>
      <c r="S106" s="201">
        <f t="shared" si="9"/>
        <v>0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">
      <c r="A107" s="195">
        <f>'Données projet'!A121</f>
        <v>0</v>
      </c>
      <c r="B107" s="196">
        <f>'Données projet'!D121</f>
        <v>0</v>
      </c>
      <c r="C107" s="210"/>
      <c r="D107" s="194">
        <f t="shared" si="10"/>
        <v>0</v>
      </c>
      <c r="E107" s="210"/>
      <c r="F107" s="221"/>
      <c r="G107" s="232"/>
      <c r="H107" s="25"/>
      <c r="I107" s="5"/>
      <c r="J107" s="5"/>
      <c r="K107" s="5"/>
      <c r="L107" s="5"/>
      <c r="M107" s="5"/>
      <c r="N107" s="186"/>
      <c r="O107" s="5"/>
      <c r="P107" s="5"/>
      <c r="Q107" s="5"/>
      <c r="R107" s="211">
        <f>IF(R106+1&lt;=MIN('Données projet'!$E$9:$E$18),R106+1,"STOP")</f>
        <v>78</v>
      </c>
      <c r="S107" s="201">
        <f t="shared" si="9"/>
        <v>0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">
      <c r="A108" s="195">
        <f>'Données projet'!A122</f>
        <v>0</v>
      </c>
      <c r="B108" s="196">
        <f>'Données projet'!D122</f>
        <v>0</v>
      </c>
      <c r="C108" s="210"/>
      <c r="D108" s="194">
        <f t="shared" si="10"/>
        <v>0</v>
      </c>
      <c r="E108" s="210"/>
      <c r="F108" s="221"/>
      <c r="G108" s="232"/>
      <c r="H108" s="25"/>
      <c r="I108" s="5"/>
      <c r="J108" s="5"/>
      <c r="K108" s="5"/>
      <c r="L108" s="5"/>
      <c r="M108" s="5"/>
      <c r="N108" s="186"/>
      <c r="O108" s="5"/>
      <c r="P108" s="5"/>
      <c r="Q108" s="5"/>
      <c r="R108" s="211">
        <f>IF(R107+1&lt;=MIN('Données projet'!$E$9:$E$18),R107+1,"STOP")</f>
        <v>79</v>
      </c>
      <c r="S108" s="201">
        <f t="shared" si="9"/>
        <v>0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">
      <c r="A109" s="195">
        <f>'Données projet'!A123</f>
        <v>0</v>
      </c>
      <c r="B109" s="196">
        <f>'Données projet'!D123</f>
        <v>0</v>
      </c>
      <c r="C109" s="210"/>
      <c r="D109" s="194">
        <f t="shared" si="10"/>
        <v>0</v>
      </c>
      <c r="E109" s="210"/>
      <c r="F109" s="221"/>
      <c r="G109" s="232"/>
      <c r="H109" s="25"/>
      <c r="I109" s="5"/>
      <c r="J109" s="5"/>
      <c r="K109" s="5"/>
      <c r="L109" s="5"/>
      <c r="M109" s="5"/>
      <c r="N109" s="186"/>
      <c r="O109" s="5"/>
      <c r="P109" s="5"/>
      <c r="Q109" s="5"/>
      <c r="R109" s="211">
        <f>IF(R108+1&lt;=MIN('Données projet'!$E$9:$E$18),R108+1,"STOP")</f>
        <v>80</v>
      </c>
      <c r="S109" s="201">
        <f t="shared" si="9"/>
        <v>0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">
      <c r="A110" s="195">
        <f>'Données projet'!A124</f>
        <v>0</v>
      </c>
      <c r="B110" s="196">
        <f>'Données projet'!D124</f>
        <v>0</v>
      </c>
      <c r="C110" s="210"/>
      <c r="D110" s="194">
        <f t="shared" si="10"/>
        <v>0</v>
      </c>
      <c r="E110" s="210"/>
      <c r="F110" s="221"/>
      <c r="G110" s="232"/>
      <c r="H110" s="25"/>
      <c r="I110" s="5"/>
      <c r="J110" s="5"/>
      <c r="K110" s="5"/>
      <c r="L110" s="5"/>
      <c r="M110" s="5"/>
      <c r="N110" s="186"/>
      <c r="O110" s="5"/>
      <c r="P110" s="5"/>
      <c r="Q110" s="5"/>
      <c r="R110" s="211" t="str">
        <f>IF(R109+1&lt;=MIN('Données projet'!$E$9:$E$18),R109+1,"STOP")</f>
        <v>STOP</v>
      </c>
      <c r="S110" s="201" t="e">
        <f t="shared" si="9"/>
        <v>#VALUE!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">
      <c r="A111" s="195">
        <f>'Données projet'!A125</f>
        <v>0</v>
      </c>
      <c r="B111" s="196">
        <f>'Données projet'!D125</f>
        <v>0</v>
      </c>
      <c r="C111" s="210"/>
      <c r="D111" s="194">
        <f t="shared" si="10"/>
        <v>0</v>
      </c>
      <c r="E111" s="210"/>
      <c r="F111" s="221"/>
      <c r="G111" s="232"/>
      <c r="H111" s="25"/>
      <c r="I111" s="5"/>
      <c r="J111" s="5"/>
      <c r="K111" s="5"/>
      <c r="L111" s="5"/>
      <c r="M111" s="5"/>
      <c r="N111" s="186"/>
      <c r="O111" s="5"/>
      <c r="P111" s="5"/>
      <c r="Q111" s="5"/>
      <c r="R111" s="211" t="e">
        <f>IF(R110+1&lt;=MIN('Données projet'!$E$9:$E$18),R110+1,"STOP")</f>
        <v>#VALUE!</v>
      </c>
      <c r="S111" s="201" t="e">
        <f t="shared" si="9"/>
        <v>#VALUE!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">
      <c r="A112" s="195">
        <f>'Données projet'!A126</f>
        <v>0</v>
      </c>
      <c r="B112" s="196">
        <f>'Données projet'!D126</f>
        <v>0</v>
      </c>
      <c r="C112" s="210"/>
      <c r="D112" s="194">
        <f t="shared" si="10"/>
        <v>0</v>
      </c>
      <c r="E112" s="210"/>
      <c r="F112" s="221"/>
      <c r="G112" s="232"/>
      <c r="H112" s="25"/>
      <c r="I112" s="5"/>
      <c r="J112" s="5"/>
      <c r="K112" s="5"/>
      <c r="L112" s="5"/>
      <c r="M112" s="5"/>
      <c r="N112" s="186"/>
      <c r="O112" s="5"/>
      <c r="P112" s="5"/>
      <c r="Q112" s="5"/>
      <c r="R112" s="211" t="e">
        <f>IF(R111+1&lt;=MIN('Données projet'!$E$9:$E$18),R111+1,"STOP")</f>
        <v>#VALUE!</v>
      </c>
      <c r="S112" s="201" t="e">
        <f t="shared" si="9"/>
        <v>#VALUE!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3">
      <c r="A113" s="195">
        <f>'Données projet'!A127</f>
        <v>0</v>
      </c>
      <c r="B113" s="196">
        <f>'Données projet'!D127</f>
        <v>0</v>
      </c>
      <c r="C113" s="210"/>
      <c r="D113" s="194">
        <f t="shared" si="10"/>
        <v>0</v>
      </c>
      <c r="E113" s="210"/>
      <c r="F113" s="221"/>
      <c r="G113" s="232"/>
      <c r="H113" s="25"/>
      <c r="I113" s="5"/>
      <c r="J113" s="5"/>
      <c r="K113" s="5"/>
      <c r="L113" s="5"/>
      <c r="M113" s="5"/>
      <c r="N113" s="186"/>
      <c r="O113" s="5"/>
      <c r="P113" s="5"/>
      <c r="Q113" s="5"/>
      <c r="R113" s="211"/>
      <c r="S113" s="201">
        <f t="shared" si="9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x14ac:dyDescent="0.3">
      <c r="A114" s="195">
        <f>'Données projet'!A128</f>
        <v>0</v>
      </c>
      <c r="B114" s="196">
        <f>'Données projet'!D128</f>
        <v>0</v>
      </c>
      <c r="C114" s="210"/>
      <c r="D114" s="194">
        <f t="shared" si="10"/>
        <v>0</v>
      </c>
      <c r="E114" s="210"/>
      <c r="F114" s="221"/>
      <c r="G114" s="232"/>
      <c r="H114" s="25"/>
      <c r="I114" s="5"/>
      <c r="J114" s="5"/>
      <c r="K114" s="5"/>
      <c r="L114" s="5"/>
      <c r="M114" s="5"/>
      <c r="N114" s="186"/>
      <c r="O114" s="5"/>
      <c r="P114" s="5"/>
      <c r="Q114" s="5"/>
      <c r="R114" s="211"/>
      <c r="S114" s="201">
        <f t="shared" si="9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x14ac:dyDescent="0.3">
      <c r="A115" s="195">
        <f>'Données projet'!A129</f>
        <v>0</v>
      </c>
      <c r="B115" s="196">
        <f>'Données projet'!D129</f>
        <v>0</v>
      </c>
      <c r="C115" s="210"/>
      <c r="D115" s="194">
        <f t="shared" si="10"/>
        <v>0</v>
      </c>
      <c r="E115" s="210"/>
      <c r="F115" s="221"/>
      <c r="G115" s="232"/>
      <c r="H115" s="25"/>
      <c r="I115" s="5"/>
      <c r="J115" s="5"/>
      <c r="K115" s="5"/>
      <c r="L115" s="5"/>
      <c r="M115" s="5"/>
      <c r="N115" s="186"/>
      <c r="O115" s="5"/>
      <c r="P115" s="5"/>
      <c r="Q115" s="5"/>
      <c r="R115" s="211"/>
      <c r="S115" s="201">
        <f t="shared" si="9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x14ac:dyDescent="0.3">
      <c r="A116" s="195">
        <f>'Données projet'!A130</f>
        <v>0</v>
      </c>
      <c r="B116" s="196">
        <f>'Données projet'!D130</f>
        <v>0</v>
      </c>
      <c r="C116" s="210"/>
      <c r="D116" s="194">
        <f t="shared" si="10"/>
        <v>0</v>
      </c>
      <c r="E116" s="210"/>
      <c r="F116" s="221"/>
      <c r="G116" s="232"/>
      <c r="H116" s="25"/>
      <c r="I116" s="5"/>
      <c r="J116" s="5"/>
      <c r="K116" s="5"/>
      <c r="L116" s="5"/>
      <c r="M116" s="5"/>
      <c r="N116" s="186"/>
      <c r="O116" s="5"/>
      <c r="P116" s="5"/>
      <c r="Q116" s="5"/>
      <c r="R116" s="211"/>
      <c r="S116" s="201">
        <f t="shared" si="9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x14ac:dyDescent="0.3">
      <c r="A117" s="195">
        <f>'Données projet'!A131</f>
        <v>0</v>
      </c>
      <c r="B117" s="196">
        <f>'Données projet'!D131</f>
        <v>0</v>
      </c>
      <c r="C117" s="208"/>
      <c r="D117" s="194">
        <f t="shared" si="10"/>
        <v>0</v>
      </c>
      <c r="E117" s="210"/>
      <c r="F117" s="221"/>
      <c r="G117" s="232"/>
      <c r="H117" s="25"/>
      <c r="I117" s="5"/>
      <c r="J117" s="5"/>
      <c r="K117" s="5"/>
      <c r="L117" s="5"/>
      <c r="M117" s="5"/>
      <c r="N117" s="186"/>
      <c r="O117" s="5"/>
      <c r="P117" s="5"/>
      <c r="Q117" s="5"/>
      <c r="R117" s="211"/>
      <c r="S117" s="201">
        <f t="shared" si="9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x14ac:dyDescent="0.3">
      <c r="A118" s="195">
        <f>'Données projet'!A132</f>
        <v>0</v>
      </c>
      <c r="B118" s="196">
        <f>'Données projet'!D132</f>
        <v>0</v>
      </c>
      <c r="C118" s="208"/>
      <c r="D118" s="194">
        <f t="shared" si="10"/>
        <v>0</v>
      </c>
      <c r="E118" s="210"/>
      <c r="F118" s="221"/>
      <c r="G118" s="232"/>
      <c r="H118" s="25"/>
      <c r="I118" s="5"/>
      <c r="J118" s="5"/>
      <c r="K118" s="5"/>
      <c r="L118" s="5"/>
      <c r="M118" s="5"/>
      <c r="N118" s="186"/>
      <c r="O118" s="5"/>
      <c r="P118" s="5"/>
      <c r="Q118" s="5"/>
      <c r="R118" s="211"/>
      <c r="S118" s="201">
        <f t="shared" si="9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x14ac:dyDescent="0.3">
      <c r="A119" s="195">
        <f>'Données projet'!A133</f>
        <v>0</v>
      </c>
      <c r="B119" s="196">
        <f>'Données projet'!D133</f>
        <v>0</v>
      </c>
      <c r="C119" s="208"/>
      <c r="D119" s="194">
        <f t="shared" si="10"/>
        <v>0</v>
      </c>
      <c r="E119" s="210"/>
      <c r="F119" s="221"/>
      <c r="G119" s="232"/>
      <c r="H119" s="25"/>
      <c r="I119" s="5"/>
      <c r="J119" s="5"/>
      <c r="K119" s="5"/>
      <c r="L119" s="5"/>
      <c r="M119" s="5"/>
      <c r="N119" s="186"/>
      <c r="O119" s="5"/>
      <c r="P119" s="5"/>
      <c r="Q119" s="5"/>
      <c r="R119" s="211"/>
      <c r="S119" s="201">
        <f t="shared" si="9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x14ac:dyDescent="0.3">
      <c r="A120" s="5"/>
      <c r="B120" s="5"/>
      <c r="C120" s="5"/>
      <c r="D120" s="5"/>
      <c r="E120" s="5"/>
      <c r="F120" s="218"/>
      <c r="G120" s="230"/>
      <c r="H120" s="25"/>
      <c r="I120" s="5"/>
      <c r="J120" s="5"/>
      <c r="K120" s="5"/>
      <c r="L120" s="5"/>
      <c r="M120" s="5"/>
      <c r="N120" s="186"/>
      <c r="O120" s="5"/>
      <c r="P120" s="5"/>
      <c r="Q120" s="5"/>
      <c r="R120" s="211"/>
      <c r="S120" s="201">
        <f t="shared" si="9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3">
      <c r="A121" s="5"/>
      <c r="B121" s="5"/>
      <c r="C121" s="5"/>
      <c r="D121" s="5"/>
      <c r="E121" s="5"/>
      <c r="F121" s="218"/>
      <c r="G121" s="230"/>
      <c r="H121" s="25"/>
      <c r="I121" s="5"/>
      <c r="J121" s="5"/>
      <c r="K121" s="5"/>
      <c r="L121" s="5"/>
      <c r="M121" s="5"/>
      <c r="N121" s="186"/>
      <c r="O121" s="5"/>
      <c r="P121" s="5"/>
      <c r="Q121" s="5"/>
      <c r="R121" s="211"/>
      <c r="S121" s="201">
        <f t="shared" si="9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x14ac:dyDescent="0.3">
      <c r="A122" s="49" t="s">
        <v>169</v>
      </c>
      <c r="B122" s="189" t="str">
        <f>IF('Données projet'!B13="","",'Données projet'!B13)</f>
        <v/>
      </c>
      <c r="C122" s="5"/>
      <c r="D122" s="5"/>
      <c r="E122" s="5"/>
      <c r="F122" s="218"/>
      <c r="G122" s="230"/>
      <c r="H122" s="25"/>
      <c r="I122" s="5"/>
      <c r="J122" s="5"/>
      <c r="K122" s="5"/>
      <c r="L122" s="5"/>
      <c r="M122" s="5"/>
      <c r="N122" s="186"/>
      <c r="O122" s="5"/>
      <c r="P122" s="5"/>
      <c r="Q122" s="5"/>
      <c r="R122" s="211"/>
      <c r="S122" s="201">
        <f t="shared" si="9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x14ac:dyDescent="0.3">
      <c r="A123" s="5"/>
      <c r="B123" s="5"/>
      <c r="C123" s="5"/>
      <c r="D123" s="5"/>
      <c r="E123" s="5"/>
      <c r="F123" s="218"/>
      <c r="G123" s="230"/>
      <c r="H123" s="25"/>
      <c r="I123" s="5"/>
      <c r="J123" s="5"/>
      <c r="K123" s="5"/>
      <c r="L123" s="5"/>
      <c r="M123" s="5"/>
      <c r="N123" s="186"/>
      <c r="O123" s="5"/>
      <c r="P123" s="5"/>
      <c r="Q123" s="5"/>
      <c r="R123" s="211"/>
      <c r="S123" s="201">
        <f t="shared" si="9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15.75" customHeight="1" x14ac:dyDescent="0.3">
      <c r="A124" s="188" t="s">
        <v>180</v>
      </c>
      <c r="B124" s="51" t="s">
        <v>256</v>
      </c>
      <c r="C124" s="51" t="s">
        <v>255</v>
      </c>
      <c r="D124" s="188" t="s">
        <v>252</v>
      </c>
      <c r="E124" s="188" t="s">
        <v>288</v>
      </c>
      <c r="F124" s="220"/>
      <c r="G124" s="231"/>
      <c r="H124" s="25"/>
      <c r="I124" s="5"/>
      <c r="J124" s="5"/>
      <c r="K124" s="5"/>
      <c r="L124" s="5"/>
      <c r="M124" s="5"/>
      <c r="N124" s="186"/>
      <c r="O124" s="5"/>
      <c r="P124" s="5"/>
      <c r="Q124" s="5"/>
      <c r="R124" s="211"/>
      <c r="S124" s="201">
        <f t="shared" si="9"/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15.75" customHeight="1" x14ac:dyDescent="0.3">
      <c r="A125" s="214">
        <v>0</v>
      </c>
      <c r="B125" s="217" t="s">
        <v>132</v>
      </c>
      <c r="C125" s="216" t="s">
        <v>132</v>
      </c>
      <c r="D125" s="215" t="s">
        <v>132</v>
      </c>
      <c r="E125" s="210"/>
      <c r="F125" s="220"/>
      <c r="G125" s="231"/>
      <c r="H125" s="25"/>
      <c r="I125" s="5"/>
      <c r="J125" s="5"/>
      <c r="K125" s="5"/>
      <c r="L125" s="5"/>
      <c r="M125" s="5"/>
      <c r="N125" s="186"/>
      <c r="O125" s="5"/>
      <c r="P125" s="5"/>
      <c r="Q125" s="5"/>
      <c r="R125" s="211"/>
      <c r="S125" s="201">
        <f t="shared" si="9"/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x14ac:dyDescent="0.3">
      <c r="A126" s="45">
        <f>'Données projet'!A140</f>
        <v>0</v>
      </c>
      <c r="B126" s="190">
        <f>'Données projet'!D140</f>
        <v>0</v>
      </c>
      <c r="C126" s="210"/>
      <c r="D126" s="197">
        <f>B126*C126</f>
        <v>0</v>
      </c>
      <c r="E126" s="210"/>
      <c r="F126" s="219"/>
      <c r="G126" s="227"/>
      <c r="H126" s="25"/>
      <c r="I126" s="5"/>
      <c r="J126" s="5"/>
      <c r="K126" s="5"/>
      <c r="L126" s="5"/>
      <c r="M126" s="5"/>
      <c r="N126" s="186"/>
      <c r="O126" s="5"/>
      <c r="P126" s="5"/>
      <c r="Q126" s="5"/>
      <c r="R126" s="211"/>
      <c r="S126" s="201">
        <f t="shared" si="9"/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x14ac:dyDescent="0.3">
      <c r="A127" s="45">
        <f>'Données projet'!A141</f>
        <v>0</v>
      </c>
      <c r="B127" s="190">
        <f>'Données projet'!D141</f>
        <v>0</v>
      </c>
      <c r="C127" s="210"/>
      <c r="D127" s="197">
        <f t="shared" ref="D127:D145" si="11">B127*C127</f>
        <v>0</v>
      </c>
      <c r="E127" s="210"/>
      <c r="F127" s="219"/>
      <c r="G127" s="227"/>
      <c r="H127" s="25"/>
      <c r="I127" s="5"/>
      <c r="J127" s="5"/>
      <c r="K127" s="5"/>
      <c r="L127" s="5"/>
      <c r="M127" s="5"/>
      <c r="N127" s="186"/>
      <c r="O127" s="5"/>
      <c r="P127" s="5"/>
      <c r="Q127" s="5"/>
      <c r="R127" s="211"/>
      <c r="S127" s="201">
        <f t="shared" si="9"/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x14ac:dyDescent="0.3">
      <c r="A128" s="45">
        <f>'Données projet'!A142</f>
        <v>0</v>
      </c>
      <c r="B128" s="190">
        <f>'Données projet'!D142</f>
        <v>0</v>
      </c>
      <c r="C128" s="210"/>
      <c r="D128" s="197">
        <f t="shared" si="11"/>
        <v>0</v>
      </c>
      <c r="E128" s="210"/>
      <c r="F128" s="219"/>
      <c r="G128" s="227"/>
      <c r="H128" s="25"/>
      <c r="I128" s="5"/>
      <c r="J128" s="5"/>
      <c r="K128" s="5"/>
      <c r="L128" s="5"/>
      <c r="M128" s="5"/>
      <c r="N128" s="186"/>
      <c r="O128" s="5"/>
      <c r="P128" s="5"/>
      <c r="Q128" s="5"/>
      <c r="R128" s="211"/>
      <c r="S128" s="201">
        <f t="shared" si="9"/>
        <v>0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8" x14ac:dyDescent="0.3">
      <c r="A129" s="45">
        <f>'Données projet'!A143</f>
        <v>0</v>
      </c>
      <c r="B129" s="190">
        <f>'Données projet'!D143</f>
        <v>0</v>
      </c>
      <c r="C129" s="210"/>
      <c r="D129" s="197">
        <f t="shared" si="11"/>
        <v>0</v>
      </c>
      <c r="E129" s="210"/>
      <c r="F129" s="219"/>
      <c r="G129" s="227"/>
      <c r="H129" s="25"/>
      <c r="I129" s="5"/>
      <c r="J129" s="5"/>
      <c r="K129" s="5"/>
      <c r="L129" s="5"/>
      <c r="M129" s="5"/>
      <c r="N129" s="186"/>
      <c r="O129" s="5"/>
      <c r="P129" s="5"/>
      <c r="Q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8" x14ac:dyDescent="0.3">
      <c r="A130" s="45">
        <f>'Données projet'!A144</f>
        <v>0</v>
      </c>
      <c r="B130" s="190">
        <f>'Données projet'!D144</f>
        <v>0</v>
      </c>
      <c r="C130" s="210"/>
      <c r="D130" s="197">
        <f t="shared" si="11"/>
        <v>0</v>
      </c>
      <c r="E130" s="210"/>
      <c r="F130" s="219"/>
      <c r="G130" s="227"/>
      <c r="H130" s="25"/>
      <c r="I130" s="5"/>
      <c r="J130" s="5"/>
      <c r="K130" s="5"/>
      <c r="L130" s="5"/>
      <c r="M130" s="5"/>
      <c r="N130" s="186"/>
      <c r="O130" s="5"/>
      <c r="P130" s="5"/>
      <c r="Q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8" x14ac:dyDescent="0.3">
      <c r="A131" s="45">
        <f>'Données projet'!A145</f>
        <v>0</v>
      </c>
      <c r="B131" s="190">
        <f>'Données projet'!D145</f>
        <v>0</v>
      </c>
      <c r="C131" s="210"/>
      <c r="D131" s="197">
        <f t="shared" si="11"/>
        <v>0</v>
      </c>
      <c r="E131" s="210"/>
      <c r="F131" s="219"/>
      <c r="G131" s="227"/>
      <c r="H131" s="25"/>
      <c r="I131" s="5"/>
      <c r="J131" s="5"/>
      <c r="K131" s="5"/>
      <c r="L131" s="5"/>
      <c r="M131" s="5"/>
      <c r="N131" s="186"/>
      <c r="O131" s="5"/>
      <c r="P131" s="5"/>
      <c r="Q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8" x14ac:dyDescent="0.3">
      <c r="A132" s="45">
        <f>'Données projet'!A146</f>
        <v>0</v>
      </c>
      <c r="B132" s="190">
        <f>'Données projet'!D146</f>
        <v>0</v>
      </c>
      <c r="C132" s="210"/>
      <c r="D132" s="197">
        <f t="shared" si="11"/>
        <v>0</v>
      </c>
      <c r="E132" s="210"/>
      <c r="F132" s="219"/>
      <c r="G132" s="227"/>
      <c r="H132" s="25"/>
      <c r="I132" s="5"/>
      <c r="J132" s="5"/>
      <c r="K132" s="5"/>
      <c r="L132" s="5"/>
      <c r="M132" s="5"/>
      <c r="N132" s="186"/>
      <c r="O132" s="5"/>
      <c r="P132" s="5"/>
      <c r="Q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8" x14ac:dyDescent="0.3">
      <c r="A133" s="45">
        <f>'Données projet'!A147</f>
        <v>0</v>
      </c>
      <c r="B133" s="190">
        <f>'Données projet'!D147</f>
        <v>0</v>
      </c>
      <c r="C133" s="210"/>
      <c r="D133" s="197">
        <f t="shared" si="11"/>
        <v>0</v>
      </c>
      <c r="E133" s="210"/>
      <c r="F133" s="219"/>
      <c r="G133" s="227"/>
      <c r="H133" s="25"/>
      <c r="I133" s="5"/>
      <c r="J133" s="5"/>
      <c r="K133" s="5"/>
      <c r="L133" s="5"/>
      <c r="M133" s="5"/>
      <c r="N133" s="186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">
      <c r="A134" s="45">
        <f>'Données projet'!A148</f>
        <v>0</v>
      </c>
      <c r="B134" s="190">
        <f>'Données projet'!D148</f>
        <v>0</v>
      </c>
      <c r="C134" s="210"/>
      <c r="D134" s="197">
        <f t="shared" si="11"/>
        <v>0</v>
      </c>
      <c r="E134" s="210"/>
      <c r="F134" s="219"/>
      <c r="G134" s="227"/>
      <c r="H134" s="25"/>
      <c r="I134" s="5"/>
      <c r="J134" s="5"/>
      <c r="K134" s="5"/>
      <c r="L134" s="5"/>
      <c r="M134" s="5"/>
      <c r="N134" s="186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3">
      <c r="A135" s="45">
        <f>'Données projet'!A149</f>
        <v>0</v>
      </c>
      <c r="B135" s="190">
        <f>'Données projet'!D149</f>
        <v>0</v>
      </c>
      <c r="C135" s="210"/>
      <c r="D135" s="197">
        <f t="shared" si="11"/>
        <v>0</v>
      </c>
      <c r="E135" s="210"/>
      <c r="F135" s="219"/>
      <c r="G135" s="227"/>
      <c r="H135" s="25"/>
      <c r="I135" s="5"/>
      <c r="J135" s="5"/>
      <c r="K135" s="5"/>
      <c r="L135" s="5"/>
      <c r="M135" s="5"/>
      <c r="N135" s="186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">
      <c r="A136" s="45">
        <f>'Données projet'!A150</f>
        <v>0</v>
      </c>
      <c r="B136" s="190">
        <f>'Données projet'!D150</f>
        <v>0</v>
      </c>
      <c r="C136" s="210"/>
      <c r="D136" s="197">
        <f t="shared" si="11"/>
        <v>0</v>
      </c>
      <c r="E136" s="210"/>
      <c r="F136" s="219"/>
      <c r="G136" s="227"/>
      <c r="H136" s="25"/>
      <c r="I136" s="5"/>
      <c r="J136" s="5"/>
      <c r="K136" s="5"/>
      <c r="L136" s="5"/>
      <c r="M136" s="5"/>
      <c r="N136" s="186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3">
      <c r="A137" s="45">
        <f>'Données projet'!A151</f>
        <v>0</v>
      </c>
      <c r="B137" s="190">
        <f>'Données projet'!D151</f>
        <v>0</v>
      </c>
      <c r="C137" s="210"/>
      <c r="D137" s="197">
        <f t="shared" si="11"/>
        <v>0</v>
      </c>
      <c r="E137" s="210"/>
      <c r="F137" s="219"/>
      <c r="G137" s="227"/>
      <c r="H137" s="25"/>
      <c r="I137" s="5"/>
      <c r="J137" s="5"/>
      <c r="K137" s="5"/>
      <c r="L137" s="5"/>
      <c r="M137" s="5"/>
      <c r="N137" s="186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3">
      <c r="A138" s="45">
        <f>'Données projet'!A152</f>
        <v>0</v>
      </c>
      <c r="B138" s="190">
        <f>'Données projet'!D152</f>
        <v>0</v>
      </c>
      <c r="C138" s="210"/>
      <c r="D138" s="197">
        <f t="shared" si="11"/>
        <v>0</v>
      </c>
      <c r="E138" s="210"/>
      <c r="F138" s="219"/>
      <c r="G138" s="227"/>
      <c r="H138" s="25"/>
      <c r="I138" s="5"/>
      <c r="J138" s="5"/>
      <c r="K138" s="5"/>
      <c r="L138" s="5"/>
      <c r="M138" s="5"/>
      <c r="N138" s="186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">
      <c r="A139" s="45">
        <f>'Données projet'!A153</f>
        <v>0</v>
      </c>
      <c r="B139" s="190">
        <f>'Données projet'!D153</f>
        <v>0</v>
      </c>
      <c r="C139" s="210"/>
      <c r="D139" s="197">
        <f t="shared" si="11"/>
        <v>0</v>
      </c>
      <c r="E139" s="210"/>
      <c r="F139" s="219"/>
      <c r="G139" s="227"/>
      <c r="H139" s="25"/>
      <c r="I139" s="5"/>
      <c r="J139" s="5"/>
      <c r="K139" s="5"/>
      <c r="L139" s="5"/>
      <c r="M139" s="5"/>
      <c r="N139" s="186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3">
      <c r="A140" s="45">
        <f>'Données projet'!A154</f>
        <v>0</v>
      </c>
      <c r="B140" s="190">
        <f>'Données projet'!D154</f>
        <v>0</v>
      </c>
      <c r="C140" s="210"/>
      <c r="D140" s="197">
        <f t="shared" si="11"/>
        <v>0</v>
      </c>
      <c r="E140" s="210"/>
      <c r="F140" s="219"/>
      <c r="G140" s="227"/>
      <c r="H140" s="25"/>
      <c r="I140" s="5"/>
      <c r="J140" s="5"/>
      <c r="K140" s="5"/>
      <c r="L140" s="5"/>
      <c r="M140" s="5"/>
      <c r="N140" s="186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3">
      <c r="A141" s="45">
        <f>'Données projet'!A155</f>
        <v>0</v>
      </c>
      <c r="B141" s="190">
        <f>'Données projet'!D155</f>
        <v>0</v>
      </c>
      <c r="C141" s="210"/>
      <c r="D141" s="197">
        <f t="shared" si="11"/>
        <v>0</v>
      </c>
      <c r="E141" s="210"/>
      <c r="F141" s="219"/>
      <c r="G141" s="227"/>
      <c r="H141" s="25"/>
      <c r="I141" s="5"/>
      <c r="J141" s="5"/>
      <c r="K141" s="5"/>
      <c r="L141" s="5"/>
      <c r="M141" s="5"/>
      <c r="N141" s="186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">
      <c r="A142" s="45">
        <f>'Données projet'!A156</f>
        <v>0</v>
      </c>
      <c r="B142" s="190">
        <f>'Données projet'!D156</f>
        <v>0</v>
      </c>
      <c r="C142" s="210"/>
      <c r="D142" s="197">
        <f t="shared" si="11"/>
        <v>0</v>
      </c>
      <c r="E142" s="210"/>
      <c r="F142" s="219"/>
      <c r="G142" s="227"/>
      <c r="H142" s="25"/>
      <c r="I142" s="5"/>
      <c r="J142" s="5"/>
      <c r="K142" s="5"/>
      <c r="L142" s="5"/>
      <c r="M142" s="5"/>
      <c r="N142" s="186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3">
      <c r="A143" s="45">
        <f>'Données projet'!A157</f>
        <v>0</v>
      </c>
      <c r="B143" s="190">
        <f>'Données projet'!D157</f>
        <v>0</v>
      </c>
      <c r="C143" s="208"/>
      <c r="D143" s="197">
        <f t="shared" si="11"/>
        <v>0</v>
      </c>
      <c r="E143" s="210"/>
      <c r="F143" s="219"/>
      <c r="G143" s="227"/>
      <c r="H143" s="25"/>
      <c r="I143" s="5"/>
      <c r="J143" s="5"/>
      <c r="K143" s="5"/>
      <c r="L143" s="5"/>
      <c r="M143" s="5"/>
      <c r="N143" s="186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3">
      <c r="A144" s="45">
        <f>'Données projet'!A158</f>
        <v>0</v>
      </c>
      <c r="B144" s="190">
        <f>'Données projet'!D158</f>
        <v>0</v>
      </c>
      <c r="C144" s="208"/>
      <c r="D144" s="197">
        <f t="shared" si="11"/>
        <v>0</v>
      </c>
      <c r="E144" s="210"/>
      <c r="F144" s="219"/>
      <c r="G144" s="227"/>
      <c r="H144" s="25"/>
      <c r="I144" s="5"/>
      <c r="J144" s="5"/>
      <c r="K144" s="5"/>
      <c r="L144" s="5"/>
      <c r="M144" s="5"/>
      <c r="N144" s="186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3">
      <c r="A145" s="45">
        <f>'Données projet'!A159</f>
        <v>0</v>
      </c>
      <c r="B145" s="190">
        <f>'Données projet'!D159</f>
        <v>0</v>
      </c>
      <c r="C145" s="208"/>
      <c r="D145" s="197">
        <f t="shared" si="11"/>
        <v>0</v>
      </c>
      <c r="E145" s="210"/>
      <c r="F145" s="219"/>
      <c r="G145" s="227"/>
      <c r="H145" s="25"/>
      <c r="I145" s="5"/>
      <c r="J145" s="5"/>
      <c r="K145" s="5"/>
      <c r="L145" s="5"/>
      <c r="M145" s="5"/>
      <c r="N145" s="186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3">
      <c r="A146" s="5"/>
      <c r="B146" s="5"/>
      <c r="C146" s="5"/>
      <c r="D146" s="5"/>
      <c r="E146" s="5"/>
      <c r="F146" s="218"/>
      <c r="G146" s="230"/>
      <c r="H146" s="25"/>
      <c r="I146" s="5"/>
      <c r="J146" s="5"/>
      <c r="K146" s="5"/>
      <c r="L146" s="5"/>
      <c r="M146" s="5"/>
      <c r="N146" s="186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3">
      <c r="A147" s="5"/>
      <c r="B147" s="5"/>
      <c r="C147" s="5"/>
      <c r="D147" s="5"/>
      <c r="E147" s="5"/>
      <c r="F147" s="218"/>
      <c r="G147" s="230"/>
      <c r="H147" s="25"/>
      <c r="I147" s="5"/>
      <c r="J147" s="5"/>
      <c r="K147" s="5"/>
      <c r="L147" s="5"/>
      <c r="M147" s="5"/>
      <c r="N147" s="18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">
      <c r="A148" s="49" t="s">
        <v>170</v>
      </c>
      <c r="B148" s="189" t="str">
        <f>IF('Données projet'!B14="","",'Données projet'!B14)</f>
        <v/>
      </c>
      <c r="C148" s="5"/>
      <c r="D148" s="5"/>
      <c r="E148" s="5"/>
      <c r="F148" s="218"/>
      <c r="G148" s="230"/>
      <c r="H148" s="25"/>
      <c r="I148" s="5"/>
      <c r="J148" s="5"/>
      <c r="K148" s="5"/>
      <c r="L148" s="5"/>
      <c r="M148" s="5"/>
      <c r="N148" s="186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3">
      <c r="A149" s="5"/>
      <c r="B149" s="5"/>
      <c r="C149" s="5"/>
      <c r="D149" s="5"/>
      <c r="E149" s="5"/>
      <c r="F149" s="218"/>
      <c r="G149" s="230"/>
      <c r="H149" s="25"/>
      <c r="I149" s="5"/>
      <c r="J149" s="5"/>
      <c r="K149" s="5"/>
      <c r="L149" s="5"/>
      <c r="M149" s="5"/>
      <c r="N149" s="186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3">
      <c r="A150" s="188" t="s">
        <v>180</v>
      </c>
      <c r="B150" s="51" t="s">
        <v>256</v>
      </c>
      <c r="C150" s="51" t="s">
        <v>255</v>
      </c>
      <c r="D150" s="188" t="s">
        <v>252</v>
      </c>
      <c r="E150" s="188" t="s">
        <v>288</v>
      </c>
      <c r="F150" s="220"/>
      <c r="G150" s="231"/>
      <c r="H150" s="25"/>
      <c r="I150" s="5"/>
      <c r="J150" s="5"/>
      <c r="K150" s="5"/>
      <c r="L150" s="5"/>
      <c r="M150" s="5"/>
      <c r="N150" s="186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">
      <c r="A151" s="214">
        <v>0</v>
      </c>
      <c r="B151" s="217" t="s">
        <v>132</v>
      </c>
      <c r="C151" s="216" t="s">
        <v>132</v>
      </c>
      <c r="D151" s="215" t="s">
        <v>132</v>
      </c>
      <c r="E151" s="210"/>
      <c r="F151" s="220"/>
      <c r="G151" s="231"/>
      <c r="H151" s="25"/>
      <c r="I151" s="5"/>
      <c r="J151" s="5"/>
      <c r="K151" s="5"/>
      <c r="L151" s="5"/>
      <c r="M151" s="5"/>
      <c r="N151" s="186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3">
      <c r="A152" s="195">
        <f>'Données projet'!A166</f>
        <v>0</v>
      </c>
      <c r="B152" s="196">
        <f>'Données projet'!D166</f>
        <v>0</v>
      </c>
      <c r="C152" s="210"/>
      <c r="D152" s="194">
        <f>B152*C152</f>
        <v>0</v>
      </c>
      <c r="E152" s="210"/>
      <c r="F152" s="221"/>
      <c r="G152" s="232"/>
      <c r="H152" s="25"/>
      <c r="I152" s="5"/>
      <c r="J152" s="5"/>
      <c r="K152" s="5"/>
      <c r="L152" s="5"/>
      <c r="M152" s="5"/>
      <c r="N152" s="186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3">
      <c r="A153" s="195">
        <f>'Données projet'!A167</f>
        <v>0</v>
      </c>
      <c r="B153" s="196">
        <f>'Données projet'!D167</f>
        <v>0</v>
      </c>
      <c r="C153" s="210"/>
      <c r="D153" s="194">
        <f t="shared" ref="D153:D171" si="12">B153*C153</f>
        <v>0</v>
      </c>
      <c r="E153" s="210"/>
      <c r="F153" s="221"/>
      <c r="G153" s="232"/>
      <c r="H153" s="25"/>
      <c r="I153" s="5"/>
      <c r="J153" s="5"/>
      <c r="K153" s="5"/>
      <c r="L153" s="5"/>
      <c r="M153" s="5"/>
      <c r="N153" s="186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">
      <c r="A154" s="195">
        <f>'Données projet'!A168</f>
        <v>0</v>
      </c>
      <c r="B154" s="196">
        <f>'Données projet'!D168</f>
        <v>0</v>
      </c>
      <c r="C154" s="210"/>
      <c r="D154" s="194">
        <f t="shared" si="12"/>
        <v>0</v>
      </c>
      <c r="E154" s="210"/>
      <c r="F154" s="221"/>
      <c r="G154" s="232"/>
      <c r="H154" s="25"/>
      <c r="I154" s="5"/>
      <c r="J154" s="5"/>
      <c r="K154" s="5"/>
      <c r="L154" s="5"/>
      <c r="M154" s="5"/>
      <c r="N154" s="186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3">
      <c r="A155" s="195">
        <f>'Données projet'!A169</f>
        <v>0</v>
      </c>
      <c r="B155" s="196">
        <f>'Données projet'!D169</f>
        <v>0</v>
      </c>
      <c r="C155" s="210"/>
      <c r="D155" s="194">
        <f t="shared" si="12"/>
        <v>0</v>
      </c>
      <c r="E155" s="210"/>
      <c r="F155" s="221"/>
      <c r="G155" s="232"/>
      <c r="H155" s="25"/>
      <c r="I155" s="5"/>
      <c r="J155" s="5"/>
      <c r="K155" s="5"/>
      <c r="L155" s="5"/>
      <c r="M155" s="5"/>
      <c r="N155" s="186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">
      <c r="A156" s="195">
        <f>'Données projet'!A170</f>
        <v>0</v>
      </c>
      <c r="B156" s="196">
        <f>'Données projet'!D170</f>
        <v>0</v>
      </c>
      <c r="C156" s="210"/>
      <c r="D156" s="194">
        <f t="shared" si="12"/>
        <v>0</v>
      </c>
      <c r="E156" s="210"/>
      <c r="F156" s="221"/>
      <c r="G156" s="232"/>
      <c r="H156" s="25"/>
      <c r="I156" s="5"/>
      <c r="J156" s="5"/>
      <c r="K156" s="5"/>
      <c r="L156" s="5"/>
      <c r="M156" s="5"/>
      <c r="N156" s="186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3">
      <c r="A157" s="195">
        <f>'Données projet'!A171</f>
        <v>0</v>
      </c>
      <c r="B157" s="196">
        <f>'Données projet'!D171</f>
        <v>0</v>
      </c>
      <c r="C157" s="210"/>
      <c r="D157" s="194">
        <f t="shared" si="12"/>
        <v>0</v>
      </c>
      <c r="E157" s="210"/>
      <c r="F157" s="221"/>
      <c r="G157" s="232"/>
      <c r="H157" s="25"/>
      <c r="I157" s="5"/>
      <c r="J157" s="5"/>
      <c r="K157" s="5"/>
      <c r="L157" s="5"/>
      <c r="M157" s="5"/>
      <c r="N157" s="186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3">
      <c r="A158" s="195">
        <f>'Données projet'!A172</f>
        <v>0</v>
      </c>
      <c r="B158" s="196">
        <f>'Données projet'!D172</f>
        <v>0</v>
      </c>
      <c r="C158" s="210"/>
      <c r="D158" s="194">
        <f t="shared" si="12"/>
        <v>0</v>
      </c>
      <c r="E158" s="210"/>
      <c r="F158" s="221"/>
      <c r="G158" s="232"/>
      <c r="H158" s="25"/>
      <c r="I158" s="5"/>
      <c r="J158" s="5"/>
      <c r="K158" s="5"/>
      <c r="L158" s="5"/>
      <c r="M158" s="5"/>
      <c r="N158" s="186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3">
      <c r="A159" s="195">
        <f>'Données projet'!A173</f>
        <v>0</v>
      </c>
      <c r="B159" s="196">
        <f>'Données projet'!D173</f>
        <v>0</v>
      </c>
      <c r="C159" s="210"/>
      <c r="D159" s="194">
        <f t="shared" si="12"/>
        <v>0</v>
      </c>
      <c r="E159" s="210"/>
      <c r="F159" s="221"/>
      <c r="G159" s="232"/>
      <c r="H159" s="25"/>
      <c r="I159" s="5"/>
      <c r="J159" s="5"/>
      <c r="K159" s="5"/>
      <c r="L159" s="5"/>
      <c r="M159" s="5"/>
      <c r="N159" s="186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3">
      <c r="A160" s="195">
        <f>'Données projet'!A174</f>
        <v>0</v>
      </c>
      <c r="B160" s="196">
        <f>'Données projet'!D174</f>
        <v>0</v>
      </c>
      <c r="C160" s="210"/>
      <c r="D160" s="194">
        <f t="shared" si="12"/>
        <v>0</v>
      </c>
      <c r="E160" s="210"/>
      <c r="F160" s="221"/>
      <c r="G160" s="232"/>
      <c r="H160" s="25"/>
      <c r="I160" s="5"/>
      <c r="J160" s="5"/>
      <c r="K160" s="5"/>
      <c r="L160" s="5"/>
      <c r="M160" s="5"/>
      <c r="N160" s="186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3">
      <c r="A161" s="195">
        <f>'Données projet'!A175</f>
        <v>0</v>
      </c>
      <c r="B161" s="196">
        <f>'Données projet'!D175</f>
        <v>0</v>
      </c>
      <c r="C161" s="210"/>
      <c r="D161" s="194">
        <f t="shared" si="12"/>
        <v>0</v>
      </c>
      <c r="E161" s="210"/>
      <c r="F161" s="221"/>
      <c r="G161" s="232"/>
      <c r="H161" s="25"/>
      <c r="I161" s="5"/>
      <c r="J161" s="5"/>
      <c r="K161" s="5"/>
      <c r="L161" s="5"/>
      <c r="M161" s="5"/>
      <c r="N161" s="186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">
      <c r="A162" s="195">
        <f>'Données projet'!A176</f>
        <v>0</v>
      </c>
      <c r="B162" s="196">
        <f>'Données projet'!D176</f>
        <v>0</v>
      </c>
      <c r="C162" s="210"/>
      <c r="D162" s="194">
        <f t="shared" si="12"/>
        <v>0</v>
      </c>
      <c r="E162" s="210"/>
      <c r="F162" s="221"/>
      <c r="G162" s="232"/>
      <c r="H162" s="25"/>
      <c r="I162" s="5"/>
      <c r="J162" s="5"/>
      <c r="K162" s="5"/>
      <c r="L162" s="5"/>
      <c r="M162" s="5"/>
      <c r="N162" s="186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3">
      <c r="A163" s="195">
        <f>'Données projet'!A177</f>
        <v>0</v>
      </c>
      <c r="B163" s="196">
        <f>'Données projet'!D177</f>
        <v>0</v>
      </c>
      <c r="C163" s="210"/>
      <c r="D163" s="194">
        <f t="shared" si="12"/>
        <v>0</v>
      </c>
      <c r="E163" s="210"/>
      <c r="F163" s="221"/>
      <c r="G163" s="232"/>
      <c r="H163" s="25"/>
      <c r="I163" s="5"/>
      <c r="J163" s="5"/>
      <c r="K163" s="5"/>
      <c r="L163" s="5"/>
      <c r="M163" s="5"/>
      <c r="N163" s="186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3">
      <c r="A164" s="195">
        <f>'Données projet'!A178</f>
        <v>0</v>
      </c>
      <c r="B164" s="196">
        <f>'Données projet'!D178</f>
        <v>0</v>
      </c>
      <c r="C164" s="210"/>
      <c r="D164" s="194">
        <f t="shared" si="12"/>
        <v>0</v>
      </c>
      <c r="E164" s="210"/>
      <c r="F164" s="221"/>
      <c r="G164" s="232"/>
      <c r="H164" s="25"/>
      <c r="I164" s="5"/>
      <c r="J164" s="5"/>
      <c r="K164" s="5"/>
      <c r="L164" s="5"/>
      <c r="M164" s="5"/>
      <c r="N164" s="186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3">
      <c r="A165" s="195">
        <f>'Données projet'!A179</f>
        <v>0</v>
      </c>
      <c r="B165" s="196">
        <f>'Données projet'!D179</f>
        <v>0</v>
      </c>
      <c r="C165" s="210"/>
      <c r="D165" s="194">
        <f t="shared" si="12"/>
        <v>0</v>
      </c>
      <c r="E165" s="210"/>
      <c r="F165" s="221"/>
      <c r="G165" s="232"/>
      <c r="H165" s="25"/>
      <c r="I165" s="5"/>
      <c r="J165" s="5"/>
      <c r="K165" s="5"/>
      <c r="L165" s="5"/>
      <c r="M165" s="5"/>
      <c r="N165" s="186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">
      <c r="A166" s="195">
        <f>'Données projet'!A180</f>
        <v>0</v>
      </c>
      <c r="B166" s="196">
        <f>'Données projet'!D180</f>
        <v>0</v>
      </c>
      <c r="C166" s="210"/>
      <c r="D166" s="194">
        <f t="shared" si="12"/>
        <v>0</v>
      </c>
      <c r="E166" s="210"/>
      <c r="F166" s="221"/>
      <c r="G166" s="232"/>
      <c r="H166" s="25"/>
      <c r="I166" s="5"/>
      <c r="J166" s="5"/>
      <c r="K166" s="5"/>
      <c r="L166" s="5"/>
      <c r="M166" s="5"/>
      <c r="N166" s="18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3">
      <c r="A167" s="195">
        <f>'Données projet'!A181</f>
        <v>0</v>
      </c>
      <c r="B167" s="196">
        <f>'Données projet'!D181</f>
        <v>0</v>
      </c>
      <c r="C167" s="210"/>
      <c r="D167" s="194">
        <f t="shared" si="12"/>
        <v>0</v>
      </c>
      <c r="E167" s="210"/>
      <c r="F167" s="221"/>
      <c r="G167" s="232"/>
      <c r="H167" s="25"/>
      <c r="I167" s="5"/>
      <c r="J167" s="5"/>
      <c r="K167" s="5"/>
      <c r="L167" s="5"/>
      <c r="M167" s="5"/>
      <c r="N167" s="186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3">
      <c r="A168" s="195">
        <f>'Données projet'!A182</f>
        <v>0</v>
      </c>
      <c r="B168" s="196">
        <f>'Données projet'!D182</f>
        <v>0</v>
      </c>
      <c r="C168" s="210"/>
      <c r="D168" s="194">
        <f t="shared" si="12"/>
        <v>0</v>
      </c>
      <c r="E168" s="210"/>
      <c r="F168" s="221"/>
      <c r="G168" s="232"/>
      <c r="H168" s="25"/>
      <c r="I168" s="5"/>
      <c r="J168" s="5"/>
      <c r="K168" s="5"/>
      <c r="L168" s="5"/>
      <c r="M168" s="5"/>
      <c r="N168" s="186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3">
      <c r="A169" s="195">
        <f>'Données projet'!A183</f>
        <v>0</v>
      </c>
      <c r="B169" s="196">
        <f>'Données projet'!D183</f>
        <v>0</v>
      </c>
      <c r="C169" s="210"/>
      <c r="D169" s="194">
        <f t="shared" si="12"/>
        <v>0</v>
      </c>
      <c r="E169" s="210"/>
      <c r="F169" s="221"/>
      <c r="G169" s="232"/>
      <c r="H169" s="25"/>
      <c r="I169" s="5"/>
      <c r="J169" s="5"/>
      <c r="K169" s="5"/>
      <c r="L169" s="5"/>
      <c r="M169" s="5"/>
      <c r="N169" s="186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3">
      <c r="A170" s="195">
        <f>'Données projet'!A184</f>
        <v>0</v>
      </c>
      <c r="B170" s="196">
        <f>'Données projet'!D184</f>
        <v>0</v>
      </c>
      <c r="C170" s="210"/>
      <c r="D170" s="194">
        <f t="shared" si="12"/>
        <v>0</v>
      </c>
      <c r="E170" s="210"/>
      <c r="F170" s="221"/>
      <c r="G170" s="232"/>
      <c r="H170" s="25"/>
      <c r="I170" s="5"/>
      <c r="J170" s="5"/>
      <c r="K170" s="5"/>
      <c r="L170" s="5"/>
      <c r="M170" s="5"/>
      <c r="N170" s="186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3">
      <c r="A171" s="195">
        <f>'Données projet'!A185</f>
        <v>0</v>
      </c>
      <c r="B171" s="196">
        <f>'Données projet'!D185</f>
        <v>0</v>
      </c>
      <c r="C171" s="210"/>
      <c r="D171" s="194">
        <f t="shared" si="12"/>
        <v>0</v>
      </c>
      <c r="E171" s="210"/>
      <c r="F171" s="221"/>
      <c r="G171" s="232"/>
      <c r="H171" s="25"/>
      <c r="I171" s="5"/>
      <c r="J171" s="5"/>
      <c r="K171" s="5"/>
      <c r="L171" s="5"/>
      <c r="M171" s="5"/>
      <c r="N171" s="186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3">
      <c r="A172" s="5"/>
      <c r="B172" s="5"/>
      <c r="C172" s="5"/>
      <c r="D172" s="5"/>
      <c r="E172" s="5"/>
      <c r="F172" s="218"/>
      <c r="G172" s="230"/>
      <c r="H172" s="25"/>
      <c r="I172" s="5"/>
      <c r="J172" s="5"/>
      <c r="K172" s="5"/>
      <c r="L172" s="5"/>
      <c r="M172" s="5"/>
      <c r="N172" s="186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3">
      <c r="A173" s="5"/>
      <c r="B173" s="5"/>
      <c r="C173" s="5"/>
      <c r="D173" s="5"/>
      <c r="E173" s="5"/>
      <c r="F173" s="218"/>
      <c r="G173" s="230"/>
      <c r="H173" s="25"/>
      <c r="I173" s="5"/>
      <c r="J173" s="5"/>
      <c r="K173" s="5"/>
      <c r="L173" s="5"/>
      <c r="M173" s="5"/>
      <c r="N173" s="186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3">
      <c r="A174" s="49" t="s">
        <v>171</v>
      </c>
      <c r="B174" s="189" t="str">
        <f>IF('Données projet'!$B$15="","",'Données projet'!$B$15)</f>
        <v/>
      </c>
      <c r="C174" s="5"/>
      <c r="D174" s="5"/>
      <c r="E174" s="5"/>
      <c r="F174" s="218"/>
      <c r="G174" s="230"/>
      <c r="H174" s="25"/>
      <c r="I174" s="5"/>
      <c r="J174" s="5"/>
      <c r="K174" s="5"/>
      <c r="L174" s="5"/>
      <c r="M174" s="5"/>
      <c r="N174" s="186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3">
      <c r="A175" s="49"/>
      <c r="B175" s="5"/>
      <c r="C175" s="5"/>
      <c r="D175" s="5"/>
      <c r="E175" s="5"/>
      <c r="F175" s="218"/>
      <c r="G175" s="230"/>
      <c r="H175" s="25"/>
      <c r="I175" s="5"/>
      <c r="J175" s="5"/>
      <c r="K175" s="5"/>
      <c r="L175" s="5"/>
      <c r="M175" s="5"/>
      <c r="N175" s="186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">
      <c r="A176" s="188" t="s">
        <v>180</v>
      </c>
      <c r="B176" s="51" t="s">
        <v>256</v>
      </c>
      <c r="C176" s="51" t="s">
        <v>255</v>
      </c>
      <c r="D176" s="188" t="s">
        <v>252</v>
      </c>
      <c r="E176" s="188" t="s">
        <v>288</v>
      </c>
      <c r="F176" s="220"/>
      <c r="G176" s="231"/>
      <c r="H176" s="25"/>
      <c r="I176" s="5"/>
      <c r="J176" s="5"/>
      <c r="K176" s="5"/>
      <c r="L176" s="5"/>
      <c r="M176" s="5"/>
      <c r="N176" s="186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3">
      <c r="A177" s="214">
        <v>0</v>
      </c>
      <c r="B177" s="217" t="s">
        <v>132</v>
      </c>
      <c r="C177" s="216" t="s">
        <v>132</v>
      </c>
      <c r="D177" s="215" t="s">
        <v>132</v>
      </c>
      <c r="E177" s="210"/>
      <c r="F177" s="220"/>
      <c r="G177" s="231"/>
      <c r="H177" s="25"/>
      <c r="I177" s="5"/>
      <c r="J177" s="5"/>
      <c r="K177" s="5"/>
      <c r="L177" s="5"/>
      <c r="M177" s="5"/>
      <c r="N177" s="186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3">
      <c r="A178" s="195">
        <f>'Données projet'!A192</f>
        <v>0</v>
      </c>
      <c r="B178" s="196">
        <f>'Données projet'!D192</f>
        <v>0</v>
      </c>
      <c r="C178" s="210"/>
      <c r="D178" s="194">
        <f>B178*C178</f>
        <v>0</v>
      </c>
      <c r="E178" s="210"/>
      <c r="F178" s="221"/>
      <c r="G178" s="232"/>
      <c r="H178" s="25"/>
      <c r="I178" s="5"/>
      <c r="J178" s="5"/>
      <c r="K178" s="5"/>
      <c r="L178" s="5"/>
      <c r="M178" s="5"/>
      <c r="N178" s="186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3">
      <c r="A179" s="195">
        <f>'Données projet'!A193</f>
        <v>0</v>
      </c>
      <c r="B179" s="196">
        <f>'Données projet'!D193</f>
        <v>0</v>
      </c>
      <c r="C179" s="210"/>
      <c r="D179" s="194">
        <f t="shared" ref="D179:D197" si="13">B179*C179</f>
        <v>0</v>
      </c>
      <c r="E179" s="210"/>
      <c r="F179" s="221"/>
      <c r="G179" s="232"/>
      <c r="H179" s="25"/>
      <c r="I179" s="5"/>
      <c r="J179" s="5"/>
      <c r="K179" s="5"/>
      <c r="L179" s="5"/>
      <c r="M179" s="5"/>
      <c r="N179" s="186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">
      <c r="A180" s="195">
        <f>'Données projet'!A194</f>
        <v>0</v>
      </c>
      <c r="B180" s="196">
        <f>'Données projet'!D194</f>
        <v>0</v>
      </c>
      <c r="C180" s="210"/>
      <c r="D180" s="194">
        <f t="shared" si="13"/>
        <v>0</v>
      </c>
      <c r="E180" s="210"/>
      <c r="F180" s="221"/>
      <c r="G180" s="232"/>
      <c r="H180" s="25"/>
      <c r="I180" s="5"/>
      <c r="J180" s="5"/>
      <c r="K180" s="5"/>
      <c r="L180" s="5"/>
      <c r="M180" s="5"/>
      <c r="N180" s="186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3">
      <c r="A181" s="195">
        <f>'Données projet'!A195</f>
        <v>0</v>
      </c>
      <c r="B181" s="196">
        <f>'Données projet'!D195</f>
        <v>0</v>
      </c>
      <c r="C181" s="210"/>
      <c r="D181" s="194">
        <f t="shared" si="13"/>
        <v>0</v>
      </c>
      <c r="E181" s="210"/>
      <c r="F181" s="221"/>
      <c r="G181" s="232"/>
      <c r="H181" s="25"/>
      <c r="I181" s="5"/>
      <c r="J181" s="5"/>
      <c r="K181" s="5"/>
      <c r="L181" s="5"/>
      <c r="M181" s="5"/>
      <c r="N181" s="186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3">
      <c r="A182" s="195">
        <f>'Données projet'!A196</f>
        <v>0</v>
      </c>
      <c r="B182" s="196">
        <f>'Données projet'!D196</f>
        <v>0</v>
      </c>
      <c r="C182" s="210"/>
      <c r="D182" s="194">
        <f t="shared" si="13"/>
        <v>0</v>
      </c>
      <c r="E182" s="210"/>
      <c r="F182" s="221"/>
      <c r="G182" s="232"/>
      <c r="H182" s="25"/>
      <c r="I182" s="5"/>
      <c r="J182" s="5"/>
      <c r="K182" s="5"/>
      <c r="L182" s="5"/>
      <c r="M182" s="5"/>
      <c r="N182" s="186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3">
      <c r="A183" s="195">
        <f>'Données projet'!A197</f>
        <v>0</v>
      </c>
      <c r="B183" s="196">
        <f>'Données projet'!D197</f>
        <v>0</v>
      </c>
      <c r="C183" s="210"/>
      <c r="D183" s="194">
        <f t="shared" si="13"/>
        <v>0</v>
      </c>
      <c r="E183" s="210"/>
      <c r="F183" s="221"/>
      <c r="G183" s="232"/>
      <c r="H183" s="25"/>
      <c r="I183" s="5"/>
      <c r="J183" s="5"/>
      <c r="K183" s="5"/>
      <c r="L183" s="5"/>
      <c r="M183" s="5"/>
      <c r="N183" s="186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3">
      <c r="A184" s="195">
        <f>'Données projet'!A198</f>
        <v>0</v>
      </c>
      <c r="B184" s="196">
        <f>'Données projet'!D198</f>
        <v>0</v>
      </c>
      <c r="C184" s="210"/>
      <c r="D184" s="194">
        <f t="shared" si="13"/>
        <v>0</v>
      </c>
      <c r="E184" s="210"/>
      <c r="F184" s="221"/>
      <c r="G184" s="232"/>
      <c r="H184" s="25"/>
      <c r="I184" s="5"/>
      <c r="J184" s="5"/>
      <c r="K184" s="5"/>
      <c r="L184" s="5"/>
      <c r="M184" s="5"/>
      <c r="N184" s="186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3">
      <c r="A185" s="195">
        <f>'Données projet'!A199</f>
        <v>0</v>
      </c>
      <c r="B185" s="196">
        <f>'Données projet'!D199</f>
        <v>0</v>
      </c>
      <c r="C185" s="210"/>
      <c r="D185" s="194">
        <f t="shared" si="13"/>
        <v>0</v>
      </c>
      <c r="E185" s="210"/>
      <c r="F185" s="221"/>
      <c r="G185" s="232"/>
      <c r="H185" s="25"/>
      <c r="I185" s="5"/>
      <c r="J185" s="5"/>
      <c r="K185" s="5"/>
      <c r="L185" s="5"/>
      <c r="M185" s="5"/>
      <c r="N185" s="186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3">
      <c r="A186" s="195">
        <f>'Données projet'!A200</f>
        <v>0</v>
      </c>
      <c r="B186" s="196">
        <f>'Données projet'!D200</f>
        <v>0</v>
      </c>
      <c r="C186" s="210"/>
      <c r="D186" s="194">
        <f t="shared" si="13"/>
        <v>0</v>
      </c>
      <c r="E186" s="210"/>
      <c r="F186" s="221"/>
      <c r="G186" s="232"/>
      <c r="H186" s="25"/>
      <c r="I186" s="5"/>
      <c r="J186" s="5"/>
      <c r="K186" s="5"/>
      <c r="L186" s="5"/>
      <c r="M186" s="5"/>
      <c r="N186" s="186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3">
      <c r="A187" s="195">
        <f>'Données projet'!A201</f>
        <v>0</v>
      </c>
      <c r="B187" s="196">
        <f>'Données projet'!D201</f>
        <v>0</v>
      </c>
      <c r="C187" s="210"/>
      <c r="D187" s="194">
        <f t="shared" si="13"/>
        <v>0</v>
      </c>
      <c r="E187" s="210"/>
      <c r="F187" s="221"/>
      <c r="G187" s="232"/>
      <c r="H187" s="25"/>
      <c r="I187" s="5"/>
      <c r="J187" s="5"/>
      <c r="K187" s="5"/>
      <c r="L187" s="5"/>
      <c r="M187" s="5"/>
      <c r="N187" s="186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3">
      <c r="A188" s="195">
        <f>'Données projet'!A202</f>
        <v>0</v>
      </c>
      <c r="B188" s="196">
        <f>'Données projet'!D202</f>
        <v>0</v>
      </c>
      <c r="C188" s="210"/>
      <c r="D188" s="194">
        <f t="shared" si="13"/>
        <v>0</v>
      </c>
      <c r="E188" s="210"/>
      <c r="F188" s="221"/>
      <c r="G188" s="232"/>
      <c r="H188" s="25"/>
      <c r="I188" s="5"/>
      <c r="J188" s="5"/>
      <c r="K188" s="5"/>
      <c r="L188" s="5"/>
      <c r="M188" s="5"/>
      <c r="N188" s="186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3">
      <c r="A189" s="195">
        <f>'Données projet'!A203</f>
        <v>0</v>
      </c>
      <c r="B189" s="196">
        <f>'Données projet'!D203</f>
        <v>0</v>
      </c>
      <c r="C189" s="210"/>
      <c r="D189" s="194">
        <f t="shared" si="13"/>
        <v>0</v>
      </c>
      <c r="E189" s="210"/>
      <c r="F189" s="221"/>
      <c r="G189" s="232"/>
      <c r="H189" s="25"/>
      <c r="I189" s="5"/>
      <c r="J189" s="5"/>
      <c r="K189" s="5"/>
      <c r="L189" s="5"/>
      <c r="M189" s="5"/>
      <c r="N189" s="186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">
      <c r="A190" s="195">
        <f>'Données projet'!A204</f>
        <v>0</v>
      </c>
      <c r="B190" s="196">
        <f>'Données projet'!D204</f>
        <v>0</v>
      </c>
      <c r="C190" s="210"/>
      <c r="D190" s="194">
        <f t="shared" si="13"/>
        <v>0</v>
      </c>
      <c r="E190" s="210"/>
      <c r="F190" s="221"/>
      <c r="G190" s="232"/>
      <c r="H190" s="25"/>
      <c r="I190" s="5"/>
      <c r="J190" s="5"/>
      <c r="K190" s="5"/>
      <c r="L190" s="5"/>
      <c r="M190" s="5"/>
      <c r="N190" s="186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3">
      <c r="A191" s="195">
        <f>'Données projet'!A205</f>
        <v>0</v>
      </c>
      <c r="B191" s="196">
        <f>'Données projet'!D205</f>
        <v>0</v>
      </c>
      <c r="C191" s="210"/>
      <c r="D191" s="194">
        <f t="shared" si="13"/>
        <v>0</v>
      </c>
      <c r="E191" s="210"/>
      <c r="F191" s="221"/>
      <c r="G191" s="232"/>
      <c r="H191" s="25"/>
      <c r="I191" s="5"/>
      <c r="J191" s="5"/>
      <c r="K191" s="5"/>
      <c r="L191" s="5"/>
      <c r="M191" s="5"/>
      <c r="N191" s="186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3">
      <c r="A192" s="195">
        <f>'Données projet'!A206</f>
        <v>0</v>
      </c>
      <c r="B192" s="196">
        <f>'Données projet'!D206</f>
        <v>0</v>
      </c>
      <c r="C192" s="210"/>
      <c r="D192" s="194">
        <f t="shared" si="13"/>
        <v>0</v>
      </c>
      <c r="E192" s="210"/>
      <c r="F192" s="221"/>
      <c r="G192" s="232"/>
      <c r="H192" s="25"/>
      <c r="I192" s="5"/>
      <c r="J192" s="5"/>
      <c r="K192" s="5"/>
      <c r="L192" s="5"/>
      <c r="M192" s="5"/>
      <c r="N192" s="186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3">
      <c r="A193" s="195">
        <f>'Données projet'!A207</f>
        <v>0</v>
      </c>
      <c r="B193" s="196">
        <f>'Données projet'!D207</f>
        <v>0</v>
      </c>
      <c r="C193" s="210"/>
      <c r="D193" s="194">
        <f t="shared" si="13"/>
        <v>0</v>
      </c>
      <c r="E193" s="210"/>
      <c r="F193" s="221"/>
      <c r="G193" s="232"/>
      <c r="H193" s="25"/>
      <c r="I193" s="5"/>
      <c r="J193" s="5"/>
      <c r="K193" s="5"/>
      <c r="L193" s="5"/>
      <c r="M193" s="5"/>
      <c r="N193" s="186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3">
      <c r="A194" s="195">
        <f>'Données projet'!A208</f>
        <v>0</v>
      </c>
      <c r="B194" s="196">
        <f>'Données projet'!D208</f>
        <v>0</v>
      </c>
      <c r="C194" s="210"/>
      <c r="D194" s="194">
        <f t="shared" si="13"/>
        <v>0</v>
      </c>
      <c r="E194" s="210"/>
      <c r="F194" s="221"/>
      <c r="G194" s="232"/>
      <c r="H194" s="25"/>
      <c r="I194" s="5"/>
      <c r="J194" s="5"/>
      <c r="K194" s="5"/>
      <c r="L194" s="5"/>
      <c r="M194" s="5"/>
      <c r="N194" s="186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">
      <c r="A195" s="195">
        <f>'Données projet'!A209</f>
        <v>0</v>
      </c>
      <c r="B195" s="196">
        <f>'Données projet'!D209</f>
        <v>0</v>
      </c>
      <c r="C195" s="210"/>
      <c r="D195" s="194">
        <f t="shared" si="13"/>
        <v>0</v>
      </c>
      <c r="E195" s="210"/>
      <c r="F195" s="221"/>
      <c r="G195" s="232"/>
      <c r="H195" s="25"/>
      <c r="I195" s="5"/>
      <c r="J195" s="5"/>
      <c r="K195" s="5"/>
      <c r="L195" s="5"/>
      <c r="M195" s="5"/>
      <c r="N195" s="186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3">
      <c r="A196" s="195">
        <f>'Données projet'!A210</f>
        <v>0</v>
      </c>
      <c r="B196" s="196">
        <f>'Données projet'!D210</f>
        <v>0</v>
      </c>
      <c r="C196" s="210"/>
      <c r="D196" s="194">
        <f t="shared" si="13"/>
        <v>0</v>
      </c>
      <c r="E196" s="210"/>
      <c r="F196" s="221"/>
      <c r="G196" s="232"/>
      <c r="H196" s="25"/>
      <c r="I196" s="5"/>
      <c r="J196" s="5"/>
      <c r="K196" s="5"/>
      <c r="L196" s="5"/>
      <c r="M196" s="5"/>
      <c r="N196" s="186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3">
      <c r="A197" s="195">
        <f>'Données projet'!A211</f>
        <v>0</v>
      </c>
      <c r="B197" s="196">
        <f>'Données projet'!D211</f>
        <v>0</v>
      </c>
      <c r="C197" s="210"/>
      <c r="D197" s="194">
        <f t="shared" si="13"/>
        <v>0</v>
      </c>
      <c r="E197" s="210"/>
      <c r="F197" s="221"/>
      <c r="G197" s="232"/>
      <c r="H197" s="25"/>
      <c r="I197" s="5"/>
      <c r="J197" s="5"/>
      <c r="K197" s="5"/>
      <c r="L197" s="5"/>
      <c r="M197" s="5"/>
      <c r="N197" s="186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3">
      <c r="A198" s="5"/>
      <c r="B198" s="5"/>
      <c r="C198" s="5"/>
      <c r="D198" s="5"/>
      <c r="E198" s="5"/>
      <c r="F198" s="218"/>
      <c r="G198" s="230"/>
      <c r="H198" s="25"/>
      <c r="I198" s="5"/>
      <c r="J198" s="5"/>
      <c r="K198" s="5"/>
      <c r="L198" s="5"/>
      <c r="M198" s="5"/>
      <c r="N198" s="186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3">
      <c r="A199" s="5"/>
      <c r="B199" s="5"/>
      <c r="C199" s="5"/>
      <c r="D199" s="5"/>
      <c r="E199" s="5"/>
      <c r="F199" s="218"/>
      <c r="G199" s="230"/>
      <c r="H199" s="25"/>
      <c r="I199" s="5"/>
      <c r="J199" s="5"/>
      <c r="K199" s="5"/>
      <c r="L199" s="5"/>
      <c r="M199" s="5"/>
      <c r="N199" s="186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3">
      <c r="A200" s="49" t="s">
        <v>172</v>
      </c>
      <c r="B200" s="189" t="str">
        <f>IF('Données projet'!$B$16="","",'Données projet'!$B$16)</f>
        <v/>
      </c>
      <c r="C200" s="5"/>
      <c r="D200" s="5"/>
      <c r="E200" s="5"/>
      <c r="F200" s="218"/>
      <c r="G200" s="230"/>
      <c r="H200" s="25"/>
      <c r="I200" s="5"/>
      <c r="J200" s="5"/>
      <c r="K200" s="5"/>
      <c r="L200" s="5"/>
      <c r="M200" s="5"/>
      <c r="N200" s="186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3">
      <c r="A201" s="49"/>
      <c r="B201" s="5"/>
      <c r="C201" s="5"/>
      <c r="D201" s="5"/>
      <c r="E201" s="5"/>
      <c r="F201" s="218"/>
      <c r="G201" s="230"/>
      <c r="H201" s="25"/>
      <c r="I201" s="5"/>
      <c r="J201" s="5"/>
      <c r="K201" s="5"/>
      <c r="L201" s="5"/>
      <c r="M201" s="5"/>
      <c r="N201" s="186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3">
      <c r="A202" s="188" t="s">
        <v>180</v>
      </c>
      <c r="B202" s="51" t="s">
        <v>256</v>
      </c>
      <c r="C202" s="51" t="s">
        <v>255</v>
      </c>
      <c r="D202" s="188" t="s">
        <v>252</v>
      </c>
      <c r="E202" s="188" t="s">
        <v>288</v>
      </c>
      <c r="F202" s="220"/>
      <c r="G202" s="231"/>
      <c r="H202" s="25"/>
      <c r="I202" s="5"/>
      <c r="J202" s="5"/>
      <c r="K202" s="5"/>
      <c r="L202" s="5"/>
      <c r="M202" s="5"/>
      <c r="N202" s="186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3">
      <c r="A203" s="214">
        <v>0</v>
      </c>
      <c r="B203" s="217" t="s">
        <v>132</v>
      </c>
      <c r="C203" s="216" t="s">
        <v>132</v>
      </c>
      <c r="D203" s="215" t="s">
        <v>132</v>
      </c>
      <c r="E203" s="210"/>
      <c r="F203" s="220"/>
      <c r="G203" s="231"/>
      <c r="H203" s="25"/>
      <c r="I203" s="5"/>
      <c r="J203" s="5"/>
      <c r="K203" s="5"/>
      <c r="L203" s="5"/>
      <c r="M203" s="5"/>
      <c r="N203" s="186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3">
      <c r="A204" s="195">
        <f>'Données projet'!A218</f>
        <v>0</v>
      </c>
      <c r="B204" s="196">
        <f>'Données projet'!D218</f>
        <v>0</v>
      </c>
      <c r="C204" s="210"/>
      <c r="D204" s="194">
        <f>B204*C204</f>
        <v>0</v>
      </c>
      <c r="E204" s="210"/>
      <c r="F204" s="221"/>
      <c r="G204" s="232"/>
      <c r="H204" s="25"/>
      <c r="I204" s="5"/>
      <c r="J204" s="5"/>
      <c r="K204" s="5"/>
      <c r="L204" s="5"/>
      <c r="M204" s="5"/>
      <c r="N204" s="186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3">
      <c r="A205" s="195">
        <f>'Données projet'!A219</f>
        <v>0</v>
      </c>
      <c r="B205" s="196">
        <f>'Données projet'!D219</f>
        <v>0</v>
      </c>
      <c r="C205" s="210"/>
      <c r="D205" s="194">
        <f t="shared" ref="D205:D223" si="14">B205*C205</f>
        <v>0</v>
      </c>
      <c r="E205" s="210"/>
      <c r="F205" s="221"/>
      <c r="G205" s="232"/>
      <c r="H205" s="25"/>
      <c r="I205" s="5"/>
      <c r="J205" s="5"/>
      <c r="K205" s="5"/>
      <c r="L205" s="5"/>
      <c r="M205" s="5"/>
      <c r="N205" s="186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3">
      <c r="A206" s="195">
        <f>'Données projet'!A220</f>
        <v>0</v>
      </c>
      <c r="B206" s="196">
        <f>'Données projet'!D220</f>
        <v>0</v>
      </c>
      <c r="C206" s="210"/>
      <c r="D206" s="194">
        <f t="shared" si="14"/>
        <v>0</v>
      </c>
      <c r="E206" s="210"/>
      <c r="F206" s="221"/>
      <c r="G206" s="232"/>
      <c r="H206" s="25"/>
      <c r="I206" s="5"/>
      <c r="J206" s="5"/>
      <c r="K206" s="5"/>
      <c r="L206" s="5"/>
      <c r="M206" s="5"/>
      <c r="N206" s="186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3">
      <c r="A207" s="195">
        <f>'Données projet'!A221</f>
        <v>0</v>
      </c>
      <c r="B207" s="196">
        <f>'Données projet'!D221</f>
        <v>0</v>
      </c>
      <c r="C207" s="210"/>
      <c r="D207" s="194">
        <f t="shared" si="14"/>
        <v>0</v>
      </c>
      <c r="E207" s="210"/>
      <c r="F207" s="221"/>
      <c r="G207" s="232"/>
      <c r="H207" s="25"/>
      <c r="I207" s="5"/>
      <c r="J207" s="5"/>
      <c r="K207" s="5"/>
      <c r="L207" s="5"/>
      <c r="M207" s="5"/>
      <c r="N207" s="186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3">
      <c r="A208" s="195">
        <f>'Données projet'!A222</f>
        <v>0</v>
      </c>
      <c r="B208" s="196">
        <f>'Données projet'!D222</f>
        <v>0</v>
      </c>
      <c r="C208" s="210"/>
      <c r="D208" s="194">
        <f t="shared" si="14"/>
        <v>0</v>
      </c>
      <c r="E208" s="210"/>
      <c r="F208" s="221"/>
      <c r="G208" s="232"/>
      <c r="H208" s="25"/>
      <c r="I208" s="5"/>
      <c r="J208" s="5"/>
      <c r="K208" s="5"/>
      <c r="L208" s="5"/>
      <c r="M208" s="5"/>
      <c r="N208" s="186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3">
      <c r="A209" s="195">
        <f>'Données projet'!A223</f>
        <v>0</v>
      </c>
      <c r="B209" s="196">
        <f>'Données projet'!D223</f>
        <v>0</v>
      </c>
      <c r="C209" s="210"/>
      <c r="D209" s="194">
        <f t="shared" si="14"/>
        <v>0</v>
      </c>
      <c r="E209" s="210"/>
      <c r="F209" s="221"/>
      <c r="G209" s="232"/>
      <c r="H209" s="25"/>
      <c r="I209" s="5"/>
      <c r="J209" s="5"/>
      <c r="K209" s="5"/>
      <c r="L209" s="5"/>
      <c r="M209" s="5"/>
      <c r="N209" s="186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3">
      <c r="A210" s="195">
        <f>'Données projet'!A224</f>
        <v>0</v>
      </c>
      <c r="B210" s="196">
        <f>'Données projet'!D224</f>
        <v>0</v>
      </c>
      <c r="C210" s="210"/>
      <c r="D210" s="194">
        <f t="shared" si="14"/>
        <v>0</v>
      </c>
      <c r="E210" s="210"/>
      <c r="F210" s="221"/>
      <c r="G210" s="232"/>
      <c r="H210" s="25"/>
      <c r="I210" s="5"/>
      <c r="J210" s="5"/>
      <c r="K210" s="5"/>
      <c r="L210" s="5"/>
      <c r="M210" s="5"/>
      <c r="N210" s="186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3">
      <c r="A211" s="195">
        <f>'Données projet'!A225</f>
        <v>0</v>
      </c>
      <c r="B211" s="196">
        <f>'Données projet'!D225</f>
        <v>0</v>
      </c>
      <c r="C211" s="210"/>
      <c r="D211" s="194">
        <f t="shared" si="14"/>
        <v>0</v>
      </c>
      <c r="E211" s="210"/>
      <c r="F211" s="221"/>
      <c r="G211" s="232"/>
      <c r="H211" s="25"/>
      <c r="I211" s="5"/>
      <c r="J211" s="5"/>
      <c r="K211" s="5"/>
      <c r="L211" s="5"/>
      <c r="M211" s="5"/>
      <c r="N211" s="186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3">
      <c r="A212" s="195">
        <f>'Données projet'!A226</f>
        <v>0</v>
      </c>
      <c r="B212" s="196">
        <f>'Données projet'!D226</f>
        <v>0</v>
      </c>
      <c r="C212" s="210"/>
      <c r="D212" s="194">
        <f t="shared" si="14"/>
        <v>0</v>
      </c>
      <c r="E212" s="210"/>
      <c r="F212" s="221"/>
      <c r="G212" s="232"/>
      <c r="H212" s="25"/>
      <c r="I212" s="5"/>
      <c r="J212" s="5"/>
      <c r="K212" s="5"/>
      <c r="L212" s="5"/>
      <c r="M212" s="5"/>
      <c r="N212" s="186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3">
      <c r="A213" s="195">
        <f>'Données projet'!A227</f>
        <v>0</v>
      </c>
      <c r="B213" s="196">
        <f>'Données projet'!D227</f>
        <v>0</v>
      </c>
      <c r="C213" s="210"/>
      <c r="D213" s="194">
        <f t="shared" si="14"/>
        <v>0</v>
      </c>
      <c r="E213" s="210"/>
      <c r="F213" s="221"/>
      <c r="G213" s="232"/>
      <c r="H213" s="25"/>
      <c r="I213" s="5"/>
      <c r="J213" s="5"/>
      <c r="K213" s="5"/>
      <c r="L213" s="5"/>
      <c r="M213" s="5"/>
      <c r="N213" s="186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3">
      <c r="A214" s="195">
        <f>'Données projet'!A228</f>
        <v>0</v>
      </c>
      <c r="B214" s="196">
        <f>'Données projet'!D228</f>
        <v>0</v>
      </c>
      <c r="C214" s="210"/>
      <c r="D214" s="194">
        <f t="shared" si="14"/>
        <v>0</v>
      </c>
      <c r="E214" s="210"/>
      <c r="F214" s="221"/>
      <c r="G214" s="232"/>
      <c r="H214" s="25"/>
      <c r="I214" s="5"/>
      <c r="J214" s="5"/>
      <c r="K214" s="5"/>
      <c r="L214" s="5"/>
      <c r="M214" s="5"/>
      <c r="N214" s="186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3">
      <c r="A215" s="195">
        <f>'Données projet'!A229</f>
        <v>0</v>
      </c>
      <c r="B215" s="196">
        <f>'Données projet'!D229</f>
        <v>0</v>
      </c>
      <c r="C215" s="210"/>
      <c r="D215" s="194">
        <f t="shared" si="14"/>
        <v>0</v>
      </c>
      <c r="E215" s="210"/>
      <c r="F215" s="221"/>
      <c r="G215" s="232"/>
      <c r="H215" s="25"/>
      <c r="I215" s="5"/>
      <c r="J215" s="5"/>
      <c r="K215" s="5"/>
      <c r="L215" s="5"/>
      <c r="M215" s="5"/>
      <c r="N215" s="186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3">
      <c r="A216" s="195">
        <f>'Données projet'!A230</f>
        <v>0</v>
      </c>
      <c r="B216" s="196">
        <f>'Données projet'!D230</f>
        <v>0</v>
      </c>
      <c r="C216" s="210"/>
      <c r="D216" s="194">
        <f t="shared" si="14"/>
        <v>0</v>
      </c>
      <c r="E216" s="210"/>
      <c r="F216" s="221"/>
      <c r="G216" s="232"/>
      <c r="H216" s="25"/>
      <c r="I216" s="5"/>
      <c r="J216" s="5"/>
      <c r="K216" s="5"/>
      <c r="L216" s="5"/>
      <c r="M216" s="5"/>
      <c r="N216" s="186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3">
      <c r="A217" s="195">
        <f>'Données projet'!A231</f>
        <v>0</v>
      </c>
      <c r="B217" s="196">
        <f>'Données projet'!D231</f>
        <v>0</v>
      </c>
      <c r="C217" s="210"/>
      <c r="D217" s="194">
        <f t="shared" si="14"/>
        <v>0</v>
      </c>
      <c r="E217" s="210"/>
      <c r="F217" s="221"/>
      <c r="G217" s="232"/>
      <c r="H217" s="25"/>
      <c r="I217" s="5"/>
      <c r="J217" s="5"/>
      <c r="K217" s="5"/>
      <c r="L217" s="5"/>
      <c r="M217" s="5"/>
      <c r="N217" s="186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3">
      <c r="A218" s="195">
        <f>'Données projet'!A232</f>
        <v>0</v>
      </c>
      <c r="B218" s="196">
        <f>'Données projet'!D232</f>
        <v>0</v>
      </c>
      <c r="C218" s="210"/>
      <c r="D218" s="194">
        <f t="shared" si="14"/>
        <v>0</v>
      </c>
      <c r="E218" s="210"/>
      <c r="F218" s="221"/>
      <c r="G218" s="232"/>
      <c r="H218" s="25"/>
      <c r="I218" s="5"/>
      <c r="J218" s="5"/>
      <c r="K218" s="5"/>
      <c r="L218" s="5"/>
      <c r="M218" s="5"/>
      <c r="N218" s="186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3">
      <c r="A219" s="195">
        <f>'Données projet'!A233</f>
        <v>0</v>
      </c>
      <c r="B219" s="196">
        <f>'Données projet'!D233</f>
        <v>0</v>
      </c>
      <c r="C219" s="210"/>
      <c r="D219" s="194">
        <f t="shared" si="14"/>
        <v>0</v>
      </c>
      <c r="E219" s="210"/>
      <c r="F219" s="221"/>
      <c r="G219" s="232"/>
      <c r="H219" s="25"/>
      <c r="I219" s="5"/>
      <c r="J219" s="5"/>
      <c r="K219" s="5"/>
      <c r="L219" s="5"/>
      <c r="M219" s="5"/>
      <c r="N219" s="186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3">
      <c r="A220" s="195">
        <f>'Données projet'!A234</f>
        <v>0</v>
      </c>
      <c r="B220" s="196">
        <f>'Données projet'!D234</f>
        <v>0</v>
      </c>
      <c r="C220" s="210"/>
      <c r="D220" s="194">
        <f t="shared" si="14"/>
        <v>0</v>
      </c>
      <c r="E220" s="210"/>
      <c r="F220" s="221"/>
      <c r="G220" s="232"/>
      <c r="H220" s="25"/>
      <c r="I220" s="5"/>
      <c r="J220" s="5"/>
      <c r="K220" s="5"/>
      <c r="L220" s="5"/>
      <c r="M220" s="5"/>
      <c r="N220" s="186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3">
      <c r="A221" s="195">
        <f>'Données projet'!A235</f>
        <v>0</v>
      </c>
      <c r="B221" s="196">
        <f>'Données projet'!D235</f>
        <v>0</v>
      </c>
      <c r="C221" s="210"/>
      <c r="D221" s="194">
        <f t="shared" si="14"/>
        <v>0</v>
      </c>
      <c r="E221" s="210"/>
      <c r="F221" s="221"/>
      <c r="G221" s="232"/>
      <c r="H221" s="25"/>
      <c r="I221" s="5"/>
      <c r="J221" s="5"/>
      <c r="K221" s="5"/>
      <c r="L221" s="5"/>
      <c r="M221" s="5"/>
      <c r="N221" s="186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3">
      <c r="A222" s="195">
        <f>'Données projet'!A236</f>
        <v>0</v>
      </c>
      <c r="B222" s="196">
        <f>'Données projet'!D236</f>
        <v>0</v>
      </c>
      <c r="C222" s="210"/>
      <c r="D222" s="194">
        <f t="shared" si="14"/>
        <v>0</v>
      </c>
      <c r="E222" s="210"/>
      <c r="F222" s="221"/>
      <c r="G222" s="232"/>
      <c r="H222" s="25"/>
      <c r="I222" s="5"/>
      <c r="J222" s="5"/>
      <c r="K222" s="5"/>
      <c r="L222" s="5"/>
      <c r="M222" s="5"/>
      <c r="N222" s="186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">
      <c r="A223" s="195">
        <f>'Données projet'!A237</f>
        <v>0</v>
      </c>
      <c r="B223" s="196">
        <f>'Données projet'!D237</f>
        <v>0</v>
      </c>
      <c r="C223" s="210"/>
      <c r="D223" s="194">
        <f t="shared" si="14"/>
        <v>0</v>
      </c>
      <c r="E223" s="210"/>
      <c r="F223" s="221"/>
      <c r="G223" s="232"/>
      <c r="H223" s="25"/>
      <c r="I223" s="5"/>
      <c r="J223" s="5"/>
      <c r="K223" s="5"/>
      <c r="L223" s="5"/>
      <c r="M223" s="5"/>
      <c r="N223" s="186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3">
      <c r="A224" s="5"/>
      <c r="B224" s="5"/>
      <c r="C224" s="5"/>
      <c r="D224" s="5"/>
      <c r="E224" s="5"/>
      <c r="F224" s="218"/>
      <c r="G224" s="230"/>
      <c r="H224" s="25"/>
      <c r="I224" s="5"/>
      <c r="J224" s="5"/>
      <c r="K224" s="5"/>
      <c r="L224" s="5"/>
      <c r="M224" s="5"/>
      <c r="N224" s="186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3">
      <c r="A225" s="5"/>
      <c r="B225" s="5"/>
      <c r="C225" s="5"/>
      <c r="D225" s="5"/>
      <c r="E225" s="5"/>
      <c r="F225" s="218"/>
      <c r="G225" s="230"/>
      <c r="H225" s="25"/>
      <c r="I225" s="5"/>
      <c r="J225" s="5"/>
      <c r="K225" s="5"/>
      <c r="L225" s="5"/>
      <c r="M225" s="5"/>
      <c r="N225" s="186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">
      <c r="A226" s="49" t="s">
        <v>173</v>
      </c>
      <c r="B226" s="189" t="str">
        <f>IF('Données projet'!$B$17="","",'Données projet'!$B$17)</f>
        <v/>
      </c>
      <c r="C226" s="5"/>
      <c r="D226" s="5"/>
      <c r="E226" s="5"/>
      <c r="F226" s="218"/>
      <c r="G226" s="230"/>
      <c r="H226" s="25"/>
      <c r="I226" s="5"/>
      <c r="J226" s="5"/>
      <c r="K226" s="5"/>
      <c r="L226" s="5"/>
      <c r="M226" s="5"/>
      <c r="N226" s="186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3">
      <c r="A227" s="49"/>
      <c r="B227" s="5"/>
      <c r="C227" s="5"/>
      <c r="D227" s="5"/>
      <c r="E227" s="5"/>
      <c r="F227" s="218"/>
      <c r="G227" s="230"/>
      <c r="H227" s="25"/>
      <c r="I227" s="5"/>
      <c r="J227" s="5"/>
      <c r="K227" s="5"/>
      <c r="L227" s="5"/>
      <c r="M227" s="5"/>
      <c r="N227" s="186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3">
      <c r="A228" s="188" t="s">
        <v>180</v>
      </c>
      <c r="B228" s="51" t="s">
        <v>256</v>
      </c>
      <c r="C228" s="51" t="s">
        <v>255</v>
      </c>
      <c r="D228" s="188" t="s">
        <v>252</v>
      </c>
      <c r="E228" s="188" t="s">
        <v>288</v>
      </c>
      <c r="F228" s="220"/>
      <c r="G228" s="231"/>
      <c r="H228" s="25"/>
      <c r="I228" s="5"/>
      <c r="J228" s="5"/>
      <c r="K228" s="5"/>
      <c r="L228" s="5"/>
      <c r="M228" s="5"/>
      <c r="N228" s="186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3">
      <c r="A229" s="214">
        <v>0</v>
      </c>
      <c r="B229" s="217" t="s">
        <v>132</v>
      </c>
      <c r="C229" s="216" t="s">
        <v>132</v>
      </c>
      <c r="D229" s="215" t="s">
        <v>132</v>
      </c>
      <c r="E229" s="210"/>
      <c r="F229" s="220"/>
      <c r="G229" s="231"/>
      <c r="H229" s="25"/>
      <c r="I229" s="5"/>
      <c r="J229" s="5"/>
      <c r="K229" s="5"/>
      <c r="L229" s="5"/>
      <c r="M229" s="5"/>
      <c r="N229" s="186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3">
      <c r="A230" s="195">
        <f>'Données projet'!A244</f>
        <v>0</v>
      </c>
      <c r="B230" s="196">
        <f>'Données projet'!D244</f>
        <v>0</v>
      </c>
      <c r="C230" s="210"/>
      <c r="D230" s="194">
        <f>B230*C230</f>
        <v>0</v>
      </c>
      <c r="E230" s="210"/>
      <c r="F230" s="221"/>
      <c r="G230" s="232"/>
      <c r="H230" s="25"/>
      <c r="I230" s="5"/>
      <c r="J230" s="5"/>
      <c r="K230" s="5"/>
      <c r="L230" s="5"/>
      <c r="M230" s="5"/>
      <c r="N230" s="186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3">
      <c r="A231" s="195">
        <f>'Données projet'!A245</f>
        <v>0</v>
      </c>
      <c r="B231" s="196">
        <f>'Données projet'!D245</f>
        <v>0</v>
      </c>
      <c r="C231" s="210"/>
      <c r="D231" s="194">
        <f t="shared" ref="D231:D249" si="15">B231*C231</f>
        <v>0</v>
      </c>
      <c r="E231" s="210"/>
      <c r="F231" s="221"/>
      <c r="G231" s="232"/>
      <c r="H231" s="25"/>
      <c r="I231" s="5"/>
      <c r="J231" s="5"/>
      <c r="K231" s="5"/>
      <c r="L231" s="5"/>
      <c r="M231" s="5"/>
      <c r="N231" s="186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3">
      <c r="A232" s="195">
        <f>'Données projet'!A246</f>
        <v>0</v>
      </c>
      <c r="B232" s="196">
        <f>'Données projet'!D246</f>
        <v>0</v>
      </c>
      <c r="C232" s="210"/>
      <c r="D232" s="194">
        <f t="shared" si="15"/>
        <v>0</v>
      </c>
      <c r="E232" s="210"/>
      <c r="F232" s="221"/>
      <c r="G232" s="232"/>
      <c r="H232" s="25"/>
      <c r="I232" s="5"/>
      <c r="J232" s="5"/>
      <c r="K232" s="5"/>
      <c r="L232" s="5"/>
      <c r="M232" s="5"/>
      <c r="N232" s="186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3">
      <c r="A233" s="195">
        <f>'Données projet'!A247</f>
        <v>0</v>
      </c>
      <c r="B233" s="196">
        <f>'Données projet'!D247</f>
        <v>0</v>
      </c>
      <c r="C233" s="210"/>
      <c r="D233" s="194">
        <f t="shared" si="15"/>
        <v>0</v>
      </c>
      <c r="E233" s="210"/>
      <c r="F233" s="221"/>
      <c r="G233" s="232"/>
      <c r="H233" s="25"/>
      <c r="I233" s="5"/>
      <c r="J233" s="5"/>
      <c r="K233" s="5"/>
      <c r="L233" s="5"/>
      <c r="M233" s="5"/>
      <c r="N233" s="186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3">
      <c r="A234" s="195">
        <f>'Données projet'!A248</f>
        <v>0</v>
      </c>
      <c r="B234" s="196">
        <f>'Données projet'!D248</f>
        <v>0</v>
      </c>
      <c r="C234" s="210"/>
      <c r="D234" s="194">
        <f t="shared" si="15"/>
        <v>0</v>
      </c>
      <c r="E234" s="210"/>
      <c r="F234" s="221"/>
      <c r="G234" s="232"/>
      <c r="H234" s="25"/>
      <c r="I234" s="5"/>
      <c r="J234" s="5"/>
      <c r="K234" s="5"/>
      <c r="L234" s="5"/>
      <c r="M234" s="5"/>
      <c r="N234" s="186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3">
      <c r="A235" s="195">
        <f>'Données projet'!A249</f>
        <v>0</v>
      </c>
      <c r="B235" s="196">
        <f>'Données projet'!D249</f>
        <v>0</v>
      </c>
      <c r="C235" s="210"/>
      <c r="D235" s="194">
        <f t="shared" si="15"/>
        <v>0</v>
      </c>
      <c r="E235" s="210"/>
      <c r="F235" s="221"/>
      <c r="G235" s="232"/>
      <c r="H235" s="25"/>
      <c r="I235" s="5"/>
      <c r="J235" s="5"/>
      <c r="K235" s="5"/>
      <c r="L235" s="5"/>
      <c r="M235" s="5"/>
      <c r="N235" s="186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3">
      <c r="A236" s="195">
        <f>'Données projet'!A250</f>
        <v>0</v>
      </c>
      <c r="B236" s="196">
        <f>'Données projet'!D250</f>
        <v>0</v>
      </c>
      <c r="C236" s="210"/>
      <c r="D236" s="194">
        <f t="shared" si="15"/>
        <v>0</v>
      </c>
      <c r="E236" s="210"/>
      <c r="F236" s="221"/>
      <c r="G236" s="232"/>
      <c r="H236" s="25"/>
      <c r="I236" s="5"/>
      <c r="J236" s="5"/>
      <c r="K236" s="5"/>
      <c r="L236" s="5"/>
      <c r="M236" s="5"/>
      <c r="N236" s="186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3">
      <c r="A237" s="195">
        <f>'Données projet'!A251</f>
        <v>0</v>
      </c>
      <c r="B237" s="196">
        <f>'Données projet'!D251</f>
        <v>0</v>
      </c>
      <c r="C237" s="210"/>
      <c r="D237" s="194">
        <f t="shared" si="15"/>
        <v>0</v>
      </c>
      <c r="E237" s="210"/>
      <c r="F237" s="221"/>
      <c r="G237" s="232"/>
      <c r="H237" s="25"/>
      <c r="I237" s="5"/>
      <c r="J237" s="5"/>
      <c r="K237" s="5"/>
      <c r="L237" s="5"/>
      <c r="M237" s="5"/>
      <c r="N237" s="186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3">
      <c r="A238" s="195">
        <f>'Données projet'!A252</f>
        <v>0</v>
      </c>
      <c r="B238" s="196">
        <f>'Données projet'!D252</f>
        <v>0</v>
      </c>
      <c r="C238" s="210"/>
      <c r="D238" s="194">
        <f t="shared" si="15"/>
        <v>0</v>
      </c>
      <c r="E238" s="210"/>
      <c r="F238" s="221"/>
      <c r="G238" s="232"/>
      <c r="H238" s="25"/>
      <c r="I238" s="5"/>
      <c r="J238" s="5"/>
      <c r="K238" s="5"/>
      <c r="L238" s="5"/>
      <c r="M238" s="5"/>
      <c r="N238" s="186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3">
      <c r="A239" s="195">
        <f>'Données projet'!A253</f>
        <v>0</v>
      </c>
      <c r="B239" s="196">
        <f>'Données projet'!D253</f>
        <v>0</v>
      </c>
      <c r="C239" s="210"/>
      <c r="D239" s="194">
        <f t="shared" si="15"/>
        <v>0</v>
      </c>
      <c r="E239" s="210"/>
      <c r="F239" s="221"/>
      <c r="G239" s="232"/>
      <c r="H239" s="25"/>
      <c r="I239" s="5"/>
      <c r="J239" s="5"/>
      <c r="K239" s="5"/>
      <c r="L239" s="5"/>
      <c r="M239" s="5"/>
      <c r="N239" s="186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3">
      <c r="A240" s="195">
        <f>'Données projet'!A254</f>
        <v>0</v>
      </c>
      <c r="B240" s="196">
        <f>'Données projet'!D254</f>
        <v>0</v>
      </c>
      <c r="C240" s="210"/>
      <c r="D240" s="194">
        <f t="shared" si="15"/>
        <v>0</v>
      </c>
      <c r="E240" s="210"/>
      <c r="F240" s="221"/>
      <c r="G240" s="232"/>
      <c r="H240" s="25"/>
      <c r="I240" s="5"/>
      <c r="J240" s="5"/>
      <c r="K240" s="5"/>
      <c r="L240" s="5"/>
      <c r="M240" s="5"/>
      <c r="N240" s="186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3">
      <c r="A241" s="195">
        <f>'Données projet'!A255</f>
        <v>0</v>
      </c>
      <c r="B241" s="196">
        <f>'Données projet'!D255</f>
        <v>0</v>
      </c>
      <c r="C241" s="210"/>
      <c r="D241" s="194">
        <f t="shared" si="15"/>
        <v>0</v>
      </c>
      <c r="E241" s="210"/>
      <c r="F241" s="221"/>
      <c r="G241" s="232"/>
      <c r="H241" s="25"/>
      <c r="I241" s="5"/>
      <c r="J241" s="5"/>
      <c r="K241" s="5"/>
      <c r="L241" s="5"/>
      <c r="M241" s="5"/>
      <c r="N241" s="186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3">
      <c r="A242" s="195">
        <f>'Données projet'!A256</f>
        <v>0</v>
      </c>
      <c r="B242" s="196">
        <f>'Données projet'!D256</f>
        <v>0</v>
      </c>
      <c r="C242" s="210"/>
      <c r="D242" s="194">
        <f t="shared" si="15"/>
        <v>0</v>
      </c>
      <c r="E242" s="210"/>
      <c r="F242" s="221"/>
      <c r="G242" s="232"/>
      <c r="H242" s="25"/>
      <c r="I242" s="5"/>
      <c r="J242" s="5"/>
      <c r="K242" s="5"/>
      <c r="L242" s="5"/>
      <c r="M242" s="5"/>
      <c r="N242" s="186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3">
      <c r="A243" s="195">
        <f>'Données projet'!A257</f>
        <v>0</v>
      </c>
      <c r="B243" s="196">
        <f>'Données projet'!D257</f>
        <v>0</v>
      </c>
      <c r="C243" s="210"/>
      <c r="D243" s="194">
        <f t="shared" si="15"/>
        <v>0</v>
      </c>
      <c r="E243" s="210"/>
      <c r="F243" s="221"/>
      <c r="G243" s="232"/>
      <c r="H243" s="25"/>
      <c r="I243" s="5"/>
      <c r="J243" s="5"/>
      <c r="K243" s="5"/>
      <c r="L243" s="5"/>
      <c r="M243" s="5"/>
      <c r="N243" s="186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3">
      <c r="A244" s="195">
        <f>'Données projet'!A258</f>
        <v>0</v>
      </c>
      <c r="B244" s="196">
        <f>'Données projet'!D258</f>
        <v>0</v>
      </c>
      <c r="C244" s="210"/>
      <c r="D244" s="194">
        <f t="shared" si="15"/>
        <v>0</v>
      </c>
      <c r="E244" s="210"/>
      <c r="F244" s="221"/>
      <c r="G244" s="232"/>
      <c r="H244" s="25"/>
      <c r="I244" s="5"/>
      <c r="J244" s="5"/>
      <c r="K244" s="5"/>
      <c r="L244" s="5"/>
      <c r="M244" s="5"/>
      <c r="N244" s="186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3">
      <c r="A245" s="195">
        <f>'Données projet'!A259</f>
        <v>0</v>
      </c>
      <c r="B245" s="196">
        <f>'Données projet'!D259</f>
        <v>0</v>
      </c>
      <c r="C245" s="210"/>
      <c r="D245" s="194">
        <f t="shared" si="15"/>
        <v>0</v>
      </c>
      <c r="E245" s="210"/>
      <c r="F245" s="221"/>
      <c r="G245" s="232"/>
      <c r="H245" s="25"/>
      <c r="I245" s="5"/>
      <c r="J245" s="5"/>
      <c r="K245" s="5"/>
      <c r="L245" s="5"/>
      <c r="M245" s="5"/>
      <c r="N245" s="186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3">
      <c r="A246" s="195">
        <f>'Données projet'!A260</f>
        <v>0</v>
      </c>
      <c r="B246" s="196">
        <f>'Données projet'!D260</f>
        <v>0</v>
      </c>
      <c r="C246" s="210"/>
      <c r="D246" s="194">
        <f t="shared" si="15"/>
        <v>0</v>
      </c>
      <c r="E246" s="210"/>
      <c r="F246" s="221"/>
      <c r="G246" s="232"/>
      <c r="H246" s="25"/>
      <c r="I246" s="5"/>
      <c r="J246" s="5"/>
      <c r="K246" s="5"/>
      <c r="L246" s="5"/>
      <c r="M246" s="5"/>
      <c r="N246" s="186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3">
      <c r="A247" s="195">
        <f>'Données projet'!A261</f>
        <v>0</v>
      </c>
      <c r="B247" s="196">
        <f>'Données projet'!D261</f>
        <v>0</v>
      </c>
      <c r="C247" s="210"/>
      <c r="D247" s="194">
        <f t="shared" si="15"/>
        <v>0</v>
      </c>
      <c r="E247" s="210"/>
      <c r="F247" s="221"/>
      <c r="G247" s="232"/>
      <c r="H247" s="25"/>
      <c r="I247" s="5"/>
      <c r="J247" s="5"/>
      <c r="K247" s="5"/>
      <c r="L247" s="5"/>
      <c r="M247" s="5"/>
      <c r="N247" s="186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3">
      <c r="A248" s="195">
        <f>'Données projet'!A262</f>
        <v>0</v>
      </c>
      <c r="B248" s="196">
        <f>'Données projet'!D262</f>
        <v>0</v>
      </c>
      <c r="C248" s="210"/>
      <c r="D248" s="194">
        <f t="shared" si="15"/>
        <v>0</v>
      </c>
      <c r="E248" s="210"/>
      <c r="F248" s="221"/>
      <c r="G248" s="232"/>
      <c r="H248" s="25"/>
      <c r="I248" s="5"/>
      <c r="J248" s="5"/>
      <c r="K248" s="5"/>
      <c r="L248" s="5"/>
      <c r="M248" s="5"/>
      <c r="N248" s="186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3">
      <c r="A249" s="195">
        <f>'Données projet'!A263</f>
        <v>0</v>
      </c>
      <c r="B249" s="196">
        <f>'Données projet'!D263</f>
        <v>0</v>
      </c>
      <c r="C249" s="210"/>
      <c r="D249" s="194">
        <f t="shared" si="15"/>
        <v>0</v>
      </c>
      <c r="E249" s="210"/>
      <c r="F249" s="221"/>
      <c r="G249" s="232"/>
      <c r="H249" s="25"/>
      <c r="I249" s="5"/>
      <c r="J249" s="5"/>
      <c r="K249" s="5"/>
      <c r="L249" s="5"/>
      <c r="M249" s="5"/>
      <c r="N249" s="186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3">
      <c r="A250" s="5"/>
      <c r="B250" s="5"/>
      <c r="C250" s="5"/>
      <c r="D250" s="5"/>
      <c r="E250" s="5"/>
      <c r="F250" s="218"/>
      <c r="G250" s="230"/>
      <c r="H250" s="25"/>
      <c r="I250" s="5"/>
      <c r="J250" s="5"/>
      <c r="K250" s="5"/>
      <c r="L250" s="5"/>
      <c r="M250" s="5"/>
      <c r="N250" s="186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3">
      <c r="A251" s="5"/>
      <c r="B251" s="5"/>
      <c r="C251" s="5"/>
      <c r="D251" s="5"/>
      <c r="E251" s="5"/>
      <c r="F251" s="218"/>
      <c r="G251" s="230"/>
      <c r="H251" s="25"/>
      <c r="I251" s="5"/>
      <c r="J251" s="5"/>
      <c r="K251" s="5"/>
      <c r="L251" s="5"/>
      <c r="M251" s="5"/>
      <c r="N251" s="186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3">
      <c r="A252" s="49" t="s">
        <v>174</v>
      </c>
      <c r="B252" s="189" t="str">
        <f>IF('Données projet'!$B$18="","",'Données projet'!$B$18)</f>
        <v/>
      </c>
      <c r="C252" s="5"/>
      <c r="D252" s="5"/>
      <c r="E252" s="5"/>
      <c r="F252" s="218"/>
      <c r="G252" s="230"/>
      <c r="H252" s="25"/>
      <c r="I252" s="5"/>
      <c r="J252" s="5"/>
      <c r="K252" s="5"/>
      <c r="L252" s="5"/>
      <c r="M252" s="5"/>
      <c r="N252" s="186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3">
      <c r="A253" s="49"/>
      <c r="B253" s="5"/>
      <c r="C253" s="5"/>
      <c r="D253" s="5"/>
      <c r="E253" s="5"/>
      <c r="F253" s="218"/>
      <c r="G253" s="230"/>
      <c r="H253" s="25"/>
      <c r="I253" s="5"/>
      <c r="J253" s="5"/>
      <c r="K253" s="5"/>
      <c r="L253" s="5"/>
      <c r="M253" s="5"/>
      <c r="N253" s="186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3">
      <c r="A254" s="188" t="s">
        <v>180</v>
      </c>
      <c r="B254" s="51" t="s">
        <v>256</v>
      </c>
      <c r="C254" s="51" t="s">
        <v>255</v>
      </c>
      <c r="D254" s="188" t="s">
        <v>252</v>
      </c>
      <c r="E254" s="188" t="s">
        <v>288</v>
      </c>
      <c r="F254" s="220"/>
      <c r="G254" s="231"/>
      <c r="H254" s="25"/>
      <c r="I254" s="5"/>
      <c r="J254" s="5"/>
      <c r="K254" s="5"/>
      <c r="L254" s="5"/>
      <c r="M254" s="5"/>
      <c r="N254" s="186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3">
      <c r="A255" s="214">
        <v>0</v>
      </c>
      <c r="B255" s="217" t="s">
        <v>132</v>
      </c>
      <c r="C255" s="216" t="s">
        <v>132</v>
      </c>
      <c r="D255" s="215" t="s">
        <v>132</v>
      </c>
      <c r="E255" s="210"/>
      <c r="F255" s="220"/>
      <c r="G255" s="231"/>
      <c r="H255" s="25"/>
      <c r="I255" s="5"/>
      <c r="J255" s="5"/>
      <c r="K255" s="5"/>
      <c r="L255" s="5"/>
      <c r="M255" s="5"/>
      <c r="N255" s="186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3">
      <c r="A256" s="195">
        <f>'Données projet'!A270</f>
        <v>0</v>
      </c>
      <c r="B256" s="196">
        <f>'Données projet'!D270</f>
        <v>0</v>
      </c>
      <c r="C256" s="208"/>
      <c r="D256" s="197">
        <f>B256*C256</f>
        <v>0</v>
      </c>
      <c r="E256" s="210"/>
      <c r="F256" s="219"/>
      <c r="G256" s="227"/>
      <c r="H256" s="25"/>
      <c r="I256" s="5"/>
      <c r="J256" s="5"/>
      <c r="K256" s="5"/>
      <c r="L256" s="5"/>
      <c r="M256" s="5"/>
      <c r="N256" s="186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8" x14ac:dyDescent="0.3">
      <c r="A257" s="195">
        <f>'Données projet'!A271</f>
        <v>0</v>
      </c>
      <c r="B257" s="196">
        <f>'Données projet'!D271</f>
        <v>0</v>
      </c>
      <c r="C257" s="208"/>
      <c r="D257" s="197">
        <f t="shared" ref="D257:D275" si="16">B257*C257</f>
        <v>0</v>
      </c>
      <c r="E257" s="210"/>
      <c r="F257" s="219"/>
      <c r="G257" s="227"/>
      <c r="H257" s="25"/>
      <c r="I257" s="5"/>
      <c r="J257" s="5"/>
      <c r="K257" s="5"/>
      <c r="L257" s="5"/>
      <c r="M257" s="5"/>
      <c r="N257" s="186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</row>
    <row r="258" spans="1:68" x14ac:dyDescent="0.3">
      <c r="A258" s="195">
        <f>'Données projet'!A272</f>
        <v>0</v>
      </c>
      <c r="B258" s="196">
        <f>'Données projet'!D272</f>
        <v>0</v>
      </c>
      <c r="C258" s="208"/>
      <c r="D258" s="197">
        <f t="shared" si="16"/>
        <v>0</v>
      </c>
      <c r="E258" s="210"/>
      <c r="F258" s="219"/>
      <c r="G258" s="227"/>
      <c r="H258" s="25"/>
      <c r="I258" s="5"/>
      <c r="J258" s="5"/>
      <c r="K258" s="5"/>
      <c r="L258" s="5"/>
      <c r="M258" s="5"/>
      <c r="N258" s="186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</row>
    <row r="259" spans="1:68" x14ac:dyDescent="0.3">
      <c r="A259" s="195">
        <f>'Données projet'!A273</f>
        <v>0</v>
      </c>
      <c r="B259" s="196">
        <f>'Données projet'!D273</f>
        <v>0</v>
      </c>
      <c r="C259" s="208"/>
      <c r="D259" s="197">
        <f t="shared" si="16"/>
        <v>0</v>
      </c>
      <c r="E259" s="210"/>
      <c r="F259" s="219"/>
      <c r="G259" s="227"/>
      <c r="H259" s="25"/>
      <c r="I259" s="5"/>
      <c r="J259" s="5"/>
      <c r="K259" s="5"/>
      <c r="L259" s="5"/>
      <c r="M259" s="5"/>
      <c r="N259" s="186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</row>
    <row r="260" spans="1:68" x14ac:dyDescent="0.3">
      <c r="A260" s="195">
        <f>'Données projet'!A274</f>
        <v>0</v>
      </c>
      <c r="B260" s="196">
        <f>'Données projet'!D274</f>
        <v>0</v>
      </c>
      <c r="C260" s="208"/>
      <c r="D260" s="197">
        <f t="shared" si="16"/>
        <v>0</v>
      </c>
      <c r="E260" s="210"/>
      <c r="F260" s="219"/>
      <c r="G260" s="227"/>
      <c r="H260" s="25"/>
      <c r="I260" s="5"/>
      <c r="J260" s="5"/>
      <c r="K260" s="5"/>
      <c r="L260" s="5"/>
      <c r="M260" s="5"/>
      <c r="N260" s="186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</row>
    <row r="261" spans="1:68" x14ac:dyDescent="0.3">
      <c r="A261" s="195">
        <f>'Données projet'!A275</f>
        <v>0</v>
      </c>
      <c r="B261" s="196">
        <f>'Données projet'!D275</f>
        <v>0</v>
      </c>
      <c r="C261" s="208"/>
      <c r="D261" s="197">
        <f t="shared" si="16"/>
        <v>0</v>
      </c>
      <c r="E261" s="210"/>
      <c r="F261" s="219"/>
      <c r="G261" s="227"/>
      <c r="H261" s="25"/>
      <c r="I261" s="5"/>
      <c r="J261" s="5"/>
      <c r="K261" s="5"/>
      <c r="L261" s="5"/>
      <c r="M261" s="5"/>
      <c r="N261" s="186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</row>
    <row r="262" spans="1:68" x14ac:dyDescent="0.3">
      <c r="A262" s="195">
        <f>'Données projet'!A276</f>
        <v>0</v>
      </c>
      <c r="B262" s="196">
        <f>'Données projet'!D276</f>
        <v>0</v>
      </c>
      <c r="C262" s="208"/>
      <c r="D262" s="197">
        <f t="shared" si="16"/>
        <v>0</v>
      </c>
      <c r="E262" s="210"/>
      <c r="F262" s="219"/>
      <c r="G262" s="227"/>
      <c r="H262" s="25"/>
      <c r="I262" s="5"/>
      <c r="J262" s="5"/>
      <c r="K262" s="5"/>
      <c r="L262" s="5"/>
      <c r="M262" s="5"/>
      <c r="N262" s="186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</row>
    <row r="263" spans="1:68" x14ac:dyDescent="0.3">
      <c r="A263" s="195">
        <f>'Données projet'!A277</f>
        <v>0</v>
      </c>
      <c r="B263" s="196">
        <f>'Données projet'!D277</f>
        <v>0</v>
      </c>
      <c r="C263" s="208"/>
      <c r="D263" s="197">
        <f t="shared" si="16"/>
        <v>0</v>
      </c>
      <c r="E263" s="210"/>
      <c r="F263" s="219"/>
      <c r="G263" s="227"/>
      <c r="H263" s="25"/>
      <c r="I263" s="5"/>
      <c r="J263" s="5"/>
      <c r="K263" s="5"/>
      <c r="L263" s="5"/>
      <c r="M263" s="5"/>
      <c r="N263" s="186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</row>
    <row r="264" spans="1:68" x14ac:dyDescent="0.3">
      <c r="A264" s="195">
        <f>'Données projet'!A278</f>
        <v>0</v>
      </c>
      <c r="B264" s="196">
        <f>'Données projet'!D278</f>
        <v>0</v>
      </c>
      <c r="C264" s="208"/>
      <c r="D264" s="197">
        <f t="shared" si="16"/>
        <v>0</v>
      </c>
      <c r="E264" s="210"/>
      <c r="F264" s="219"/>
      <c r="G264" s="227"/>
      <c r="H264" s="25"/>
      <c r="I264" s="5"/>
      <c r="J264" s="5"/>
      <c r="K264" s="5"/>
      <c r="L264" s="5"/>
      <c r="M264" s="5"/>
      <c r="N264" s="186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</row>
    <row r="265" spans="1:68" x14ac:dyDescent="0.3">
      <c r="A265" s="195">
        <f>'Données projet'!A279</f>
        <v>0</v>
      </c>
      <c r="B265" s="196">
        <f>'Données projet'!D279</f>
        <v>0</v>
      </c>
      <c r="C265" s="208"/>
      <c r="D265" s="197">
        <f t="shared" si="16"/>
        <v>0</v>
      </c>
      <c r="E265" s="210"/>
      <c r="F265" s="219"/>
      <c r="G265" s="227"/>
      <c r="H265" s="25"/>
      <c r="I265" s="5"/>
      <c r="J265" s="5"/>
      <c r="K265" s="5"/>
      <c r="L265" s="5"/>
      <c r="M265" s="5"/>
      <c r="N265" s="186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</row>
    <row r="266" spans="1:68" x14ac:dyDescent="0.3">
      <c r="A266" s="195">
        <f>'Données projet'!A280</f>
        <v>0</v>
      </c>
      <c r="B266" s="196">
        <f>'Données projet'!D280</f>
        <v>0</v>
      </c>
      <c r="C266" s="208"/>
      <c r="D266" s="197">
        <f t="shared" si="16"/>
        <v>0</v>
      </c>
      <c r="E266" s="210"/>
      <c r="F266" s="219"/>
      <c r="G266" s="227"/>
      <c r="H266" s="25"/>
      <c r="I266" s="5"/>
      <c r="J266" s="5"/>
      <c r="K266" s="5"/>
      <c r="L266" s="5"/>
      <c r="M266" s="5"/>
      <c r="N266" s="186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</row>
    <row r="267" spans="1:68" x14ac:dyDescent="0.3">
      <c r="A267" s="195">
        <f>'Données projet'!A281</f>
        <v>0</v>
      </c>
      <c r="B267" s="196">
        <f>'Données projet'!D281</f>
        <v>0</v>
      </c>
      <c r="C267" s="208"/>
      <c r="D267" s="197">
        <f t="shared" si="16"/>
        <v>0</v>
      </c>
      <c r="E267" s="210"/>
      <c r="F267" s="219"/>
      <c r="G267" s="227"/>
      <c r="H267" s="25"/>
      <c r="I267" s="5"/>
      <c r="J267" s="5"/>
      <c r="K267" s="5"/>
      <c r="L267" s="5"/>
      <c r="M267" s="5"/>
      <c r="N267" s="186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8" x14ac:dyDescent="0.3">
      <c r="A268" s="195">
        <f>'Données projet'!A282</f>
        <v>0</v>
      </c>
      <c r="B268" s="196">
        <f>'Données projet'!D282</f>
        <v>0</v>
      </c>
      <c r="C268" s="208"/>
      <c r="D268" s="197">
        <f t="shared" si="16"/>
        <v>0</v>
      </c>
      <c r="E268" s="210"/>
      <c r="F268" s="219"/>
      <c r="G268" s="227"/>
      <c r="H268" s="25"/>
      <c r="I268" s="5"/>
      <c r="J268" s="5"/>
      <c r="K268" s="5"/>
      <c r="L268" s="5"/>
      <c r="M268" s="5"/>
      <c r="N268" s="186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8" x14ac:dyDescent="0.3">
      <c r="A269" s="195">
        <f>'Données projet'!A283</f>
        <v>0</v>
      </c>
      <c r="B269" s="196">
        <f>'Données projet'!D283</f>
        <v>0</v>
      </c>
      <c r="C269" s="208"/>
      <c r="D269" s="197">
        <f t="shared" si="16"/>
        <v>0</v>
      </c>
      <c r="E269" s="210"/>
      <c r="F269" s="219"/>
      <c r="G269" s="227"/>
      <c r="H269" s="25"/>
      <c r="I269" s="5"/>
      <c r="J269" s="5"/>
      <c r="K269" s="5"/>
      <c r="L269" s="5"/>
      <c r="M269" s="5"/>
      <c r="N269" s="186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8" x14ac:dyDescent="0.3">
      <c r="A270" s="195">
        <f>'Données projet'!A284</f>
        <v>0</v>
      </c>
      <c r="B270" s="196">
        <f>'Données projet'!D284</f>
        <v>0</v>
      </c>
      <c r="C270" s="208"/>
      <c r="D270" s="197">
        <f t="shared" si="16"/>
        <v>0</v>
      </c>
      <c r="E270" s="210"/>
      <c r="F270" s="219"/>
      <c r="G270" s="227"/>
      <c r="H270" s="25"/>
      <c r="I270" s="5"/>
      <c r="J270" s="5"/>
      <c r="K270" s="5"/>
      <c r="L270" s="5"/>
      <c r="M270" s="5"/>
      <c r="N270" s="186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8" x14ac:dyDescent="0.3">
      <c r="A271" s="195">
        <f>'Données projet'!A285</f>
        <v>0</v>
      </c>
      <c r="B271" s="196">
        <f>'Données projet'!D285</f>
        <v>0</v>
      </c>
      <c r="C271" s="208"/>
      <c r="D271" s="197">
        <f t="shared" si="16"/>
        <v>0</v>
      </c>
      <c r="E271" s="210"/>
      <c r="F271" s="219"/>
      <c r="G271" s="227"/>
      <c r="H271" s="25"/>
      <c r="I271" s="5"/>
      <c r="J271" s="5"/>
      <c r="K271" s="5"/>
      <c r="L271" s="5"/>
      <c r="M271" s="5"/>
      <c r="N271" s="186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8" x14ac:dyDescent="0.3">
      <c r="A272" s="195">
        <f>'Données projet'!A286</f>
        <v>0</v>
      </c>
      <c r="B272" s="196">
        <f>'Données projet'!D286</f>
        <v>0</v>
      </c>
      <c r="C272" s="208"/>
      <c r="D272" s="197">
        <f t="shared" si="16"/>
        <v>0</v>
      </c>
      <c r="E272" s="210"/>
      <c r="F272" s="219"/>
      <c r="G272" s="227"/>
      <c r="H272" s="25"/>
      <c r="I272" s="5"/>
      <c r="J272" s="5"/>
      <c r="K272" s="5"/>
      <c r="L272" s="5"/>
      <c r="M272" s="5"/>
      <c r="N272" s="186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">
      <c r="A273" s="195">
        <f>'Données projet'!A287</f>
        <v>0</v>
      </c>
      <c r="B273" s="196">
        <f>'Données projet'!D287</f>
        <v>0</v>
      </c>
      <c r="C273" s="208"/>
      <c r="D273" s="197">
        <f t="shared" si="16"/>
        <v>0</v>
      </c>
      <c r="E273" s="210"/>
      <c r="F273" s="219"/>
      <c r="G273" s="227"/>
      <c r="H273" s="25"/>
      <c r="I273" s="5"/>
      <c r="J273" s="5"/>
      <c r="K273" s="5"/>
      <c r="L273" s="5"/>
      <c r="M273" s="5"/>
      <c r="N273" s="186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">
      <c r="A274" s="195">
        <f>'Données projet'!A288</f>
        <v>0</v>
      </c>
      <c r="B274" s="196">
        <f>'Données projet'!D288</f>
        <v>0</v>
      </c>
      <c r="C274" s="208"/>
      <c r="D274" s="197">
        <f t="shared" si="16"/>
        <v>0</v>
      </c>
      <c r="E274" s="210"/>
      <c r="F274" s="219"/>
      <c r="G274" s="227"/>
      <c r="H274" s="25"/>
      <c r="I274" s="5"/>
      <c r="J274" s="5"/>
      <c r="K274" s="5"/>
      <c r="L274" s="5"/>
      <c r="M274" s="5"/>
      <c r="N274" s="186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">
      <c r="A275" s="195">
        <f>'Données projet'!A289</f>
        <v>0</v>
      </c>
      <c r="B275" s="196">
        <f>'Données projet'!D289</f>
        <v>0</v>
      </c>
      <c r="C275" s="213"/>
      <c r="D275" s="197">
        <f t="shared" si="16"/>
        <v>0</v>
      </c>
      <c r="E275" s="210"/>
      <c r="F275" s="219"/>
      <c r="G275" s="227"/>
      <c r="H275" s="25"/>
      <c r="I275" s="5"/>
      <c r="J275" s="5"/>
      <c r="K275" s="5"/>
      <c r="L275" s="5"/>
      <c r="M275" s="5"/>
      <c r="N275" s="186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">
      <c r="A276" s="5"/>
      <c r="B276" s="5"/>
      <c r="C276" s="5"/>
      <c r="D276" s="5"/>
      <c r="E276" s="5"/>
      <c r="F276" s="244"/>
      <c r="G276" s="244"/>
      <c r="H276" s="2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">
      <c r="A277" s="5"/>
      <c r="B277" s="5"/>
      <c r="C277" s="5"/>
      <c r="D277" s="5"/>
      <c r="E277" s="5"/>
      <c r="F277" s="244"/>
      <c r="G277" s="244"/>
      <c r="H277" s="2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">
      <c r="A278" s="5"/>
      <c r="B278" s="5"/>
      <c r="C278" s="5"/>
      <c r="D278" s="5"/>
      <c r="E278" s="5"/>
      <c r="F278" s="244"/>
      <c r="G278" s="244"/>
      <c r="H278" s="2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">
      <c r="A279" s="5"/>
      <c r="B279" s="5"/>
      <c r="C279" s="5"/>
      <c r="D279" s="5"/>
      <c r="E279" s="5"/>
      <c r="F279" s="244"/>
      <c r="G279" s="244"/>
      <c r="H279" s="2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">
      <c r="A280" s="5"/>
      <c r="B280" s="5"/>
      <c r="C280" s="5"/>
      <c r="D280" s="5"/>
      <c r="E280" s="5"/>
      <c r="F280" s="244"/>
      <c r="G280" s="244"/>
      <c r="H280" s="2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">
      <c r="A281" s="5"/>
      <c r="B281" s="5"/>
      <c r="C281" s="5"/>
      <c r="D281" s="5"/>
      <c r="E281" s="5"/>
      <c r="F281" s="244"/>
      <c r="G281" s="244"/>
      <c r="H281" s="2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">
      <c r="A282" s="5"/>
      <c r="B282" s="5"/>
      <c r="C282" s="5"/>
      <c r="D282" s="5"/>
      <c r="E282" s="5"/>
      <c r="F282" s="244"/>
      <c r="G282" s="244"/>
      <c r="H282" s="2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">
      <c r="A283" s="5"/>
      <c r="B283" s="5"/>
      <c r="C283" s="5"/>
      <c r="D283" s="5"/>
      <c r="E283" s="5"/>
      <c r="F283" s="244"/>
      <c r="G283" s="244"/>
      <c r="H283" s="2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">
      <c r="A284" s="5"/>
      <c r="B284" s="5"/>
      <c r="C284" s="5"/>
      <c r="D284" s="5"/>
      <c r="E284" s="5"/>
      <c r="F284" s="244"/>
      <c r="G284" s="244"/>
      <c r="H284" s="2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">
      <c r="A285" s="5"/>
      <c r="B285" s="5"/>
      <c r="C285" s="5"/>
      <c r="D285" s="5"/>
      <c r="E285" s="5"/>
      <c r="F285" s="244"/>
      <c r="G285" s="244"/>
      <c r="H285" s="2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">
      <c r="A286" s="5"/>
      <c r="B286" s="5"/>
      <c r="C286" s="5"/>
      <c r="D286" s="5"/>
      <c r="E286" s="5"/>
      <c r="F286" s="244"/>
      <c r="G286" s="244"/>
      <c r="H286" s="2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">
      <c r="A287" s="5"/>
      <c r="B287" s="5"/>
      <c r="C287" s="5"/>
      <c r="D287" s="5"/>
      <c r="E287" s="5"/>
      <c r="F287" s="244"/>
      <c r="G287" s="244"/>
      <c r="H287" s="2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">
      <c r="A288" s="5"/>
      <c r="B288" s="5"/>
      <c r="C288" s="5"/>
      <c r="D288" s="5"/>
      <c r="E288" s="5"/>
      <c r="F288" s="244"/>
      <c r="G288" s="244"/>
      <c r="H288" s="2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">
      <c r="A289" s="5"/>
      <c r="B289" s="5"/>
      <c r="C289" s="5"/>
      <c r="D289" s="5"/>
      <c r="E289" s="5"/>
      <c r="F289" s="244"/>
      <c r="G289" s="244"/>
      <c r="H289" s="2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">
      <c r="A290" s="5"/>
      <c r="B290" s="5"/>
      <c r="C290" s="5"/>
      <c r="D290" s="5"/>
      <c r="E290" s="5"/>
      <c r="F290" s="244"/>
      <c r="G290" s="244"/>
      <c r="H290" s="2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">
      <c r="A291" s="5"/>
      <c r="B291" s="5"/>
      <c r="C291" s="5"/>
      <c r="D291" s="5"/>
      <c r="E291" s="5"/>
      <c r="F291" s="244"/>
      <c r="G291" s="244"/>
      <c r="H291" s="2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">
      <c r="A292" s="5"/>
      <c r="B292" s="5"/>
      <c r="C292" s="5"/>
      <c r="D292" s="5"/>
      <c r="E292" s="5"/>
      <c r="F292" s="244"/>
      <c r="G292" s="244"/>
      <c r="H292" s="2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">
      <c r="A293" s="5"/>
      <c r="B293" s="5"/>
      <c r="C293" s="5"/>
      <c r="D293" s="5"/>
      <c r="E293" s="5"/>
      <c r="F293" s="244"/>
      <c r="G293" s="244"/>
      <c r="H293" s="2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">
      <c r="A294" s="5"/>
      <c r="B294" s="5"/>
      <c r="C294" s="5"/>
      <c r="D294" s="5"/>
      <c r="E294" s="5"/>
      <c r="F294" s="244"/>
      <c r="G294" s="244"/>
      <c r="H294" s="2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">
      <c r="A295" s="5"/>
      <c r="B295" s="5"/>
      <c r="C295" s="5"/>
      <c r="D295" s="5"/>
      <c r="E295" s="5"/>
      <c r="F295" s="244"/>
      <c r="G295" s="244"/>
      <c r="H295" s="2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">
      <c r="A296" s="5"/>
      <c r="B296" s="5"/>
      <c r="C296" s="5"/>
      <c r="D296" s="5"/>
      <c r="E296" s="5"/>
      <c r="F296" s="244"/>
      <c r="G296" s="244"/>
      <c r="H296" s="2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">
      <c r="A297" s="5"/>
      <c r="B297" s="5"/>
      <c r="C297" s="5"/>
      <c r="D297" s="5"/>
      <c r="E297" s="5"/>
      <c r="F297" s="244"/>
      <c r="G297" s="244"/>
      <c r="H297" s="2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">
      <c r="A298" s="5"/>
      <c r="B298" s="5"/>
      <c r="C298" s="5"/>
      <c r="D298" s="5"/>
      <c r="E298" s="5"/>
      <c r="F298" s="244"/>
      <c r="G298" s="244"/>
      <c r="H298" s="2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">
      <c r="A299" s="5"/>
      <c r="B299" s="5"/>
      <c r="C299" s="5"/>
      <c r="D299" s="5"/>
      <c r="E299" s="5"/>
      <c r="F299" s="244"/>
      <c r="G299" s="244"/>
      <c r="H299" s="2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">
      <c r="A300" s="5"/>
      <c r="B300" s="5"/>
      <c r="C300" s="5"/>
      <c r="D300" s="5"/>
      <c r="E300" s="5"/>
      <c r="F300" s="244"/>
      <c r="G300" s="244"/>
      <c r="H300" s="2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">
      <c r="A301" s="5"/>
      <c r="B301" s="5"/>
      <c r="C301" s="5"/>
      <c r="D301" s="5"/>
      <c r="E301" s="5"/>
      <c r="F301" s="244"/>
      <c r="G301" s="244"/>
      <c r="H301" s="2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">
      <c r="A302" s="5"/>
      <c r="B302" s="5"/>
      <c r="C302" s="5"/>
      <c r="D302" s="5"/>
      <c r="E302" s="5"/>
      <c r="F302" s="244"/>
      <c r="G302" s="244"/>
      <c r="H302" s="2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">
      <c r="A303" s="5"/>
      <c r="B303" s="5"/>
      <c r="C303" s="5"/>
      <c r="D303" s="5"/>
      <c r="E303" s="5"/>
      <c r="F303" s="244"/>
      <c r="G303" s="244"/>
      <c r="H303" s="2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">
      <c r="A304" s="5"/>
      <c r="B304" s="5"/>
      <c r="C304" s="5"/>
      <c r="D304" s="5"/>
      <c r="E304" s="5"/>
      <c r="F304" s="244"/>
      <c r="G304" s="244"/>
      <c r="H304" s="2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">
      <c r="A305" s="5"/>
      <c r="B305" s="5"/>
      <c r="C305" s="5"/>
      <c r="D305" s="5"/>
      <c r="E305" s="5"/>
      <c r="F305" s="244"/>
      <c r="G305" s="244"/>
      <c r="H305" s="2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">
      <c r="A306" s="5"/>
      <c r="B306" s="5"/>
      <c r="C306" s="5"/>
      <c r="D306" s="5"/>
      <c r="E306" s="5"/>
      <c r="F306" s="244"/>
      <c r="G306" s="244"/>
      <c r="H306" s="2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">
      <c r="A307" s="5"/>
      <c r="B307" s="5"/>
      <c r="C307" s="5"/>
      <c r="D307" s="5"/>
      <c r="E307" s="5"/>
      <c r="F307" s="244"/>
      <c r="G307" s="244"/>
      <c r="H307" s="2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">
      <c r="A308" s="5"/>
      <c r="B308" s="5"/>
      <c r="C308" s="5"/>
      <c r="D308" s="5"/>
      <c r="E308" s="5"/>
      <c r="F308" s="244"/>
      <c r="G308" s="244"/>
      <c r="H308" s="2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">
      <c r="A309" s="5"/>
      <c r="B309" s="5"/>
      <c r="C309" s="5"/>
      <c r="D309" s="5"/>
      <c r="E309" s="5"/>
      <c r="F309" s="244"/>
      <c r="G309" s="244"/>
      <c r="H309" s="2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">
      <c r="A310" s="5"/>
      <c r="B310" s="5"/>
      <c r="C310" s="5"/>
      <c r="D310" s="5"/>
      <c r="E310" s="5"/>
      <c r="F310" s="244"/>
      <c r="G310" s="244"/>
      <c r="H310" s="2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">
      <c r="A311" s="5"/>
      <c r="B311" s="5"/>
      <c r="C311" s="5"/>
      <c r="D311" s="5"/>
      <c r="E311" s="5"/>
      <c r="F311" s="244"/>
      <c r="G311" s="244"/>
      <c r="H311" s="2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">
      <c r="A312" s="5"/>
      <c r="B312" s="5"/>
      <c r="C312" s="5"/>
      <c r="D312" s="5"/>
      <c r="E312" s="5"/>
      <c r="F312" s="244"/>
      <c r="G312" s="244"/>
      <c r="H312" s="2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">
      <c r="A313" s="5"/>
      <c r="B313" s="5"/>
      <c r="C313" s="5"/>
      <c r="D313" s="5"/>
      <c r="E313" s="5"/>
      <c r="F313" s="244"/>
      <c r="G313" s="244"/>
      <c r="H313" s="2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">
      <c r="A314" s="5"/>
      <c r="B314" s="5"/>
      <c r="C314" s="5"/>
      <c r="D314" s="5"/>
      <c r="E314" s="5"/>
      <c r="F314" s="244"/>
      <c r="G314" s="244"/>
      <c r="H314" s="2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">
      <c r="A315" s="5"/>
      <c r="B315" s="5"/>
      <c r="C315" s="5"/>
      <c r="D315" s="5"/>
      <c r="E315" s="5"/>
      <c r="F315" s="244"/>
      <c r="G315" s="244"/>
      <c r="H315" s="2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">
      <c r="A316" s="5"/>
      <c r="B316" s="5"/>
      <c r="C316" s="5"/>
      <c r="D316" s="5"/>
      <c r="E316" s="5"/>
      <c r="F316" s="244"/>
      <c r="G316" s="244"/>
      <c r="H316" s="2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">
      <c r="A317" s="5"/>
      <c r="B317" s="5"/>
      <c r="C317" s="5"/>
      <c r="D317" s="5"/>
      <c r="E317" s="5"/>
      <c r="F317" s="244"/>
      <c r="G317" s="244"/>
      <c r="H317" s="2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">
      <c r="A318" s="5"/>
      <c r="B318" s="5"/>
      <c r="C318" s="5"/>
      <c r="D318" s="5"/>
      <c r="E318" s="5"/>
      <c r="F318" s="244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">
      <c r="A319" s="5"/>
      <c r="B319" s="5"/>
      <c r="C319" s="5"/>
      <c r="D319" s="5"/>
      <c r="E319" s="5"/>
      <c r="F319" s="244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">
      <c r="A320" s="5"/>
      <c r="B320" s="5"/>
      <c r="C320" s="5"/>
      <c r="D320" s="5"/>
      <c r="E320" s="5"/>
      <c r="F320" s="244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">
      <c r="A321" s="5"/>
      <c r="B321" s="5"/>
      <c r="C321" s="5"/>
      <c r="D321" s="5"/>
      <c r="E321" s="5"/>
      <c r="F321" s="244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">
      <c r="A322" s="5"/>
      <c r="B322" s="5"/>
      <c r="C322" s="5"/>
      <c r="D322" s="5"/>
      <c r="E322" s="5"/>
      <c r="F322" s="244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">
      <c r="A323" s="5"/>
      <c r="B323" s="5"/>
      <c r="C323" s="5"/>
      <c r="D323" s="5"/>
      <c r="E323" s="5"/>
      <c r="F323" s="244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">
      <c r="A324" s="5"/>
      <c r="B324" s="5"/>
      <c r="C324" s="5"/>
      <c r="D324" s="5"/>
      <c r="E324" s="5"/>
      <c r="F324" s="244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">
      <c r="A325" s="5"/>
      <c r="B325" s="5"/>
      <c r="C325" s="5"/>
      <c r="D325" s="5"/>
      <c r="E325" s="5"/>
      <c r="F325" s="244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">
      <c r="A326" s="5"/>
      <c r="B326" s="5"/>
      <c r="C326" s="5"/>
      <c r="D326" s="5"/>
      <c r="E326" s="5"/>
      <c r="F326" s="244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">
      <c r="A327" s="5"/>
      <c r="B327" s="5"/>
      <c r="C327" s="5"/>
      <c r="D327" s="5"/>
      <c r="E327" s="5"/>
      <c r="F327" s="244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">
      <c r="A328" s="5"/>
      <c r="B328" s="5"/>
      <c r="C328" s="5"/>
      <c r="D328" s="5"/>
      <c r="E328" s="5"/>
      <c r="F328" s="244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">
      <c r="A329" s="5"/>
      <c r="B329" s="5"/>
      <c r="C329" s="5"/>
      <c r="D329" s="5"/>
      <c r="E329" s="5"/>
      <c r="F329" s="244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">
      <c r="A330" s="5"/>
      <c r="B330" s="5"/>
      <c r="C330" s="5"/>
      <c r="D330" s="5"/>
      <c r="E330" s="5"/>
      <c r="F330" s="244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">
      <c r="A331" s="5"/>
      <c r="B331" s="5"/>
      <c r="C331" s="5"/>
      <c r="D331" s="5"/>
      <c r="E331" s="5"/>
      <c r="F331" s="244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">
      <c r="A332" s="5"/>
      <c r="B332" s="5"/>
      <c r="C332" s="5"/>
      <c r="D332" s="5"/>
      <c r="E332" s="5"/>
      <c r="F332" s="244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">
      <c r="A333" s="5"/>
      <c r="B333" s="5"/>
      <c r="C333" s="5"/>
      <c r="D333" s="5"/>
      <c r="E333" s="5"/>
      <c r="F333" s="244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">
      <c r="A334" s="5"/>
      <c r="B334" s="5"/>
      <c r="C334" s="5"/>
      <c r="D334" s="5"/>
      <c r="E334" s="5"/>
      <c r="F334" s="244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">
      <c r="A335" s="5"/>
      <c r="B335" s="5"/>
      <c r="C335" s="5"/>
      <c r="D335" s="5"/>
      <c r="E335" s="5"/>
      <c r="F335" s="244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">
      <c r="A336" s="5"/>
      <c r="B336" s="5"/>
      <c r="C336" s="5"/>
      <c r="D336" s="5"/>
      <c r="E336" s="5"/>
      <c r="F336" s="244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">
      <c r="A337" s="5"/>
      <c r="B337" s="5"/>
      <c r="C337" s="5"/>
      <c r="D337" s="5"/>
      <c r="E337" s="5"/>
      <c r="F337" s="244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">
      <c r="A338" s="5"/>
      <c r="B338" s="5"/>
      <c r="C338" s="5"/>
      <c r="D338" s="5"/>
      <c r="E338" s="5"/>
      <c r="F338" s="244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">
      <c r="A339" s="5"/>
      <c r="B339" s="5"/>
      <c r="C339" s="5"/>
      <c r="D339" s="5"/>
      <c r="E339" s="5"/>
      <c r="F339" s="244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">
      <c r="A340" s="5"/>
      <c r="B340" s="5"/>
      <c r="C340" s="5"/>
      <c r="D340" s="5"/>
      <c r="E340" s="5"/>
      <c r="F340" s="244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">
      <c r="A341" s="5"/>
      <c r="B341" s="5"/>
      <c r="C341" s="5"/>
      <c r="D341" s="5"/>
      <c r="E341" s="5"/>
      <c r="F341" s="244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">
      <c r="A342" s="5"/>
      <c r="B342" s="5"/>
      <c r="C342" s="5"/>
      <c r="D342" s="5"/>
      <c r="E342" s="5"/>
      <c r="F342" s="244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">
      <c r="A343" s="5"/>
      <c r="B343" s="5"/>
      <c r="C343" s="5"/>
      <c r="D343" s="5"/>
      <c r="E343" s="5"/>
      <c r="F343" s="244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">
      <c r="A380" s="5"/>
      <c r="B380" s="5"/>
      <c r="C380" s="5"/>
      <c r="D380" s="5"/>
      <c r="E380" s="5"/>
      <c r="F380" s="7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">
      <c r="A381" s="5"/>
      <c r="B381" s="5"/>
      <c r="C381" s="5"/>
      <c r="D381" s="5"/>
      <c r="E381" s="5"/>
      <c r="F381" s="7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">
      <c r="A382" s="5"/>
      <c r="B382" s="5"/>
      <c r="C382" s="5"/>
      <c r="D382" s="5"/>
      <c r="E382" s="5"/>
      <c r="F382" s="7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">
      <c r="A383" s="5"/>
      <c r="B383" s="5"/>
      <c r="C383" s="5"/>
      <c r="D383" s="5"/>
      <c r="E383" s="5"/>
      <c r="F383" s="7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">
      <c r="A384" s="5"/>
      <c r="B384" s="5"/>
      <c r="C384" s="5"/>
      <c r="D384" s="5"/>
      <c r="E384" s="5"/>
      <c r="F384" s="7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 x14ac:dyDescent="0.3">
      <c r="A385" s="5"/>
      <c r="B385" s="5"/>
      <c r="C385" s="5"/>
      <c r="D385" s="5"/>
      <c r="E385" s="5"/>
      <c r="F385" s="7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 x14ac:dyDescent="0.3">
      <c r="A386" s="5"/>
      <c r="B386" s="5"/>
      <c r="C386" s="5"/>
      <c r="D386" s="5"/>
      <c r="E386" s="5"/>
      <c r="F386" s="7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 x14ac:dyDescent="0.3">
      <c r="A387" s="5"/>
      <c r="B387" s="5"/>
      <c r="C387" s="5"/>
      <c r="D387" s="5"/>
      <c r="E387" s="5"/>
      <c r="F387" s="7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 x14ac:dyDescent="0.3">
      <c r="A388" s="5"/>
      <c r="B388" s="5"/>
      <c r="C388" s="5"/>
      <c r="D388" s="5"/>
      <c r="E388" s="5"/>
      <c r="F388" s="7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 x14ac:dyDescent="0.3">
      <c r="A389" s="5"/>
      <c r="B389" s="5"/>
      <c r="C389" s="5"/>
      <c r="D389" s="5"/>
      <c r="E389" s="5"/>
      <c r="F389" s="7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 x14ac:dyDescent="0.3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 x14ac:dyDescent="0.3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 x14ac:dyDescent="0.3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 x14ac:dyDescent="0.3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 x14ac:dyDescent="0.3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 x14ac:dyDescent="0.3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 x14ac:dyDescent="0.3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 x14ac:dyDescent="0.3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 x14ac:dyDescent="0.3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 x14ac:dyDescent="0.3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 x14ac:dyDescent="0.3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3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3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3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3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3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3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3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3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3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3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3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3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3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3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3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3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3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3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3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3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3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3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3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3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3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3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3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3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3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3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3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3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3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3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3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3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3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3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3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3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3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3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3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3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3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3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3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3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3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3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3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3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3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3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3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3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3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3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3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3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3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3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3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3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3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3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3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3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3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3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3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3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3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3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3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3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3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3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3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3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3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3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3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3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3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3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3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3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3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3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5:60" x14ac:dyDescent="0.3"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5:60" x14ac:dyDescent="0.3"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5:60" x14ac:dyDescent="0.3"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5:60" x14ac:dyDescent="0.3"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5:60" x14ac:dyDescent="0.3"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5:60" x14ac:dyDescent="0.3"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5:60" x14ac:dyDescent="0.3"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5:60" x14ac:dyDescent="0.3"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5:60" x14ac:dyDescent="0.3"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5:60" x14ac:dyDescent="0.3"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</sheetData>
  <sheetProtection algorithmName="SHA-512" hashValue="Skt2x5ArRO+DUfHz+yUhuKwjJj4NfSPPhP1vnoJKHVAOSRwauegOKb64oM555xzG4/B5BlQpk6VfNBN8XiUnzQ==" saltValue="hrh7tFj0jNEq+y73+Tro4g==" spinCount="100000" sheet="1" objects="1" scenarios="1"/>
  <mergeCells count="20">
    <mergeCell ref="E42:F42"/>
    <mergeCell ref="J36:L36"/>
    <mergeCell ref="J33:L33"/>
    <mergeCell ref="J34:L34"/>
    <mergeCell ref="J35:L35"/>
    <mergeCell ref="I37:L37"/>
    <mergeCell ref="O31:Q31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30:Q30"/>
    <mergeCell ref="O24:S24"/>
    <mergeCell ref="O25:T26"/>
    <mergeCell ref="O23:Q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Thomas M.</cp:lastModifiedBy>
  <dcterms:created xsi:type="dcterms:W3CDTF">2021-02-01T08:22:39Z</dcterms:created>
  <dcterms:modified xsi:type="dcterms:W3CDTF">2021-10-13T08:37:51Z</dcterms:modified>
</cp:coreProperties>
</file>