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oma\Downloads\"/>
    </mc:Choice>
  </mc:AlternateContent>
  <bookViews>
    <workbookView xWindow="21120" yWindow="-24564" windowWidth="19416" windowHeight="21144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  <sheet name="Valeur BO BI BE" sheetId="8" r:id="rId8"/>
  </sheets>
  <externalReferences>
    <externalReference r:id="rId9"/>
  </externalReference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54" i="6"/>
  <c r="C23" i="6"/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R4" i="2"/>
  <c r="GL4" i="2"/>
  <c r="FQ4" i="2"/>
  <c r="EA4" i="2"/>
  <c r="HI4" i="2"/>
  <c r="BQ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C5" i="2"/>
  <c r="EX5" i="2"/>
  <c r="EA5" i="2"/>
  <c r="FR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I6" i="2" l="1"/>
  <c r="EC6" i="2"/>
  <c r="FR6" i="2"/>
  <c r="EA6" i="2"/>
  <c r="HH6" i="2"/>
  <c r="EV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FS7" i="2"/>
  <c r="EB7" i="2"/>
  <c r="EA7" i="2"/>
  <c r="EW7" i="2"/>
  <c r="EV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FS8" i="2" l="1"/>
  <c r="EX8" i="2"/>
  <c r="EC8" i="2"/>
  <c r="HG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HG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A10" i="2"/>
  <c r="HH10" i="2"/>
  <c r="EB10" i="2"/>
  <c r="HG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EC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HH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I14" i="2"/>
  <c r="HH14" i="2"/>
  <c r="EX14" i="2"/>
  <c r="HG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V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I16" i="2" l="1"/>
  <c r="FS16" i="2"/>
  <c r="HH16" i="2"/>
  <c r="EX16" i="2"/>
  <c r="EC16" i="2"/>
  <c r="EA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C18" i="2" l="1"/>
  <c r="FS18" i="2"/>
  <c r="EA18" i="2"/>
  <c r="HI18" i="2"/>
  <c r="EV18" i="2"/>
  <c r="EW18" i="2"/>
  <c r="EX18" i="2"/>
  <c r="HG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EC19" i="2"/>
  <c r="FS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I20" i="2"/>
  <c r="FS20" i="2"/>
  <c r="EV20" i="2"/>
  <c r="EW20" i="2"/>
  <c r="EC20" i="2"/>
  <c r="HG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X21" i="2"/>
  <c r="HH21" i="2"/>
  <c r="EW21" i="2"/>
  <c r="EB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HH22" i="2"/>
  <c r="EC22" i="2"/>
  <c r="EB22" i="2"/>
  <c r="EA22" i="2"/>
  <c r="HI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C24" i="2"/>
  <c r="HI24" i="2"/>
  <c r="FR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FS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X28" i="2"/>
  <c r="EC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C30" i="2"/>
  <c r="EB30" i="2"/>
  <c r="EX30" i="2"/>
  <c r="EV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HG31" i="2"/>
  <c r="D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N34" i="2" l="1"/>
  <c r="EW34" i="2"/>
  <c r="CM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FS35" i="2"/>
  <c r="EA35" i="2"/>
  <c r="FQ35" i="2"/>
  <c r="HI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Q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EB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HI39" i="2" l="1"/>
  <c r="EX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FS40" i="2" l="1"/>
  <c r="EX40" i="2"/>
  <c r="HH40" i="2"/>
  <c r="HG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FS43" i="2"/>
  <c r="HG43" i="2"/>
  <c r="DG43" i="2"/>
  <c r="EX43" i="2"/>
  <c r="EA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G44" i="2"/>
  <c r="HI44" i="2"/>
  <c r="HH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C45" i="2"/>
  <c r="HI45" i="2"/>
  <c r="EB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C46" i="2"/>
  <c r="HI46" i="2"/>
  <c r="EW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EC47" i="2"/>
  <c r="HG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X48" i="2"/>
  <c r="HH48" i="2"/>
  <c r="EC48" i="2"/>
  <c r="HG48" i="2"/>
  <c r="FS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X49" i="2" l="1"/>
  <c r="EC49" i="2"/>
  <c r="HI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EW50" i="2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EX51" i="2"/>
  <c r="EA51" i="2"/>
  <c r="EB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B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V57" i="2"/>
  <c r="EC57" i="2"/>
  <c r="FS57" i="2"/>
  <c r="HH57" i="2"/>
  <c r="EB57" i="2"/>
  <c r="HG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HI58" i="2" l="1"/>
  <c r="EC58" i="2"/>
  <c r="FS58" i="2"/>
  <c r="EA58" i="2"/>
  <c r="EX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FS60" i="2"/>
  <c r="EV60" i="2"/>
  <c r="EW60" i="2"/>
  <c r="HH60" i="2"/>
  <c r="EC60" i="2"/>
  <c r="HG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FS61" i="2"/>
  <c r="EX61" i="2"/>
  <c r="EA61" i="2"/>
  <c r="HI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C64" i="2"/>
  <c r="EA64" i="2"/>
  <c r="EV64" i="2"/>
  <c r="HH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S65" i="2" l="1"/>
  <c r="EX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HI68" i="2" l="1"/>
  <c r="EX68" i="2"/>
  <c r="FS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C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EB70" i="2"/>
  <c r="HG70" i="2"/>
  <c r="FS70" i="2"/>
  <c r="HI70" i="2"/>
  <c r="EW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A71" i="2"/>
  <c r="HH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FS74" i="2"/>
  <c r="FR74" i="2"/>
  <c r="EW74" i="2"/>
  <c r="HG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FS76" i="2"/>
  <c r="HH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FS77" i="2"/>
  <c r="EX77" i="2"/>
  <c r="EW77" i="2"/>
  <c r="HI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HI78" i="2"/>
  <c r="EW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EC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EV82" i="2"/>
  <c r="HH82" i="2"/>
  <c r="HG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EW83" i="2"/>
  <c r="HI83" i="2"/>
  <c r="EV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FS84" i="2"/>
  <c r="HG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FS85" i="2"/>
  <c r="EW85" i="2"/>
  <c r="EV85" i="2"/>
  <c r="EC85" i="2"/>
  <c r="HH85" i="2"/>
  <c r="HG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A86" i="2"/>
  <c r="HI86" i="2"/>
  <c r="EX86" i="2"/>
  <c r="EB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FS87" i="2"/>
  <c r="HI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HG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X89" i="2"/>
  <c r="EC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HI91" i="2" l="1"/>
  <c r="EX91" i="2"/>
  <c r="EA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FS92" i="2" l="1"/>
  <c r="HI92" i="2"/>
  <c r="EX92" i="2"/>
  <c r="EW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FS94" i="2"/>
  <c r="EC94" i="2"/>
  <c r="EX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I95" i="2"/>
  <c r="FS95" i="2"/>
  <c r="EB95" i="2"/>
  <c r="FQ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HI98" i="2"/>
  <c r="EW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I99" i="2" l="1"/>
  <c r="FS99" i="2"/>
  <c r="EX99" i="2"/>
  <c r="EB99" i="2"/>
  <c r="HH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HI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X102" i="2" l="1"/>
  <c r="EC102" i="2"/>
  <c r="HI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FS103" i="2"/>
  <c r="EC103" i="2"/>
  <c r="EX103" i="2"/>
  <c r="EA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C104" i="2"/>
  <c r="HI104" i="2"/>
  <c r="EW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EV105" i="2"/>
  <c r="EX105" i="2"/>
  <c r="FS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FS106" i="2"/>
  <c r="HI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HI107" i="2"/>
  <c r="EC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X108" i="2"/>
  <c r="EB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X109" i="2"/>
  <c r="EC109" i="2"/>
  <c r="EB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HG110" i="2"/>
  <c r="EB110" i="2"/>
  <c r="HH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EX111" i="2" l="1"/>
  <c r="FS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FS112" i="2"/>
  <c r="HI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C114" i="2"/>
  <c r="EW114" i="2"/>
  <c r="EV114" i="2"/>
  <c r="HH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FS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X116" i="2" l="1"/>
  <c r="EC116" i="2"/>
  <c r="EA116" i="2"/>
  <c r="HG116" i="2"/>
  <c r="HI116" i="2"/>
  <c r="EV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A117" i="2"/>
  <c r="HG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HI118" i="2"/>
  <c r="EX118" i="2"/>
  <c r="EC118" i="2"/>
  <c r="FS118" i="2"/>
  <c r="FQ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EX119" i="2"/>
  <c r="HG119" i="2"/>
  <c r="FR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EC120" i="2"/>
  <c r="FQ120" i="2"/>
  <c r="HI120" i="2"/>
  <c r="HH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I123" i="2" l="1"/>
  <c r="EC123" i="2"/>
  <c r="HH123" i="2"/>
  <c r="FS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HH124" i="2"/>
  <c r="EC124" i="2"/>
  <c r="HG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HI125" i="2"/>
  <c r="EC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A126" i="2"/>
  <c r="EX126" i="2"/>
  <c r="HG126" i="2"/>
  <c r="FS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HI128" i="2"/>
  <c r="EX128" i="2"/>
  <c r="EB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HI129" i="2"/>
  <c r="EV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HI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C132" i="2"/>
  <c r="FS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C134" i="2"/>
  <c r="HG134" i="2"/>
  <c r="EV134" i="2"/>
  <c r="EW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EA135" i="2"/>
  <c r="EX135" i="2"/>
  <c r="FS135" i="2"/>
  <c r="EW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EC136" i="2"/>
  <c r="HI136" i="2"/>
  <c r="EX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HI138" i="2"/>
  <c r="EB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FS140" i="2"/>
  <c r="EC140" i="2"/>
  <c r="EX140" i="2"/>
  <c r="EB140" i="2"/>
  <c r="FR140" i="2"/>
  <c r="HH140" i="2"/>
  <c r="HG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HI141" i="2" s="1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FS141" i="2"/>
  <c r="EB141" i="2"/>
  <c r="EA141" i="2"/>
  <c r="EX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C142" i="2"/>
  <c r="EW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HI143" i="2"/>
  <c r="EC143" i="2"/>
  <c r="EA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FR144" i="2"/>
  <c r="EX144" i="2"/>
  <c r="HH144" i="2"/>
  <c r="HG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HG145" i="2"/>
  <c r="EB145" i="2"/>
  <c r="HH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X146" i="2"/>
  <c r="EA146" i="2"/>
  <c r="HH146" i="2"/>
  <c r="FR146" i="2"/>
  <c r="HG146" i="2"/>
  <c r="FS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C147" i="2"/>
  <c r="EX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X148" i="2" l="1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X149" i="2"/>
  <c r="EC149" i="2"/>
  <c r="HH149" i="2"/>
  <c r="HG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C150" i="2"/>
  <c r="HH150" i="2"/>
  <c r="HI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HI151" i="2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FS152" i="2"/>
  <c r="EB152" i="2"/>
  <c r="EC152" i="2"/>
  <c r="EV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A153" i="2"/>
  <c r="EB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EB154" i="2"/>
  <c r="HG154" i="2"/>
  <c r="HJ154" i="2" s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EY154" i="2"/>
  <c r="ED154" i="2"/>
  <c r="DI154" i="2"/>
  <c r="EA155" i="2"/>
  <c r="AC154" i="2"/>
  <c r="EW155" i="2"/>
  <c r="EC155" i="2"/>
  <c r="EX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HG156" i="2"/>
  <c r="HI156" i="2"/>
  <c r="EY155" i="2"/>
  <c r="ED155" i="2"/>
  <c r="EX156" i="2"/>
  <c r="EB156" i="2"/>
  <c r="DH156" i="2"/>
  <c r="FS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CN156" i="2"/>
  <c r="FS157" i="2"/>
  <c r="EX157" i="2"/>
  <c r="EB157" i="2"/>
  <c r="EC157" i="2"/>
  <c r="EA157" i="2"/>
  <c r="HG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ED157" i="2"/>
  <c r="EV158" i="2"/>
  <c r="EC158" i="2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X159" i="2"/>
  <c r="FS159" i="2"/>
  <c r="EC159" i="2"/>
  <c r="HI159" i="2"/>
  <c r="ED158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DG160" i="2"/>
  <c r="EC160" i="2"/>
  <c r="ED159" i="2"/>
  <c r="EX160" i="2"/>
  <c r="FS160" i="2"/>
  <c r="HI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FS161" i="2"/>
  <c r="EX161" i="2"/>
  <c r="EB161" i="2"/>
  <c r="ED160" i="2"/>
  <c r="A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C162" i="2"/>
  <c r="DI161" i="2"/>
  <c r="EW162" i="2"/>
  <c r="HH162" i="2"/>
  <c r="HG162" i="2"/>
  <c r="FS162" i="2"/>
  <c r="EB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HI163" i="2"/>
  <c r="EY162" i="2"/>
  <c r="EB163" i="2"/>
  <c r="EC163" i="2"/>
  <c r="ED162" i="2"/>
  <c r="EA163" i="2"/>
  <c r="EV163" i="2"/>
  <c r="FS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HG164" i="2"/>
  <c r="HH164" i="2"/>
  <c r="EY163" i="2"/>
  <c r="FS164" i="2"/>
  <c r="EX164" i="2"/>
  <c r="DH164" i="2"/>
  <c r="EC164" i="2"/>
  <c r="EA164" i="2"/>
  <c r="HI164" i="2"/>
  <c r="EV164" i="2"/>
  <c r="FR164" i="2"/>
  <c r="DI163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X166" i="2"/>
  <c r="EC166" i="2"/>
  <c r="CN165" i="2"/>
  <c r="FS166" i="2"/>
  <c r="HI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Y166" i="2"/>
  <c r="FR167" i="2"/>
  <c r="EX167" i="2"/>
  <c r="EC167" i="2"/>
  <c r="DG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DG168" i="2"/>
  <c r="EX168" i="2"/>
  <c r="EB168" i="2"/>
  <c r="EC168" i="2"/>
  <c r="DI167" i="2"/>
  <c r="FS168" i="2"/>
  <c r="EV168" i="2"/>
  <c r="EW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FS169" i="2"/>
  <c r="EB169" i="2"/>
  <c r="EX169" i="2"/>
  <c r="HI169" i="2"/>
  <c r="EA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EX170" i="2"/>
  <c r="HI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X171" i="2" l="1"/>
  <c r="EA171" i="2"/>
  <c r="EB171" i="2"/>
  <c r="FS171" i="2"/>
  <c r="EC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Y171" i="2"/>
  <c r="ED171" i="2"/>
  <c r="EB172" i="2"/>
  <c r="EW172" i="2"/>
  <c r="EV172" i="2"/>
  <c r="EA172" i="2"/>
  <c r="HI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I173" i="2"/>
  <c r="ED172" i="2"/>
  <c r="EW173" i="2"/>
  <c r="EC173" i="2"/>
  <c r="EB173" i="2"/>
  <c r="EX173" i="2"/>
  <c r="HH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FS175" i="2"/>
  <c r="EX175" i="2"/>
  <c r="EC175" i="2"/>
  <c r="EB175" i="2"/>
  <c r="AA175" i="2"/>
  <c r="EW175" i="2"/>
  <c r="EA175" i="2"/>
  <c r="HI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FQ177" i="2"/>
  <c r="FS177" i="2"/>
  <c r="EC177" i="2"/>
  <c r="EW177" i="2"/>
  <c r="EX177" i="2"/>
  <c r="HH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FQ178" i="2"/>
  <c r="ED177" i="2"/>
  <c r="EW178" i="2"/>
  <c r="EB178" i="2"/>
  <c r="EA178" i="2"/>
  <c r="HH178" i="2"/>
  <c r="EX178" i="2"/>
  <c r="HG178" i="2"/>
  <c r="HI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X179" i="2"/>
  <c r="EB179" i="2"/>
  <c r="HH179" i="2"/>
  <c r="EV179" i="2"/>
  <c r="DF179" i="2"/>
  <c r="EA179" i="2"/>
  <c r="HG179" i="2"/>
  <c r="FS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EC180" i="2"/>
  <c r="HG180" i="2"/>
  <c r="HI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HG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X183" i="2"/>
  <c r="EA183" i="2"/>
  <c r="EB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Y183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HH185" i="2"/>
  <c r="HG185" i="2"/>
  <c r="EV185" i="2"/>
  <c r="EA185" i="2"/>
  <c r="EB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EB186" i="2"/>
  <c r="EA186" i="2"/>
  <c r="HH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I187" i="2" l="1"/>
  <c r="EY186" i="2"/>
  <c r="EX187" i="2"/>
  <c r="EC187" i="2"/>
  <c r="EB187" i="2"/>
  <c r="HH187" i="2"/>
  <c r="HG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ED187" i="2"/>
  <c r="FS188" i="2"/>
  <c r="HI188" i="2"/>
  <c r="HG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I189" i="2"/>
  <c r="HH189" i="2"/>
  <c r="EY188" i="2"/>
  <c r="EV189" i="2"/>
  <c r="EB189" i="2"/>
  <c r="EC189" i="2"/>
  <c r="FS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Y189" i="2"/>
  <c r="ED189" i="2"/>
  <c r="HI190" i="2"/>
  <c r="EB190" i="2"/>
  <c r="EV190" i="2"/>
  <c r="EW190" i="2"/>
  <c r="HG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X191" i="2"/>
  <c r="EC191" i="2"/>
  <c r="EW191" i="2"/>
  <c r="HI191" i="2"/>
  <c r="HH191" i="2"/>
  <c r="HG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W192" i="2"/>
  <c r="HG192" i="2"/>
  <c r="HI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ED192" i="2"/>
  <c r="FQ193" i="2"/>
  <c r="EB193" i="2"/>
  <c r="DI192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FQ194" i="2"/>
  <c r="ED193" i="2"/>
  <c r="EB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I195" i="2" l="1"/>
  <c r="FQ195" i="2"/>
  <c r="ED194" i="2"/>
  <c r="EX195" i="2"/>
  <c r="EY194" i="2"/>
  <c r="EB195" i="2"/>
  <c r="DH195" i="2"/>
  <c r="HG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FS196" i="2"/>
  <c r="EW196" i="2"/>
  <c r="EY195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I199" i="2" l="1"/>
  <c r="EY198" i="2"/>
  <c r="EV199" i="2"/>
  <c r="EW199" i="2"/>
  <c r="EB199" i="2"/>
  <c r="EA199" i="2"/>
  <c r="HH199" i="2"/>
  <c r="HG199" i="2"/>
  <c r="HJ199" i="2" s="1"/>
  <c r="FS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EW200" i="2"/>
  <c r="EX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HH201" i="2"/>
  <c r="HG201" i="2"/>
  <c r="DI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D201" i="2"/>
  <c r="HG202" i="2"/>
  <c r="EX202" i="2"/>
  <c r="HH202" i="2"/>
  <c r="FS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68" i="2" a="1"/>
  <c r="GT68" i="2" s="1"/>
  <c r="GT51" i="2" a="1"/>
  <c r="GT51" i="2" s="1"/>
  <c r="GT122" i="2" a="1"/>
  <c r="GT122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FD48" i="2" a="1"/>
  <c r="FD48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6" i="2" a="1"/>
  <c r="EI36" i="2" s="1"/>
  <c r="EI16" i="2" a="1"/>
  <c r="EI16" i="2" s="1"/>
  <c r="CS56" i="2" a="1"/>
  <c r="CS56" i="2" s="1"/>
  <c r="DN70" i="2" a="1"/>
  <c r="DN70" i="2" s="1"/>
  <c r="DN6" i="2" a="1"/>
  <c r="DN6" i="2" s="1"/>
  <c r="DO6" i="2" s="1"/>
  <c r="CS72" i="2" a="1"/>
  <c r="CS72" i="2" s="1"/>
  <c r="HJ202" i="2"/>
  <c r="AX200" i="2"/>
  <c r="CS38" i="2" l="1" a="1"/>
  <c r="CS38" i="2" s="1"/>
  <c r="CS185" i="2" a="1"/>
  <c r="CS185" i="2" s="1"/>
  <c r="CS77" i="2" a="1"/>
  <c r="CS77" i="2" s="1"/>
  <c r="CS137" i="2" a="1"/>
  <c r="CS137" i="2" s="1"/>
  <c r="CS66" i="2" a="1"/>
  <c r="CS66" i="2" s="1"/>
  <c r="CS134" i="2" a="1"/>
  <c r="CS134" i="2" s="1"/>
  <c r="CS24" i="2" a="1"/>
  <c r="CS24" i="2" s="1"/>
  <c r="CS114" i="2" a="1"/>
  <c r="CS114" i="2" s="1"/>
  <c r="FY186" i="2" a="1"/>
  <c r="FY186" i="2" s="1"/>
  <c r="DN66" i="2" a="1"/>
  <c r="DN66" i="2" s="1"/>
  <c r="DN50" i="2" a="1"/>
  <c r="DN50" i="2" s="1"/>
  <c r="DN124" i="2" a="1"/>
  <c r="DN124" i="2" s="1"/>
  <c r="DN164" i="2" a="1"/>
  <c r="DN164" i="2" s="1"/>
  <c r="DN45" i="2" a="1"/>
  <c r="DN45" i="2" s="1"/>
  <c r="DN63" i="2" a="1"/>
  <c r="DN63" i="2" s="1"/>
  <c r="DN132" i="2" a="1"/>
  <c r="DN132" i="2" s="1"/>
  <c r="DN30" i="2" a="1"/>
  <c r="DN30" i="2" s="1"/>
  <c r="DN55" i="2" a="1"/>
  <c r="DN55" i="2" s="1"/>
  <c r="DN135" i="2" a="1"/>
  <c r="DN135" i="2" s="1"/>
  <c r="DN188" i="2" a="1"/>
  <c r="DN188" i="2" s="1"/>
  <c r="DN25" i="2" a="1"/>
  <c r="DN25" i="2" s="1"/>
  <c r="DN110" i="2" a="1"/>
  <c r="DN110" i="2" s="1"/>
  <c r="DN38" i="2" a="1"/>
  <c r="DN38" i="2" s="1"/>
  <c r="DN114" i="2" a="1"/>
  <c r="DN114" i="2" s="1"/>
  <c r="DN86" i="2" a="1"/>
  <c r="DN86" i="2" s="1"/>
  <c r="DN152" i="2" a="1"/>
  <c r="DN152" i="2" s="1"/>
  <c r="DN155" i="2" a="1"/>
  <c r="DN155" i="2" s="1"/>
  <c r="DN31" i="2" a="1"/>
  <c r="DN31" i="2" s="1"/>
  <c r="DN103" i="2" a="1"/>
  <c r="DN103" i="2" s="1"/>
  <c r="DN177" i="2" a="1"/>
  <c r="DN177" i="2" s="1"/>
  <c r="DN29" i="2" a="1"/>
  <c r="DN29" i="2" s="1"/>
  <c r="DN46" i="2" a="1"/>
  <c r="DN46" i="2" s="1"/>
  <c r="DN187" i="2" a="1"/>
  <c r="DN187" i="2" s="1"/>
  <c r="DN176" i="2" a="1"/>
  <c r="DN176" i="2" s="1"/>
  <c r="DN167" i="2" a="1"/>
  <c r="DN167" i="2" s="1"/>
  <c r="DN115" i="2" a="1"/>
  <c r="DN115" i="2" s="1"/>
  <c r="DN41" i="2" a="1"/>
  <c r="DN41" i="2" s="1"/>
  <c r="DN16" i="2" a="1"/>
  <c r="DN16" i="2" s="1"/>
  <c r="DN80" i="2" a="1"/>
  <c r="DN80" i="2" s="1"/>
  <c r="DN123" i="2" a="1"/>
  <c r="DN123" i="2" s="1"/>
  <c r="DN153" i="2" a="1"/>
  <c r="DN153" i="2" s="1"/>
  <c r="DN43" i="2" a="1"/>
  <c r="DN43" i="2" s="1"/>
  <c r="DN56" i="2" a="1"/>
  <c r="DN56" i="2" s="1"/>
  <c r="DN190" i="2" a="1"/>
  <c r="DN190" i="2" s="1"/>
  <c r="DN133" i="2" a="1"/>
  <c r="DN133" i="2" s="1"/>
  <c r="DN162" i="2" a="1"/>
  <c r="DN162" i="2" s="1"/>
  <c r="DN150" i="2" a="1"/>
  <c r="DN150" i="2" s="1"/>
  <c r="DN170" i="2" a="1"/>
  <c r="DN170" i="2" s="1"/>
  <c r="DN186" i="2" a="1"/>
  <c r="DN186" i="2" s="1"/>
  <c r="DN65" i="2" a="1"/>
  <c r="DN65" i="2" s="1"/>
  <c r="DN49" i="2" a="1"/>
  <c r="DN49" i="2" s="1"/>
  <c r="DN168" i="2" a="1"/>
  <c r="DN168" i="2" s="1"/>
  <c r="DN192" i="2" a="1"/>
  <c r="DN192" i="2" s="1"/>
  <c r="DN129" i="2" a="1"/>
  <c r="DN129" i="2" s="1"/>
  <c r="DN137" i="2" a="1"/>
  <c r="DN137" i="2" s="1"/>
  <c r="CS120" i="2" a="1"/>
  <c r="CS120" i="2" s="1"/>
  <c r="CS116" i="2" a="1"/>
  <c r="CS116" i="2" s="1"/>
  <c r="CS105" i="2" a="1"/>
  <c r="CS105" i="2" s="1"/>
  <c r="CS161" i="2" a="1"/>
  <c r="CS161" i="2" s="1"/>
  <c r="CS129" i="2" a="1"/>
  <c r="CS129" i="2" s="1"/>
  <c r="CS52" i="2" a="1"/>
  <c r="CS52" i="2" s="1"/>
  <c r="EI106" i="2" a="1"/>
  <c r="EI106" i="2" s="1"/>
  <c r="EI113" i="2" a="1"/>
  <c r="EI113" i="2" s="1"/>
  <c r="EI87" i="2" a="1"/>
  <c r="EI87" i="2" s="1"/>
  <c r="EI153" i="2" a="1"/>
  <c r="EI153" i="2" s="1"/>
  <c r="EI109" i="2" a="1"/>
  <c r="EI109" i="2" s="1"/>
  <c r="EI166" i="2" a="1"/>
  <c r="EI166" i="2" s="1"/>
  <c r="EI20" i="2" a="1"/>
  <c r="EI20" i="2" s="1"/>
  <c r="EI38" i="2" a="1"/>
  <c r="EI38" i="2" s="1"/>
  <c r="EI195" i="2" a="1"/>
  <c r="EI195" i="2" s="1"/>
  <c r="EI198" i="2" a="1"/>
  <c r="EI198" i="2" s="1"/>
  <c r="EI35" i="2" a="1"/>
  <c r="EI35" i="2" s="1"/>
  <c r="EI34" i="2" a="1"/>
  <c r="EI34" i="2" s="1"/>
  <c r="EI142" i="2" a="1"/>
  <c r="EI142" i="2" s="1"/>
  <c r="EI128" i="2" a="1"/>
  <c r="EI128" i="2" s="1"/>
  <c r="EI139" i="2" a="1"/>
  <c r="EI139" i="2" s="1"/>
  <c r="EI165" i="2" a="1"/>
  <c r="EI165" i="2" s="1"/>
  <c r="EI178" i="2" a="1"/>
  <c r="EI178" i="2" s="1"/>
  <c r="EI67" i="2" a="1"/>
  <c r="EI67" i="2" s="1"/>
  <c r="EI71" i="2" a="1"/>
  <c r="EI71" i="2" s="1"/>
  <c r="EI145" i="2" a="1"/>
  <c r="EI145" i="2" s="1"/>
  <c r="EI37" i="2" a="1"/>
  <c r="EI37" i="2" s="1"/>
  <c r="EI170" i="2" a="1"/>
  <c r="EI170" i="2" s="1"/>
  <c r="EI57" i="2" a="1"/>
  <c r="EI57" i="2" s="1"/>
  <c r="EI29" i="2" a="1"/>
  <c r="EI29" i="2" s="1"/>
  <c r="EY202" i="2"/>
  <c r="FD159" i="2" a="1"/>
  <c r="FD159" i="2" s="1"/>
  <c r="HI203" i="2"/>
  <c r="AH92" i="2" a="1"/>
  <c r="AH92" i="2" s="1"/>
  <c r="AH163" i="2" a="1"/>
  <c r="AH163" i="2" s="1"/>
  <c r="AH19" i="2" a="1"/>
  <c r="AH19" i="2" s="1"/>
  <c r="AH62" i="2" a="1"/>
  <c r="AH62" i="2" s="1"/>
  <c r="AH166" i="2" a="1"/>
  <c r="AH166" i="2" s="1"/>
  <c r="AH90" i="2" a="1"/>
  <c r="AH90" i="2" s="1"/>
  <c r="AH151" i="2" a="1"/>
  <c r="AH151" i="2" s="1"/>
  <c r="DN113" i="2" a="1"/>
  <c r="DN113" i="2" s="1"/>
  <c r="GT181" i="2" a="1"/>
  <c r="GT181" i="2" s="1"/>
  <c r="GT133" i="2" a="1"/>
  <c r="GT133" i="2" s="1"/>
  <c r="GT121" i="2" a="1"/>
  <c r="GT121" i="2" s="1"/>
  <c r="FY69" i="2" a="1"/>
  <c r="FY69" i="2" s="1"/>
  <c r="FY35" i="2" a="1"/>
  <c r="FY35" i="2" s="1"/>
  <c r="FY30" i="2" a="1"/>
  <c r="FY30" i="2" s="1"/>
  <c r="FY104" i="2" a="1"/>
  <c r="FY104" i="2" s="1"/>
  <c r="FY190" i="2" a="1"/>
  <c r="FY190" i="2" s="1"/>
  <c r="FY50" i="2" a="1"/>
  <c r="FY50" i="2" s="1"/>
  <c r="FY78" i="2" a="1"/>
  <c r="FY78" i="2" s="1"/>
  <c r="EI162" i="2" a="1"/>
  <c r="EI162" i="2" s="1"/>
  <c r="EI150" i="2" a="1"/>
  <c r="EI150" i="2" s="1"/>
  <c r="DN184" i="2" a="1"/>
  <c r="DN184" i="2" s="1"/>
  <c r="BX107" i="2" a="1"/>
  <c r="BX107" i="2" s="1"/>
  <c r="AH199" i="2" a="1"/>
  <c r="AH199" i="2" s="1"/>
  <c r="FS203" i="2"/>
  <c r="EX203" i="2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EC203" i="2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82" i="2" a="1"/>
  <c r="FD82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Z11" i="2"/>
  <c r="FZ12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GE11" i="2" l="1"/>
  <c r="GE94" i="2"/>
  <c r="GE48" i="2"/>
  <c r="GE68" i="2"/>
  <c r="GE180" i="2"/>
  <c r="GE50" i="2"/>
  <c r="GE53" i="2"/>
  <c r="GE33" i="2"/>
  <c r="GE106" i="2"/>
  <c r="GE177" i="2"/>
  <c r="GE120" i="2"/>
  <c r="GE10" i="2"/>
  <c r="GE65" i="2"/>
  <c r="GE126" i="2"/>
  <c r="GE66" i="2"/>
  <c r="GE42" i="2"/>
  <c r="GE13" i="2"/>
  <c r="GE161" i="2"/>
  <c r="GE63" i="2"/>
  <c r="GE97" i="2"/>
  <c r="GE151" i="2"/>
  <c r="GE67" i="2"/>
  <c r="GE133" i="2"/>
  <c r="GE15" i="2"/>
  <c r="GE60" i="2"/>
  <c r="GE39" i="2"/>
  <c r="GE25" i="2"/>
  <c r="GE179" i="2"/>
  <c r="GE32" i="2"/>
  <c r="GE141" i="2"/>
  <c r="GE49" i="2"/>
  <c r="GE81" i="2"/>
  <c r="GE78" i="2"/>
  <c r="GE89" i="2"/>
  <c r="GE108" i="2"/>
  <c r="GE191" i="2"/>
  <c r="GE192" i="2"/>
  <c r="GE76" i="2"/>
  <c r="GE98" i="2"/>
  <c r="GE5" i="2"/>
  <c r="GE130" i="2"/>
  <c r="GE136" i="2"/>
  <c r="GE154" i="2"/>
  <c r="GE119" i="2"/>
  <c r="GE16" i="2"/>
  <c r="GE14" i="2"/>
  <c r="GE114" i="2"/>
  <c r="GE96" i="2"/>
  <c r="GE46" i="2"/>
  <c r="GE132" i="2"/>
  <c r="GE203" i="2"/>
  <c r="GE37" i="2"/>
  <c r="GE51" i="2"/>
  <c r="GE139" i="2"/>
  <c r="GE200" i="2"/>
  <c r="GE18" i="2"/>
  <c r="GE162" i="2"/>
  <c r="GE64" i="2"/>
  <c r="GE34" i="2"/>
  <c r="GE4" i="2"/>
  <c r="GE167" i="2"/>
  <c r="GE122" i="2"/>
  <c r="GE146" i="2"/>
  <c r="GE24" i="2"/>
  <c r="GE80" i="2"/>
  <c r="GE159" i="2"/>
  <c r="GE143" i="2"/>
  <c r="GE176" i="2"/>
  <c r="GE101" i="2"/>
  <c r="GE69" i="2"/>
  <c r="GE91" i="2"/>
  <c r="GE124" i="2"/>
  <c r="GE138" i="2"/>
  <c r="GE71" i="2"/>
  <c r="GE55" i="2"/>
  <c r="GE100" i="2"/>
  <c r="GE163" i="2"/>
  <c r="GE198" i="2"/>
  <c r="GE153" i="2"/>
  <c r="GE117" i="2"/>
  <c r="GE194" i="2"/>
  <c r="GE169" i="2"/>
  <c r="GE189" i="2"/>
  <c r="GE185" i="2"/>
  <c r="GE158" i="2"/>
  <c r="GE145" i="2"/>
  <c r="GE52" i="2"/>
  <c r="GE73" i="2"/>
  <c r="GE107" i="2"/>
  <c r="GE45" i="2"/>
  <c r="GE125" i="2"/>
  <c r="GE61" i="2"/>
  <c r="GE201" i="2"/>
  <c r="GE90" i="2"/>
  <c r="GE8" i="2"/>
  <c r="GE115" i="2"/>
  <c r="GE88" i="2"/>
  <c r="GE30" i="2"/>
  <c r="GE86" i="2"/>
  <c r="GE70" i="2"/>
  <c r="GE93" i="2"/>
  <c r="GE40" i="2"/>
  <c r="GE28" i="2"/>
  <c r="GE164" i="2"/>
  <c r="GE109" i="2"/>
  <c r="GE157" i="2"/>
  <c r="GE59" i="2"/>
  <c r="GE74" i="2"/>
  <c r="GE20" i="2"/>
  <c r="GE197" i="2"/>
  <c r="GE131" i="2"/>
  <c r="GE23" i="2"/>
  <c r="GE173" i="2"/>
  <c r="GE103" i="2"/>
  <c r="GE160" i="2"/>
  <c r="GE181" i="2"/>
  <c r="GE155" i="2"/>
  <c r="GE38" i="2"/>
  <c r="GE104" i="2"/>
  <c r="GE150" i="2"/>
  <c r="GE188" i="2"/>
  <c r="GE165" i="2"/>
  <c r="GE47" i="2"/>
  <c r="GE118" i="2"/>
  <c r="GE31" i="2"/>
  <c r="GE147" i="2"/>
  <c r="GE87" i="2"/>
  <c r="GE35" i="2"/>
  <c r="GE190" i="2"/>
  <c r="GE142" i="2"/>
  <c r="GE95" i="2"/>
  <c r="GE113" i="2"/>
  <c r="GE3" i="2"/>
  <c r="C14" i="4" s="1"/>
  <c r="E14" i="4" s="1"/>
  <c r="F14" i="4" s="1"/>
  <c r="G14" i="4" s="1"/>
  <c r="L14" i="4" s="1"/>
  <c r="GE183" i="2"/>
  <c r="GE92" i="2"/>
  <c r="GE105" i="2"/>
  <c r="GE137" i="2"/>
  <c r="GE17" i="2"/>
  <c r="GE202" i="2"/>
  <c r="GE7" i="2"/>
  <c r="GE174" i="2"/>
  <c r="GE12" i="2"/>
  <c r="GE29" i="2"/>
  <c r="GE140" i="2"/>
  <c r="GE102" i="2"/>
  <c r="GE193" i="2"/>
  <c r="GE27" i="2"/>
  <c r="GE116" i="2"/>
  <c r="GE72" i="2"/>
  <c r="GE195" i="2"/>
  <c r="GE148" i="2"/>
  <c r="GE196" i="2"/>
  <c r="GE41" i="2"/>
  <c r="GE79" i="2"/>
  <c r="GE149" i="2"/>
  <c r="GE82" i="2"/>
  <c r="GE129" i="2"/>
  <c r="GE156" i="2"/>
  <c r="GE168" i="2"/>
  <c r="GE21" i="2"/>
  <c r="GE112" i="2"/>
  <c r="GE84" i="2"/>
  <c r="GE58" i="2"/>
  <c r="GE123" i="2"/>
  <c r="GE44" i="2"/>
  <c r="GE19" i="2"/>
  <c r="GE111" i="2"/>
  <c r="GE36" i="2"/>
  <c r="GE175" i="2"/>
  <c r="GE187" i="2"/>
  <c r="GE134" i="2"/>
  <c r="GE121" i="2"/>
  <c r="GE26" i="2"/>
  <c r="GE62" i="2"/>
  <c r="GE166" i="2"/>
  <c r="GE128" i="2"/>
  <c r="GE9" i="2"/>
  <c r="GE75" i="2"/>
  <c r="GE135" i="2"/>
  <c r="GE186" i="2"/>
  <c r="GE22" i="2"/>
  <c r="GE85" i="2"/>
  <c r="GE56" i="2"/>
  <c r="GE6" i="2"/>
  <c r="GE110" i="2"/>
  <c r="GE43" i="2"/>
  <c r="GE77" i="2"/>
  <c r="GE57" i="2"/>
  <c r="GE54" i="2"/>
  <c r="GE99" i="2"/>
  <c r="GE83" i="2"/>
  <c r="GE184" i="2"/>
  <c r="GE170" i="2"/>
  <c r="GE172" i="2"/>
  <c r="GE182" i="2"/>
  <c r="GE152" i="2"/>
  <c r="GE199" i="2"/>
  <c r="GE144" i="2"/>
  <c r="GE127" i="2"/>
  <c r="GE178" i="2"/>
  <c r="GE171" i="2"/>
  <c r="FE75" i="2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13" i="2" l="1"/>
  <c r="FJ156" i="2"/>
  <c r="FJ46" i="2"/>
  <c r="FJ155" i="2"/>
  <c r="FJ133" i="2"/>
  <c r="FJ91" i="2"/>
  <c r="FJ18" i="2"/>
  <c r="FJ134" i="2"/>
  <c r="FJ196" i="2"/>
  <c r="FJ70" i="2"/>
  <c r="FJ55" i="2"/>
  <c r="FJ59" i="2"/>
  <c r="FJ139" i="2"/>
  <c r="FJ132" i="2"/>
  <c r="FJ76" i="2"/>
  <c r="FJ171" i="2"/>
  <c r="FJ110" i="2"/>
  <c r="FJ49" i="2"/>
  <c r="FJ159" i="2"/>
  <c r="FJ77" i="2"/>
  <c r="FJ105" i="2"/>
  <c r="FJ30" i="2"/>
  <c r="FJ63" i="2"/>
  <c r="FJ48" i="2"/>
  <c r="FJ78" i="2"/>
  <c r="FJ7" i="2"/>
  <c r="FJ183" i="2"/>
  <c r="FJ200" i="2"/>
  <c r="FJ83" i="2"/>
  <c r="FJ27" i="2"/>
  <c r="FJ3" i="2"/>
  <c r="C13" i="4" s="1"/>
  <c r="E13" i="4" s="1"/>
  <c r="F13" i="4" s="1"/>
  <c r="G13" i="4" s="1"/>
  <c r="L13" i="4" s="1"/>
  <c r="FJ36" i="2"/>
  <c r="FJ34" i="2"/>
  <c r="FJ26" i="2"/>
  <c r="FJ89" i="2"/>
  <c r="FJ11" i="2"/>
  <c r="FJ20" i="2"/>
  <c r="FJ47" i="2"/>
  <c r="FJ82" i="2"/>
  <c r="FJ187" i="2"/>
  <c r="FJ69" i="2"/>
  <c r="FJ123" i="2"/>
  <c r="FJ122" i="2"/>
  <c r="FJ12" i="2"/>
  <c r="FJ179" i="2"/>
  <c r="FJ111" i="2"/>
  <c r="FJ17" i="2"/>
  <c r="FJ158" i="2"/>
  <c r="FJ152" i="2"/>
  <c r="FJ43" i="2"/>
  <c r="FJ84" i="2"/>
  <c r="FJ112" i="2"/>
  <c r="FJ194" i="2"/>
  <c r="FJ154" i="2"/>
  <c r="FJ10" i="2"/>
  <c r="FJ130" i="2"/>
  <c r="FJ142" i="2"/>
  <c r="FJ52" i="2"/>
  <c r="FJ115" i="2"/>
  <c r="FJ102" i="2"/>
  <c r="FJ73" i="2"/>
  <c r="FJ129" i="2"/>
  <c r="FJ5" i="2"/>
  <c r="FJ65" i="2"/>
  <c r="FJ146" i="2"/>
  <c r="FJ182" i="2"/>
  <c r="FJ178" i="2"/>
  <c r="FJ94" i="2"/>
  <c r="FJ184" i="2"/>
  <c r="FJ67" i="2"/>
  <c r="FJ181" i="2"/>
  <c r="FJ121" i="2"/>
  <c r="FJ124" i="2"/>
  <c r="FJ169" i="2"/>
  <c r="FJ202" i="2"/>
  <c r="FJ104" i="2"/>
  <c r="FJ145" i="2"/>
  <c r="FJ143" i="2"/>
  <c r="FJ54" i="2"/>
  <c r="FJ79" i="2"/>
  <c r="FJ62" i="2"/>
  <c r="FJ42" i="2"/>
  <c r="FJ98" i="2"/>
  <c r="FJ201" i="2"/>
  <c r="FJ188" i="2"/>
  <c r="FJ126" i="2"/>
  <c r="FJ165" i="2"/>
  <c r="FJ137" i="2"/>
  <c r="FJ23" i="2"/>
  <c r="FJ45" i="2"/>
  <c r="FJ119" i="2"/>
  <c r="FJ8" i="2"/>
  <c r="FJ61" i="2"/>
  <c r="FJ141" i="2"/>
  <c r="FJ107" i="2"/>
  <c r="FJ131" i="2"/>
  <c r="FJ166" i="2"/>
  <c r="FJ13" i="2"/>
  <c r="FJ135" i="2"/>
  <c r="FJ162" i="2"/>
  <c r="FJ101" i="2"/>
  <c r="FJ144" i="2"/>
  <c r="FJ177" i="2"/>
  <c r="FJ100" i="2"/>
  <c r="FJ29" i="2"/>
  <c r="FJ39" i="2"/>
  <c r="FJ193" i="2"/>
  <c r="FJ180" i="2"/>
  <c r="FJ37" i="2"/>
  <c r="FJ22" i="2"/>
  <c r="FJ97" i="2"/>
  <c r="FJ108" i="2"/>
  <c r="FJ161" i="2"/>
  <c r="FJ86" i="2"/>
  <c r="FJ163" i="2"/>
  <c r="FJ109" i="2"/>
  <c r="FJ72" i="2"/>
  <c r="FJ185" i="2"/>
  <c r="FJ136" i="2"/>
  <c r="FJ117" i="2"/>
  <c r="FJ31" i="2"/>
  <c r="FJ85" i="2"/>
  <c r="FJ138" i="2"/>
  <c r="FJ198" i="2"/>
  <c r="FJ28" i="2"/>
  <c r="FJ66" i="2"/>
  <c r="FJ195" i="2"/>
  <c r="FJ64" i="2"/>
  <c r="FJ148" i="2"/>
  <c r="FJ189" i="2"/>
  <c r="FJ57" i="2"/>
  <c r="FJ173" i="2"/>
  <c r="FJ19" i="2"/>
  <c r="FJ56" i="2"/>
  <c r="FJ103" i="2"/>
  <c r="FJ35" i="2"/>
  <c r="FJ68" i="2"/>
  <c r="FJ96" i="2"/>
  <c r="FJ128" i="2"/>
  <c r="FJ60" i="2"/>
  <c r="FJ106" i="2"/>
  <c r="FJ120" i="2"/>
  <c r="FJ21" i="2"/>
  <c r="FJ32" i="2"/>
  <c r="FJ170" i="2"/>
  <c r="FJ172" i="2"/>
  <c r="FJ38" i="2"/>
  <c r="FJ191" i="2"/>
  <c r="FJ88" i="2"/>
  <c r="FJ80" i="2"/>
  <c r="FJ147" i="2"/>
  <c r="FJ175" i="2"/>
  <c r="FJ164" i="2"/>
  <c r="FJ150" i="2"/>
  <c r="FJ33" i="2"/>
  <c r="FJ75" i="2"/>
  <c r="FJ6" i="2"/>
  <c r="FJ114" i="2"/>
  <c r="FJ197" i="2"/>
  <c r="FJ40" i="2"/>
  <c r="FJ71" i="2"/>
  <c r="FJ16" i="2"/>
  <c r="FJ95" i="2"/>
  <c r="FJ51" i="2"/>
  <c r="FJ157" i="2"/>
  <c r="FJ24" i="2"/>
  <c r="FJ58" i="2"/>
  <c r="FJ81" i="2"/>
  <c r="FJ25" i="2"/>
  <c r="FJ153" i="2"/>
  <c r="FJ176" i="2"/>
  <c r="FJ118" i="2"/>
  <c r="FJ140" i="2"/>
  <c r="FJ190" i="2"/>
  <c r="FJ4" i="2"/>
  <c r="FJ53" i="2"/>
  <c r="FJ168" i="2"/>
  <c r="FJ90" i="2"/>
  <c r="FJ149" i="2"/>
  <c r="FJ160" i="2"/>
  <c r="FJ174" i="2"/>
  <c r="FJ151" i="2"/>
  <c r="FJ125" i="2"/>
  <c r="FJ44" i="2"/>
  <c r="FJ99" i="2"/>
  <c r="FJ127" i="2"/>
  <c r="FJ116" i="2"/>
  <c r="FJ9" i="2"/>
  <c r="FJ15" i="2"/>
  <c r="FJ14" i="2"/>
  <c r="FJ186" i="2"/>
  <c r="FJ74" i="2"/>
  <c r="FJ203" i="2"/>
  <c r="FJ41" i="2"/>
  <c r="FJ199" i="2"/>
  <c r="FJ87" i="2"/>
  <c r="FJ93" i="2"/>
  <c r="FJ50" i="2"/>
  <c r="FJ192" i="2"/>
  <c r="FJ92" i="2"/>
  <c r="FJ167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CY24" i="2" l="1"/>
  <c r="CY195" i="2"/>
  <c r="CY182" i="2"/>
  <c r="CY58" i="2"/>
  <c r="CY155" i="2"/>
  <c r="CY130" i="2"/>
  <c r="CY11" i="2"/>
  <c r="CY51" i="2"/>
  <c r="CY190" i="2"/>
  <c r="CY150" i="2"/>
  <c r="CY153" i="2"/>
  <c r="CY77" i="2"/>
  <c r="CY60" i="2"/>
  <c r="CY144" i="2"/>
  <c r="CY40" i="2"/>
  <c r="CY107" i="2"/>
  <c r="CY121" i="2"/>
  <c r="CY12" i="2"/>
  <c r="CY147" i="2"/>
  <c r="CY42" i="2"/>
  <c r="CY167" i="2"/>
  <c r="CY99" i="2"/>
  <c r="CY15" i="2"/>
  <c r="CY145" i="2"/>
  <c r="CY78" i="2"/>
  <c r="CY38" i="2"/>
  <c r="CY116" i="2"/>
  <c r="CY43" i="2"/>
  <c r="CY202" i="2"/>
  <c r="CY56" i="2"/>
  <c r="CY52" i="2"/>
  <c r="CY81" i="2"/>
  <c r="CY137" i="2"/>
  <c r="CY126" i="2"/>
  <c r="CY185" i="2"/>
  <c r="CY73" i="2"/>
  <c r="CY102" i="2"/>
  <c r="CY25" i="2"/>
  <c r="CY87" i="2"/>
  <c r="CY34" i="2"/>
  <c r="CY93" i="2"/>
  <c r="CY3" i="2"/>
  <c r="C10" i="4" s="1"/>
  <c r="E10" i="4" s="1"/>
  <c r="F10" i="4" s="1"/>
  <c r="G10" i="4" s="1"/>
  <c r="L10" i="4" s="1"/>
  <c r="CY19" i="2"/>
  <c r="CY127" i="2"/>
  <c r="CY177" i="2"/>
  <c r="CY9" i="2"/>
  <c r="CY132" i="2"/>
  <c r="CY139" i="2"/>
  <c r="CY203" i="2"/>
  <c r="CY112" i="2"/>
  <c r="CY162" i="2"/>
  <c r="CY110" i="2"/>
  <c r="CY26" i="2"/>
  <c r="CY63" i="2"/>
  <c r="CY109" i="2"/>
  <c r="CY71" i="2"/>
  <c r="CY79" i="2"/>
  <c r="CY173" i="2"/>
  <c r="CY135" i="2"/>
  <c r="CY191" i="2"/>
  <c r="CY188" i="2"/>
  <c r="CY57" i="2"/>
  <c r="CY141" i="2"/>
  <c r="CY149" i="2"/>
  <c r="CY6" i="2"/>
  <c r="CY90" i="2"/>
  <c r="CY70" i="2"/>
  <c r="CY36" i="2"/>
  <c r="CY100" i="2"/>
  <c r="CY7" i="2"/>
  <c r="CY131" i="2"/>
  <c r="CY44" i="2"/>
  <c r="CY74" i="2"/>
  <c r="CY198" i="2"/>
  <c r="CY75" i="2"/>
  <c r="CY106" i="2"/>
  <c r="CY50" i="2"/>
  <c r="CY134" i="2"/>
  <c r="CY111" i="2"/>
  <c r="CY13" i="2"/>
  <c r="CY10" i="2"/>
  <c r="CY124" i="2"/>
  <c r="CY186" i="2"/>
  <c r="CY16" i="2"/>
  <c r="CY30" i="2"/>
  <c r="CY5" i="2"/>
  <c r="CY91" i="2"/>
  <c r="CY148" i="2"/>
  <c r="CY120" i="2"/>
  <c r="CY108" i="2"/>
  <c r="CY23" i="2"/>
  <c r="CY136" i="2"/>
  <c r="CY37" i="2"/>
  <c r="CY35" i="2"/>
  <c r="CY66" i="2"/>
  <c r="CY201" i="2"/>
  <c r="CY47" i="2"/>
  <c r="CY20" i="2"/>
  <c r="CY158" i="2"/>
  <c r="CY89" i="2"/>
  <c r="CY143" i="2"/>
  <c r="CY171" i="2"/>
  <c r="CY113" i="2"/>
  <c r="CY101" i="2"/>
  <c r="CY123" i="2"/>
  <c r="CY45" i="2"/>
  <c r="CY4" i="2"/>
  <c r="CY157" i="2"/>
  <c r="CY142" i="2"/>
  <c r="CY94" i="2"/>
  <c r="CY156" i="2"/>
  <c r="CY178" i="2"/>
  <c r="CY146" i="2"/>
  <c r="CY27" i="2"/>
  <c r="CY14" i="2"/>
  <c r="CY128" i="2"/>
  <c r="CY168" i="2"/>
  <c r="CY164" i="2"/>
  <c r="CY28" i="2"/>
  <c r="CY133" i="2"/>
  <c r="CY69" i="2"/>
  <c r="CY160" i="2"/>
  <c r="CY31" i="2"/>
  <c r="CY192" i="2"/>
  <c r="CY65" i="2"/>
  <c r="CY67" i="2"/>
  <c r="CY118" i="2"/>
  <c r="CY170" i="2"/>
  <c r="CY122" i="2"/>
  <c r="CY154" i="2"/>
  <c r="CY200" i="2"/>
  <c r="CY97" i="2"/>
  <c r="CY59" i="2"/>
  <c r="CY32" i="2"/>
  <c r="CY159" i="2"/>
  <c r="CY119" i="2"/>
  <c r="CY86" i="2"/>
  <c r="CY183" i="2"/>
  <c r="CY194" i="2"/>
  <c r="CY174" i="2"/>
  <c r="CY175" i="2"/>
  <c r="CY181" i="2"/>
  <c r="CY161" i="2"/>
  <c r="CY189" i="2"/>
  <c r="CY68" i="2"/>
  <c r="CY197" i="2"/>
  <c r="CY140" i="2"/>
  <c r="CY92" i="2"/>
  <c r="CY64" i="2"/>
  <c r="CY41" i="2"/>
  <c r="CY22" i="2"/>
  <c r="CY54" i="2"/>
  <c r="CY53" i="2"/>
  <c r="CY169" i="2"/>
  <c r="CY88" i="2"/>
  <c r="CY172" i="2"/>
  <c r="CY125" i="2"/>
  <c r="CY84" i="2"/>
  <c r="CY114" i="2"/>
  <c r="CY8" i="2"/>
  <c r="CY62" i="2"/>
  <c r="CY163" i="2"/>
  <c r="CY48" i="2"/>
  <c r="CY103" i="2"/>
  <c r="CY176" i="2"/>
  <c r="CY105" i="2"/>
  <c r="CY49" i="2"/>
  <c r="CY166" i="2"/>
  <c r="CY104" i="2"/>
  <c r="CY72" i="2"/>
  <c r="CY187" i="2"/>
  <c r="CY21" i="2"/>
  <c r="CY39" i="2"/>
  <c r="CY61" i="2"/>
  <c r="CY151" i="2"/>
  <c r="CY115" i="2"/>
  <c r="CY196" i="2"/>
  <c r="CY18" i="2"/>
  <c r="CY152" i="2"/>
  <c r="CY17" i="2"/>
  <c r="CY199" i="2"/>
  <c r="CY179" i="2"/>
  <c r="CY55" i="2"/>
  <c r="CY96" i="2"/>
  <c r="CY33" i="2"/>
  <c r="CY29" i="2"/>
  <c r="CY117" i="2"/>
  <c r="CY46" i="2"/>
  <c r="CY98" i="2"/>
  <c r="CY193" i="2"/>
  <c r="CY82" i="2"/>
  <c r="CY129" i="2"/>
  <c r="CY83" i="2"/>
  <c r="CY184" i="2"/>
  <c r="CY180" i="2"/>
  <c r="CY76" i="2"/>
  <c r="CY95" i="2"/>
  <c r="CY165" i="2"/>
  <c r="CY85" i="2"/>
  <c r="CY80" i="2"/>
  <c r="CY138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BI47" i="2" l="1"/>
  <c r="BI86" i="2"/>
  <c r="BI41" i="2"/>
  <c r="BI151" i="2"/>
  <c r="BI58" i="2"/>
  <c r="BI79" i="2"/>
  <c r="BI62" i="2"/>
  <c r="BI189" i="2"/>
  <c r="BI146" i="2"/>
  <c r="BI120" i="2"/>
  <c r="BI127" i="2"/>
  <c r="BI53" i="2"/>
  <c r="BI160" i="2"/>
  <c r="BI196" i="2"/>
  <c r="BI157" i="2"/>
  <c r="BI132" i="2"/>
  <c r="BI84" i="2"/>
  <c r="BI113" i="2"/>
  <c r="BI21" i="2"/>
  <c r="BI59" i="2"/>
  <c r="BI91" i="2"/>
  <c r="BI7" i="2"/>
  <c r="BI106" i="2"/>
  <c r="BI126" i="2"/>
  <c r="BI187" i="2"/>
  <c r="BI64" i="2"/>
  <c r="BI114" i="2"/>
  <c r="BI45" i="2"/>
  <c r="BI27" i="2"/>
  <c r="BI31" i="2"/>
  <c r="BI29" i="2"/>
  <c r="BI179" i="2"/>
  <c r="BI117" i="2"/>
  <c r="BI20" i="2"/>
  <c r="BI50" i="2"/>
  <c r="BI166" i="2"/>
  <c r="BI118" i="2"/>
  <c r="BI72" i="2"/>
  <c r="BI168" i="2"/>
  <c r="BI34" i="2"/>
  <c r="BI154" i="2"/>
  <c r="BI129" i="2"/>
  <c r="BI37" i="2"/>
  <c r="BI148" i="2"/>
  <c r="BI28" i="2"/>
  <c r="BI13" i="2"/>
  <c r="BI158" i="2"/>
  <c r="BI184" i="2"/>
  <c r="BI164" i="2"/>
  <c r="BI125" i="2"/>
  <c r="BI78" i="2"/>
  <c r="BI12" i="2"/>
  <c r="BI103" i="2"/>
  <c r="BI63" i="2"/>
  <c r="BI138" i="2"/>
  <c r="BI98" i="2"/>
  <c r="BI201" i="2"/>
  <c r="BI14" i="2"/>
  <c r="BI102" i="2"/>
  <c r="BI92" i="2"/>
  <c r="BI147" i="2"/>
  <c r="BI99" i="2"/>
  <c r="BI9" i="2"/>
  <c r="BI70" i="2"/>
  <c r="BI57" i="2"/>
  <c r="BI4" i="2"/>
  <c r="BI16" i="2"/>
  <c r="BI66" i="2"/>
  <c r="BI139" i="2"/>
  <c r="BI88" i="2"/>
  <c r="BI183" i="2"/>
  <c r="BI142" i="2"/>
  <c r="BI104" i="2"/>
  <c r="BI115" i="2"/>
  <c r="BI54" i="2"/>
  <c r="BI15" i="2"/>
  <c r="BI173" i="2"/>
  <c r="BI167" i="2"/>
  <c r="BI172" i="2"/>
  <c r="BI152" i="2"/>
  <c r="BI186" i="2"/>
  <c r="BI105" i="2"/>
  <c r="BI110" i="2"/>
  <c r="BI141" i="2"/>
  <c r="BI5" i="2"/>
  <c r="BI36" i="2"/>
  <c r="BI48" i="2"/>
  <c r="BI33" i="2"/>
  <c r="BI68" i="2"/>
  <c r="BI136" i="2"/>
  <c r="BI55" i="2"/>
  <c r="BI10" i="2"/>
  <c r="BI170" i="2"/>
  <c r="BI165" i="2"/>
  <c r="BI177" i="2"/>
  <c r="BI116" i="2"/>
  <c r="BI3" i="2"/>
  <c r="C8" i="4" s="1"/>
  <c r="E8" i="4" s="1"/>
  <c r="F8" i="4" s="1"/>
  <c r="G8" i="4" s="1"/>
  <c r="L8" i="4" s="1"/>
  <c r="BI22" i="2"/>
  <c r="BI190" i="2"/>
  <c r="BI200" i="2"/>
  <c r="BI128" i="2"/>
  <c r="BI137" i="2"/>
  <c r="BI39" i="2"/>
  <c r="BI65" i="2"/>
  <c r="BI11" i="2"/>
  <c r="BI119" i="2"/>
  <c r="BI156" i="2"/>
  <c r="BI199" i="2"/>
  <c r="BI203" i="2"/>
  <c r="BI32" i="2"/>
  <c r="BI174" i="2"/>
  <c r="BI25" i="2"/>
  <c r="BI149" i="2"/>
  <c r="BI60" i="2"/>
  <c r="BI40" i="2"/>
  <c r="BI188" i="2"/>
  <c r="BI24" i="2"/>
  <c r="BI61" i="2"/>
  <c r="BI49" i="2"/>
  <c r="BI182" i="2"/>
  <c r="BI134" i="2"/>
  <c r="BI44" i="2"/>
  <c r="BI123" i="2"/>
  <c r="BI74" i="2"/>
  <c r="BI94" i="2"/>
  <c r="BI73" i="2"/>
  <c r="BI155" i="2"/>
  <c r="BI133" i="2"/>
  <c r="BI111" i="2"/>
  <c r="BI109" i="2"/>
  <c r="BI51" i="2"/>
  <c r="BI30" i="2"/>
  <c r="BI176" i="2"/>
  <c r="BI181" i="2"/>
  <c r="BI96" i="2"/>
  <c r="BI43" i="2"/>
  <c r="BI191" i="2"/>
  <c r="BI75" i="2"/>
  <c r="BI163" i="2"/>
  <c r="BI89" i="2"/>
  <c r="BI6" i="2"/>
  <c r="BI153" i="2"/>
  <c r="BI83" i="2"/>
  <c r="BI185" i="2"/>
  <c r="BI130" i="2"/>
  <c r="BI144" i="2"/>
  <c r="BI159" i="2"/>
  <c r="BI197" i="2"/>
  <c r="BI100" i="2"/>
  <c r="BI121" i="2"/>
  <c r="BI169" i="2"/>
  <c r="BI85" i="2"/>
  <c r="BI171" i="2"/>
  <c r="BI135" i="2"/>
  <c r="BI101" i="2"/>
  <c r="BI161" i="2"/>
  <c r="BI76" i="2"/>
  <c r="BI112" i="2"/>
  <c r="BI145" i="2"/>
  <c r="BI18" i="2"/>
  <c r="BI180" i="2"/>
  <c r="BI87" i="2"/>
  <c r="BI175" i="2"/>
  <c r="BI26" i="2"/>
  <c r="BI162" i="2"/>
  <c r="BI38" i="2"/>
  <c r="BI140" i="2"/>
  <c r="BI80" i="2"/>
  <c r="BI93" i="2"/>
  <c r="BI107" i="2"/>
  <c r="BI202" i="2"/>
  <c r="BI77" i="2"/>
  <c r="BI95" i="2"/>
  <c r="BI194" i="2"/>
  <c r="BI69" i="2"/>
  <c r="BI122" i="2"/>
  <c r="BI17" i="2"/>
  <c r="BI195" i="2"/>
  <c r="BI52" i="2"/>
  <c r="BI35" i="2"/>
  <c r="BI124" i="2"/>
  <c r="BI192" i="2"/>
  <c r="BI150" i="2"/>
  <c r="BI23" i="2"/>
  <c r="BI90" i="2"/>
  <c r="BI198" i="2"/>
  <c r="BI82" i="2"/>
  <c r="BI108" i="2"/>
  <c r="BI143" i="2"/>
  <c r="BI178" i="2"/>
  <c r="BI131" i="2"/>
  <c r="BI193" i="2"/>
  <c r="BI67" i="2"/>
  <c r="BI19" i="2"/>
  <c r="BI46" i="2"/>
  <c r="BI97" i="2"/>
  <c r="BI56" i="2"/>
  <c r="BI42" i="2"/>
  <c r="BI71" i="2"/>
  <c r="BI81" i="2"/>
  <c r="BI8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<sst xmlns="http://schemas.openxmlformats.org/spreadsheetml/2006/main" count="1324" uniqueCount="405">
  <si>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</si>
  <si>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</si>
  <si>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</si>
  <si>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</si>
  <si>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</si>
  <si>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</si>
  <si>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</si>
  <si>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</si>
  <si>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</si>
  <si>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</si>
  <si>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</si>
  <si>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</si>
  <si>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</si>
  <si>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</si>
  <si>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</si>
  <si>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</si>
  <si>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</si>
  <si>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</si>
  <si>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</si>
  <si>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</si>
  <si>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</si>
  <si>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</si>
  <si>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</si>
  <si>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</si>
  <si>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</si>
  <si>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</si>
  <si>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</si>
  <si>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</si>
  <si>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</si>
  <si>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</si>
  <si>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</si>
  <si>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</si>
  <si>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</si>
  <si>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</si>
  <si>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</si>
  <si>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</si>
  <si>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</si>
  <si>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</si>
  <si>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</si>
  <si>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</si>
  <si>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</si>
  <si>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</si>
  <si>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</si>
  <si>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</si>
  <si>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</si>
  <si>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</si>
  <si>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</si>
  <si>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</si>
  <si>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</si>
  <si>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</si>
  <si>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</si>
  <si>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</si>
  <si>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</si>
  <si>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</si>
  <si>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</si>
  <si>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</si>
  <si>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</si>
  <si>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</si>
  <si>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</si>
  <si>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</si>
  <si>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</si>
  <si>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</si>
  <si>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</si>
  <si>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</si>
  <si>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</si>
  <si>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</si>
  <si>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</si>
  <si>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</si>
  <si>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</si>
  <si>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</si>
  <si>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</si>
  <si>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</si>
  <si>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</si>
  <si>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</si>
  <si>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</si>
  <si>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</si>
  <si>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</si>
  <si>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</si>
  <si>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</si>
  <si>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</si>
  <si>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</si>
  <si>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</si>
  <si>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</si>
  <si>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</si>
  <si>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</si>
  <si>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</si>
  <si>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</si>
  <si>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</si>
  <si>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</si>
  <si>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</si>
  <si>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</si>
  <si>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</si>
  <si>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</si>
  <si>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</si>
  <si>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</si>
  <si>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</si>
  <si>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</si>
  <si>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</si>
  <si>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</si>
  <si>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</si>
  <si>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</si>
  <si>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</si>
  <si>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</si>
  <si>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</si>
  <si>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</si>
  <si>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</si>
  <si>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</si>
  <si>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</si>
  <si>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</si>
  <si>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</si>
  <si>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</si>
  <si>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</si>
  <si>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</si>
  <si>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</si>
  <si>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</si>
  <si>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</si>
  <si>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</si>
  <si>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</si>
  <si>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</si>
  <si>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</si>
  <si>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</si>
  <si>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</si>
  <si>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</si>
  <si>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</si>
  <si>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</si>
  <si>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</si>
  <si>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</si>
  <si>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</si>
  <si>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</si>
  <si>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</si>
  <si>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</si>
  <si>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</si>
  <si>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</si>
  <si>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</si>
  <si>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</si>
  <si>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</si>
  <si>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</si>
  <si>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</si>
  <si>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</si>
  <si>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</si>
  <si>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</si>
  <si>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</si>
  <si>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</si>
  <si>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</si>
  <si>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</si>
  <si>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</si>
  <si>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</si>
  <si>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</si>
  <si>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</si>
  <si>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</si>
  <si>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</si>
  <si>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</si>
  <si>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</si>
  <si>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</si>
  <si>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</si>
  <si>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</si>
  <si>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</si>
  <si>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</si>
  <si>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</si>
  <si>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</si>
  <si>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</si>
  <si>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</si>
  <si>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</si>
  <si>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</si>
  <si>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</si>
  <si>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</si>
  <si>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</si>
  <si>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</si>
  <si>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</si>
  <si>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</si>
  <si>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</si>
  <si>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</si>
  <si>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</si>
  <si>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</si>
  <si>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</si>
  <si>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</si>
  <si>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</si>
  <si>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</si>
  <si>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</si>
  <si>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</si>
  <si>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</si>
  <si>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</si>
  <si>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</si>
  <si>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</si>
  <si>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</si>
  <si>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</si>
  <si>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</si>
  <si>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</si>
  <si>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</si>
  <si>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</si>
  <si>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</si>
  <si>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</si>
  <si>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</si>
  <si>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</si>
  <si>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</si>
  <si>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</si>
  <si>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</si>
  <si>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</si>
  <si>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</si>
  <si>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</si>
  <si>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</si>
  <si>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</si>
  <si>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</si>
  <si>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</si>
  <si>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</si>
  <si>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</si>
  <si>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</si>
  <si>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</si>
  <si>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</si>
  <si>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</si>
  <si>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</si>
  <si>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</si>
  <si>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</si>
  <si>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</si>
  <si>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</si>
  <si>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</si>
  <si>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</si>
  <si>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</si>
  <si>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</si>
  <si>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</si>
  <si>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</si>
  <si>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</si>
  <si>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</si>
  <si>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</si>
  <si>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</si>
  <si>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</si>
  <si>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</si>
  <si>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</si>
  <si>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</si>
  <si>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</si>
  <si>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</si>
  <si>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</si>
  <si>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</si>
  <si>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</si>
  <si>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</si>
  <si>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</si>
  <si>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</si>
  <si>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</si>
  <si>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</si>
  <si>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</si>
  <si>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</si>
  <si>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</si>
  <si>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</si>
  <si>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</si>
  <si>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</si>
  <si>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</si>
  <si>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</si>
  <si>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</si>
  <si>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</si>
  <si>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</si>
  <si>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</si>
  <si>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</si>
  <si>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</si>
  <si>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</si>
  <si>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</si>
  <si>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</si>
  <si>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</si>
  <si>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</si>
  <si>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</si>
  <si>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</si>
  <si>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</si>
  <si>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</si>
  <si>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</si>
  <si>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</si>
  <si>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</si>
  <si>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</si>
  <si>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</si>
  <si>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</si>
  <si>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</si>
  <si>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</si>
  <si>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</si>
  <si>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</si>
  <si>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</si>
  <si>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</si>
  <si>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</si>
  <si>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</si>
  <si>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</si>
  <si>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</si>
  <si>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</si>
  <si>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</si>
  <si>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</si>
  <si>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</si>
  <si>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</si>
  <si>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</si>
  <si>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</si>
  <si>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</si>
  <si>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</si>
  <si>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</si>
  <si>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</si>
  <si>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</si>
  <si>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</si>
  <si>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</si>
  <si>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</si>
  <si>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</si>
  <si>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</si>
  <si>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</si>
  <si>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</si>
  <si>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</si>
  <si>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</si>
  <si>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</si>
  <si>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</si>
  <si>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</si>
  <si>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</si>
  <si>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</si>
  <si>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</si>
  <si>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</si>
  <si>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</si>
  <si>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</si>
  <si>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</si>
  <si>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</si>
  <si>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</si>
  <si>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</si>
  <si>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</si>
  <si>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</si>
  <si>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</si>
  <si>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</si>
  <si>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</si>
  <si>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</si>
  <si>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</si>
  <si>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</si>
  <si>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</si>
  <si>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r>
      <rPr>
        <b/>
        <sz val="11"/>
        <color rgb="FF000000"/>
        <rFont val="Times New Roman"/>
        <family val="1"/>
      </rP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</si>
  <si>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>Type</t>
  </si>
  <si>
    <t>Valeur BO</t>
  </si>
  <si>
    <t>Valeur BI</t>
  </si>
  <si>
    <t>Valeur BE</t>
  </si>
  <si>
    <t xml:space="preserve">Alisier torminal </t>
  </si>
  <si>
    <t>Feuillus</t>
  </si>
  <si>
    <t xml:space="preserve">Arbousier </t>
  </si>
  <si>
    <t>??</t>
  </si>
  <si>
    <t xml:space="preserve">Aulne vert </t>
  </si>
  <si>
    <t xml:space="preserve">Grands aulnes </t>
  </si>
  <si>
    <t xml:space="preserve">Bouleaux </t>
  </si>
  <si>
    <t xml:space="preserve">Cèdre de l’Atlas </t>
  </si>
  <si>
    <t>Résineux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</si>
  <si>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</si>
  <si>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</si>
  <si>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</si>
  <si>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</si>
  <si>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</si>
  <si>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</si>
  <si>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</si>
  <si>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</si>
  <si>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</si>
  <si>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</si>
  <si>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</si>
  <si>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</si>
  <si>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</si>
  <si>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</si>
  <si>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</si>
  <si>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</si>
  <si>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</si>
  <si>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</si>
  <si>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</si>
  <si>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</si>
  <si>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</si>
  <si>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</si>
  <si>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</si>
  <si>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</si>
  <si>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</si>
  <si>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</si>
  <si>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</si>
  <si>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</si>
  <si>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</si>
  <si>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</si>
  <si>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</si>
  <si>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</si>
  <si>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</si>
  <si>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</si>
  <si>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</si>
  <si>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</si>
  <si>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>Peupliers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</si>
  <si>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</si>
  <si>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</si>
  <si>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</si>
  <si>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</si>
  <si>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</si>
  <si>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</si>
  <si>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>Pin Maritime intensif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</si>
  <si>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</si>
  <si>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</si>
  <si>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</si>
  <si>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</si>
  <si>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</si>
  <si>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</si>
  <si>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</si>
  <si>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</si>
  <si>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</si>
  <si>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</si>
  <si>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</si>
  <si>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</si>
  <si>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</si>
  <si>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</si>
  <si>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</si>
  <si>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</si>
  <si>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</si>
  <si>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</si>
  <si>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sources :</t>
  </si>
  <si>
    <t>https://franceboisforet.fr/wp-content/uploads/2020/05/Indicateur-2020-des-prix-du-bois-sur-pied-en-for%C3%AAt-priv%C3%A9e.pdf</t>
  </si>
  <si>
    <t>http://observatoire.franceboisforet.com/donnees-de-la-filiere/amont-forestier/experts-forestiers/</t>
  </si>
  <si>
    <t>http://www.leboisinternational.com/asset/uploads/2019/01/V1902-Cours-bois-sur-pied-Nov-Dec-2018.pdf</t>
  </si>
  <si>
    <t>https://www.europeansa-online.com/bois_sur_pied.php</t>
  </si>
  <si>
    <t>http://arborea.com/vente-et-cours-du-bois/feuillus-nobles/</t>
  </si>
  <si>
    <t>https://nouvelle-aquitaine.cnpf.fr/n/le-prix-des-bois/n:2396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</si>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</sst>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_-* #,##0.00\ _€_-;\-* #,##0.00\ _€_-;_-* &quot;-&quot;??\ _€_-;_-@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168" fontId="0" fillId="14" borderId="1" xfId="0" quotePrefix="1" applyNumberFormat="1" applyFill="1" applyBorder="1" applyAlignment="1" applyProtection="1">
      <alignment horizontal="center" vertical="center"/>
      <protection locked="0"/>
    </xf>
    <xf numFmtId="0" fontId="32" fillId="0" borderId="0" xfId="0" applyFont="1" applyAlignment="1">
      <alignment vertical="center" wrapText="1"/>
    </xf>
    <xf numFmtId="169" fontId="32" fillId="0" borderId="0" xfId="0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164" fontId="35" fillId="0" borderId="0" xfId="0" applyNumberFormat="1" applyFont="1" applyAlignment="1">
      <alignment vertical="center" wrapText="1"/>
    </xf>
    <xf numFmtId="0" fontId="35" fillId="21" borderId="0" xfId="0" applyFont="1" applyFill="1" applyAlignment="1">
      <alignment vertical="center" wrapText="1"/>
    </xf>
    <xf numFmtId="0" fontId="34" fillId="22" borderId="0" xfId="0" applyFont="1" applyFill="1" applyAlignment="1">
      <alignment vertical="center"/>
    </xf>
    <xf numFmtId="0" fontId="34" fillId="22" borderId="0" xfId="0" applyFont="1" applyFill="1" applyAlignment="1">
      <alignment vertical="center" wrapText="1"/>
    </xf>
    <xf numFmtId="0" fontId="32" fillId="0" borderId="0" xfId="0" applyFont="1" applyAlignment="1">
      <alignment vertical="center"/>
    </xf>
    <xf numFmtId="0" fontId="36" fillId="0" borderId="0" xfId="0" applyFont="1"/>
    <xf numFmtId="9" fontId="9" fillId="14" borderId="1" xfId="1" applyNumberFormat="1" applyFont="1" applyFill="1" applyBorder="1" applyAlignment="1" applyProtection="1">
      <alignment horizontal="center"/>
      <protection locked="0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VAN-style" pivot="0" count="3">
      <tableStyleElement type="headerRow" dxfId="2"/>
      <tableStyleElement type="firstRowStripe" dxfId="1"/>
      <tableStyleElement type="secondRowStripe" dxfId="0"/>
    </tableStyle>
  </tableStyles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6.6671761608511053</c:v>
                </c:pt>
                <c:pt idx="2">
                  <c:v>13.033663283069531</c:v>
                </c:pt>
                <c:pt idx="3">
                  <c:v>19.303042939455146</c:v>
                </c:pt>
                <c:pt idx="4">
                  <c:v>25.512563294459923</c:v>
                </c:pt>
                <c:pt idx="5">
                  <c:v>31.679106437289075</c:v>
                </c:pt>
                <c:pt idx="6">
                  <c:v>37.812302616472174</c:v>
                </c:pt>
                <c:pt idx="7">
                  <c:v>43.918360080877228</c:v>
                </c:pt>
                <c:pt idx="8">
                  <c:v>50.00160312094232</c:v>
                </c:pt>
                <c:pt idx="9">
                  <c:v>56.06521014514886</c:v>
                </c:pt>
                <c:pt idx="10">
                  <c:v>62.111611813038422</c:v>
                </c:pt>
                <c:pt idx="11">
                  <c:v>68.14272452108996</c:v>
                </c:pt>
                <c:pt idx="12">
                  <c:v>74.160096244932106</c:v>
                </c:pt>
                <c:pt idx="13">
                  <c:v>80.165002252238452</c:v>
                </c:pt>
                <c:pt idx="14">
                  <c:v>86.158510470515978</c:v>
                </c:pt>
                <c:pt idx="15">
                  <c:v>92.141527621369264</c:v>
                </c:pt>
                <c:pt idx="16">
                  <c:v>98.114832690532054</c:v>
                </c:pt>
                <c:pt idx="17">
                  <c:v>104.07910178696937</c:v>
                </c:pt>
                <c:pt idx="18">
                  <c:v>110.03492698401654</c:v>
                </c:pt>
                <c:pt idx="19">
                  <c:v>115.98283085356282</c:v>
                </c:pt>
                <c:pt idx="20">
                  <c:v>121.9232778531174</c:v>
                </c:pt>
                <c:pt idx="21">
                  <c:v>127.85668337074144</c:v>
                </c:pt>
                <c:pt idx="22">
                  <c:v>133.78342099832221</c:v>
                </c:pt>
                <c:pt idx="23">
                  <c:v>139.70382844505221</c:v>
                </c:pt>
                <c:pt idx="24">
                  <c:v>145.61821239345747</c:v>
                </c:pt>
                <c:pt idx="25">
                  <c:v>151.52685252328283</c:v>
                </c:pt>
                <c:pt idx="26">
                  <c:v>157.43000487343213</c:v>
                </c:pt>
                <c:pt idx="27">
                  <c:v>163.32790467213928</c:v>
                </c:pt>
                <c:pt idx="28">
                  <c:v>169.22076873606747</c:v>
                </c:pt>
                <c:pt idx="29">
                  <c:v>175.1087975170492</c:v>
                </c:pt>
                <c:pt idx="30">
                  <c:v>180.99217685858619</c:v>
                </c:pt>
                <c:pt idx="31">
                  <c:v>186.87107951156952</c:v>
                </c:pt>
                <c:pt idx="32">
                  <c:v>192.74566644892982</c:v>
                </c:pt>
                <c:pt idx="33">
                  <c:v>198.6160880113396</c:v>
                </c:pt>
                <c:pt idx="34">
                  <c:v>204.48248491014036</c:v>
                </c:pt>
                <c:pt idx="35">
                  <c:v>210.34498910896306</c:v>
                </c:pt>
                <c:pt idx="36">
                  <c:v>216.20372460175972</c:v>
                </c:pt>
                <c:pt idx="37">
                  <c:v>222.0588081019574</c:v>
                </c:pt>
                <c:pt idx="38">
                  <c:v>227.91034965501251</c:v>
                </c:pt>
                <c:pt idx="39">
                  <c:v>233.75845318467347</c:v>
                </c:pt>
                <c:pt idx="40">
                  <c:v>239.60321698163875</c:v>
                </c:pt>
                <c:pt idx="41">
                  <c:v>245.44473414197429</c:v>
                </c:pt>
                <c:pt idx="42">
                  <c:v>251.28309296155342</c:v>
                </c:pt>
                <c:pt idx="43">
                  <c:v>206.19277841884386</c:v>
                </c:pt>
                <c:pt idx="44">
                  <c:v>219.61962659237349</c:v>
                </c:pt>
                <c:pt idx="45">
                  <c:v>233.02762484918864</c:v>
                </c:pt>
                <c:pt idx="46">
                  <c:v>246.4180109567441</c:v>
                </c:pt>
                <c:pt idx="47">
                  <c:v>259.79187709109505</c:v>
                </c:pt>
                <c:pt idx="48">
                  <c:v>273.15019373627206</c:v>
                </c:pt>
                <c:pt idx="49">
                  <c:v>286.49382865897542</c:v>
                </c:pt>
                <c:pt idx="50">
                  <c:v>299.82356216018104</c:v>
                </c:pt>
                <c:pt idx="51">
                  <c:v>247.14791123904374</c:v>
                </c:pt>
                <c:pt idx="52">
                  <c:v>262.46475523789366</c:v>
                </c:pt>
                <c:pt idx="53">
                  <c:v>277.7614316906799</c:v>
                </c:pt>
                <c:pt idx="54">
                  <c:v>293.03920769154757</c:v>
                </c:pt>
                <c:pt idx="55">
                  <c:v>308.29920739322205</c:v>
                </c:pt>
                <c:pt idx="56">
                  <c:v>323.54243455894931</c:v>
                </c:pt>
                <c:pt idx="57">
                  <c:v>338.76979063952757</c:v>
                </c:pt>
                <c:pt idx="58">
                  <c:v>353.98208942867717</c:v>
                </c:pt>
                <c:pt idx="59">
                  <c:v>282.12838753854095</c:v>
                </c:pt>
                <c:pt idx="60">
                  <c:v>295.46258953205654</c:v>
                </c:pt>
                <c:pt idx="61">
                  <c:v>308.78337213189684</c:v>
                </c:pt>
                <c:pt idx="62">
                  <c:v>322.09139590753097</c:v>
                </c:pt>
                <c:pt idx="63">
                  <c:v>335.38726237234994</c:v>
                </c:pt>
                <c:pt idx="64">
                  <c:v>348.67152144488006</c:v>
                </c:pt>
                <c:pt idx="65">
                  <c:v>361.94467771307944</c:v>
                </c:pt>
                <c:pt idx="66">
                  <c:v>375.20719573147318</c:v>
                </c:pt>
                <c:pt idx="67">
                  <c:v>313.81231365909514</c:v>
                </c:pt>
                <c:pt idx="68">
                  <c:v>325.85305120964671</c:v>
                </c:pt>
                <c:pt idx="69">
                  <c:v>337.88396256607001</c:v>
                </c:pt>
                <c:pt idx="70">
                  <c:v>349.90544700744005</c:v>
                </c:pt>
                <c:pt idx="71">
                  <c:v>361.91787413013094</c:v>
                </c:pt>
                <c:pt idx="72">
                  <c:v>373.92158698739087</c:v>
                </c:pt>
                <c:pt idx="73">
                  <c:v>385.91690480461148</c:v>
                </c:pt>
                <c:pt idx="74">
                  <c:v>397.9041253393072</c:v>
                </c:pt>
                <c:pt idx="75">
                  <c:v>409.88352694182055</c:v>
                </c:pt>
                <c:pt idx="76">
                  <c:v>349.90544700744005</c:v>
                </c:pt>
                <c:pt idx="77">
                  <c:v>361.27457510831573</c:v>
                </c:pt>
                <c:pt idx="78">
                  <c:v>372.63588189193911</c:v>
                </c:pt>
                <c:pt idx="79">
                  <c:v>383.98963949827368</c:v>
                </c:pt>
                <c:pt idx="80">
                  <c:v>395.33610265659195</c:v>
                </c:pt>
                <c:pt idx="81">
                  <c:v>406.6755102777567</c:v>
                </c:pt>
                <c:pt idx="82">
                  <c:v>418.00808685961556</c:v>
                </c:pt>
                <c:pt idx="83">
                  <c:v>429.33404373201734</c:v>
                </c:pt>
                <c:pt idx="84">
                  <c:v>440.653580163588</c:v>
                </c:pt>
                <c:pt idx="85">
                  <c:v>382.49051003700242</c:v>
                </c:pt>
                <c:pt idx="86">
                  <c:v>393.6238867924597</c:v>
                </c:pt>
                <c:pt idx="87">
                  <c:v>404.75043799588434</c:v>
                </c:pt>
                <c:pt idx="88">
                  <c:v>415.87037777065296</c:v>
                </c:pt>
                <c:pt idx="89">
                  <c:v>426.98390785263581</c:v>
                </c:pt>
                <c:pt idx="90">
                  <c:v>438.09121861749276</c:v>
                </c:pt>
                <c:pt idx="91">
                  <c:v>449.19248999834218</c:v>
                </c:pt>
                <c:pt idx="92">
                  <c:v>460.28789230798048</c:v>
                </c:pt>
                <c:pt idx="93">
                  <c:v>471.37758697768658</c:v>
                </c:pt>
                <c:pt idx="94">
                  <c:v>416.81099888731961</c:v>
                </c:pt>
                <c:pt idx="95">
                  <c:v>427.58215058986383</c:v>
                </c:pt>
                <c:pt idx="96">
                  <c:v>438.34746920790479</c:v>
                </c:pt>
                <c:pt idx="97">
                  <c:v>449.10711821530072</c:v>
                </c:pt>
                <c:pt idx="98">
                  <c:v>459.86125261266926</c:v>
                </c:pt>
                <c:pt idx="99">
                  <c:v>470.61001955868886</c:v>
                </c:pt>
                <c:pt idx="100">
                  <c:v>481.35355894071859</c:v>
                </c:pt>
                <c:pt idx="101">
                  <c:v>492.09200389181893</c:v>
                </c:pt>
                <c:pt idx="102">
                  <c:v>502.82548126029491</c:v>
                </c:pt>
                <c:pt idx="103">
                  <c:v>513.5541120370591</c:v>
                </c:pt>
                <c:pt idx="104">
                  <c:v>452.18028418105376</c:v>
                </c:pt>
                <c:pt idx="105">
                  <c:v>463.70070669781393</c:v>
                </c:pt>
                <c:pt idx="106">
                  <c:v>475.21502577729035</c:v>
                </c:pt>
                <c:pt idx="107">
                  <c:v>486.72341015001911</c:v>
                </c:pt>
                <c:pt idx="108">
                  <c:v>498.22601991660639</c:v>
                </c:pt>
                <c:pt idx="109">
                  <c:v>509.72300718239165</c:v>
                </c:pt>
                <c:pt idx="110">
                  <c:v>521.21451663187668</c:v>
                </c:pt>
                <c:pt idx="111">
                  <c:v>532.7006860498642</c:v>
                </c:pt>
                <c:pt idx="112">
                  <c:v>544.18164679531822</c:v>
                </c:pt>
                <c:pt idx="113">
                  <c:v>555.65752423315928</c:v>
                </c:pt>
                <c:pt idx="114">
                  <c:v>487.49042873157447</c:v>
                </c:pt>
                <c:pt idx="115">
                  <c:v>499.75927317637519</c:v>
                </c:pt>
                <c:pt idx="116">
                  <c:v>512.0217427922579</c:v>
                </c:pt>
                <c:pt idx="117">
                  <c:v>524.27801174542856</c:v>
                </c:pt>
                <c:pt idx="118">
                  <c:v>536.52824539615108</c:v>
                </c:pt>
                <c:pt idx="119">
                  <c:v>548.77260093911116</c:v>
                </c:pt>
                <c:pt idx="120">
                  <c:v>561.01122798366839</c:v>
                </c:pt>
                <c:pt idx="121">
                  <c:v>573.2442690808557</c:v>
                </c:pt>
                <c:pt idx="122">
                  <c:v>585.47186020306435</c:v>
                </c:pt>
                <c:pt idx="123">
                  <c:v>597.69413118158775</c:v>
                </c:pt>
                <c:pt idx="124">
                  <c:v>522.49101892718238</c:v>
                </c:pt>
                <c:pt idx="125">
                  <c:v>533.33865266632245</c:v>
                </c:pt>
                <c:pt idx="126">
                  <c:v>544.18164679531799</c:v>
                </c:pt>
                <c:pt idx="127">
                  <c:v>555.02010678437284</c:v>
                </c:pt>
                <c:pt idx="128">
                  <c:v>565.85413364888598</c:v>
                </c:pt>
                <c:pt idx="129">
                  <c:v>576.68382422111142</c:v>
                </c:pt>
                <c:pt idx="130">
                  <c:v>587.50927140035753</c:v>
                </c:pt>
                <c:pt idx="131">
                  <c:v>598.33056438378708</c:v>
                </c:pt>
                <c:pt idx="132">
                  <c:v>609.14778887966042</c:v>
                </c:pt>
                <c:pt idx="133">
                  <c:v>619.96102730464543</c:v>
                </c:pt>
                <c:pt idx="134">
                  <c:v>630.77035896665166</c:v>
                </c:pt>
                <c:pt idx="135">
                  <c:v>641.57586023448448</c:v>
                </c:pt>
                <c:pt idx="136">
                  <c:v>561.07495608956026</c:v>
                </c:pt>
                <c:pt idx="137">
                  <c:v>572.22505898184329</c:v>
                </c:pt>
                <c:pt idx="138">
                  <c:v>583.37062513175931</c:v>
                </c:pt>
                <c:pt idx="139">
                  <c:v>594.51175341700321</c:v>
                </c:pt>
                <c:pt idx="140">
                  <c:v>605.64853870790603</c:v>
                </c:pt>
                <c:pt idx="141">
                  <c:v>616.78107210210862</c:v>
                </c:pt>
                <c:pt idx="142">
                  <c:v>627.90944114141359</c:v>
                </c:pt>
                <c:pt idx="143">
                  <c:v>639.03373001247144</c:v>
                </c:pt>
                <c:pt idx="144">
                  <c:v>650.1540197327721</c:v>
                </c:pt>
                <c:pt idx="145">
                  <c:v>661.27038832325445</c:v>
                </c:pt>
                <c:pt idx="146">
                  <c:v>672.38291096871001</c:v>
                </c:pt>
                <c:pt idx="147">
                  <c:v>683.49166016703657</c:v>
                </c:pt>
                <c:pt idx="148">
                  <c:v>683.49166016703657</c:v>
                </c:pt>
                <c:pt idx="149">
                  <c:v>683.49166016703657</c:v>
                </c:pt>
                <c:pt idx="150">
                  <c:v>683.49166016703657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2.6028566328464309</c:v>
                </c:pt>
                <c:pt idx="2">
                  <c:v>3.3192381323007418</c:v>
                </c:pt>
                <c:pt idx="3">
                  <c:v>4.2335673649244239</c:v>
                </c:pt>
                <c:pt idx="4">
                  <c:v>5.4007432376591966</c:v>
                </c:pt>
                <c:pt idx="5">
                  <c:v>6.8909429255574688</c:v>
                </c:pt>
                <c:pt idx="6">
                  <c:v>8.7938873723271289</c:v>
                </c:pt>
                <c:pt idx="7">
                  <c:v>11.22430116311441</c:v>
                </c:pt>
                <c:pt idx="8">
                  <c:v>14.328902100552602</c:v>
                </c:pt>
                <c:pt idx="9">
                  <c:v>18.29535019214482</c:v>
                </c:pt>
                <c:pt idx="10">
                  <c:v>23.363706754618992</c:v>
                </c:pt>
                <c:pt idx="11">
                  <c:v>29.841109482662727</c:v>
                </c:pt>
                <c:pt idx="12">
                  <c:v>38.120568269265661</c:v>
                </c:pt>
                <c:pt idx="13">
                  <c:v>48.705041690881806</c:v>
                </c:pt>
                <c:pt idx="14">
                  <c:v>62.238281280784264</c:v>
                </c:pt>
                <c:pt idx="15">
                  <c:v>79.544350412184983</c:v>
                </c:pt>
                <c:pt idx="16">
                  <c:v>105.47637761115737</c:v>
                </c:pt>
                <c:pt idx="17">
                  <c:v>131.25002331922013</c:v>
                </c:pt>
                <c:pt idx="18">
                  <c:v>156.9009744305302</c:v>
                </c:pt>
                <c:pt idx="19">
                  <c:v>182.45217779473444</c:v>
                </c:pt>
                <c:pt idx="20">
                  <c:v>207.91958930193462</c:v>
                </c:pt>
                <c:pt idx="21">
                  <c:v>206.95733341724011</c:v>
                </c:pt>
                <c:pt idx="22">
                  <c:v>232.93790576593128</c:v>
                </c:pt>
                <c:pt idx="23">
                  <c:v>258.85228437534022</c:v>
                </c:pt>
                <c:pt idx="24">
                  <c:v>284.70802611505997</c:v>
                </c:pt>
                <c:pt idx="25">
                  <c:v>310.51120209750923</c:v>
                </c:pt>
                <c:pt idx="26">
                  <c:v>298.79176087802</c:v>
                </c:pt>
                <c:pt idx="27">
                  <c:v>323.85397211441682</c:v>
                </c:pt>
                <c:pt idx="28">
                  <c:v>348.8733219942182</c:v>
                </c:pt>
                <c:pt idx="29">
                  <c:v>373.85331403914023</c:v>
                </c:pt>
                <c:pt idx="30">
                  <c:v>398.79694553728069</c:v>
                </c:pt>
                <c:pt idx="31">
                  <c:v>382.94011456745687</c:v>
                </c:pt>
                <c:pt idx="32">
                  <c:v>406.38167292741917</c:v>
                </c:pt>
                <c:pt idx="33">
                  <c:v>429.79401910497518</c:v>
                </c:pt>
                <c:pt idx="34">
                  <c:v>453.17896678730159</c:v>
                </c:pt>
                <c:pt idx="35">
                  <c:v>476.53812734890556</c:v>
                </c:pt>
                <c:pt idx="36">
                  <c:v>459.7976972867616</c:v>
                </c:pt>
                <c:pt idx="37">
                  <c:v>481.69946317062391</c:v>
                </c:pt>
                <c:pt idx="38">
                  <c:v>503.58007773701001</c:v>
                </c:pt>
                <c:pt idx="39">
                  <c:v>525.44058849744806</c:v>
                </c:pt>
                <c:pt idx="40">
                  <c:v>547.28194876789564</c:v>
                </c:pt>
                <c:pt idx="41">
                  <c:v>530.7259674051503</c:v>
                </c:pt>
                <c:pt idx="42">
                  <c:v>550.84750018630859</c:v>
                </c:pt>
                <c:pt idx="43">
                  <c:v>570.95362908309914</c:v>
                </c:pt>
                <c:pt idx="44">
                  <c:v>591.04497242439436</c:v>
                </c:pt>
                <c:pt idx="45">
                  <c:v>611.12210311064769</c:v>
                </c:pt>
                <c:pt idx="46">
                  <c:v>595.27643425250369</c:v>
                </c:pt>
                <c:pt idx="47">
                  <c:v>613.50492416011605</c:v>
                </c:pt>
                <c:pt idx="48">
                  <c:v>631.72218485147505</c:v>
                </c:pt>
                <c:pt idx="49">
                  <c:v>649.92858547707408</c:v>
                </c:pt>
                <c:pt idx="50">
                  <c:v>668.12447283690096</c:v>
                </c:pt>
                <c:pt idx="51">
                  <c:v>653.11277730717632</c:v>
                </c:pt>
                <c:pt idx="52">
                  <c:v>669.43096390460494</c:v>
                </c:pt>
                <c:pt idx="53">
                  <c:v>685.74097494241084</c:v>
                </c:pt>
                <c:pt idx="54">
                  <c:v>702.0430321095813</c:v>
                </c:pt>
                <c:pt idx="55">
                  <c:v>718.33734596845045</c:v>
                </c:pt>
                <c:pt idx="56">
                  <c:v>704.82063350397209</c:v>
                </c:pt>
                <c:pt idx="57">
                  <c:v>719.90949559468118</c:v>
                </c:pt>
                <c:pt idx="58">
                  <c:v>734.99190481989865</c:v>
                </c:pt>
                <c:pt idx="59">
                  <c:v>750.06801214769439</c:v>
                </c:pt>
                <c:pt idx="60">
                  <c:v>765.13796198744819</c:v>
                </c:pt>
                <c:pt idx="61">
                  <c:v>752.9755506161099</c:v>
                </c:pt>
                <c:pt idx="62">
                  <c:v>766.87512760124525</c:v>
                </c:pt>
                <c:pt idx="63">
                  <c:v>780.7695966591624</c:v>
                </c:pt>
                <c:pt idx="64">
                  <c:v>794.65906142767881</c:v>
                </c:pt>
                <c:pt idx="65">
                  <c:v>808.54362162927225</c:v>
                </c:pt>
                <c:pt idx="66">
                  <c:v>796.92898573886396</c:v>
                </c:pt>
                <c:pt idx="67">
                  <c:v>809.01080631836703</c:v>
                </c:pt>
                <c:pt idx="68">
                  <c:v>821.08898815395503</c:v>
                </c:pt>
                <c:pt idx="69">
                  <c:v>833.16359227635087</c:v>
                </c:pt>
                <c:pt idx="70">
                  <c:v>845.2346778043925</c:v>
                </c:pt>
                <c:pt idx="71">
                  <c:v>835.03117111609333</c:v>
                </c:pt>
                <c:pt idx="72">
                  <c:v>846.33490763100417</c:v>
                </c:pt>
                <c:pt idx="73">
                  <c:v>857.63561322540863</c:v>
                </c:pt>
                <c:pt idx="74">
                  <c:v>868.9333334360972</c:v>
                </c:pt>
                <c:pt idx="75">
                  <c:v>880.22811252008114</c:v>
                </c:pt>
                <c:pt idx="76">
                  <c:v>870.63273487242486</c:v>
                </c:pt>
                <c:pt idx="77">
                  <c:v>880.52793423245828</c:v>
                </c:pt>
                <c:pt idx="78">
                  <c:v>890.42091000487198</c:v>
                </c:pt>
                <c:pt idx="79">
                  <c:v>900.31169035993378</c:v>
                </c:pt>
                <c:pt idx="80">
                  <c:v>910.20030279893172</c:v>
                </c:pt>
                <c:pt idx="81">
                  <c:v>901.74350856294711</c:v>
                </c:pt>
                <c:pt idx="82">
                  <c:v>910.93270711101457</c:v>
                </c:pt>
                <c:pt idx="83">
                  <c:v>920.12005837287006</c:v>
                </c:pt>
                <c:pt idx="84">
                  <c:v>929.30558338073752</c:v>
                </c:pt>
                <c:pt idx="85">
                  <c:v>938.48930271746019</c:v>
                </c:pt>
                <c:pt idx="86">
                  <c:v>930.70322186558008</c:v>
                </c:pt>
                <c:pt idx="87">
                  <c:v>938.88855421502024</c:v>
                </c:pt>
                <c:pt idx="88">
                  <c:v>947.07246879654247</c:v>
                </c:pt>
                <c:pt idx="89">
                  <c:v>955.25497958020696</c:v>
                </c:pt>
                <c:pt idx="90">
                  <c:v>963.43610027739794</c:v>
                </c:pt>
                <c:pt idx="91">
                  <c:v>956.51882037032408</c:v>
                </c:pt>
                <c:pt idx="92">
                  <c:v>964.06791801415693</c:v>
                </c:pt>
                <c:pt idx="93">
                  <c:v>971.61584434781264</c:v>
                </c:pt>
                <c:pt idx="94">
                  <c:v>979.16260974707313</c:v>
                </c:pt>
                <c:pt idx="95">
                  <c:v>986.70822441485097</c:v>
                </c:pt>
                <c:pt idx="96">
                  <c:v>980.32610529176839</c:v>
                </c:pt>
                <c:pt idx="97">
                  <c:v>986.90765245678983</c:v>
                </c:pt>
                <c:pt idx="98">
                  <c:v>993.48833196561293</c:v>
                </c:pt>
                <c:pt idx="99">
                  <c:v>1000.0681503718846</c:v>
                </c:pt>
                <c:pt idx="100">
                  <c:v>1006.6471141360392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2.6028566328464309</c:v>
                </c:pt>
                <c:pt idx="2">
                  <c:v>3.3192381323007418</c:v>
                </c:pt>
                <c:pt idx="3">
                  <c:v>4.2335673649244239</c:v>
                </c:pt>
                <c:pt idx="4">
                  <c:v>5.4007432376591966</c:v>
                </c:pt>
                <c:pt idx="5">
                  <c:v>6.8909429255574688</c:v>
                </c:pt>
                <c:pt idx="6">
                  <c:v>8.7938873723271289</c:v>
                </c:pt>
                <c:pt idx="7">
                  <c:v>11.22430116311441</c:v>
                </c:pt>
                <c:pt idx="8">
                  <c:v>14.328902100552602</c:v>
                </c:pt>
                <c:pt idx="9">
                  <c:v>18.29535019214482</c:v>
                </c:pt>
                <c:pt idx="10">
                  <c:v>23.363706754618992</c:v>
                </c:pt>
                <c:pt idx="11">
                  <c:v>29.841109482662727</c:v>
                </c:pt>
                <c:pt idx="12">
                  <c:v>38.120568269265661</c:v>
                </c:pt>
                <c:pt idx="13">
                  <c:v>48.705041690881806</c:v>
                </c:pt>
                <c:pt idx="14">
                  <c:v>62.238281280784264</c:v>
                </c:pt>
                <c:pt idx="15">
                  <c:v>79.544350412184983</c:v>
                </c:pt>
                <c:pt idx="16">
                  <c:v>105.47637761115737</c:v>
                </c:pt>
                <c:pt idx="17">
                  <c:v>131.25002331922013</c:v>
                </c:pt>
                <c:pt idx="18">
                  <c:v>156.9009744305302</c:v>
                </c:pt>
                <c:pt idx="19">
                  <c:v>182.45217779473444</c:v>
                </c:pt>
                <c:pt idx="20">
                  <c:v>207.91958930193462</c:v>
                </c:pt>
                <c:pt idx="21">
                  <c:v>206.95733341724011</c:v>
                </c:pt>
                <c:pt idx="22">
                  <c:v>232.93790576593128</c:v>
                </c:pt>
                <c:pt idx="23">
                  <c:v>258.85228437534022</c:v>
                </c:pt>
                <c:pt idx="24">
                  <c:v>284.70802611505997</c:v>
                </c:pt>
                <c:pt idx="25">
                  <c:v>310.51120209750923</c:v>
                </c:pt>
                <c:pt idx="26">
                  <c:v>298.79176087802</c:v>
                </c:pt>
                <c:pt idx="27">
                  <c:v>323.85397211441682</c:v>
                </c:pt>
                <c:pt idx="28">
                  <c:v>348.8733219942182</c:v>
                </c:pt>
                <c:pt idx="29">
                  <c:v>373.85331403914023</c:v>
                </c:pt>
                <c:pt idx="30">
                  <c:v>398.79694553728069</c:v>
                </c:pt>
                <c:pt idx="31">
                  <c:v>382.94011456745687</c:v>
                </c:pt>
                <c:pt idx="32">
                  <c:v>406.38167292741917</c:v>
                </c:pt>
                <c:pt idx="33">
                  <c:v>429.79401910497518</c:v>
                </c:pt>
                <c:pt idx="34">
                  <c:v>453.17896678730159</c:v>
                </c:pt>
                <c:pt idx="35">
                  <c:v>476.53812734890556</c:v>
                </c:pt>
                <c:pt idx="36">
                  <c:v>459.7976972867616</c:v>
                </c:pt>
                <c:pt idx="37">
                  <c:v>481.69946317062391</c:v>
                </c:pt>
                <c:pt idx="38">
                  <c:v>503.58007773701001</c:v>
                </c:pt>
                <c:pt idx="39">
                  <c:v>525.44058849744806</c:v>
                </c:pt>
                <c:pt idx="40">
                  <c:v>547.28194876789564</c:v>
                </c:pt>
                <c:pt idx="41">
                  <c:v>530.7259674051503</c:v>
                </c:pt>
                <c:pt idx="42">
                  <c:v>550.84750018630859</c:v>
                </c:pt>
                <c:pt idx="43">
                  <c:v>570.95362908309914</c:v>
                </c:pt>
                <c:pt idx="44">
                  <c:v>591.04497242439436</c:v>
                </c:pt>
                <c:pt idx="45">
                  <c:v>611.12210311064769</c:v>
                </c:pt>
                <c:pt idx="46">
                  <c:v>595.27643425250369</c:v>
                </c:pt>
                <c:pt idx="47">
                  <c:v>613.50492416011605</c:v>
                </c:pt>
                <c:pt idx="48">
                  <c:v>631.72218485147505</c:v>
                </c:pt>
                <c:pt idx="49">
                  <c:v>649.92858547707408</c:v>
                </c:pt>
                <c:pt idx="50">
                  <c:v>668.12447283690096</c:v>
                </c:pt>
                <c:pt idx="51">
                  <c:v>653.11277730717632</c:v>
                </c:pt>
                <c:pt idx="52">
                  <c:v>669.43096390460494</c:v>
                </c:pt>
                <c:pt idx="53">
                  <c:v>685.74097494241084</c:v>
                </c:pt>
                <c:pt idx="54">
                  <c:v>702.0430321095813</c:v>
                </c:pt>
                <c:pt idx="55">
                  <c:v>718.33734596845045</c:v>
                </c:pt>
                <c:pt idx="56">
                  <c:v>704.82063350397209</c:v>
                </c:pt>
                <c:pt idx="57">
                  <c:v>719.90949559468118</c:v>
                </c:pt>
                <c:pt idx="58">
                  <c:v>734.99190481989865</c:v>
                </c:pt>
                <c:pt idx="59">
                  <c:v>750.06801214769439</c:v>
                </c:pt>
                <c:pt idx="60">
                  <c:v>765.13796198744819</c:v>
                </c:pt>
                <c:pt idx="61">
                  <c:v>752.9755506161099</c:v>
                </c:pt>
                <c:pt idx="62">
                  <c:v>766.87512760124525</c:v>
                </c:pt>
                <c:pt idx="63">
                  <c:v>780.7695966591624</c:v>
                </c:pt>
                <c:pt idx="64">
                  <c:v>794.65906142767881</c:v>
                </c:pt>
                <c:pt idx="65">
                  <c:v>808.54362162927225</c:v>
                </c:pt>
                <c:pt idx="66">
                  <c:v>796.92898573886396</c:v>
                </c:pt>
                <c:pt idx="67">
                  <c:v>809.01080631836703</c:v>
                </c:pt>
                <c:pt idx="68">
                  <c:v>821.08898815395503</c:v>
                </c:pt>
                <c:pt idx="69">
                  <c:v>833.16359227635087</c:v>
                </c:pt>
                <c:pt idx="70">
                  <c:v>845.2346778043925</c:v>
                </c:pt>
                <c:pt idx="71">
                  <c:v>835.03117111609333</c:v>
                </c:pt>
                <c:pt idx="72">
                  <c:v>846.33490763100417</c:v>
                </c:pt>
                <c:pt idx="73">
                  <c:v>857.63561322540863</c:v>
                </c:pt>
                <c:pt idx="74">
                  <c:v>868.9333334360972</c:v>
                </c:pt>
                <c:pt idx="75">
                  <c:v>880.22811252008114</c:v>
                </c:pt>
                <c:pt idx="76">
                  <c:v>870.63273487242486</c:v>
                </c:pt>
                <c:pt idx="77">
                  <c:v>880.52793423245828</c:v>
                </c:pt>
                <c:pt idx="78">
                  <c:v>890.42091000487198</c:v>
                </c:pt>
                <c:pt idx="79">
                  <c:v>900.31169035993378</c:v>
                </c:pt>
                <c:pt idx="80">
                  <c:v>910.20030279893172</c:v>
                </c:pt>
                <c:pt idx="81">
                  <c:v>901.74350856294711</c:v>
                </c:pt>
                <c:pt idx="82">
                  <c:v>910.93270711101457</c:v>
                </c:pt>
                <c:pt idx="83">
                  <c:v>920.12005837287006</c:v>
                </c:pt>
                <c:pt idx="84">
                  <c:v>929.30558338073752</c:v>
                </c:pt>
                <c:pt idx="85">
                  <c:v>938.48930271746019</c:v>
                </c:pt>
                <c:pt idx="86">
                  <c:v>930.70322186558008</c:v>
                </c:pt>
                <c:pt idx="87">
                  <c:v>938.88855421502024</c:v>
                </c:pt>
                <c:pt idx="88">
                  <c:v>947.07246879654247</c:v>
                </c:pt>
                <c:pt idx="89">
                  <c:v>955.25497958020696</c:v>
                </c:pt>
                <c:pt idx="90">
                  <c:v>963.43610027739794</c:v>
                </c:pt>
                <c:pt idx="91">
                  <c:v>956.51882037032408</c:v>
                </c:pt>
                <c:pt idx="92">
                  <c:v>964.06791801415693</c:v>
                </c:pt>
                <c:pt idx="93">
                  <c:v>971.61584434781264</c:v>
                </c:pt>
                <c:pt idx="94">
                  <c:v>979.16260974707313</c:v>
                </c:pt>
                <c:pt idx="95">
                  <c:v>986.70822441485097</c:v>
                </c:pt>
                <c:pt idx="96">
                  <c:v>980.32610529176839</c:v>
                </c:pt>
                <c:pt idx="97">
                  <c:v>986.90765245678983</c:v>
                </c:pt>
                <c:pt idx="98">
                  <c:v>993.48833196561293</c:v>
                </c:pt>
                <c:pt idx="99">
                  <c:v>1000.0681503718846</c:v>
                </c:pt>
                <c:pt idx="100">
                  <c:v>1006.6471141360392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2.2084264557255353</c:v>
                </c:pt>
                <c:pt idx="2">
                  <c:v>2.8158956746193788</c:v>
                </c:pt>
                <c:pt idx="3">
                  <c:v>3.5911263307906527</c:v>
                </c:pt>
                <c:pt idx="4">
                  <c:v>4.5806215721808767</c:v>
                </c:pt>
                <c:pt idx="5">
                  <c:v>5.8438201204025617</c:v>
                </c:pt>
                <c:pt idx="6">
                  <c:v>7.456706131855003</c:v>
                </c:pt>
                <c:pt idx="7">
                  <c:v>9.5164294393826854</c:v>
                </c:pt>
                <c:pt idx="8">
                  <c:v>12.147219743797459</c:v>
                </c:pt>
                <c:pt idx="9">
                  <c:v>15.507958106953255</c:v>
                </c:pt>
                <c:pt idx="10">
                  <c:v>19.801871377522303</c:v>
                </c:pt>
                <c:pt idx="11">
                  <c:v>25.288946313728459</c:v>
                </c:pt>
                <c:pt idx="12">
                  <c:v>32.301828309899548</c:v>
                </c:pt>
                <c:pt idx="13">
                  <c:v>41.266185251096459</c:v>
                </c:pt>
                <c:pt idx="14">
                  <c:v>52.726793541972967</c:v>
                </c:pt>
                <c:pt idx="15">
                  <c:v>67.380958017549631</c:v>
                </c:pt>
                <c:pt idx="16">
                  <c:v>89.336953064344058</c:v>
                </c:pt>
                <c:pt idx="17">
                  <c:v>111.15673210374634</c:v>
                </c:pt>
                <c:pt idx="18">
                  <c:v>132.87098765045849</c:v>
                </c:pt>
                <c:pt idx="19">
                  <c:v>154.49945514340828</c:v>
                </c:pt>
                <c:pt idx="20">
                  <c:v>176.05585744649588</c:v>
                </c:pt>
                <c:pt idx="21">
                  <c:v>175.24139313640828</c:v>
                </c:pt>
                <c:pt idx="22">
                  <c:v>197.2311713584584</c:v>
                </c:pt>
                <c:pt idx="23">
                  <c:v>219.16401965247465</c:v>
                </c:pt>
                <c:pt idx="24">
                  <c:v>241.0464373044432</c:v>
                </c:pt>
                <c:pt idx="25">
                  <c:v>262.88364577483509</c:v>
                </c:pt>
                <c:pt idx="26">
                  <c:v>252.96557639581121</c:v>
                </c:pt>
                <c:pt idx="27">
                  <c:v>274.17536103327205</c:v>
                </c:pt>
                <c:pt idx="28">
                  <c:v>295.34828275933256</c:v>
                </c:pt>
                <c:pt idx="29">
                  <c:v>316.48735477798039</c:v>
                </c:pt>
                <c:pt idx="30">
                  <c:v>337.59515490696032</c:v>
                </c:pt>
                <c:pt idx="31">
                  <c:v>324.17684344508876</c:v>
                </c:pt>
                <c:pt idx="32">
                  <c:v>344.01340878610813</c:v>
                </c:pt>
                <c:pt idx="33">
                  <c:v>363.82485018851708</c:v>
                </c:pt>
                <c:pt idx="34">
                  <c:v>383.61272751404255</c:v>
                </c:pt>
                <c:pt idx="35">
                  <c:v>403.3784266253918</c:v>
                </c:pt>
                <c:pt idx="36">
                  <c:v>389.21329963076124</c:v>
                </c:pt>
                <c:pt idx="37">
                  <c:v>407.74572095503527</c:v>
                </c:pt>
                <c:pt idx="38">
                  <c:v>426.25995108789454</c:v>
                </c:pt>
                <c:pt idx="39">
                  <c:v>444.75689094166961</c:v>
                </c:pt>
                <c:pt idx="40">
                  <c:v>463.23736041578644</c:v>
                </c:pt>
                <c:pt idx="41">
                  <c:v>449.22899368924453</c:v>
                </c:pt>
                <c:pt idx="42">
                  <c:v>466.25422971249719</c:v>
                </c:pt>
                <c:pt idx="43">
                  <c:v>483.26621762440277</c:v>
                </c:pt>
                <c:pt idx="44">
                  <c:v>500.26548921873132</c:v>
                </c:pt>
                <c:pt idx="45">
                  <c:v>517.25253721854097</c:v>
                </c:pt>
                <c:pt idx="46">
                  <c:v>503.84570057422633</c:v>
                </c:pt>
                <c:pt idx="47">
                  <c:v>519.26860409164908</c:v>
                </c:pt>
                <c:pt idx="48">
                  <c:v>534.68184992119802</c:v>
                </c:pt>
                <c:pt idx="49">
                  <c:v>550.08575555076936</c:v>
                </c:pt>
                <c:pt idx="50">
                  <c:v>565.48061924570618</c:v>
                </c:pt>
                <c:pt idx="51">
                  <c:v>552.77979233695976</c:v>
                </c:pt>
                <c:pt idx="52">
                  <c:v>566.58598722009697</c:v>
                </c:pt>
                <c:pt idx="53">
                  <c:v>580.38515071286406</c:v>
                </c:pt>
                <c:pt idx="54">
                  <c:v>594.17747347888326</c:v>
                </c:pt>
                <c:pt idx="55">
                  <c:v>607.96313661229738</c:v>
                </c:pt>
                <c:pt idx="56">
                  <c:v>596.52744667401203</c:v>
                </c:pt>
                <c:pt idx="57">
                  <c:v>609.29323455429187</c:v>
                </c:pt>
                <c:pt idx="58">
                  <c:v>622.05347264735565</c:v>
                </c:pt>
                <c:pt idx="59">
                  <c:v>634.80829079329794</c:v>
                </c:pt>
                <c:pt idx="60">
                  <c:v>647.55781319141101</c:v>
                </c:pt>
                <c:pt idx="61">
                  <c:v>637.26814153100099</c:v>
                </c:pt>
                <c:pt idx="62">
                  <c:v>649.02748958618656</c:v>
                </c:pt>
                <c:pt idx="63">
                  <c:v>660.7824445683699</c:v>
                </c:pt>
                <c:pt idx="64">
                  <c:v>672.53309561126025</c:v>
                </c:pt>
                <c:pt idx="65">
                  <c:v>684.27952848117877</c:v>
                </c:pt>
                <c:pt idx="66">
                  <c:v>674.45347177246526</c:v>
                </c:pt>
                <c:pt idx="67">
                  <c:v>684.6747687407227</c:v>
                </c:pt>
                <c:pt idx="68">
                  <c:v>694.89293620713477</c:v>
                </c:pt>
                <c:pt idx="69">
                  <c:v>705.10802666117797</c:v>
                </c:pt>
                <c:pt idx="70">
                  <c:v>715.32009094801003</c:v>
                </c:pt>
                <c:pt idx="71">
                  <c:v>706.68799011300507</c:v>
                </c:pt>
                <c:pt idx="72">
                  <c:v>716.25087619847045</c:v>
                </c:pt>
                <c:pt idx="73">
                  <c:v>725.81115554063729</c:v>
                </c:pt>
                <c:pt idx="74">
                  <c:v>735.36886730342303</c:v>
                </c:pt>
                <c:pt idx="75">
                  <c:v>744.92404955007294</c:v>
                </c:pt>
                <c:pt idx="76">
                  <c:v>736.80653332664644</c:v>
                </c:pt>
                <c:pt idx="77">
                  <c:v>745.1776928287253</c:v>
                </c:pt>
                <c:pt idx="78">
                  <c:v>753.54693993418562</c:v>
                </c:pt>
                <c:pt idx="79">
                  <c:v>761.9142988708677</c:v>
                </c:pt>
                <c:pt idx="80">
                  <c:v>770.27979329125446</c:v>
                </c:pt>
                <c:pt idx="81">
                  <c:v>763.12557960986169</c:v>
                </c:pt>
                <c:pt idx="82">
                  <c:v>770.89938601187487</c:v>
                </c:pt>
                <c:pt idx="83">
                  <c:v>778.67160365530992</c:v>
                </c:pt>
                <c:pt idx="84">
                  <c:v>786.44225062893213</c:v>
                </c:pt>
                <c:pt idx="85">
                  <c:v>794.2113446350163</c:v>
                </c:pt>
                <c:pt idx="86">
                  <c:v>787.62460381073254</c:v>
                </c:pt>
                <c:pt idx="87">
                  <c:v>794.54909637203616</c:v>
                </c:pt>
                <c:pt idx="88">
                  <c:v>801.47236958198619</c:v>
                </c:pt>
                <c:pt idx="89">
                  <c:v>808.39443545553468</c:v>
                </c:pt>
                <c:pt idx="90">
                  <c:v>815.31530578515731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7.1109484771487343</c:v>
                </c:pt>
                <c:pt idx="2">
                  <c:v>13.902956272504184</c:v>
                </c:pt>
                <c:pt idx="3">
                  <c:v>20.591962237461122</c:v>
                </c:pt>
                <c:pt idx="4">
                  <c:v>27.217475477572183</c:v>
                </c:pt>
                <c:pt idx="5">
                  <c:v>33.797402814667969</c:v>
                </c:pt>
                <c:pt idx="6">
                  <c:v>40.341959047551335</c:v>
                </c:pt>
                <c:pt idx="7">
                  <c:v>46.85772926204951</c:v>
                </c:pt>
                <c:pt idx="8">
                  <c:v>53.349300230420219</c:v>
                </c:pt>
                <c:pt idx="9">
                  <c:v>59.820043288621314</c:v>
                </c:pt>
                <c:pt idx="10">
                  <c:v>66.272536635761469</c:v>
                </c:pt>
                <c:pt idx="11">
                  <c:v>72.708812992429259</c:v>
                </c:pt>
                <c:pt idx="12">
                  <c:v>79.130514295439681</c:v>
                </c:pt>
                <c:pt idx="13">
                  <c:v>85.538993220444425</c:v>
                </c:pt>
                <c:pt idx="14">
                  <c:v>91.935382517505545</c:v>
                </c:pt>
                <c:pt idx="15">
                  <c:v>98.320643945681795</c:v>
                </c:pt>
                <c:pt idx="16">
                  <c:v>104.69560377467076</c:v>
                </c:pt>
                <c:pt idx="17">
                  <c:v>111.06097915284364</c:v>
                </c:pt>
                <c:pt idx="18">
                  <c:v>117.41739809202976</c:v>
                </c:pt>
                <c:pt idx="19">
                  <c:v>123.7654148839167</c:v>
                </c:pt>
                <c:pt idx="20">
                  <c:v>130.10552217830414</c:v>
                </c:pt>
                <c:pt idx="21">
                  <c:v>136.4381605770578</c:v>
                </c:pt>
                <c:pt idx="22">
                  <c:v>142.7637263488671</c:v>
                </c:pt>
                <c:pt idx="23">
                  <c:v>149.08257770166853</c:v>
                </c:pt>
                <c:pt idx="24">
                  <c:v>155.39503993343254</c:v>
                </c:pt>
                <c:pt idx="25">
                  <c:v>161.70140970029556</c:v>
                </c:pt>
                <c:pt idx="26">
                  <c:v>168.00195858256848</c:v>
                </c:pt>
                <c:pt idx="27">
                  <c:v>174.29693608669686</c:v>
                </c:pt>
                <c:pt idx="28">
                  <c:v>180.58657218998462</c:v>
                </c:pt>
                <c:pt idx="29">
                  <c:v>186.87107951156952</c:v>
                </c:pt>
                <c:pt idx="30">
                  <c:v>193.15065517554152</c:v>
                </c:pt>
                <c:pt idx="31">
                  <c:v>199.42548241866658</c:v>
                </c:pt>
                <c:pt idx="32">
                  <c:v>205.69573198483519</c:v>
                </c:pt>
                <c:pt idx="33">
                  <c:v>211.96156334030786</c:v>
                </c:pt>
                <c:pt idx="34">
                  <c:v>218.22312573751947</c:v>
                </c:pt>
                <c:pt idx="35">
                  <c:v>224.48055915021379</c:v>
                </c:pt>
                <c:pt idx="36">
                  <c:v>230.73399509870114</c:v>
                </c:pt>
                <c:pt idx="37">
                  <c:v>236.98355738084277</c:v>
                </c:pt>
                <c:pt idx="38">
                  <c:v>243.22936272178819</c:v>
                </c:pt>
                <c:pt idx="39">
                  <c:v>249.47152135339448</c:v>
                </c:pt>
                <c:pt idx="40">
                  <c:v>255.71013753254616</c:v>
                </c:pt>
                <c:pt idx="41">
                  <c:v>261.94531000618412</c:v>
                </c:pt>
                <c:pt idx="42">
                  <c:v>268.17713242968824</c:v>
                </c:pt>
                <c:pt idx="43">
                  <c:v>220.04863099792124</c:v>
                </c:pt>
                <c:pt idx="44">
                  <c:v>234.38003621441283</c:v>
                </c:pt>
                <c:pt idx="45">
                  <c:v>248.69144733562243</c:v>
                </c:pt>
                <c:pt idx="46">
                  <c:v>262.98417726074234</c:v>
                </c:pt>
                <c:pt idx="47">
                  <c:v>277.25938446025492</c:v>
                </c:pt>
                <c:pt idx="48">
                  <c:v>291.51809832598582</c:v>
                </c:pt>
                <c:pt idx="49">
                  <c:v>305.76123929755039</c:v>
                </c:pt>
                <c:pt idx="50">
                  <c:v>319.98963503972249</c:v>
                </c:pt>
                <c:pt idx="51">
                  <c:v>263.76326689306092</c:v>
                </c:pt>
                <c:pt idx="52">
                  <c:v>280.11241578986937</c:v>
                </c:pt>
                <c:pt idx="53">
                  <c:v>296.44017298274048</c:v>
                </c:pt>
                <c:pt idx="54">
                  <c:v>312.74788247766895</c:v>
                </c:pt>
                <c:pt idx="55">
                  <c:v>329.03673666277251</c:v>
                </c:pt>
                <c:pt idx="56">
                  <c:v>345.30780022911995</c:v>
                </c:pt>
                <c:pt idx="57">
                  <c:v>361.56202934502903</c:v>
                </c:pt>
                <c:pt idx="58">
                  <c:v>377.80028720100808</c:v>
                </c:pt>
                <c:pt idx="59">
                  <c:v>301.10150947537892</c:v>
                </c:pt>
                <c:pt idx="60">
                  <c:v>315.33464494464727</c:v>
                </c:pt>
                <c:pt idx="61">
                  <c:v>329.55354647114376</c:v>
                </c:pt>
                <c:pt idx="62">
                  <c:v>343.75891472050535</c:v>
                </c:pt>
                <c:pt idx="63">
                  <c:v>357.95138771762305</c:v>
                </c:pt>
                <c:pt idx="64">
                  <c:v>372.13154876074577</c:v>
                </c:pt>
                <c:pt idx="65">
                  <c:v>386.29993306601608</c:v>
                </c:pt>
                <c:pt idx="66">
                  <c:v>400.45703338613856</c:v>
                </c:pt>
                <c:pt idx="67">
                  <c:v>334.92157377747577</c:v>
                </c:pt>
                <c:pt idx="68">
                  <c:v>347.77422904681885</c:v>
                </c:pt>
                <c:pt idx="69">
                  <c:v>360.61646167798062</c:v>
                </c:pt>
                <c:pt idx="70">
                  <c:v>373.44869518603531</c:v>
                </c:pt>
                <c:pt idx="71">
                  <c:v>386.27132160163336</c:v>
                </c:pt>
                <c:pt idx="72">
                  <c:v>399.08470480114869</c:v>
                </c:pt>
                <c:pt idx="73">
                  <c:v>411.88918338676103</c:v>
                </c:pt>
                <c:pt idx="74">
                  <c:v>424.68507318968665</c:v>
                </c:pt>
                <c:pt idx="75">
                  <c:v>437.47266945596539</c:v>
                </c:pt>
                <c:pt idx="76">
                  <c:v>373.44869518603531</c:v>
                </c:pt>
                <c:pt idx="77">
                  <c:v>385.58463263442172</c:v>
                </c:pt>
                <c:pt idx="78">
                  <c:v>397.71227401631944</c:v>
                </c:pt>
                <c:pt idx="79">
                  <c:v>409.83190799042342</c:v>
                </c:pt>
                <c:pt idx="80">
                  <c:v>421.94380474791905</c:v>
                </c:pt>
                <c:pt idx="81">
                  <c:v>434.04821770141439</c:v>
                </c:pt>
                <c:pt idx="82">
                  <c:v>446.14538497564104</c:v>
                </c:pt>
                <c:pt idx="83">
                  <c:v>458.23553072804179</c:v>
                </c:pt>
                <c:pt idx="84">
                  <c:v>470.3188663227283</c:v>
                </c:pt>
                <c:pt idx="85">
                  <c:v>408.23165074857002</c:v>
                </c:pt>
                <c:pt idx="86">
                  <c:v>420.11607952614742</c:v>
                </c:pt>
                <c:pt idx="87">
                  <c:v>431.99326844480362</c:v>
                </c:pt>
                <c:pt idx="88">
                  <c:v>443.86344462507458</c:v>
                </c:pt>
                <c:pt idx="89">
                  <c:v>455.72682204807649</c:v>
                </c:pt>
                <c:pt idx="90">
                  <c:v>467.58360264515653</c:v>
                </c:pt>
                <c:pt idx="91">
                  <c:v>479.43397727126518</c:v>
                </c:pt>
                <c:pt idx="92">
                  <c:v>491.27812657708233</c:v>
                </c:pt>
                <c:pt idx="93">
                  <c:v>503.11622179266845</c:v>
                </c:pt>
                <c:pt idx="94">
                  <c:v>444.86752926426306</c:v>
                </c:pt>
                <c:pt idx="95">
                  <c:v>456.36543036921802</c:v>
                </c:pt>
                <c:pt idx="96">
                  <c:v>467.85714432496076</c:v>
                </c:pt>
                <c:pt idx="97">
                  <c:v>479.34284452811448</c:v>
                </c:pt>
                <c:pt idx="98">
                  <c:v>490.8226953877404</c:v>
                </c:pt>
                <c:pt idx="99">
                  <c:v>502.29685299496037</c:v>
                </c:pt>
                <c:pt idx="100">
                  <c:v>513.7654657282111</c:v>
                </c:pt>
                <c:pt idx="101">
                  <c:v>525.22867480165019</c:v>
                </c:pt>
                <c:pt idx="102">
                  <c:v>536.68661476319767</c:v>
                </c:pt>
                <c:pt idx="103">
                  <c:v>548.13941394784194</c:v>
                </c:pt>
                <c:pt idx="104">
                  <c:v>482.6233918117494</c:v>
                </c:pt>
                <c:pt idx="105">
                  <c:v>494.92125451676355</c:v>
                </c:pt>
                <c:pt idx="106">
                  <c:v>507.21264330953437</c:v>
                </c:pt>
                <c:pt idx="107">
                  <c:v>519.49773716244033</c:v>
                </c:pt>
                <c:pt idx="108">
                  <c:v>531.77670589409706</c:v>
                </c:pt>
                <c:pt idx="109">
                  <c:v>544.04971084254657</c:v>
                </c:pt>
                <c:pt idx="110">
                  <c:v>556.31690547455264</c:v>
                </c:pt>
                <c:pt idx="111">
                  <c:v>568.57843593837265</c:v>
                </c:pt>
                <c:pt idx="112">
                  <c:v>580.83444156637972</c:v>
                </c:pt>
                <c:pt idx="113">
                  <c:v>593.08505533307027</c:v>
                </c:pt>
                <c:pt idx="114">
                  <c:v>520.31652380860442</c:v>
                </c:pt>
                <c:pt idx="115">
                  <c:v>533.41344770062381</c:v>
                </c:pt>
                <c:pt idx="116">
                  <c:v>546.50360981545759</c:v>
                </c:pt>
                <c:pt idx="117">
                  <c:v>559.58719489109501</c:v>
                </c:pt>
                <c:pt idx="118">
                  <c:v>572.66437832506824</c:v>
                </c:pt>
                <c:pt idx="119">
                  <c:v>585.73532685368571</c:v>
                </c:pt>
                <c:pt idx="120">
                  <c:v>598.80019916750507</c:v>
                </c:pt>
                <c:pt idx="121">
                  <c:v>611.8591464703203</c:v>
                </c:pt>
                <c:pt idx="122">
                  <c:v>624.91231298796504</c:v>
                </c:pt>
                <c:pt idx="123">
                  <c:v>637.95983643241436</c:v>
                </c:pt>
                <c:pt idx="124">
                  <c:v>557.67957485482145</c:v>
                </c:pt>
                <c:pt idx="125">
                  <c:v>569.25946882644041</c:v>
                </c:pt>
                <c:pt idx="126">
                  <c:v>580.8344415663795</c:v>
                </c:pt>
                <c:pt idx="127">
                  <c:v>592.4046049468202</c:v>
                </c:pt>
                <c:pt idx="128">
                  <c:v>603.97006611473478</c:v>
                </c:pt>
                <c:pt idx="129">
                  <c:v>615.53092778003781</c:v>
                </c:pt>
                <c:pt idx="130">
                  <c:v>627.08728848096803</c:v>
                </c:pt>
                <c:pt idx="131">
                  <c:v>638.63924282890332</c:v>
                </c:pt>
                <c:pt idx="132">
                  <c:v>650.18688173454314</c:v>
                </c:pt>
                <c:pt idx="133">
                  <c:v>661.73029261719751</c:v>
                </c:pt>
                <c:pt idx="134">
                  <c:v>673.26955959871862</c:v>
                </c:pt>
                <c:pt idx="135">
                  <c:v>684.80476368345137</c:v>
                </c:pt>
                <c:pt idx="136">
                  <c:v>598.86822973926485</c:v>
                </c:pt>
                <c:pt idx="137">
                  <c:v>610.77112360058561</c:v>
                </c:pt>
                <c:pt idx="138">
                  <c:v>622.66920534201552</c:v>
                </c:pt>
                <c:pt idx="139">
                  <c:v>634.56257984306603</c:v>
                </c:pt>
                <c:pt idx="140">
                  <c:v>646.45134773264078</c:v>
                </c:pt>
                <c:pt idx="141">
                  <c:v>658.33560563795163</c:v>
                </c:pt>
                <c:pt idx="142">
                  <c:v>670.2154464145359</c:v>
                </c:pt>
                <c:pt idx="143">
                  <c:v>682.09095935912319</c:v>
                </c:pt>
                <c:pt idx="144">
                  <c:v>693.96223040691609</c:v>
                </c:pt>
                <c:pt idx="145">
                  <c:v>705.82934231467698</c:v>
                </c:pt>
                <c:pt idx="146">
                  <c:v>717.69237483086954</c:v>
                </c:pt>
                <c:pt idx="147">
                  <c:v>729.55140485397021</c:v>
                </c:pt>
                <c:pt idx="148">
                  <c:v>643.90413751413007</c:v>
                </c:pt>
                <c:pt idx="149">
                  <c:v>655.95911034601727</c:v>
                </c:pt>
                <c:pt idx="150">
                  <c:v>668.00952012933124</c:v>
                </c:pt>
                <c:pt idx="151">
                  <c:v>680.05546074316146</c:v>
                </c:pt>
                <c:pt idx="152">
                  <c:v>692.09702247115467</c:v>
                </c:pt>
                <c:pt idx="153">
                  <c:v>704.13429220068656</c:v>
                </c:pt>
                <c:pt idx="154">
                  <c:v>716.16735360771088</c:v>
                </c:pt>
                <c:pt idx="155">
                  <c:v>728.19628732854835</c:v>
                </c:pt>
                <c:pt idx="156">
                  <c:v>740.22117111974205</c:v>
                </c:pt>
                <c:pt idx="157">
                  <c:v>752.24208000699093</c:v>
                </c:pt>
                <c:pt idx="158">
                  <c:v>764.25908642407524</c:v>
                </c:pt>
                <c:pt idx="159">
                  <c:v>776.27226034259741</c:v>
                </c:pt>
                <c:pt idx="160">
                  <c:v>691.07959292495491</c:v>
                </c:pt>
                <c:pt idx="161">
                  <c:v>703.45624879439185</c:v>
                </c:pt>
                <c:pt idx="162">
                  <c:v>715.82845100170573</c:v>
                </c:pt>
                <c:pt idx="163">
                  <c:v>728.19628732854835</c:v>
                </c:pt>
                <c:pt idx="164">
                  <c:v>740.55984233336528</c:v>
                </c:pt>
                <c:pt idx="165">
                  <c:v>752.91919752270348</c:v>
                </c:pt>
                <c:pt idx="166">
                  <c:v>765.2744315106944</c:v>
                </c:pt>
                <c:pt idx="167">
                  <c:v>777.62562016770914</c:v>
                </c:pt>
                <c:pt idx="168">
                  <c:v>789.97283675908648</c:v>
                </c:pt>
                <c:pt idx="169">
                  <c:v>802.31615207474158</c:v>
                </c:pt>
                <c:pt idx="170">
                  <c:v>814.65563455039228</c:v>
                </c:pt>
                <c:pt idx="171">
                  <c:v>826.9913503810634</c:v>
                </c:pt>
                <c:pt idx="172">
                  <c:v>826.9913503810634</c:v>
                </c:pt>
                <c:pt idx="173">
                  <c:v>826.9913503810634</c:v>
                </c:pt>
                <c:pt idx="174">
                  <c:v>826.9913503810634</c:v>
                </c:pt>
                <c:pt idx="175">
                  <c:v>826.9913503810634</c:v>
                </c:pt>
                <c:pt idx="176">
                  <c:v>826.9913503810634</c:v>
                </c:pt>
                <c:pt idx="177">
                  <c:v>826.9913503810634</c:v>
                </c:pt>
                <c:pt idx="178">
                  <c:v>826.9913503810634</c:v>
                </c:pt>
                <c:pt idx="179">
                  <c:v>826.9913503810634</c:v>
                </c:pt>
                <c:pt idx="180">
                  <c:v>826.9913503810634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2.5536744325430618</c:v>
                </c:pt>
                <c:pt idx="2">
                  <c:v>3.2564722550063849</c:v>
                </c:pt>
                <c:pt idx="3">
                  <c:v>4.1534521044623327</c:v>
                </c:pt>
                <c:pt idx="4">
                  <c:v>5.2984653110050317</c:v>
                </c:pt>
                <c:pt idx="5">
                  <c:v>6.7603491087480618</c:v>
                </c:pt>
                <c:pt idx="6">
                  <c:v>8.6271102994834354</c:v>
                </c:pt>
                <c:pt idx="7">
                  <c:v>11.011280319093535</c:v>
                </c:pt>
                <c:pt idx="8">
                  <c:v>14.056770574891258</c:v>
                </c:pt>
                <c:pt idx="9">
                  <c:v>17.947649476607882</c:v>
                </c:pt>
                <c:pt idx="10">
                  <c:v>22.919381243851671</c:v>
                </c:pt>
                <c:pt idx="11">
                  <c:v>29.273218716417393</c:v>
                </c:pt>
                <c:pt idx="12">
                  <c:v>37.394637487582663</c:v>
                </c:pt>
                <c:pt idx="13">
                  <c:v>47.776948872421904</c:v>
                </c:pt>
                <c:pt idx="14">
                  <c:v>61.051550102898226</c:v>
                </c:pt>
                <c:pt idx="15">
                  <c:v>78.026681717112226</c:v>
                </c:pt>
                <c:pt idx="16">
                  <c:v>103.46250949744716</c:v>
                </c:pt>
                <c:pt idx="17">
                  <c:v>128.74270297836003</c:v>
                </c:pt>
                <c:pt idx="18">
                  <c:v>153.90233005028915</c:v>
                </c:pt>
                <c:pt idx="19">
                  <c:v>178.96393954042523</c:v>
                </c:pt>
                <c:pt idx="20">
                  <c:v>203.94321057745546</c:v>
                </c:pt>
                <c:pt idx="21">
                  <c:v>202.99940100713141</c:v>
                </c:pt>
                <c:pt idx="22">
                  <c:v>228.48186600542286</c:v>
                </c:pt>
                <c:pt idx="23">
                  <c:v>253.89928542180857</c:v>
                </c:pt>
                <c:pt idx="24">
                  <c:v>279.25908504889964</c:v>
                </c:pt>
                <c:pt idx="25">
                  <c:v>304.56723069319656</c:v>
                </c:pt>
                <c:pt idx="26">
                  <c:v>293.07263668278028</c:v>
                </c:pt>
                <c:pt idx="27">
                  <c:v>317.65398661193501</c:v>
                </c:pt>
                <c:pt idx="28">
                  <c:v>342.19321863218693</c:v>
                </c:pt>
                <c:pt idx="29">
                  <c:v>366.69377549524057</c:v>
                </c:pt>
                <c:pt idx="30">
                  <c:v>391.15860250001066</c:v>
                </c:pt>
                <c:pt idx="31">
                  <c:v>375.60615822359955</c:v>
                </c:pt>
                <c:pt idx="32">
                  <c:v>398.59772495133228</c:v>
                </c:pt>
                <c:pt idx="33">
                  <c:v>421.56058619386391</c:v>
                </c:pt>
                <c:pt idx="34">
                  <c:v>444.49652417922852</c:v>
                </c:pt>
                <c:pt idx="35">
                  <c:v>467.40712233198587</c:v>
                </c:pt>
                <c:pt idx="36">
                  <c:v>450.98816094351508</c:v>
                </c:pt>
                <c:pt idx="37">
                  <c:v>472.46933961378596</c:v>
                </c:pt>
                <c:pt idx="38">
                  <c:v>493.92973384479984</c:v>
                </c:pt>
                <c:pt idx="39">
                  <c:v>515.3703729785708</c:v>
                </c:pt>
                <c:pt idx="40">
                  <c:v>536.79219379540211</c:v>
                </c:pt>
                <c:pt idx="41">
                  <c:v>520.55423096934658</c:v>
                </c:pt>
                <c:pt idx="42">
                  <c:v>540.28925309446925</c:v>
                </c:pt>
                <c:pt idx="43">
                  <c:v>560.00913852187409</c:v>
                </c:pt>
                <c:pt idx="44">
                  <c:v>579.71449485526739</c:v>
                </c:pt>
                <c:pt idx="45">
                  <c:v>599.40588505791129</c:v>
                </c:pt>
                <c:pt idx="46">
                  <c:v>583.86466008094919</c:v>
                </c:pt>
                <c:pt idx="47">
                  <c:v>601.74292342066121</c:v>
                </c:pt>
                <c:pt idx="48">
                  <c:v>619.61015231945055</c:v>
                </c:pt>
                <c:pt idx="49">
                  <c:v>637.46670952474528</c:v>
                </c:pt>
                <c:pt idx="50">
                  <c:v>655.3129358211462</c:v>
                </c:pt>
                <c:pt idx="51">
                  <c:v>640.5897137705806</c:v>
                </c:pt>
                <c:pt idx="52">
                  <c:v>656.59431997733589</c:v>
                </c:pt>
                <c:pt idx="53">
                  <c:v>672.59089243288122</c:v>
                </c:pt>
                <c:pt idx="54">
                  <c:v>688.5796489809178</c:v>
                </c:pt>
                <c:pt idx="55">
                  <c:v>704.56079653149027</c:v>
                </c:pt>
                <c:pt idx="56">
                  <c:v>691.30386766523407</c:v>
                </c:pt>
                <c:pt idx="57">
                  <c:v>706.10272969198661</c:v>
                </c:pt>
                <c:pt idx="58">
                  <c:v>720.89525078082863</c:v>
                </c:pt>
                <c:pt idx="59">
                  <c:v>735.6815792812273</c:v>
                </c:pt>
                <c:pt idx="60">
                  <c:v>750.46185709772237</c:v>
                </c:pt>
                <c:pt idx="61">
                  <c:v>738.53323042893624</c:v>
                </c:pt>
                <c:pt idx="62">
                  <c:v>752.16563047732006</c:v>
                </c:pt>
                <c:pt idx="63">
                  <c:v>765.7930111975644</c:v>
                </c:pt>
                <c:pt idx="64">
                  <c:v>779.41547442984631</c:v>
                </c:pt>
                <c:pt idx="65">
                  <c:v>793.03311816691712</c:v>
                </c:pt>
                <c:pt idx="66">
                  <c:v>781.64176239359313</c:v>
                </c:pt>
                <c:pt idx="67">
                  <c:v>793.49132155023483</c:v>
                </c:pt>
                <c:pt idx="68">
                  <c:v>805.33730507845723</c:v>
                </c:pt>
                <c:pt idx="69">
                  <c:v>817.17977295038065</c:v>
                </c:pt>
                <c:pt idx="70">
                  <c:v>829.01878325940254</c:v>
                </c:pt>
                <c:pt idx="71">
                  <c:v>819.01144668624249</c:v>
                </c:pt>
                <c:pt idx="72">
                  <c:v>830.09786005847764</c:v>
                </c:pt>
                <c:pt idx="73">
                  <c:v>841.18129508275786</c:v>
                </c:pt>
                <c:pt idx="74">
                  <c:v>852.26179650601841</c:v>
                </c:pt>
                <c:pt idx="75">
                  <c:v>863.33940781761555</c:v>
                </c:pt>
                <c:pt idx="76">
                  <c:v>853.92852344297637</c:v>
                </c:pt>
                <c:pt idx="77">
                  <c:v>863.63346470216413</c:v>
                </c:pt>
                <c:pt idx="78">
                  <c:v>873.33622094276518</c:v>
                </c:pt>
                <c:pt idx="79">
                  <c:v>883.03681984642299</c:v>
                </c:pt>
                <c:pt idx="80">
                  <c:v>892.73528843740371</c:v>
                </c:pt>
                <c:pt idx="81">
                  <c:v>884.44110648855542</c:v>
                </c:pt>
                <c:pt idx="82">
                  <c:v>893.45360950300517</c:v>
                </c:pt>
                <c:pt idx="83">
                  <c:v>902.46429727317536</c:v>
                </c:pt>
                <c:pt idx="84">
                  <c:v>911.47319046647726</c:v>
                </c:pt>
                <c:pt idx="85">
                  <c:v>920.48030930873574</c:v>
                </c:pt>
                <c:pt idx="86">
                  <c:v>912.84395295136176</c:v>
                </c:pt>
                <c:pt idx="87">
                  <c:v>920.87188322897543</c:v>
                </c:pt>
                <c:pt idx="88">
                  <c:v>928.89842033043294</c:v>
                </c:pt>
                <c:pt idx="89">
                  <c:v>936.92357798347882</c:v>
                </c:pt>
                <c:pt idx="90">
                  <c:v>944.94736966166693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2.5392449820888379</c:v>
                </c:pt>
                <c:pt idx="2">
                  <c:v>2.9371448120101378</c:v>
                </c:pt>
                <c:pt idx="3">
                  <c:v>3.397621018583548</c:v>
                </c:pt>
                <c:pt idx="4">
                  <c:v>3.930548293283227</c:v>
                </c:pt>
                <c:pt idx="5">
                  <c:v>4.5473645398252769</c:v>
                </c:pt>
                <c:pt idx="6">
                  <c:v>5.2613190711054711</c:v>
                </c:pt>
                <c:pt idx="7">
                  <c:v>6.087760321095117</c:v>
                </c:pt>
                <c:pt idx="8">
                  <c:v>7.0444693786141031</c:v>
                </c:pt>
                <c:pt idx="9">
                  <c:v>8.1520466588519103</c:v>
                </c:pt>
                <c:pt idx="10">
                  <c:v>9.4343601992040806</c:v>
                </c:pt>
                <c:pt idx="11">
                  <c:v>10.919065424412265</c:v>
                </c:pt>
                <c:pt idx="12">
                  <c:v>12.638207802298508</c:v>
                </c:pt>
                <c:pt idx="13">
                  <c:v>14.62892164058043</c:v>
                </c:pt>
                <c:pt idx="14">
                  <c:v>16.934240397990006</c:v>
                </c:pt>
                <c:pt idx="15">
                  <c:v>19.604036346385747</c:v>
                </c:pt>
                <c:pt idx="16">
                  <c:v>22.696110279534889</c:v>
                </c:pt>
                <c:pt idx="17">
                  <c:v>26.277455282362808</c:v>
                </c:pt>
                <c:pt idx="18">
                  <c:v>30.425722425582205</c:v>
                </c:pt>
                <c:pt idx="19">
                  <c:v>35.230920720485365</c:v>
                </c:pt>
                <c:pt idx="20">
                  <c:v>40.797388856892248</c:v>
                </c:pt>
                <c:pt idx="21">
                  <c:v>47.246082269426495</c:v>
                </c:pt>
                <c:pt idx="22">
                  <c:v>54.717226067716894</c:v>
                </c:pt>
                <c:pt idx="23">
                  <c:v>63.373392480715808</c:v>
                </c:pt>
                <c:pt idx="24">
                  <c:v>73.403070885162279</c:v>
                </c:pt>
                <c:pt idx="25">
                  <c:v>85.024809423572322</c:v>
                </c:pt>
                <c:pt idx="26">
                  <c:v>98.4920199122149</c:v>
                </c:pt>
                <c:pt idx="27">
                  <c:v>114.09855247793452</c:v>
                </c:pt>
                <c:pt idx="28">
                  <c:v>132.18516347378787</c:v>
                </c:pt>
                <c:pt idx="29">
                  <c:v>153.14702008980953</c:v>
                </c:pt>
                <c:pt idx="30">
                  <c:v>177.44240814111376</c:v>
                </c:pt>
                <c:pt idx="31">
                  <c:v>204.17914715376841</c:v>
                </c:pt>
                <c:pt idx="32">
                  <c:v>230.83482490294077</c:v>
                </c:pt>
                <c:pt idx="33">
                  <c:v>257.42012021856482</c:v>
                </c:pt>
                <c:pt idx="34">
                  <c:v>283.94332230986021</c:v>
                </c:pt>
                <c:pt idx="35">
                  <c:v>310.41104388287755</c:v>
                </c:pt>
                <c:pt idx="36">
                  <c:v>336.82867741987718</c:v>
                </c:pt>
                <c:pt idx="37">
                  <c:v>363.2007004518166</c:v>
                </c:pt>
                <c:pt idx="38">
                  <c:v>389.53088736788737</c:v>
                </c:pt>
                <c:pt idx="39">
                  <c:v>415.82246089092337</c:v>
                </c:pt>
                <c:pt idx="40">
                  <c:v>442.07820321051571</c:v>
                </c:pt>
                <c:pt idx="41">
                  <c:v>459.92745587773493</c:v>
                </c:pt>
                <c:pt idx="42">
                  <c:v>483.21860152083326</c:v>
                </c:pt>
                <c:pt idx="43">
                  <c:v>506.48591006489329</c:v>
                </c:pt>
                <c:pt idx="44">
                  <c:v>529.73062951367604</c:v>
                </c:pt>
                <c:pt idx="45">
                  <c:v>552.95388951521477</c:v>
                </c:pt>
                <c:pt idx="46">
                  <c:v>576.15671718544502</c:v>
                </c:pt>
                <c:pt idx="47">
                  <c:v>599.3400502516804</c:v>
                </c:pt>
                <c:pt idx="48">
                  <c:v>622.50474805800411</c:v>
                </c:pt>
                <c:pt idx="49">
                  <c:v>645.6516008485379</c:v>
                </c:pt>
                <c:pt idx="50">
                  <c:v>668.78133765133077</c:v>
                </c:pt>
                <c:pt idx="51">
                  <c:v>648.00148392584288</c:v>
                </c:pt>
                <c:pt idx="52">
                  <c:v>670.58764753168225</c:v>
                </c:pt>
                <c:pt idx="53">
                  <c:v>693.15817977386189</c:v>
                </c:pt>
                <c:pt idx="54">
                  <c:v>715.71366066651581</c:v>
                </c:pt>
                <c:pt idx="55">
                  <c:v>738.25463072998855</c:v>
                </c:pt>
                <c:pt idx="56">
                  <c:v>760.78159482780381</c:v>
                </c:pt>
                <c:pt idx="57">
                  <c:v>783.29502552605572</c:v>
                </c:pt>
                <c:pt idx="58">
                  <c:v>805.79536604695238</c:v>
                </c:pt>
                <c:pt idx="59">
                  <c:v>828.28303287571555</c:v>
                </c:pt>
                <c:pt idx="60">
                  <c:v>850.758418070017</c:v>
                </c:pt>
                <c:pt idx="61">
                  <c:v>761.6823888548962</c:v>
                </c:pt>
                <c:pt idx="62">
                  <c:v>787.79612714733594</c:v>
                </c:pt>
                <c:pt idx="63">
                  <c:v>813.89236513859169</c:v>
                </c:pt>
                <c:pt idx="64">
                  <c:v>839.97174204805413</c:v>
                </c:pt>
                <c:pt idx="65">
                  <c:v>866.03485422851463</c:v>
                </c:pt>
                <c:pt idx="66">
                  <c:v>892.08225926971897</c:v>
                </c:pt>
                <c:pt idx="67">
                  <c:v>918.11447959843736</c:v>
                </c:pt>
                <c:pt idx="68">
                  <c:v>944.13200564961983</c:v>
                </c:pt>
                <c:pt idx="69">
                  <c:v>970.13529867036789</c:v>
                </c:pt>
                <c:pt idx="70">
                  <c:v>996.12479320813691</c:v>
                </c:pt>
                <c:pt idx="71">
                  <c:v>886.87400927652072</c:v>
                </c:pt>
                <c:pt idx="72">
                  <c:v>912.19121403078816</c:v>
                </c:pt>
                <c:pt idx="73">
                  <c:v>937.49442114470367</c:v>
                </c:pt>
                <c:pt idx="74">
                  <c:v>962.78406097900586</c:v>
                </c:pt>
                <c:pt idx="75">
                  <c:v>988.06053948044462</c:v>
                </c:pt>
                <c:pt idx="76">
                  <c:v>1013.324240168142</c:v>
                </c:pt>
                <c:pt idx="77">
                  <c:v>1038.5755259118971</c:v>
                </c:pt>
                <c:pt idx="78">
                  <c:v>1063.8147405288416</c:v>
                </c:pt>
                <c:pt idx="79">
                  <c:v>1089.0422102209579</c:v>
                </c:pt>
                <c:pt idx="80">
                  <c:v>1114.2582448727092</c:v>
                </c:pt>
                <c:pt idx="81">
                  <c:v>1006.8751279363992</c:v>
                </c:pt>
                <c:pt idx="82">
                  <c:v>1030.1597885032932</c:v>
                </c:pt>
                <c:pt idx="83">
                  <c:v>1053.4340924060425</c:v>
                </c:pt>
                <c:pt idx="84">
                  <c:v>1076.6983002988661</c:v>
                </c:pt>
                <c:pt idx="85">
                  <c:v>1099.9526606730367</c:v>
                </c:pt>
                <c:pt idx="86">
                  <c:v>1123.1974106746457</c:v>
                </c:pt>
                <c:pt idx="87">
                  <c:v>1146.432776851271</c:v>
                </c:pt>
                <c:pt idx="88">
                  <c:v>1169.6589758350763</c:v>
                </c:pt>
                <c:pt idx="89">
                  <c:v>1192.8762149689289</c:v>
                </c:pt>
                <c:pt idx="90">
                  <c:v>1216.0846928813285</c:v>
                </c:pt>
                <c:pt idx="91">
                  <c:v>9.3922404915174053E-12</c:v>
                </c:pt>
                <c:pt idx="92">
                  <c:v>9.3922404915174053E-12</c:v>
                </c:pt>
                <c:pt idx="93">
                  <c:v>9.3922404915174053E-12</c:v>
                </c:pt>
                <c:pt idx="94">
                  <c:v>9.3922404915174053E-12</c:v>
                </c:pt>
                <c:pt idx="95">
                  <c:v>9.3922404915174053E-12</c:v>
                </c:pt>
                <c:pt idx="96">
                  <c:v>9.3922404915174053E-12</c:v>
                </c:pt>
                <c:pt idx="97">
                  <c:v>9.3922404915174053E-12</c:v>
                </c:pt>
                <c:pt idx="98">
                  <c:v>9.3922404915174053E-12</c:v>
                </c:pt>
                <c:pt idx="99">
                  <c:v>9.3922404915174053E-12</c:v>
                </c:pt>
                <c:pt idx="100">
                  <c:v>9.3922404915174053E-12</c:v>
                </c:pt>
                <c:pt idx="101">
                  <c:v>9.3922404915174053E-12</c:v>
                </c:pt>
                <c:pt idx="102">
                  <c:v>9.3922404915174053E-12</c:v>
                </c:pt>
                <c:pt idx="103">
                  <c:v>9.3922404915174053E-12</c:v>
                </c:pt>
                <c:pt idx="104">
                  <c:v>9.3922404915174053E-12</c:v>
                </c:pt>
                <c:pt idx="105">
                  <c:v>9.3922404915174053E-12</c:v>
                </c:pt>
                <c:pt idx="106">
                  <c:v>9.3922404915174053E-12</c:v>
                </c:pt>
                <c:pt idx="107">
                  <c:v>9.3922404915174053E-12</c:v>
                </c:pt>
                <c:pt idx="108">
                  <c:v>9.3922404915174053E-12</c:v>
                </c:pt>
                <c:pt idx="109">
                  <c:v>9.3922404915174053E-12</c:v>
                </c:pt>
                <c:pt idx="110">
                  <c:v>9.3922404915174053E-12</c:v>
                </c:pt>
                <c:pt idx="111">
                  <c:v>9.3922404915174053E-12</c:v>
                </c:pt>
                <c:pt idx="112">
                  <c:v>9.3922404915174053E-12</c:v>
                </c:pt>
                <c:pt idx="113">
                  <c:v>9.3922404915174053E-12</c:v>
                </c:pt>
                <c:pt idx="114">
                  <c:v>9.3922404915174053E-12</c:v>
                </c:pt>
                <c:pt idx="115">
                  <c:v>9.3922404915174053E-12</c:v>
                </c:pt>
                <c:pt idx="116">
                  <c:v>9.3922404915174053E-12</c:v>
                </c:pt>
                <c:pt idx="117">
                  <c:v>9.3922404915174053E-12</c:v>
                </c:pt>
                <c:pt idx="118">
                  <c:v>9.3922404915174053E-12</c:v>
                </c:pt>
                <c:pt idx="119">
                  <c:v>9.3922404915174053E-12</c:v>
                </c:pt>
                <c:pt idx="120">
                  <c:v>9.3922404915174053E-12</c:v>
                </c:pt>
                <c:pt idx="121">
                  <c:v>9.3922404915174053E-12</c:v>
                </c:pt>
                <c:pt idx="122">
                  <c:v>9.3922404915174053E-12</c:v>
                </c:pt>
                <c:pt idx="123">
                  <c:v>9.3922404915174053E-12</c:v>
                </c:pt>
                <c:pt idx="124">
                  <c:v>9.3922404915174053E-12</c:v>
                </c:pt>
                <c:pt idx="125">
                  <c:v>9.3922404915174053E-12</c:v>
                </c:pt>
                <c:pt idx="126">
                  <c:v>9.3922404915174053E-12</c:v>
                </c:pt>
                <c:pt idx="127">
                  <c:v>9.3922404915174053E-12</c:v>
                </c:pt>
                <c:pt idx="128">
                  <c:v>9.3922404915174053E-12</c:v>
                </c:pt>
                <c:pt idx="129">
                  <c:v>9.3922404915174053E-12</c:v>
                </c:pt>
                <c:pt idx="130">
                  <c:v>9.3922404915174053E-12</c:v>
                </c:pt>
                <c:pt idx="131">
                  <c:v>9.3922404915174053E-12</c:v>
                </c:pt>
                <c:pt idx="132">
                  <c:v>9.3922404915174053E-12</c:v>
                </c:pt>
                <c:pt idx="133">
                  <c:v>9.3922404915174053E-12</c:v>
                </c:pt>
                <c:pt idx="134">
                  <c:v>9.3922404915174053E-12</c:v>
                </c:pt>
                <c:pt idx="135">
                  <c:v>9.3922404915174053E-12</c:v>
                </c:pt>
                <c:pt idx="136">
                  <c:v>9.3922404915174053E-12</c:v>
                </c:pt>
                <c:pt idx="137">
                  <c:v>9.3922404915174053E-12</c:v>
                </c:pt>
                <c:pt idx="138">
                  <c:v>9.3922404915174053E-12</c:v>
                </c:pt>
                <c:pt idx="139">
                  <c:v>9.3922404915174053E-12</c:v>
                </c:pt>
                <c:pt idx="140">
                  <c:v>9.3922404915174053E-12</c:v>
                </c:pt>
                <c:pt idx="141">
                  <c:v>9.3922404915174053E-12</c:v>
                </c:pt>
                <c:pt idx="142">
                  <c:v>9.3922404915174053E-12</c:v>
                </c:pt>
                <c:pt idx="143">
                  <c:v>9.3922404915174053E-12</c:v>
                </c:pt>
                <c:pt idx="144">
                  <c:v>9.3922404915174053E-12</c:v>
                </c:pt>
                <c:pt idx="145">
                  <c:v>9.3922404915174053E-12</c:v>
                </c:pt>
                <c:pt idx="146">
                  <c:v>9.3922404915174053E-12</c:v>
                </c:pt>
                <c:pt idx="147">
                  <c:v>9.3922404915174053E-12</c:v>
                </c:pt>
                <c:pt idx="148">
                  <c:v>9.3922404915174053E-12</c:v>
                </c:pt>
                <c:pt idx="149">
                  <c:v>9.3922404915174053E-12</c:v>
                </c:pt>
                <c:pt idx="150">
                  <c:v>9.3922404915174053E-12</c:v>
                </c:pt>
                <c:pt idx="151">
                  <c:v>9.3922404915174053E-12</c:v>
                </c:pt>
                <c:pt idx="152">
                  <c:v>9.3922404915174053E-12</c:v>
                </c:pt>
                <c:pt idx="153">
                  <c:v>9.3922404915174053E-12</c:v>
                </c:pt>
                <c:pt idx="154">
                  <c:v>9.3922404915174053E-12</c:v>
                </c:pt>
                <c:pt idx="155">
                  <c:v>9.3922404915174053E-12</c:v>
                </c:pt>
                <c:pt idx="156">
                  <c:v>9.3922404915174053E-12</c:v>
                </c:pt>
                <c:pt idx="157">
                  <c:v>9.3922404915174053E-12</c:v>
                </c:pt>
                <c:pt idx="158">
                  <c:v>9.3922404915174053E-12</c:v>
                </c:pt>
                <c:pt idx="159">
                  <c:v>9.3922404915174053E-12</c:v>
                </c:pt>
                <c:pt idx="160">
                  <c:v>9.3922404915174053E-12</c:v>
                </c:pt>
                <c:pt idx="161">
                  <c:v>9.3922404915174053E-12</c:v>
                </c:pt>
                <c:pt idx="162">
                  <c:v>9.3922404915174053E-12</c:v>
                </c:pt>
                <c:pt idx="163">
                  <c:v>9.3922404915174053E-12</c:v>
                </c:pt>
                <c:pt idx="164">
                  <c:v>9.3922404915174053E-12</c:v>
                </c:pt>
                <c:pt idx="165">
                  <c:v>9.3922404915174053E-12</c:v>
                </c:pt>
                <c:pt idx="166">
                  <c:v>9.3922404915174053E-12</c:v>
                </c:pt>
                <c:pt idx="167">
                  <c:v>9.3922404915174053E-12</c:v>
                </c:pt>
                <c:pt idx="168">
                  <c:v>9.3922404915174053E-12</c:v>
                </c:pt>
                <c:pt idx="169">
                  <c:v>9.3922404915174053E-12</c:v>
                </c:pt>
                <c:pt idx="170">
                  <c:v>9.3922404915174053E-12</c:v>
                </c:pt>
                <c:pt idx="171">
                  <c:v>9.3922404915174053E-12</c:v>
                </c:pt>
                <c:pt idx="172">
                  <c:v>9.3922404915174053E-12</c:v>
                </c:pt>
                <c:pt idx="173">
                  <c:v>9.3922404915174053E-12</c:v>
                </c:pt>
                <c:pt idx="174">
                  <c:v>9.3922404915174053E-12</c:v>
                </c:pt>
                <c:pt idx="175">
                  <c:v>9.3922404915174053E-12</c:v>
                </c:pt>
                <c:pt idx="176">
                  <c:v>9.3922404915174053E-12</c:v>
                </c:pt>
                <c:pt idx="177">
                  <c:v>9.3922404915174053E-12</c:v>
                </c:pt>
                <c:pt idx="178">
                  <c:v>9.3922404915174053E-12</c:v>
                </c:pt>
                <c:pt idx="179">
                  <c:v>9.3922404915174053E-12</c:v>
                </c:pt>
                <c:pt idx="180">
                  <c:v>9.3922404915174053E-12</c:v>
                </c:pt>
                <c:pt idx="181">
                  <c:v>9.3922404915174053E-12</c:v>
                </c:pt>
                <c:pt idx="182">
                  <c:v>9.3922404915174053E-12</c:v>
                </c:pt>
                <c:pt idx="183">
                  <c:v>9.3922404915174053E-12</c:v>
                </c:pt>
                <c:pt idx="184">
                  <c:v>9.3922404915174053E-12</c:v>
                </c:pt>
                <c:pt idx="185">
                  <c:v>9.3922404915174053E-12</c:v>
                </c:pt>
                <c:pt idx="186">
                  <c:v>9.3922404915174053E-12</c:v>
                </c:pt>
                <c:pt idx="187">
                  <c:v>9.3922404915174053E-12</c:v>
                </c:pt>
                <c:pt idx="188">
                  <c:v>9.3922404915174053E-12</c:v>
                </c:pt>
                <c:pt idx="189">
                  <c:v>9.3922404915174053E-12</c:v>
                </c:pt>
                <c:pt idx="190">
                  <c:v>9.3922404915174053E-12</c:v>
                </c:pt>
                <c:pt idx="191">
                  <c:v>9.3922404915174053E-12</c:v>
                </c:pt>
                <c:pt idx="192">
                  <c:v>9.3922404915174053E-12</c:v>
                </c:pt>
                <c:pt idx="193">
                  <c:v>9.3922404915174053E-12</c:v>
                </c:pt>
                <c:pt idx="194">
                  <c:v>9.3922404915174053E-12</c:v>
                </c:pt>
                <c:pt idx="195">
                  <c:v>9.3922404915174053E-12</c:v>
                </c:pt>
                <c:pt idx="196">
                  <c:v>9.3922404915174053E-12</c:v>
                </c:pt>
                <c:pt idx="197">
                  <c:v>9.3922404915174053E-12</c:v>
                </c:pt>
                <c:pt idx="198">
                  <c:v>9.3922404915174053E-12</c:v>
                </c:pt>
                <c:pt idx="199">
                  <c:v>9.3922404915174053E-12</c:v>
                </c:pt>
                <c:pt idx="200">
                  <c:v>9.3922404915174053E-12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2.7076278807168577</c:v>
                </c:pt>
                <c:pt idx="2">
                  <c:v>3.2823203075223639</c:v>
                </c:pt>
                <c:pt idx="3">
                  <c:v>3.979449901550526</c:v>
                </c:pt>
                <c:pt idx="4">
                  <c:v>4.8251939450398709</c:v>
                </c:pt>
                <c:pt idx="5">
                  <c:v>5.8513449461181999</c:v>
                </c:pt>
                <c:pt idx="6">
                  <c:v>7.0965188343554635</c:v>
                </c:pt>
                <c:pt idx="7">
                  <c:v>8.607623850028407</c:v>
                </c:pt>
                <c:pt idx="8">
                  <c:v>10.441646522669517</c:v>
                </c:pt>
                <c:pt idx="9">
                  <c:v>12.667823363210978</c:v>
                </c:pt>
                <c:pt idx="10">
                  <c:v>15.37028178010487</c:v>
                </c:pt>
                <c:pt idx="11">
                  <c:v>18.651251851763437</c:v>
                </c:pt>
                <c:pt idx="12">
                  <c:v>22.634972650261972</c:v>
                </c:pt>
                <c:pt idx="13">
                  <c:v>27.472443672973672</c:v>
                </c:pt>
                <c:pt idx="14">
                  <c:v>33.347204645493996</c:v>
                </c:pt>
                <c:pt idx="15">
                  <c:v>40.48236678497836</c:v>
                </c:pt>
                <c:pt idx="16">
                  <c:v>62.7500779287152</c:v>
                </c:pt>
                <c:pt idx="17">
                  <c:v>84.809194462285987</c:v>
                </c:pt>
                <c:pt idx="18">
                  <c:v>106.72258095191414</c:v>
                </c:pt>
                <c:pt idx="19">
                  <c:v>128.52461958745749</c:v>
                </c:pt>
                <c:pt idx="20">
                  <c:v>150.23693675874819</c:v>
                </c:pt>
                <c:pt idx="21">
                  <c:v>160.49484254514576</c:v>
                </c:pt>
                <c:pt idx="22">
                  <c:v>183.04691447762278</c:v>
                </c:pt>
                <c:pt idx="23">
                  <c:v>205.53397529366751</c:v>
                </c:pt>
                <c:pt idx="24">
                  <c:v>227.96414082652646</c:v>
                </c:pt>
                <c:pt idx="25">
                  <c:v>250.34379664975143</c:v>
                </c:pt>
                <c:pt idx="26">
                  <c:v>246.8864951182403</c:v>
                </c:pt>
                <c:pt idx="27">
                  <c:v>268.40222058323997</c:v>
                </c:pt>
                <c:pt idx="28">
                  <c:v>289.87911342735327</c:v>
                </c:pt>
                <c:pt idx="29">
                  <c:v>311.32045418101876</c:v>
                </c:pt>
                <c:pt idx="30">
                  <c:v>332.72903457884468</c:v>
                </c:pt>
                <c:pt idx="31">
                  <c:v>323.46705081350785</c:v>
                </c:pt>
                <c:pt idx="32">
                  <c:v>343.51507620752312</c:v>
                </c:pt>
                <c:pt idx="33">
                  <c:v>363.53739820886318</c:v>
                </c:pt>
                <c:pt idx="34">
                  <c:v>383.53563088932191</c:v>
                </c:pt>
                <c:pt idx="35">
                  <c:v>403.51120632532326</c:v>
                </c:pt>
                <c:pt idx="36">
                  <c:v>391.90796638506964</c:v>
                </c:pt>
                <c:pt idx="37">
                  <c:v>410.61089678909502</c:v>
                </c:pt>
                <c:pt idx="38">
                  <c:v>429.29544185773676</c:v>
                </c:pt>
                <c:pt idx="39">
                  <c:v>447.96251397929319</c:v>
                </c:pt>
                <c:pt idx="40">
                  <c:v>466.61294333655451</c:v>
                </c:pt>
                <c:pt idx="41">
                  <c:v>454.89807416234993</c:v>
                </c:pt>
                <c:pt idx="42">
                  <c:v>472.65327809994591</c:v>
                </c:pt>
                <c:pt idx="43">
                  <c:v>490.39428806149027</c:v>
                </c:pt>
                <c:pt idx="44">
                  <c:v>508.12168954396316</c:v>
                </c:pt>
                <c:pt idx="45">
                  <c:v>525.8360238819705</c:v>
                </c:pt>
                <c:pt idx="46">
                  <c:v>514.22515366868936</c:v>
                </c:pt>
                <c:pt idx="47">
                  <c:v>530.53059914328935</c:v>
                </c:pt>
                <c:pt idx="48">
                  <c:v>546.82550196370585</c:v>
                </c:pt>
                <c:pt idx="49">
                  <c:v>563.11022036335669</c:v>
                </c:pt>
                <c:pt idx="50">
                  <c:v>579.38509017822105</c:v>
                </c:pt>
                <c:pt idx="51">
                  <c:v>567.65044625755729</c:v>
                </c:pt>
                <c:pt idx="52">
                  <c:v>582.11507837863996</c:v>
                </c:pt>
                <c:pt idx="53">
                  <c:v>596.57221873789979</c:v>
                </c:pt>
                <c:pt idx="54">
                  <c:v>611.02207437656591</c:v>
                </c:pt>
                <c:pt idx="55">
                  <c:v>625.46484174997272</c:v>
                </c:pt>
                <c:pt idx="56">
                  <c:v>614.63342329191175</c:v>
                </c:pt>
                <c:pt idx="57">
                  <c:v>627.93268033272329</c:v>
                </c:pt>
                <c:pt idx="58">
                  <c:v>641.22611053991011</c:v>
                </c:pt>
                <c:pt idx="59">
                  <c:v>654.51385167436786</c:v>
                </c:pt>
                <c:pt idx="60">
                  <c:v>667.79603545019643</c:v>
                </c:pt>
                <c:pt idx="61">
                  <c:v>657.71532458043225</c:v>
                </c:pt>
                <c:pt idx="62">
                  <c:v>669.89272271221057</c:v>
                </c:pt>
                <c:pt idx="63">
                  <c:v>682.06557111271616</c:v>
                </c:pt>
                <c:pt idx="64">
                  <c:v>694.23396238634575</c:v>
                </c:pt>
                <c:pt idx="65">
                  <c:v>706.39798562811302</c:v>
                </c:pt>
                <c:pt idx="66">
                  <c:v>697.06404631175519</c:v>
                </c:pt>
                <c:pt idx="67">
                  <c:v>708.12485428341859</c:v>
                </c:pt>
                <c:pt idx="68">
                  <c:v>719.18213095918429</c:v>
                </c:pt>
                <c:pt idx="69">
                  <c:v>730.23593825974046</c:v>
                </c:pt>
                <c:pt idx="70">
                  <c:v>741.2863360791971</c:v>
                </c:pt>
                <c:pt idx="71">
                  <c:v>732.6959542848723</c:v>
                </c:pt>
                <c:pt idx="72">
                  <c:v>742.64445816758086</c:v>
                </c:pt>
                <c:pt idx="73">
                  <c:v>752.59025101123143</c:v>
                </c:pt>
                <c:pt idx="74">
                  <c:v>762.5333736780857</c:v>
                </c:pt>
                <c:pt idx="75">
                  <c:v>772.47386587834535</c:v>
                </c:pt>
                <c:pt idx="76">
                  <c:v>764.84449625195555</c:v>
                </c:pt>
                <c:pt idx="77">
                  <c:v>774.08757475790696</c:v>
                </c:pt>
                <c:pt idx="78">
                  <c:v>783.32841743940389</c:v>
                </c:pt>
                <c:pt idx="79">
                  <c:v>792.56705437876474</c:v>
                </c:pt>
                <c:pt idx="80">
                  <c:v>801.80351490013174</c:v>
                </c:pt>
                <c:pt idx="81">
                  <c:v>794.61978822882509</c:v>
                </c:pt>
                <c:pt idx="82">
                  <c:v>802.82965519356446</c:v>
                </c:pt>
                <c:pt idx="83">
                  <c:v>811.03782759727846</c:v>
                </c:pt>
                <c:pt idx="84">
                  <c:v>819.2443250005208</c:v>
                </c:pt>
                <c:pt idx="85">
                  <c:v>827.44916654017959</c:v>
                </c:pt>
                <c:pt idx="86">
                  <c:v>820.70959617466121</c:v>
                </c:pt>
                <c:pt idx="87">
                  <c:v>827.88866525668675</c:v>
                </c:pt>
                <c:pt idx="88">
                  <c:v>835.06648167105095</c:v>
                </c:pt>
                <c:pt idx="89">
                  <c:v>842.24305769893908</c:v>
                </c:pt>
                <c:pt idx="90">
                  <c:v>849.41840539526481</c:v>
                </c:pt>
                <c:pt idx="91">
                  <c:v>843.7075137430711</c:v>
                </c:pt>
                <c:pt idx="92">
                  <c:v>850.62637967924138</c:v>
                </c:pt>
                <c:pt idx="93">
                  <c:v>857.54411629376273</c:v>
                </c:pt>
                <c:pt idx="94">
                  <c:v>864.46073397741804</c:v>
                </c:pt>
                <c:pt idx="95">
                  <c:v>871.37624294122804</c:v>
                </c:pt>
                <c:pt idx="96">
                  <c:v>865.96101757446843</c:v>
                </c:pt>
                <c:pt idx="97">
                  <c:v>871.88845903612855</c:v>
                </c:pt>
                <c:pt idx="98">
                  <c:v>877.8150938452527</c:v>
                </c:pt>
                <c:pt idx="99">
                  <c:v>883.74092821381657</c:v>
                </c:pt>
                <c:pt idx="100">
                  <c:v>889.66596826372836</c:v>
                </c:pt>
                <c:pt idx="101">
                  <c:v>5.144133920125077E-12</c:v>
                </c:pt>
                <c:pt idx="102">
                  <c:v>5.144133920125077E-12</c:v>
                </c:pt>
                <c:pt idx="103">
                  <c:v>5.144133920125077E-12</c:v>
                </c:pt>
                <c:pt idx="104">
                  <c:v>5.144133920125077E-12</c:v>
                </c:pt>
                <c:pt idx="105">
                  <c:v>5.144133920125077E-12</c:v>
                </c:pt>
                <c:pt idx="106">
                  <c:v>5.144133920125077E-12</c:v>
                </c:pt>
                <c:pt idx="107">
                  <c:v>5.144133920125077E-12</c:v>
                </c:pt>
                <c:pt idx="108">
                  <c:v>5.144133920125077E-12</c:v>
                </c:pt>
                <c:pt idx="109">
                  <c:v>5.144133920125077E-12</c:v>
                </c:pt>
                <c:pt idx="110">
                  <c:v>5.144133920125077E-12</c:v>
                </c:pt>
                <c:pt idx="111">
                  <c:v>5.144133920125077E-12</c:v>
                </c:pt>
                <c:pt idx="112">
                  <c:v>5.144133920125077E-12</c:v>
                </c:pt>
                <c:pt idx="113">
                  <c:v>5.144133920125077E-12</c:v>
                </c:pt>
                <c:pt idx="114">
                  <c:v>5.144133920125077E-12</c:v>
                </c:pt>
                <c:pt idx="115">
                  <c:v>5.144133920125077E-12</c:v>
                </c:pt>
                <c:pt idx="116">
                  <c:v>5.144133920125077E-12</c:v>
                </c:pt>
                <c:pt idx="117">
                  <c:v>5.144133920125077E-12</c:v>
                </c:pt>
                <c:pt idx="118">
                  <c:v>5.144133920125077E-12</c:v>
                </c:pt>
                <c:pt idx="119">
                  <c:v>5.144133920125077E-12</c:v>
                </c:pt>
                <c:pt idx="120">
                  <c:v>5.144133920125077E-12</c:v>
                </c:pt>
                <c:pt idx="121">
                  <c:v>5.144133920125077E-12</c:v>
                </c:pt>
                <c:pt idx="122">
                  <c:v>5.144133920125077E-12</c:v>
                </c:pt>
                <c:pt idx="123">
                  <c:v>5.144133920125077E-12</c:v>
                </c:pt>
                <c:pt idx="124">
                  <c:v>5.144133920125077E-12</c:v>
                </c:pt>
                <c:pt idx="125">
                  <c:v>5.144133920125077E-12</c:v>
                </c:pt>
                <c:pt idx="126">
                  <c:v>5.144133920125077E-12</c:v>
                </c:pt>
                <c:pt idx="127">
                  <c:v>5.144133920125077E-12</c:v>
                </c:pt>
                <c:pt idx="128">
                  <c:v>5.144133920125077E-12</c:v>
                </c:pt>
                <c:pt idx="129">
                  <c:v>5.144133920125077E-12</c:v>
                </c:pt>
                <c:pt idx="130">
                  <c:v>5.144133920125077E-12</c:v>
                </c:pt>
                <c:pt idx="131">
                  <c:v>5.144133920125077E-12</c:v>
                </c:pt>
                <c:pt idx="132">
                  <c:v>5.144133920125077E-12</c:v>
                </c:pt>
                <c:pt idx="133">
                  <c:v>5.144133920125077E-12</c:v>
                </c:pt>
                <c:pt idx="134">
                  <c:v>5.144133920125077E-12</c:v>
                </c:pt>
                <c:pt idx="135">
                  <c:v>5.144133920125077E-12</c:v>
                </c:pt>
                <c:pt idx="136">
                  <c:v>5.144133920125077E-12</c:v>
                </c:pt>
                <c:pt idx="137">
                  <c:v>5.144133920125077E-12</c:v>
                </c:pt>
                <c:pt idx="138">
                  <c:v>5.144133920125077E-12</c:v>
                </c:pt>
                <c:pt idx="139">
                  <c:v>5.144133920125077E-12</c:v>
                </c:pt>
                <c:pt idx="140">
                  <c:v>5.144133920125077E-12</c:v>
                </c:pt>
                <c:pt idx="141">
                  <c:v>5.144133920125077E-12</c:v>
                </c:pt>
                <c:pt idx="142">
                  <c:v>5.144133920125077E-12</c:v>
                </c:pt>
                <c:pt idx="143">
                  <c:v>5.144133920125077E-12</c:v>
                </c:pt>
                <c:pt idx="144">
                  <c:v>5.144133920125077E-12</c:v>
                </c:pt>
                <c:pt idx="145">
                  <c:v>5.144133920125077E-12</c:v>
                </c:pt>
                <c:pt idx="146">
                  <c:v>5.144133920125077E-12</c:v>
                </c:pt>
                <c:pt idx="147">
                  <c:v>5.144133920125077E-12</c:v>
                </c:pt>
                <c:pt idx="148">
                  <c:v>5.144133920125077E-12</c:v>
                </c:pt>
                <c:pt idx="149">
                  <c:v>5.144133920125077E-12</c:v>
                </c:pt>
                <c:pt idx="150">
                  <c:v>5.144133920125077E-12</c:v>
                </c:pt>
                <c:pt idx="151">
                  <c:v>5.144133920125077E-12</c:v>
                </c:pt>
                <c:pt idx="152">
                  <c:v>5.144133920125077E-12</c:v>
                </c:pt>
                <c:pt idx="153">
                  <c:v>5.144133920125077E-12</c:v>
                </c:pt>
                <c:pt idx="154">
                  <c:v>5.144133920125077E-12</c:v>
                </c:pt>
                <c:pt idx="155">
                  <c:v>5.144133920125077E-12</c:v>
                </c:pt>
                <c:pt idx="156">
                  <c:v>5.144133920125077E-12</c:v>
                </c:pt>
                <c:pt idx="157">
                  <c:v>5.144133920125077E-12</c:v>
                </c:pt>
                <c:pt idx="158">
                  <c:v>5.144133920125077E-12</c:v>
                </c:pt>
                <c:pt idx="159">
                  <c:v>5.144133920125077E-12</c:v>
                </c:pt>
                <c:pt idx="160">
                  <c:v>5.144133920125077E-12</c:v>
                </c:pt>
                <c:pt idx="161">
                  <c:v>5.144133920125077E-12</c:v>
                </c:pt>
                <c:pt idx="162">
                  <c:v>5.144133920125077E-12</c:v>
                </c:pt>
                <c:pt idx="163">
                  <c:v>5.144133920125077E-12</c:v>
                </c:pt>
                <c:pt idx="164">
                  <c:v>5.144133920125077E-12</c:v>
                </c:pt>
                <c:pt idx="165">
                  <c:v>5.144133920125077E-12</c:v>
                </c:pt>
                <c:pt idx="166">
                  <c:v>5.144133920125077E-12</c:v>
                </c:pt>
                <c:pt idx="167">
                  <c:v>5.144133920125077E-12</c:v>
                </c:pt>
                <c:pt idx="168">
                  <c:v>5.144133920125077E-12</c:v>
                </c:pt>
                <c:pt idx="169">
                  <c:v>5.144133920125077E-12</c:v>
                </c:pt>
                <c:pt idx="170">
                  <c:v>5.144133920125077E-12</c:v>
                </c:pt>
                <c:pt idx="171">
                  <c:v>5.144133920125077E-12</c:v>
                </c:pt>
                <c:pt idx="172">
                  <c:v>5.144133920125077E-12</c:v>
                </c:pt>
                <c:pt idx="173">
                  <c:v>5.144133920125077E-12</c:v>
                </c:pt>
                <c:pt idx="174">
                  <c:v>5.144133920125077E-12</c:v>
                </c:pt>
                <c:pt idx="175">
                  <c:v>5.144133920125077E-12</c:v>
                </c:pt>
                <c:pt idx="176">
                  <c:v>5.144133920125077E-12</c:v>
                </c:pt>
                <c:pt idx="177">
                  <c:v>5.144133920125077E-12</c:v>
                </c:pt>
                <c:pt idx="178">
                  <c:v>5.144133920125077E-12</c:v>
                </c:pt>
                <c:pt idx="179">
                  <c:v>5.144133920125077E-12</c:v>
                </c:pt>
                <c:pt idx="180">
                  <c:v>5.144133920125077E-12</c:v>
                </c:pt>
                <c:pt idx="181">
                  <c:v>5.144133920125077E-12</c:v>
                </c:pt>
                <c:pt idx="182">
                  <c:v>5.144133920125077E-12</c:v>
                </c:pt>
                <c:pt idx="183">
                  <c:v>5.144133920125077E-12</c:v>
                </c:pt>
                <c:pt idx="184">
                  <c:v>5.144133920125077E-12</c:v>
                </c:pt>
                <c:pt idx="185">
                  <c:v>5.144133920125077E-12</c:v>
                </c:pt>
                <c:pt idx="186">
                  <c:v>5.144133920125077E-12</c:v>
                </c:pt>
                <c:pt idx="187">
                  <c:v>5.144133920125077E-12</c:v>
                </c:pt>
                <c:pt idx="188">
                  <c:v>5.144133920125077E-12</c:v>
                </c:pt>
                <c:pt idx="189">
                  <c:v>5.144133920125077E-12</c:v>
                </c:pt>
                <c:pt idx="190">
                  <c:v>5.144133920125077E-12</c:v>
                </c:pt>
                <c:pt idx="191">
                  <c:v>5.144133920125077E-12</c:v>
                </c:pt>
                <c:pt idx="192">
                  <c:v>5.144133920125077E-12</c:v>
                </c:pt>
                <c:pt idx="193">
                  <c:v>5.144133920125077E-12</c:v>
                </c:pt>
                <c:pt idx="194">
                  <c:v>5.144133920125077E-12</c:v>
                </c:pt>
                <c:pt idx="195">
                  <c:v>5.144133920125077E-12</c:v>
                </c:pt>
                <c:pt idx="196">
                  <c:v>5.144133920125077E-12</c:v>
                </c:pt>
                <c:pt idx="197">
                  <c:v>5.144133920125077E-12</c:v>
                </c:pt>
                <c:pt idx="198">
                  <c:v>5.144133920125077E-12</c:v>
                </c:pt>
                <c:pt idx="199">
                  <c:v>5.144133920125077E-12</c:v>
                </c:pt>
                <c:pt idx="200">
                  <c:v>5.144133920125077E-12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2.3407137766656838</c:v>
                </c:pt>
                <c:pt idx="2">
                  <c:v>3.3921084962613257</c:v>
                </c:pt>
                <c:pt idx="3">
                  <c:v>4.9178702065417896</c:v>
                </c:pt>
                <c:pt idx="4">
                  <c:v>7.1329149569443757</c:v>
                </c:pt>
                <c:pt idx="5">
                  <c:v>10.349904498393979</c:v>
                </c:pt>
                <c:pt idx="6">
                  <c:v>15.023859881529203</c:v>
                </c:pt>
                <c:pt idx="7">
                  <c:v>21.817203936022494</c:v>
                </c:pt>
                <c:pt idx="8">
                  <c:v>31.69461472546514</c:v>
                </c:pt>
                <c:pt idx="9">
                  <c:v>46.061392315801868</c:v>
                </c:pt>
                <c:pt idx="10">
                  <c:v>66.965355561225593</c:v>
                </c:pt>
                <c:pt idx="11">
                  <c:v>87.39720941194355</c:v>
                </c:pt>
                <c:pt idx="12">
                  <c:v>107.70833349435866</c:v>
                </c:pt>
                <c:pt idx="13">
                  <c:v>127.92484399348707</c:v>
                </c:pt>
                <c:pt idx="14">
                  <c:v>148.06384842728383</c:v>
                </c:pt>
                <c:pt idx="15">
                  <c:v>168.13739220499596</c:v>
                </c:pt>
                <c:pt idx="16">
                  <c:v>140.99597952220589</c:v>
                </c:pt>
                <c:pt idx="17">
                  <c:v>162.7180141901425</c:v>
                </c:pt>
                <c:pt idx="18">
                  <c:v>184.37139305479852</c:v>
                </c:pt>
                <c:pt idx="19">
                  <c:v>205.96531993399233</c:v>
                </c:pt>
                <c:pt idx="20">
                  <c:v>227.50690659831915</c:v>
                </c:pt>
                <c:pt idx="21">
                  <c:v>196.25491574097501</c:v>
                </c:pt>
                <c:pt idx="22">
                  <c:v>217.55003998283863</c:v>
                </c:pt>
                <c:pt idx="23">
                  <c:v>238.79723773455586</c:v>
                </c:pt>
                <c:pt idx="24">
                  <c:v>260.00137265549102</c:v>
                </c:pt>
                <c:pt idx="25">
                  <c:v>281.16644975370667</c:v>
                </c:pt>
                <c:pt idx="26">
                  <c:v>245.78035672568819</c:v>
                </c:pt>
                <c:pt idx="27">
                  <c:v>265.36317005758792</c:v>
                </c:pt>
                <c:pt idx="28">
                  <c:v>284.91341115853118</c:v>
                </c:pt>
                <c:pt idx="29">
                  <c:v>304.43362885549055</c:v>
                </c:pt>
                <c:pt idx="30">
                  <c:v>323.92601839985679</c:v>
                </c:pt>
                <c:pt idx="31">
                  <c:v>288.65926934113526</c:v>
                </c:pt>
                <c:pt idx="32">
                  <c:v>306.83826299330622</c:v>
                </c:pt>
                <c:pt idx="33">
                  <c:v>324.99332932034099</c:v>
                </c:pt>
                <c:pt idx="34">
                  <c:v>343.12599266727125</c:v>
                </c:pt>
                <c:pt idx="35">
                  <c:v>361.2376031393249</c:v>
                </c:pt>
                <c:pt idx="36">
                  <c:v>326.06056277165095</c:v>
                </c:pt>
                <c:pt idx="37">
                  <c:v>341.52691724050095</c:v>
                </c:pt>
                <c:pt idx="38">
                  <c:v>356.97787588797132</c:v>
                </c:pt>
                <c:pt idx="39">
                  <c:v>372.41419883359049</c:v>
                </c:pt>
                <c:pt idx="40">
                  <c:v>387.83657804664426</c:v>
                </c:pt>
                <c:pt idx="41">
                  <c:v>356.1790535368014</c:v>
                </c:pt>
                <c:pt idx="42">
                  <c:v>369.75377713068877</c:v>
                </c:pt>
                <c:pt idx="43">
                  <c:v>383.3176317130758</c:v>
                </c:pt>
                <c:pt idx="44">
                  <c:v>396.87105607261918</c:v>
                </c:pt>
                <c:pt idx="45">
                  <c:v>410.41445658235961</c:v>
                </c:pt>
                <c:pt idx="46">
                  <c:v>381.98831004710274</c:v>
                </c:pt>
                <c:pt idx="47">
                  <c:v>393.41722914254586</c:v>
                </c:pt>
                <c:pt idx="48">
                  <c:v>404.8389514009607</c:v>
                </c:pt>
                <c:pt idx="49">
                  <c:v>416.25370852333805</c:v>
                </c:pt>
                <c:pt idx="50">
                  <c:v>427.66171846396492</c:v>
                </c:pt>
                <c:pt idx="51">
                  <c:v>403.24564597997363</c:v>
                </c:pt>
                <c:pt idx="52">
                  <c:v>413.33430507425356</c:v>
                </c:pt>
                <c:pt idx="53">
                  <c:v>423.41765248094566</c:v>
                </c:pt>
                <c:pt idx="54">
                  <c:v>433.49583256470191</c:v>
                </c:pt>
                <c:pt idx="55">
                  <c:v>443.56898242812105</c:v>
                </c:pt>
                <c:pt idx="56">
                  <c:v>421.02996350009477</c:v>
                </c:pt>
                <c:pt idx="57">
                  <c:v>428.98780287900962</c:v>
                </c:pt>
                <c:pt idx="58">
                  <c:v>436.94246952460458</c:v>
                </c:pt>
                <c:pt idx="59">
                  <c:v>444.89402937378719</c:v>
                </c:pt>
                <c:pt idx="60">
                  <c:v>452.84254581303156</c:v>
                </c:pt>
                <c:pt idx="61">
                  <c:v>434.55639869403694</c:v>
                </c:pt>
                <c:pt idx="62">
                  <c:v>441.44873076366963</c:v>
                </c:pt>
                <c:pt idx="63">
                  <c:v>448.33875652973512</c:v>
                </c:pt>
                <c:pt idx="64">
                  <c:v>455.22651645684391</c:v>
                </c:pt>
                <c:pt idx="65">
                  <c:v>462.1120496844826</c:v>
                </c:pt>
                <c:pt idx="66">
                  <c:v>446.74895314532591</c:v>
                </c:pt>
                <c:pt idx="67">
                  <c:v>452.57764364738176</c:v>
                </c:pt>
                <c:pt idx="68">
                  <c:v>458.40472923839212</c:v>
                </c:pt>
                <c:pt idx="69">
                  <c:v>464.23023321244483</c:v>
                </c:pt>
                <c:pt idx="70">
                  <c:v>470.05417823089664</c:v>
                </c:pt>
                <c:pt idx="71">
                  <c:v>451.5180018043888</c:v>
                </c:pt>
                <c:pt idx="72">
                  <c:v>451.5180018043888</c:v>
                </c:pt>
                <c:pt idx="73">
                  <c:v>451.5180018043888</c:v>
                </c:pt>
                <c:pt idx="74">
                  <c:v>451.5180018043888</c:v>
                </c:pt>
                <c:pt idx="75">
                  <c:v>451.5180018043888</c:v>
                </c:pt>
                <c:pt idx="76">
                  <c:v>451.5180018043888</c:v>
                </c:pt>
                <c:pt idx="77">
                  <c:v>451.5180018043888</c:v>
                </c:pt>
                <c:pt idx="78">
                  <c:v>451.5180018043888</c:v>
                </c:pt>
                <c:pt idx="79">
                  <c:v>451.5180018043888</c:v>
                </c:pt>
                <c:pt idx="80">
                  <c:v>451.5180018043888</c:v>
                </c:pt>
                <c:pt idx="81">
                  <c:v>451.5180018043888</c:v>
                </c:pt>
                <c:pt idx="82">
                  <c:v>451.5180018043888</c:v>
                </c:pt>
                <c:pt idx="83">
                  <c:v>451.5180018043888</c:v>
                </c:pt>
                <c:pt idx="84">
                  <c:v>451.5180018043888</c:v>
                </c:pt>
                <c:pt idx="85">
                  <c:v>451.5180018043888</c:v>
                </c:pt>
                <c:pt idx="86">
                  <c:v>451.5180018043888</c:v>
                </c:pt>
                <c:pt idx="87">
                  <c:v>451.5180018043888</c:v>
                </c:pt>
                <c:pt idx="88">
                  <c:v>451.5180018043888</c:v>
                </c:pt>
                <c:pt idx="89">
                  <c:v>451.5180018043888</c:v>
                </c:pt>
                <c:pt idx="90">
                  <c:v>451.5180018043888</c:v>
                </c:pt>
                <c:pt idx="91">
                  <c:v>451.5180018043888</c:v>
                </c:pt>
                <c:pt idx="92">
                  <c:v>451.5180018043888</c:v>
                </c:pt>
                <c:pt idx="93">
                  <c:v>451.5180018043888</c:v>
                </c:pt>
                <c:pt idx="94">
                  <c:v>451.5180018043888</c:v>
                </c:pt>
                <c:pt idx="95">
                  <c:v>451.5180018043888</c:v>
                </c:pt>
                <c:pt idx="96">
                  <c:v>451.5180018043888</c:v>
                </c:pt>
                <c:pt idx="97">
                  <c:v>451.5180018043888</c:v>
                </c:pt>
                <c:pt idx="98">
                  <c:v>451.5180018043888</c:v>
                </c:pt>
                <c:pt idx="99">
                  <c:v>451.5180018043888</c:v>
                </c:pt>
                <c:pt idx="100">
                  <c:v>451.5180018043888</c:v>
                </c:pt>
                <c:pt idx="101">
                  <c:v>451.5180018043888</c:v>
                </c:pt>
                <c:pt idx="102">
                  <c:v>451.5180018043888</c:v>
                </c:pt>
                <c:pt idx="103">
                  <c:v>451.5180018043888</c:v>
                </c:pt>
                <c:pt idx="104">
                  <c:v>451.5180018043888</c:v>
                </c:pt>
                <c:pt idx="105">
                  <c:v>451.5180018043888</c:v>
                </c:pt>
                <c:pt idx="106">
                  <c:v>451.5180018043888</c:v>
                </c:pt>
                <c:pt idx="107">
                  <c:v>451.5180018043888</c:v>
                </c:pt>
                <c:pt idx="108">
                  <c:v>451.5180018043888</c:v>
                </c:pt>
                <c:pt idx="109">
                  <c:v>451.5180018043888</c:v>
                </c:pt>
                <c:pt idx="110">
                  <c:v>451.5180018043888</c:v>
                </c:pt>
                <c:pt idx="111">
                  <c:v>451.5180018043888</c:v>
                </c:pt>
                <c:pt idx="112">
                  <c:v>451.5180018043888</c:v>
                </c:pt>
                <c:pt idx="113">
                  <c:v>451.5180018043888</c:v>
                </c:pt>
                <c:pt idx="114">
                  <c:v>451.5180018043888</c:v>
                </c:pt>
                <c:pt idx="115">
                  <c:v>451.5180018043888</c:v>
                </c:pt>
                <c:pt idx="116">
                  <c:v>451.5180018043888</c:v>
                </c:pt>
                <c:pt idx="117">
                  <c:v>451.5180018043888</c:v>
                </c:pt>
                <c:pt idx="118">
                  <c:v>451.5180018043888</c:v>
                </c:pt>
                <c:pt idx="119">
                  <c:v>451.5180018043888</c:v>
                </c:pt>
                <c:pt idx="120">
                  <c:v>451.5180018043888</c:v>
                </c:pt>
                <c:pt idx="121">
                  <c:v>451.5180018043888</c:v>
                </c:pt>
                <c:pt idx="122">
                  <c:v>451.5180018043888</c:v>
                </c:pt>
                <c:pt idx="123">
                  <c:v>451.5180018043888</c:v>
                </c:pt>
                <c:pt idx="124">
                  <c:v>451.5180018043888</c:v>
                </c:pt>
                <c:pt idx="125">
                  <c:v>451.5180018043888</c:v>
                </c:pt>
                <c:pt idx="126">
                  <c:v>451.5180018043888</c:v>
                </c:pt>
                <c:pt idx="127">
                  <c:v>451.5180018043888</c:v>
                </c:pt>
                <c:pt idx="128">
                  <c:v>451.5180018043888</c:v>
                </c:pt>
                <c:pt idx="129">
                  <c:v>451.5180018043888</c:v>
                </c:pt>
                <c:pt idx="130">
                  <c:v>451.5180018043888</c:v>
                </c:pt>
                <c:pt idx="131">
                  <c:v>451.5180018043888</c:v>
                </c:pt>
                <c:pt idx="132">
                  <c:v>451.5180018043888</c:v>
                </c:pt>
                <c:pt idx="133">
                  <c:v>451.5180018043888</c:v>
                </c:pt>
                <c:pt idx="134">
                  <c:v>451.5180018043888</c:v>
                </c:pt>
                <c:pt idx="135">
                  <c:v>451.5180018043888</c:v>
                </c:pt>
                <c:pt idx="136">
                  <c:v>451.5180018043888</c:v>
                </c:pt>
                <c:pt idx="137">
                  <c:v>451.5180018043888</c:v>
                </c:pt>
                <c:pt idx="138">
                  <c:v>451.5180018043888</c:v>
                </c:pt>
                <c:pt idx="139">
                  <c:v>451.5180018043888</c:v>
                </c:pt>
                <c:pt idx="140">
                  <c:v>451.5180018043888</c:v>
                </c:pt>
                <c:pt idx="141">
                  <c:v>451.5180018043888</c:v>
                </c:pt>
                <c:pt idx="142">
                  <c:v>451.5180018043888</c:v>
                </c:pt>
                <c:pt idx="143">
                  <c:v>451.5180018043888</c:v>
                </c:pt>
                <c:pt idx="144">
                  <c:v>451.5180018043888</c:v>
                </c:pt>
                <c:pt idx="145">
                  <c:v>451.5180018043888</c:v>
                </c:pt>
                <c:pt idx="146">
                  <c:v>451.5180018043888</c:v>
                </c:pt>
                <c:pt idx="147">
                  <c:v>451.5180018043888</c:v>
                </c:pt>
                <c:pt idx="148">
                  <c:v>451.5180018043888</c:v>
                </c:pt>
                <c:pt idx="149">
                  <c:v>451.5180018043888</c:v>
                </c:pt>
                <c:pt idx="150">
                  <c:v>451.5180018043888</c:v>
                </c:pt>
                <c:pt idx="151">
                  <c:v>451.5180018043888</c:v>
                </c:pt>
                <c:pt idx="152">
                  <c:v>451.5180018043888</c:v>
                </c:pt>
                <c:pt idx="153">
                  <c:v>451.5180018043888</c:v>
                </c:pt>
                <c:pt idx="154">
                  <c:v>451.5180018043888</c:v>
                </c:pt>
                <c:pt idx="155">
                  <c:v>451.5180018043888</c:v>
                </c:pt>
                <c:pt idx="156">
                  <c:v>451.5180018043888</c:v>
                </c:pt>
                <c:pt idx="157">
                  <c:v>451.5180018043888</c:v>
                </c:pt>
                <c:pt idx="158">
                  <c:v>451.5180018043888</c:v>
                </c:pt>
                <c:pt idx="159">
                  <c:v>451.5180018043888</c:v>
                </c:pt>
                <c:pt idx="160">
                  <c:v>451.5180018043888</c:v>
                </c:pt>
                <c:pt idx="161">
                  <c:v>451.5180018043888</c:v>
                </c:pt>
                <c:pt idx="162">
                  <c:v>451.5180018043888</c:v>
                </c:pt>
                <c:pt idx="163">
                  <c:v>451.5180018043888</c:v>
                </c:pt>
                <c:pt idx="164">
                  <c:v>451.5180018043888</c:v>
                </c:pt>
                <c:pt idx="165">
                  <c:v>451.5180018043888</c:v>
                </c:pt>
                <c:pt idx="166">
                  <c:v>451.5180018043888</c:v>
                </c:pt>
                <c:pt idx="167">
                  <c:v>451.5180018043888</c:v>
                </c:pt>
                <c:pt idx="168">
                  <c:v>451.5180018043888</c:v>
                </c:pt>
                <c:pt idx="169">
                  <c:v>451.5180018043888</c:v>
                </c:pt>
                <c:pt idx="170">
                  <c:v>451.5180018043888</c:v>
                </c:pt>
                <c:pt idx="171">
                  <c:v>451.5180018043888</c:v>
                </c:pt>
                <c:pt idx="172">
                  <c:v>451.5180018043888</c:v>
                </c:pt>
                <c:pt idx="173">
                  <c:v>451.5180018043888</c:v>
                </c:pt>
                <c:pt idx="174">
                  <c:v>451.5180018043888</c:v>
                </c:pt>
                <c:pt idx="175">
                  <c:v>451.5180018043888</c:v>
                </c:pt>
                <c:pt idx="176">
                  <c:v>451.5180018043888</c:v>
                </c:pt>
                <c:pt idx="177">
                  <c:v>451.5180018043888</c:v>
                </c:pt>
                <c:pt idx="178">
                  <c:v>451.5180018043888</c:v>
                </c:pt>
                <c:pt idx="179">
                  <c:v>451.5180018043888</c:v>
                </c:pt>
                <c:pt idx="180">
                  <c:v>451.5180018043888</c:v>
                </c:pt>
                <c:pt idx="181">
                  <c:v>451.5180018043888</c:v>
                </c:pt>
                <c:pt idx="182">
                  <c:v>451.5180018043888</c:v>
                </c:pt>
                <c:pt idx="183">
                  <c:v>451.5180018043888</c:v>
                </c:pt>
                <c:pt idx="184">
                  <c:v>451.5180018043888</c:v>
                </c:pt>
                <c:pt idx="185">
                  <c:v>451.5180018043888</c:v>
                </c:pt>
                <c:pt idx="186">
                  <c:v>451.5180018043888</c:v>
                </c:pt>
                <c:pt idx="187">
                  <c:v>451.5180018043888</c:v>
                </c:pt>
                <c:pt idx="188">
                  <c:v>451.5180018043888</c:v>
                </c:pt>
                <c:pt idx="189">
                  <c:v>451.5180018043888</c:v>
                </c:pt>
                <c:pt idx="190">
                  <c:v>451.5180018043888</c:v>
                </c:pt>
                <c:pt idx="191">
                  <c:v>451.5180018043888</c:v>
                </c:pt>
                <c:pt idx="192">
                  <c:v>451.5180018043888</c:v>
                </c:pt>
                <c:pt idx="193">
                  <c:v>451.5180018043888</c:v>
                </c:pt>
                <c:pt idx="194">
                  <c:v>451.5180018043888</c:v>
                </c:pt>
                <c:pt idx="195">
                  <c:v>451.5180018043888</c:v>
                </c:pt>
                <c:pt idx="196">
                  <c:v>451.5180018043888</c:v>
                </c:pt>
                <c:pt idx="197">
                  <c:v>451.5180018043888</c:v>
                </c:pt>
                <c:pt idx="198">
                  <c:v>451.5180018043888</c:v>
                </c:pt>
                <c:pt idx="199">
                  <c:v>451.5180018043888</c:v>
                </c:pt>
                <c:pt idx="200">
                  <c:v>451.5180018043888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BIN/Desktop/VAN-Re&#769;fe&#769;rence%20valeur%20BI%20BO%20BE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N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Table_7" displayName="Table_7" ref="B2:G68">
  <tableColumns count="6">
    <tableColumn id="1" name="l"/>
    <tableColumn id="2" name="Infradensité (tMS/m3) "/>
    <tableColumn id="3" name="Type"/>
    <tableColumn id="4" name="Valeur BO"/>
    <tableColumn id="5" name="Valeur BI"/>
    <tableColumn id="6" name="Valeur BE"/>
  </tableColumns>
  <tableStyleInfo name="VAN-style" showFirstColumn="1" showLastColumn="1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94" t="s">
        <v>292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3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3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3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3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3">
      <c r="B18" s="294" t="s">
        <v>293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3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3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3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3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3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3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3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3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3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3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3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3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3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55" zoomScaleNormal="90" workbookViewId="0">
      <selection activeCell="C151" sqref="C15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77734375" style="25" bestFit="1" customWidth="1"/>
    <col min="4" max="4" width="16.44140625" style="25" customWidth="1"/>
    <col min="5" max="5" width="23.33203125" style="25" customWidth="1"/>
    <col min="6" max="6" width="28.77734375" style="25" bestFit="1" customWidth="1"/>
    <col min="7" max="8" width="14.664062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2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300" t="s">
        <v>192</v>
      </c>
      <c r="C3" s="301"/>
      <c r="D3" s="301"/>
      <c r="E3" s="301"/>
      <c r="F3" s="302"/>
      <c r="G3" s="90"/>
      <c r="I3" s="222" t="s">
        <v>305</v>
      </c>
      <c r="J3" s="91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2"/>
      <c r="B4" s="92"/>
      <c r="C4" s="92"/>
      <c r="D4" s="92"/>
      <c r="E4" s="92"/>
      <c r="F4" s="92"/>
      <c r="G4" s="232"/>
      <c r="I4" s="222" t="s">
        <v>306</v>
      </c>
      <c r="J4" s="91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6" t="s">
        <v>231</v>
      </c>
      <c r="B5" s="306"/>
      <c r="C5" s="26">
        <v>3</v>
      </c>
      <c r="D5" s="307" t="s">
        <v>229</v>
      </c>
      <c r="E5" s="308"/>
      <c r="F5" s="92"/>
      <c r="G5" s="232"/>
      <c r="H5" s="233"/>
      <c r="I5" s="233"/>
      <c r="J5" s="24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3"/>
      <c r="B6" s="93"/>
      <c r="C6" s="94"/>
      <c r="D6" s="88"/>
      <c r="E6" s="88"/>
      <c r="F6" s="29"/>
      <c r="G6" s="234"/>
      <c r="H6" s="235"/>
      <c r="I6" s="235"/>
      <c r="J6" s="242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38" ht="25.8" x14ac:dyDescent="0.3">
      <c r="A7" s="304" t="s">
        <v>226</v>
      </c>
      <c r="B7" s="304"/>
      <c r="C7" s="92"/>
      <c r="D7" s="92"/>
      <c r="E7" s="5"/>
      <c r="F7" s="92"/>
      <c r="G7" s="232"/>
      <c r="H7" s="233"/>
      <c r="I7" s="233"/>
      <c r="J7" s="24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7"/>
      <c r="J8" s="24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0.111</v>
      </c>
      <c r="D9" s="36">
        <f t="shared" ref="D9:D18" si="0">C9*$C$5</f>
        <v>0.33300000000000002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2" t="s">
        <v>307</v>
      </c>
      <c r="I9" s="248"/>
      <c r="J9" s="24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23</v>
      </c>
      <c r="C10" s="35">
        <v>0.111</v>
      </c>
      <c r="D10" s="36">
        <f t="shared" si="0"/>
        <v>0.33300000000000002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48"/>
      <c r="J10" s="24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22</v>
      </c>
      <c r="C11" s="35">
        <v>0.111</v>
      </c>
      <c r="D11" s="36">
        <f t="shared" si="0"/>
        <v>0.33300000000000002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25"/>
      <c r="I11" s="248"/>
      <c r="J11" s="24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50</v>
      </c>
      <c r="C12" s="35">
        <v>0.111</v>
      </c>
      <c r="D12" s="36">
        <f t="shared" si="0"/>
        <v>0.33300000000000002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25"/>
      <c r="I12" s="248"/>
      <c r="J12" s="24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</v>
      </c>
      <c r="C13" s="35">
        <v>0.111</v>
      </c>
      <c r="D13" s="36">
        <f t="shared" si="0"/>
        <v>0.33300000000000002</v>
      </c>
      <c r="E13" s="37">
        <v>180</v>
      </c>
      <c r="F13" s="38" t="str">
        <f t="array" ref="F13">IF(E13="","",IF(INDEX(A:A,MAX(IF(ISNUMBER($A$140:$A$159),ROW($A$140:$A$159),"")))&lt;&gt;E13,"Corrigez : révolution incorrecte","OK"))</f>
        <v>OK</v>
      </c>
      <c r="H13" s="225"/>
      <c r="I13" s="248"/>
      <c r="J13" s="24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29</v>
      </c>
      <c r="C14" s="35">
        <v>0.111</v>
      </c>
      <c r="D14" s="36">
        <f t="shared" si="0"/>
        <v>0.33300000000000002</v>
      </c>
      <c r="E14" s="37">
        <v>90</v>
      </c>
      <c r="F14" s="38" t="str">
        <f t="array" ref="F14">IF(E14="","",IF(INDEX(A:A,MAX(IF(ISNUMBER($A$166:$A$185),ROW($A$166:$A$185),"")))&lt;&gt;E14,"Corrigez : révolution incorrecte","OK"))</f>
        <v>OK</v>
      </c>
      <c r="H14" s="225"/>
      <c r="I14" s="248"/>
      <c r="J14" s="24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25</v>
      </c>
      <c r="C15" s="35">
        <v>0.1113</v>
      </c>
      <c r="D15" s="36">
        <f t="shared" si="0"/>
        <v>0.33389999999999997</v>
      </c>
      <c r="E15" s="37">
        <v>90</v>
      </c>
      <c r="F15" s="38" t="str">
        <f t="array" ref="F15">IF(E15="","",IF(INDEX(A:A,MAX(IF(ISNUMBER($A$192:$A$211),ROW($A$192:$A$211),"")))&lt;&gt;E15,"Corrigez : révolution incorrecte","OK"))</f>
        <v>OK</v>
      </c>
      <c r="H15" s="225"/>
      <c r="I15" s="248"/>
      <c r="J15" s="24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21</v>
      </c>
      <c r="C16" s="35">
        <v>0.1113</v>
      </c>
      <c r="D16" s="36">
        <f t="shared" si="0"/>
        <v>0.33389999999999997</v>
      </c>
      <c r="E16" s="37">
        <v>100</v>
      </c>
      <c r="F16" s="38" t="str">
        <f t="array" ref="F16">IF(E16="","",IF(INDEX(A:A,MAX(IF(ISNUMBER($A$218:$A$237),ROW($A$218:$A$237),"")))&lt;&gt;E16,"Corrigez : révolution incorrecte","OK"))</f>
        <v>OK</v>
      </c>
      <c r="H16" s="225"/>
      <c r="I16" s="248"/>
      <c r="J16" s="24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27</v>
      </c>
      <c r="C17" s="35">
        <v>0.1113</v>
      </c>
      <c r="D17" s="36">
        <f t="shared" si="0"/>
        <v>0.33389999999999997</v>
      </c>
      <c r="E17" s="37">
        <v>70</v>
      </c>
      <c r="F17" s="38" t="str">
        <f t="array" ref="F17">IF(E17="","",IF(INDEX(A:A,MAX(IF(ISNUMBER($A$244:$A$263),ROW($A$244:$A$263),"")))&lt;&gt;E17,"Corrigez : révolution incorrecte","OK"))</f>
        <v>OK</v>
      </c>
      <c r="H17" s="225"/>
      <c r="I17" s="248"/>
      <c r="J17" s="24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5"/>
      <c r="I18" s="248"/>
      <c r="J18" s="24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5"/>
      <c r="B19" s="39" t="s">
        <v>175</v>
      </c>
      <c r="C19" s="40">
        <f>SUM(C9:C18)</f>
        <v>0.9998999999999999</v>
      </c>
      <c r="D19" s="41">
        <f>SUM(D9:D18)</f>
        <v>2.9996999999999998</v>
      </c>
      <c r="E19" s="5"/>
      <c r="F19" s="96"/>
      <c r="G19" s="236"/>
      <c r="H19" s="237"/>
      <c r="I19" s="236"/>
      <c r="J19" s="24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5"/>
      <c r="B20" s="42" t="s">
        <v>230</v>
      </c>
      <c r="C20" s="43" t="str">
        <f>IF(C19&gt;100%,"Erreur : corrigez","OK")</f>
        <v>OK</v>
      </c>
      <c r="D20" s="243"/>
      <c r="F20" s="235"/>
      <c r="G20" s="235"/>
      <c r="H20" s="237"/>
      <c r="I20" s="236"/>
      <c r="J20" s="24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38"/>
      <c r="I21" s="249"/>
      <c r="J21" s="24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3" t="s">
        <v>232</v>
      </c>
      <c r="B22" s="303"/>
      <c r="C22" s="94"/>
      <c r="H22" s="224"/>
      <c r="I22" s="242"/>
      <c r="J22" s="242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</row>
    <row r="23" spans="1:45" x14ac:dyDescent="0.3">
      <c r="A23" s="5"/>
      <c r="B23" s="5"/>
      <c r="C23" s="5"/>
      <c r="H23" s="215"/>
      <c r="I23" s="241"/>
      <c r="J23" s="24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7"/>
      <c r="F24" s="97"/>
      <c r="G24" s="239"/>
      <c r="H24" s="225"/>
      <c r="I24" s="239"/>
      <c r="J24" s="24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98"/>
      <c r="E25" s="5"/>
      <c r="F25" s="98"/>
      <c r="G25" s="240"/>
      <c r="H25" s="225"/>
      <c r="I25" s="240"/>
      <c r="J25" s="24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97"/>
      <c r="F26" s="97"/>
      <c r="G26" s="239"/>
      <c r="I26" s="239"/>
      <c r="J26" s="23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7"/>
      <c r="F27" s="97"/>
      <c r="G27" s="239"/>
      <c r="I27" s="239"/>
      <c r="J27" s="23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1"/>
      <c r="I28" s="241"/>
      <c r="J28" s="24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1"/>
      <c r="I29" s="241"/>
      <c r="J29" s="24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5" t="s">
        <v>227</v>
      </c>
      <c r="B30" s="305"/>
      <c r="D30" s="244"/>
      <c r="H30" s="242"/>
      <c r="I30" s="242"/>
      <c r="J30" s="242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</row>
    <row r="31" spans="1:45" x14ac:dyDescent="0.3">
      <c r="A31" s="5"/>
      <c r="B31" s="5"/>
      <c r="H31" s="241"/>
      <c r="I31" s="241"/>
      <c r="J31" s="241"/>
      <c r="K31" s="24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3" t="s">
        <v>308</v>
      </c>
      <c r="K32" s="24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7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99"/>
      <c r="J34" s="24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60">
        <v>42</v>
      </c>
      <c r="B36" s="60">
        <v>126</v>
      </c>
      <c r="C36" s="60">
        <v>1</v>
      </c>
      <c r="D36" s="60">
        <v>30</v>
      </c>
      <c r="E36" s="292">
        <v>0.2</v>
      </c>
      <c r="F36" s="292"/>
      <c r="G36" s="292"/>
      <c r="H36" s="292">
        <v>0.8</v>
      </c>
      <c r="I36" s="52">
        <f>IFERROR(B36/A36,"")</f>
        <v>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60">
        <v>50</v>
      </c>
      <c r="B37" s="60">
        <v>151</v>
      </c>
      <c r="C37" s="60">
        <v>2</v>
      </c>
      <c r="D37" s="60">
        <v>35</v>
      </c>
      <c r="E37" s="292">
        <v>0.2</v>
      </c>
      <c r="F37" s="292"/>
      <c r="G37" s="292"/>
      <c r="H37" s="292">
        <v>0.8</v>
      </c>
      <c r="I37" s="56">
        <f t="shared" ref="I37:I55" si="1">IF(A37&lt;&gt;0,(B37-(B36-D36))/(A37-A36),"")</f>
        <v>6.875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60">
        <v>58</v>
      </c>
      <c r="B38" s="60">
        <v>179</v>
      </c>
      <c r="C38" s="60">
        <v>3</v>
      </c>
      <c r="D38" s="60">
        <v>44</v>
      </c>
      <c r="E38" s="292">
        <v>0.3</v>
      </c>
      <c r="F38" s="292"/>
      <c r="G38" s="292"/>
      <c r="H38" s="292">
        <v>0.7</v>
      </c>
      <c r="I38" s="56">
        <f t="shared" si="1"/>
        <v>7.875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60">
        <v>66</v>
      </c>
      <c r="B39" s="60">
        <v>190</v>
      </c>
      <c r="C39" s="60">
        <v>4</v>
      </c>
      <c r="D39" s="60">
        <v>38</v>
      </c>
      <c r="E39" s="292">
        <v>0.3</v>
      </c>
      <c r="F39" s="292"/>
      <c r="G39" s="292"/>
      <c r="H39" s="292">
        <v>0.7</v>
      </c>
      <c r="I39" s="52">
        <f t="shared" si="1"/>
        <v>6.875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60">
        <v>75</v>
      </c>
      <c r="B40" s="60">
        <v>208</v>
      </c>
      <c r="C40" s="60">
        <v>5</v>
      </c>
      <c r="D40" s="60">
        <v>37</v>
      </c>
      <c r="E40" s="292">
        <v>0.4</v>
      </c>
      <c r="F40" s="292"/>
      <c r="G40" s="292"/>
      <c r="H40" s="292">
        <v>0.6</v>
      </c>
      <c r="I40" s="52">
        <f t="shared" si="1"/>
        <v>6.2222222222222223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60">
        <v>84</v>
      </c>
      <c r="B41" s="60">
        <v>224</v>
      </c>
      <c r="C41" s="60">
        <v>6</v>
      </c>
      <c r="D41" s="60">
        <v>36</v>
      </c>
      <c r="E41" s="292">
        <v>0.4</v>
      </c>
      <c r="F41" s="292"/>
      <c r="G41" s="292"/>
      <c r="H41" s="292">
        <v>0.6</v>
      </c>
      <c r="I41" s="56">
        <f t="shared" si="1"/>
        <v>5.8888888888888893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60">
        <v>93</v>
      </c>
      <c r="B42" s="60">
        <v>240</v>
      </c>
      <c r="C42" s="60">
        <v>7</v>
      </c>
      <c r="D42" s="60">
        <v>34</v>
      </c>
      <c r="E42" s="292">
        <v>0.5</v>
      </c>
      <c r="F42" s="292"/>
      <c r="G42" s="292"/>
      <c r="H42" s="292">
        <v>0.5</v>
      </c>
      <c r="I42" s="56">
        <f t="shared" si="1"/>
        <v>5.7777777777777777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60">
        <v>103</v>
      </c>
      <c r="B43" s="60">
        <v>262</v>
      </c>
      <c r="C43" s="60">
        <v>8</v>
      </c>
      <c r="D43" s="60">
        <v>38</v>
      </c>
      <c r="E43" s="292">
        <v>0.5</v>
      </c>
      <c r="F43" s="292"/>
      <c r="G43" s="292"/>
      <c r="H43" s="292">
        <v>0.5</v>
      </c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60">
        <v>113</v>
      </c>
      <c r="B44" s="60">
        <v>284</v>
      </c>
      <c r="C44" s="60">
        <v>9</v>
      </c>
      <c r="D44" s="60">
        <v>42</v>
      </c>
      <c r="E44" s="293">
        <v>0.6</v>
      </c>
      <c r="F44" s="293"/>
      <c r="G44" s="293"/>
      <c r="H44" s="293">
        <v>0.4</v>
      </c>
      <c r="I44" s="52">
        <f t="shared" si="1"/>
        <v>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60">
        <v>123</v>
      </c>
      <c r="B45" s="60">
        <v>306</v>
      </c>
      <c r="C45" s="60">
        <v>10</v>
      </c>
      <c r="D45" s="60">
        <v>45</v>
      </c>
      <c r="E45" s="293">
        <v>0.6</v>
      </c>
      <c r="F45" s="293"/>
      <c r="G45" s="293"/>
      <c r="H45" s="293">
        <v>0.4</v>
      </c>
      <c r="I45" s="52">
        <f t="shared" si="1"/>
        <v>6.4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60">
        <v>135</v>
      </c>
      <c r="B46" s="60">
        <v>329</v>
      </c>
      <c r="C46" s="60">
        <v>11</v>
      </c>
      <c r="D46" s="60">
        <v>48</v>
      </c>
      <c r="E46" s="57">
        <v>0.7</v>
      </c>
      <c r="F46" s="57"/>
      <c r="G46" s="57"/>
      <c r="H46" s="57">
        <v>0.3</v>
      </c>
      <c r="I46" s="52">
        <f t="shared" si="1"/>
        <v>5.666666666666667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60">
        <v>147</v>
      </c>
      <c r="B47" s="60">
        <v>351</v>
      </c>
      <c r="C47" s="60">
        <v>12</v>
      </c>
      <c r="D47" s="60">
        <v>0</v>
      </c>
      <c r="E47" s="57">
        <v>0.7</v>
      </c>
      <c r="F47" s="57"/>
      <c r="G47" s="57"/>
      <c r="H47" s="57">
        <v>0.3</v>
      </c>
      <c r="I47" s="52">
        <f t="shared" si="1"/>
        <v>5.833333333333333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60">
        <v>150</v>
      </c>
      <c r="B48" s="60">
        <v>351</v>
      </c>
      <c r="C48" s="60">
        <v>13</v>
      </c>
      <c r="D48" s="60">
        <v>351</v>
      </c>
      <c r="E48" s="57">
        <v>0.8</v>
      </c>
      <c r="F48" s="57"/>
      <c r="G48" s="57"/>
      <c r="H48" s="57">
        <v>0.2</v>
      </c>
      <c r="I48" s="52">
        <f t="shared" si="1"/>
        <v>0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77"/>
      <c r="B49" s="60"/>
      <c r="C49" s="60"/>
      <c r="D49" s="60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77"/>
      <c r="B50" s="53"/>
      <c r="C50" s="60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77"/>
      <c r="B51" s="53"/>
      <c r="C51" s="60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77"/>
      <c r="B52" s="53"/>
      <c r="C52" s="60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77"/>
      <c r="B53" s="53"/>
      <c r="C53" s="60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77"/>
      <c r="B54" s="53"/>
      <c r="C54" s="60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77"/>
      <c r="B55" s="53"/>
      <c r="C55" s="60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Erable sycomore</v>
      </c>
      <c r="D58" s="253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0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7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99"/>
      <c r="J60" s="24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0">
        <v>44</v>
      </c>
      <c r="C62" s="60">
        <v>1</v>
      </c>
      <c r="D62" s="60">
        <v>0</v>
      </c>
      <c r="E62" s="54"/>
      <c r="F62" s="54"/>
      <c r="G62" s="54"/>
      <c r="H62" s="54">
        <v>1</v>
      </c>
      <c r="I62" s="56">
        <f>IFERROR(B62/A62,"")</f>
        <v>2.9333333333333331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0">
        <v>118</v>
      </c>
      <c r="C63" s="60">
        <v>2</v>
      </c>
      <c r="D63" s="60">
        <v>15.7</v>
      </c>
      <c r="E63" s="54"/>
      <c r="F63" s="54"/>
      <c r="G63" s="54"/>
      <c r="H63" s="54">
        <v>1</v>
      </c>
      <c r="I63" s="52">
        <f>IF(A63&lt;&gt;0,(B63-(B62-D62))/(A63-A62),"")</f>
        <v>14.8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0">
        <v>178</v>
      </c>
      <c r="C64" s="60">
        <v>3</v>
      </c>
      <c r="D64" s="60">
        <v>21.6</v>
      </c>
      <c r="E64" s="54"/>
      <c r="F64" s="54"/>
      <c r="G64" s="54"/>
      <c r="H64" s="54">
        <v>1</v>
      </c>
      <c r="I64" s="52">
        <f>IF(A64&lt;&gt;0,(B64-(B63-D63))/(A64-A63),"")</f>
        <v>15.14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0">
        <v>230</v>
      </c>
      <c r="C65" s="60">
        <v>4</v>
      </c>
      <c r="D65" s="60">
        <v>23.2</v>
      </c>
      <c r="E65" s="54"/>
      <c r="F65" s="54"/>
      <c r="G65" s="54"/>
      <c r="H65" s="54">
        <v>1</v>
      </c>
      <c r="I65" s="52">
        <f>IF(A65&lt;&gt;0,(B65-(B64-D64))/(A65-A64),"")</f>
        <v>14.719999999999999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0">
        <v>276</v>
      </c>
      <c r="C66" s="60">
        <v>5</v>
      </c>
      <c r="D66" s="60">
        <v>22.9</v>
      </c>
      <c r="E66" s="54">
        <v>0.2</v>
      </c>
      <c r="F66" s="54"/>
      <c r="G66" s="54"/>
      <c r="H66" s="54">
        <v>0.8</v>
      </c>
      <c r="I66" s="52">
        <f t="shared" ref="I66:I81" si="2">IF(A66&lt;&gt;0,(B66-(B65-D65))/(A66-A65),"")</f>
        <v>13.839999999999998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0">
        <v>318</v>
      </c>
      <c r="C67" s="60">
        <v>6</v>
      </c>
      <c r="D67" s="60">
        <v>21.8</v>
      </c>
      <c r="E67" s="54">
        <v>0.2</v>
      </c>
      <c r="F67" s="54"/>
      <c r="G67" s="54"/>
      <c r="H67" s="54">
        <v>0.8</v>
      </c>
      <c r="I67" s="52">
        <f t="shared" si="2"/>
        <v>12.98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60">
        <v>356</v>
      </c>
      <c r="C68" s="60">
        <v>7</v>
      </c>
      <c r="D68" s="60">
        <v>20.3</v>
      </c>
      <c r="E68" s="54">
        <v>0.3</v>
      </c>
      <c r="F68" s="54"/>
      <c r="G68" s="54"/>
      <c r="H68" s="54">
        <v>0.7</v>
      </c>
      <c r="I68" s="52">
        <f t="shared" si="2"/>
        <v>11.960000000000003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50</v>
      </c>
      <c r="B69" s="53">
        <v>390</v>
      </c>
      <c r="C69" s="60">
        <v>8</v>
      </c>
      <c r="D69" s="53">
        <v>18.7</v>
      </c>
      <c r="E69" s="54">
        <v>0.3</v>
      </c>
      <c r="F69" s="54"/>
      <c r="G69" s="54"/>
      <c r="H69" s="54">
        <v>0.7</v>
      </c>
      <c r="I69" s="52">
        <f t="shared" si="2"/>
        <v>10.860000000000003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55</v>
      </c>
      <c r="B70" s="53">
        <v>420</v>
      </c>
      <c r="C70" s="60">
        <v>9</v>
      </c>
      <c r="D70" s="53">
        <v>17.100000000000001</v>
      </c>
      <c r="E70" s="54">
        <v>0.4</v>
      </c>
      <c r="F70" s="54"/>
      <c r="G70" s="54"/>
      <c r="H70" s="54">
        <v>0.6</v>
      </c>
      <c r="I70" s="52">
        <f t="shared" si="2"/>
        <v>9.7399999999999984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60</v>
      </c>
      <c r="B71" s="53">
        <v>448</v>
      </c>
      <c r="C71" s="60">
        <v>10</v>
      </c>
      <c r="D71" s="53">
        <v>15.6</v>
      </c>
      <c r="E71" s="54">
        <v>0.4</v>
      </c>
      <c r="F71" s="54"/>
      <c r="G71" s="54"/>
      <c r="H71" s="54">
        <v>0.6</v>
      </c>
      <c r="I71" s="52">
        <f t="shared" si="2"/>
        <v>9.0200000000000049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65</v>
      </c>
      <c r="B72" s="53">
        <v>474</v>
      </c>
      <c r="C72" s="60">
        <v>11</v>
      </c>
      <c r="D72" s="53">
        <v>14.2</v>
      </c>
      <c r="E72" s="54">
        <v>0.5</v>
      </c>
      <c r="F72" s="54"/>
      <c r="G72" s="54"/>
      <c r="H72" s="54">
        <v>0.5</v>
      </c>
      <c r="I72" s="52">
        <f t="shared" si="2"/>
        <v>8.3200000000000038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70</v>
      </c>
      <c r="B73" s="53">
        <v>496</v>
      </c>
      <c r="C73" s="60">
        <v>12</v>
      </c>
      <c r="D73" s="53">
        <v>12.9</v>
      </c>
      <c r="E73" s="54">
        <v>0.5</v>
      </c>
      <c r="F73" s="54"/>
      <c r="G73" s="54"/>
      <c r="H73" s="54">
        <v>0.5</v>
      </c>
      <c r="I73" s="52">
        <f t="shared" si="2"/>
        <v>7.2399999999999975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75</v>
      </c>
      <c r="B74" s="53">
        <v>517</v>
      </c>
      <c r="C74" s="60">
        <v>13</v>
      </c>
      <c r="D74" s="53">
        <v>11.7</v>
      </c>
      <c r="E74" s="54">
        <v>0.6</v>
      </c>
      <c r="F74" s="54"/>
      <c r="G74" s="54"/>
      <c r="H74" s="54">
        <v>0.4</v>
      </c>
      <c r="I74" s="52">
        <f t="shared" si="2"/>
        <v>6.7799999999999958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80</v>
      </c>
      <c r="B75" s="53">
        <v>535</v>
      </c>
      <c r="C75" s="60">
        <v>14</v>
      </c>
      <c r="D75" s="53">
        <v>10.6</v>
      </c>
      <c r="E75" s="54">
        <v>0.6</v>
      </c>
      <c r="F75" s="54"/>
      <c r="G75" s="54"/>
      <c r="H75" s="54">
        <v>0.4</v>
      </c>
      <c r="I75" s="52">
        <f t="shared" si="2"/>
        <v>5.9399999999999977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85</v>
      </c>
      <c r="B76" s="53">
        <v>552</v>
      </c>
      <c r="C76" s="60">
        <v>15</v>
      </c>
      <c r="D76" s="53">
        <v>9.6</v>
      </c>
      <c r="E76" s="54">
        <v>0.7</v>
      </c>
      <c r="F76" s="54"/>
      <c r="G76" s="54"/>
      <c r="H76" s="54">
        <v>0.3</v>
      </c>
      <c r="I76" s="52">
        <f t="shared" si="2"/>
        <v>5.5200000000000049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90</v>
      </c>
      <c r="B77" s="53">
        <v>567</v>
      </c>
      <c r="C77" s="60">
        <v>16</v>
      </c>
      <c r="D77" s="53">
        <v>8.6999999999999993</v>
      </c>
      <c r="E77" s="54">
        <v>0.7</v>
      </c>
      <c r="F77" s="54"/>
      <c r="G77" s="54"/>
      <c r="H77" s="54">
        <v>0.3</v>
      </c>
      <c r="I77" s="52">
        <f t="shared" si="2"/>
        <v>4.9200000000000044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95</v>
      </c>
      <c r="B78" s="53">
        <v>581</v>
      </c>
      <c r="C78" s="60">
        <v>17</v>
      </c>
      <c r="D78" s="53">
        <v>7.8</v>
      </c>
      <c r="E78" s="54">
        <v>0.8</v>
      </c>
      <c r="F78" s="54"/>
      <c r="G78" s="54"/>
      <c r="H78" s="54">
        <v>0.2</v>
      </c>
      <c r="I78" s="52">
        <f t="shared" si="2"/>
        <v>4.5400000000000089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100</v>
      </c>
      <c r="B79" s="53">
        <v>593</v>
      </c>
      <c r="C79" s="60">
        <v>18</v>
      </c>
      <c r="D79" s="53">
        <v>593</v>
      </c>
      <c r="E79" s="54">
        <v>0.8</v>
      </c>
      <c r="F79" s="54"/>
      <c r="G79" s="54"/>
      <c r="H79" s="54">
        <v>0.2</v>
      </c>
      <c r="I79" s="52">
        <f t="shared" si="2"/>
        <v>3.9599999999999911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60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60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plane</v>
      </c>
      <c r="D84" s="253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0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7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99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0">
        <v>44</v>
      </c>
      <c r="C88" s="60">
        <v>1</v>
      </c>
      <c r="D88" s="60">
        <v>0</v>
      </c>
      <c r="E88" s="54"/>
      <c r="F88" s="54"/>
      <c r="G88" s="54"/>
      <c r="H88" s="54">
        <v>1</v>
      </c>
      <c r="I88" s="56">
        <f>IFERROR(B88/A88,"")</f>
        <v>2.9333333333333331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0">
        <v>118</v>
      </c>
      <c r="C89" s="60">
        <v>2</v>
      </c>
      <c r="D89" s="60">
        <v>15.7</v>
      </c>
      <c r="E89" s="54"/>
      <c r="F89" s="54"/>
      <c r="G89" s="54"/>
      <c r="H89" s="54">
        <v>1</v>
      </c>
      <c r="I89" s="56">
        <f t="shared" ref="I89:I107" si="3">IF(A89&lt;&gt;0,(B89-(B88-D88))/(A89-A88),"")</f>
        <v>14.8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0">
        <v>178</v>
      </c>
      <c r="C90" s="60">
        <v>3</v>
      </c>
      <c r="D90" s="60">
        <v>21.6</v>
      </c>
      <c r="E90" s="54"/>
      <c r="F90" s="54"/>
      <c r="G90" s="54"/>
      <c r="H90" s="54">
        <v>1</v>
      </c>
      <c r="I90" s="56">
        <f t="shared" si="3"/>
        <v>15.14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0">
        <v>230</v>
      </c>
      <c r="C91" s="60">
        <v>4</v>
      </c>
      <c r="D91" s="60">
        <v>23.2</v>
      </c>
      <c r="E91" s="54"/>
      <c r="F91" s="54"/>
      <c r="G91" s="54"/>
      <c r="H91" s="54">
        <v>1</v>
      </c>
      <c r="I91" s="56">
        <f t="shared" si="3"/>
        <v>14.719999999999999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0">
        <v>276</v>
      </c>
      <c r="C92" s="60">
        <v>5</v>
      </c>
      <c r="D92" s="60">
        <v>22.9</v>
      </c>
      <c r="E92" s="54">
        <v>0.2</v>
      </c>
      <c r="F92" s="54"/>
      <c r="G92" s="54"/>
      <c r="H92" s="54">
        <v>0.8</v>
      </c>
      <c r="I92" s="56">
        <f t="shared" si="3"/>
        <v>13.839999999999998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0">
        <v>318</v>
      </c>
      <c r="C93" s="60">
        <v>6</v>
      </c>
      <c r="D93" s="60">
        <v>21.8</v>
      </c>
      <c r="E93" s="54">
        <v>0.2</v>
      </c>
      <c r="F93" s="54"/>
      <c r="G93" s="54"/>
      <c r="H93" s="54">
        <v>0.8</v>
      </c>
      <c r="I93" s="56">
        <f t="shared" si="3"/>
        <v>12.98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0">
        <v>356</v>
      </c>
      <c r="C94" s="60">
        <v>7</v>
      </c>
      <c r="D94" s="60">
        <v>20.3</v>
      </c>
      <c r="E94" s="54">
        <v>0.3</v>
      </c>
      <c r="F94" s="54"/>
      <c r="G94" s="54"/>
      <c r="H94" s="54">
        <v>0.7</v>
      </c>
      <c r="I94" s="56">
        <f t="shared" si="3"/>
        <v>11.960000000000003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50</v>
      </c>
      <c r="B95" s="53">
        <v>390</v>
      </c>
      <c r="C95" s="60">
        <v>8</v>
      </c>
      <c r="D95" s="53">
        <v>18.7</v>
      </c>
      <c r="E95" s="54">
        <v>0.3</v>
      </c>
      <c r="F95" s="54"/>
      <c r="G95" s="54"/>
      <c r="H95" s="54">
        <v>0.7</v>
      </c>
      <c r="I95" s="56">
        <f t="shared" si="3"/>
        <v>10.860000000000003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55</v>
      </c>
      <c r="B96" s="53">
        <v>420</v>
      </c>
      <c r="C96" s="60">
        <v>9</v>
      </c>
      <c r="D96" s="53">
        <v>17.100000000000001</v>
      </c>
      <c r="E96" s="54">
        <v>0.4</v>
      </c>
      <c r="F96" s="54"/>
      <c r="G96" s="54"/>
      <c r="H96" s="54">
        <v>0.6</v>
      </c>
      <c r="I96" s="56">
        <f t="shared" si="3"/>
        <v>9.7399999999999984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60</v>
      </c>
      <c r="B97" s="53">
        <v>448</v>
      </c>
      <c r="C97" s="60">
        <v>10</v>
      </c>
      <c r="D97" s="53">
        <v>15.6</v>
      </c>
      <c r="E97" s="54">
        <v>0.4</v>
      </c>
      <c r="F97" s="54"/>
      <c r="G97" s="54"/>
      <c r="H97" s="54">
        <v>0.6</v>
      </c>
      <c r="I97" s="56">
        <f t="shared" si="3"/>
        <v>9.0200000000000049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65</v>
      </c>
      <c r="B98" s="53">
        <v>474</v>
      </c>
      <c r="C98" s="60">
        <v>11</v>
      </c>
      <c r="D98" s="53">
        <v>14.2</v>
      </c>
      <c r="E98" s="54">
        <v>0.5</v>
      </c>
      <c r="F98" s="54"/>
      <c r="G98" s="54"/>
      <c r="H98" s="54">
        <v>0.5</v>
      </c>
      <c r="I98" s="56">
        <f t="shared" si="3"/>
        <v>8.3200000000000038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70</v>
      </c>
      <c r="B99" s="53">
        <v>496</v>
      </c>
      <c r="C99" s="60">
        <v>12</v>
      </c>
      <c r="D99" s="53">
        <v>12.9</v>
      </c>
      <c r="E99" s="54">
        <v>0.5</v>
      </c>
      <c r="F99" s="54"/>
      <c r="G99" s="54"/>
      <c r="H99" s="54">
        <v>0.5</v>
      </c>
      <c r="I99" s="56">
        <f t="shared" si="3"/>
        <v>7.2399999999999975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75</v>
      </c>
      <c r="B100" s="53">
        <v>517</v>
      </c>
      <c r="C100" s="60">
        <v>13</v>
      </c>
      <c r="D100" s="53">
        <v>11.7</v>
      </c>
      <c r="E100" s="54">
        <v>0.6</v>
      </c>
      <c r="F100" s="54"/>
      <c r="G100" s="54"/>
      <c r="H100" s="54">
        <v>0.4</v>
      </c>
      <c r="I100" s="56">
        <f t="shared" si="3"/>
        <v>6.7799999999999958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80</v>
      </c>
      <c r="B101" s="53">
        <v>535</v>
      </c>
      <c r="C101" s="60">
        <v>14</v>
      </c>
      <c r="D101" s="53">
        <v>10.6</v>
      </c>
      <c r="E101" s="54">
        <v>0.6</v>
      </c>
      <c r="F101" s="54"/>
      <c r="G101" s="54"/>
      <c r="H101" s="54">
        <v>0.4</v>
      </c>
      <c r="I101" s="56">
        <f t="shared" si="3"/>
        <v>5.9399999999999977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85</v>
      </c>
      <c r="B102" s="53">
        <v>552</v>
      </c>
      <c r="C102" s="60">
        <v>15</v>
      </c>
      <c r="D102" s="53">
        <v>9.6</v>
      </c>
      <c r="E102" s="54">
        <v>0.7</v>
      </c>
      <c r="F102" s="54"/>
      <c r="G102" s="54"/>
      <c r="H102" s="54">
        <v>0.3</v>
      </c>
      <c r="I102" s="56">
        <f t="shared" si="3"/>
        <v>5.5200000000000049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90</v>
      </c>
      <c r="B103" s="53">
        <v>567</v>
      </c>
      <c r="C103" s="60">
        <v>16</v>
      </c>
      <c r="D103" s="53">
        <v>8.6999999999999993</v>
      </c>
      <c r="E103" s="54">
        <v>0.7</v>
      </c>
      <c r="F103" s="54"/>
      <c r="G103" s="54"/>
      <c r="H103" s="54">
        <v>0.3</v>
      </c>
      <c r="I103" s="56">
        <f t="shared" si="3"/>
        <v>4.9200000000000044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95</v>
      </c>
      <c r="B104" s="53">
        <v>581</v>
      </c>
      <c r="C104" s="60">
        <v>17</v>
      </c>
      <c r="D104" s="53">
        <v>7.8</v>
      </c>
      <c r="E104" s="54">
        <v>0.8</v>
      </c>
      <c r="F104" s="54"/>
      <c r="G104" s="54"/>
      <c r="H104" s="54">
        <v>0.2</v>
      </c>
      <c r="I104" s="56">
        <f t="shared" si="3"/>
        <v>4.5400000000000089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100</v>
      </c>
      <c r="B105" s="53">
        <v>593</v>
      </c>
      <c r="C105" s="60">
        <v>18</v>
      </c>
      <c r="D105" s="53">
        <v>593</v>
      </c>
      <c r="E105" s="54">
        <v>0.8</v>
      </c>
      <c r="F105" s="54"/>
      <c r="G105" s="54"/>
      <c r="H105" s="54">
        <v>0.2</v>
      </c>
      <c r="I105" s="56">
        <f t="shared" si="3"/>
        <v>3.9599999999999911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60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60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Tilleul</v>
      </c>
      <c r="D110" s="253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0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7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99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0">
        <v>44</v>
      </c>
      <c r="C114" s="60">
        <v>1</v>
      </c>
      <c r="D114" s="60">
        <v>0</v>
      </c>
      <c r="E114" s="54"/>
      <c r="F114" s="54"/>
      <c r="G114" s="54"/>
      <c r="H114" s="54">
        <v>1</v>
      </c>
      <c r="I114" s="56">
        <f>IFERROR(B114/A114,"")</f>
        <v>2.9333333333333331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0">
        <v>118</v>
      </c>
      <c r="C115" s="60">
        <v>2</v>
      </c>
      <c r="D115" s="60">
        <v>15.7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14.8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0">
        <v>178</v>
      </c>
      <c r="C116" s="60">
        <v>3</v>
      </c>
      <c r="D116" s="60">
        <v>21.6</v>
      </c>
      <c r="E116" s="54"/>
      <c r="F116" s="54"/>
      <c r="G116" s="54"/>
      <c r="H116" s="54">
        <v>1</v>
      </c>
      <c r="I116" s="56">
        <f t="shared" si="4"/>
        <v>15.14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0">
        <v>230</v>
      </c>
      <c r="C117" s="60">
        <v>4</v>
      </c>
      <c r="D117" s="60">
        <v>23.2</v>
      </c>
      <c r="E117" s="54"/>
      <c r="F117" s="54"/>
      <c r="G117" s="54"/>
      <c r="H117" s="54">
        <v>1</v>
      </c>
      <c r="I117" s="56">
        <f t="shared" si="4"/>
        <v>14.719999999999999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0">
        <v>276</v>
      </c>
      <c r="C118" s="60">
        <v>5</v>
      </c>
      <c r="D118" s="60">
        <v>22.9</v>
      </c>
      <c r="E118" s="54">
        <v>0.2</v>
      </c>
      <c r="F118" s="54"/>
      <c r="G118" s="54"/>
      <c r="H118" s="54">
        <v>0.8</v>
      </c>
      <c r="I118" s="56">
        <f t="shared" si="4"/>
        <v>13.839999999999998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0">
        <v>318</v>
      </c>
      <c r="C119" s="60">
        <v>6</v>
      </c>
      <c r="D119" s="60">
        <v>21.8</v>
      </c>
      <c r="E119" s="54">
        <v>0.2</v>
      </c>
      <c r="F119" s="54"/>
      <c r="G119" s="54"/>
      <c r="H119" s="54">
        <v>0.8</v>
      </c>
      <c r="I119" s="56">
        <f t="shared" si="4"/>
        <v>12.98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45</v>
      </c>
      <c r="B120" s="60">
        <v>356</v>
      </c>
      <c r="C120" s="60">
        <v>7</v>
      </c>
      <c r="D120" s="60">
        <v>20.3</v>
      </c>
      <c r="E120" s="54">
        <v>0.3</v>
      </c>
      <c r="F120" s="54"/>
      <c r="G120" s="54"/>
      <c r="H120" s="54">
        <v>0.7</v>
      </c>
      <c r="I120" s="56">
        <f t="shared" si="4"/>
        <v>11.960000000000003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50</v>
      </c>
      <c r="B121" s="53">
        <v>390</v>
      </c>
      <c r="C121" s="60">
        <v>8</v>
      </c>
      <c r="D121" s="53">
        <v>18.7</v>
      </c>
      <c r="E121" s="54">
        <v>0.3</v>
      </c>
      <c r="F121" s="54"/>
      <c r="G121" s="54"/>
      <c r="H121" s="54">
        <v>0.7</v>
      </c>
      <c r="I121" s="56">
        <f t="shared" si="4"/>
        <v>10.860000000000003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55</v>
      </c>
      <c r="B122" s="53">
        <v>420</v>
      </c>
      <c r="C122" s="60">
        <v>9</v>
      </c>
      <c r="D122" s="53">
        <v>17.100000000000001</v>
      </c>
      <c r="E122" s="54">
        <v>0.4</v>
      </c>
      <c r="F122" s="54"/>
      <c r="G122" s="54"/>
      <c r="H122" s="54">
        <v>0.6</v>
      </c>
      <c r="I122" s="56">
        <f t="shared" si="4"/>
        <v>9.7399999999999984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60</v>
      </c>
      <c r="B123" s="53">
        <v>448</v>
      </c>
      <c r="C123" s="60">
        <v>10</v>
      </c>
      <c r="D123" s="53">
        <v>15.6</v>
      </c>
      <c r="E123" s="54">
        <v>0.4</v>
      </c>
      <c r="F123" s="54"/>
      <c r="G123" s="54"/>
      <c r="H123" s="54">
        <v>0.6</v>
      </c>
      <c r="I123" s="56">
        <f t="shared" si="4"/>
        <v>9.0200000000000049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65</v>
      </c>
      <c r="B124" s="53">
        <v>474</v>
      </c>
      <c r="C124" s="60">
        <v>11</v>
      </c>
      <c r="D124" s="53">
        <v>14.2</v>
      </c>
      <c r="E124" s="54">
        <v>0.5</v>
      </c>
      <c r="F124" s="54"/>
      <c r="G124" s="54"/>
      <c r="H124" s="54">
        <v>0.5</v>
      </c>
      <c r="I124" s="56">
        <f t="shared" si="4"/>
        <v>8.3200000000000038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70</v>
      </c>
      <c r="B125" s="53">
        <v>496</v>
      </c>
      <c r="C125" s="60">
        <v>12</v>
      </c>
      <c r="D125" s="53">
        <v>12.9</v>
      </c>
      <c r="E125" s="54">
        <v>0.5</v>
      </c>
      <c r="F125" s="54"/>
      <c r="G125" s="54"/>
      <c r="H125" s="54">
        <v>0.5</v>
      </c>
      <c r="I125" s="56">
        <f t="shared" si="4"/>
        <v>7.2399999999999975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75</v>
      </c>
      <c r="B126" s="53">
        <v>517</v>
      </c>
      <c r="C126" s="60">
        <v>13</v>
      </c>
      <c r="D126" s="53">
        <v>11.7</v>
      </c>
      <c r="E126" s="54">
        <v>0.6</v>
      </c>
      <c r="F126" s="54"/>
      <c r="G126" s="54"/>
      <c r="H126" s="54">
        <v>0.4</v>
      </c>
      <c r="I126" s="56">
        <f t="shared" si="4"/>
        <v>6.7799999999999958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80</v>
      </c>
      <c r="B127" s="53">
        <v>535</v>
      </c>
      <c r="C127" s="60">
        <v>14</v>
      </c>
      <c r="D127" s="53">
        <v>10.6</v>
      </c>
      <c r="E127" s="54">
        <v>0.6</v>
      </c>
      <c r="F127" s="54"/>
      <c r="G127" s="54"/>
      <c r="H127" s="54">
        <v>0.4</v>
      </c>
      <c r="I127" s="56">
        <f t="shared" si="4"/>
        <v>5.9399999999999977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85</v>
      </c>
      <c r="B128" s="53">
        <v>552</v>
      </c>
      <c r="C128" s="60">
        <v>15</v>
      </c>
      <c r="D128" s="53">
        <v>9.6</v>
      </c>
      <c r="E128" s="54">
        <v>0.7</v>
      </c>
      <c r="F128" s="54"/>
      <c r="G128" s="54"/>
      <c r="H128" s="54">
        <v>0.3</v>
      </c>
      <c r="I128" s="56">
        <f t="shared" si="4"/>
        <v>5.5200000000000049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90</v>
      </c>
      <c r="B129" s="53">
        <v>567</v>
      </c>
      <c r="C129" s="60">
        <v>16</v>
      </c>
      <c r="D129" s="53">
        <v>567</v>
      </c>
      <c r="E129" s="54">
        <v>0.8</v>
      </c>
      <c r="F129" s="54"/>
      <c r="G129" s="54"/>
      <c r="H129" s="54">
        <v>0.2</v>
      </c>
      <c r="I129" s="56">
        <f t="shared" si="4"/>
        <v>4.9200000000000044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60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60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277"/>
      <c r="B132" s="53"/>
      <c r="C132" s="60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277"/>
      <c r="B133" s="53"/>
      <c r="C133" s="60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Alisier torminal</v>
      </c>
      <c r="D136" s="253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0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7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99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60">
        <v>42</v>
      </c>
      <c r="B140" s="60">
        <v>126</v>
      </c>
      <c r="C140" s="60">
        <v>1</v>
      </c>
      <c r="D140" s="60">
        <v>30</v>
      </c>
      <c r="E140" s="292">
        <v>0.2</v>
      </c>
      <c r="F140" s="292"/>
      <c r="G140" s="292"/>
      <c r="H140" s="292">
        <v>0.8</v>
      </c>
      <c r="I140" s="58">
        <f>IFERROR(B140/A140,"")</f>
        <v>3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60">
        <v>50</v>
      </c>
      <c r="B141" s="60">
        <v>151</v>
      </c>
      <c r="C141" s="60">
        <v>2</v>
      </c>
      <c r="D141" s="60">
        <v>35</v>
      </c>
      <c r="E141" s="292">
        <v>0.2</v>
      </c>
      <c r="F141" s="292"/>
      <c r="G141" s="292"/>
      <c r="H141" s="292">
        <v>0.8</v>
      </c>
      <c r="I141" s="58">
        <f t="shared" ref="I141:I159" si="5">IF(A141&lt;&gt;0,(B141-(B140-D140))/(A141-A140),"")</f>
        <v>6.875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60">
        <v>58</v>
      </c>
      <c r="B142" s="60">
        <v>179</v>
      </c>
      <c r="C142" s="60">
        <v>3</v>
      </c>
      <c r="D142" s="60">
        <v>44</v>
      </c>
      <c r="E142" s="292">
        <v>0.3</v>
      </c>
      <c r="F142" s="292"/>
      <c r="G142" s="292"/>
      <c r="H142" s="292">
        <v>0.7</v>
      </c>
      <c r="I142" s="58">
        <f t="shared" si="5"/>
        <v>7.875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60">
        <v>66</v>
      </c>
      <c r="B143" s="60">
        <v>190</v>
      </c>
      <c r="C143" s="60">
        <v>4</v>
      </c>
      <c r="D143" s="60">
        <v>38</v>
      </c>
      <c r="E143" s="292">
        <v>0.3</v>
      </c>
      <c r="F143" s="292"/>
      <c r="G143" s="292"/>
      <c r="H143" s="292">
        <v>0.7</v>
      </c>
      <c r="I143" s="58">
        <f t="shared" si="5"/>
        <v>6.875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60">
        <v>75</v>
      </c>
      <c r="B144" s="60">
        <v>208</v>
      </c>
      <c r="C144" s="60">
        <v>5</v>
      </c>
      <c r="D144" s="60">
        <v>37</v>
      </c>
      <c r="E144" s="292">
        <v>0.4</v>
      </c>
      <c r="F144" s="292"/>
      <c r="G144" s="292"/>
      <c r="H144" s="292">
        <v>0.6</v>
      </c>
      <c r="I144" s="58">
        <f t="shared" si="5"/>
        <v>6.2222222222222223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60">
        <v>84</v>
      </c>
      <c r="B145" s="60">
        <v>224</v>
      </c>
      <c r="C145" s="60">
        <v>6</v>
      </c>
      <c r="D145" s="60">
        <v>36</v>
      </c>
      <c r="E145" s="292">
        <v>0.4</v>
      </c>
      <c r="F145" s="292"/>
      <c r="G145" s="292"/>
      <c r="H145" s="292">
        <v>0.6</v>
      </c>
      <c r="I145" s="58">
        <f t="shared" si="5"/>
        <v>5.8888888888888893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60">
        <v>93</v>
      </c>
      <c r="B146" s="60">
        <v>240</v>
      </c>
      <c r="C146" s="60">
        <v>7</v>
      </c>
      <c r="D146" s="60">
        <v>34</v>
      </c>
      <c r="E146" s="292">
        <v>0.5</v>
      </c>
      <c r="F146" s="292"/>
      <c r="G146" s="292"/>
      <c r="H146" s="292">
        <v>0.5</v>
      </c>
      <c r="I146" s="58">
        <f t="shared" si="5"/>
        <v>5.7777777777777777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60">
        <v>103</v>
      </c>
      <c r="B147" s="60">
        <v>262</v>
      </c>
      <c r="C147" s="60">
        <v>8</v>
      </c>
      <c r="D147" s="60">
        <v>38</v>
      </c>
      <c r="E147" s="292">
        <v>0.5</v>
      </c>
      <c r="F147" s="292"/>
      <c r="G147" s="292"/>
      <c r="H147" s="292">
        <v>0.5</v>
      </c>
      <c r="I147" s="58">
        <f>IF(A147&lt;&gt;0,(B147-(B146-D146))/(A147-A146),"")</f>
        <v>5.6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60">
        <v>113</v>
      </c>
      <c r="B148" s="60">
        <v>284</v>
      </c>
      <c r="C148" s="60">
        <v>9</v>
      </c>
      <c r="D148" s="60">
        <v>42</v>
      </c>
      <c r="E148" s="293">
        <v>0.6</v>
      </c>
      <c r="F148" s="293"/>
      <c r="G148" s="293"/>
      <c r="H148" s="293">
        <v>0.4</v>
      </c>
      <c r="I148" s="58">
        <f t="shared" si="5"/>
        <v>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60">
        <v>123</v>
      </c>
      <c r="B149" s="60">
        <v>306</v>
      </c>
      <c r="C149" s="60">
        <v>10</v>
      </c>
      <c r="D149" s="60">
        <v>45</v>
      </c>
      <c r="E149" s="293">
        <v>0.6</v>
      </c>
      <c r="F149" s="293"/>
      <c r="G149" s="293"/>
      <c r="H149" s="293">
        <v>0.4</v>
      </c>
      <c r="I149" s="58">
        <f t="shared" si="5"/>
        <v>6.4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60">
        <v>135</v>
      </c>
      <c r="B150" s="60">
        <v>329</v>
      </c>
      <c r="C150" s="60">
        <v>11</v>
      </c>
      <c r="D150" s="60">
        <v>48</v>
      </c>
      <c r="E150" s="57">
        <v>0.7</v>
      </c>
      <c r="F150" s="57"/>
      <c r="G150" s="57"/>
      <c r="H150" s="57">
        <v>0.3</v>
      </c>
      <c r="I150" s="58">
        <f t="shared" si="5"/>
        <v>5.666666666666667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60">
        <v>147</v>
      </c>
      <c r="B151" s="60">
        <v>351</v>
      </c>
      <c r="C151" s="60">
        <v>12</v>
      </c>
      <c r="D151" s="60">
        <v>48</v>
      </c>
      <c r="E151" s="57">
        <v>0.7</v>
      </c>
      <c r="F151" s="57"/>
      <c r="G151" s="57"/>
      <c r="H151" s="57">
        <v>0.3</v>
      </c>
      <c r="I151" s="58">
        <f t="shared" si="5"/>
        <v>5.833333333333333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60">
        <v>159</v>
      </c>
      <c r="B152" s="60">
        <v>374</v>
      </c>
      <c r="C152" s="60">
        <v>13</v>
      </c>
      <c r="D152" s="60">
        <v>48</v>
      </c>
      <c r="E152" s="57">
        <v>0.8</v>
      </c>
      <c r="F152" s="57"/>
      <c r="G152" s="57"/>
      <c r="H152" s="57">
        <v>0.2</v>
      </c>
      <c r="I152" s="58">
        <f t="shared" si="5"/>
        <v>5.916666666666667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60">
        <v>171</v>
      </c>
      <c r="B153" s="60">
        <v>399</v>
      </c>
      <c r="C153" s="60">
        <v>14</v>
      </c>
      <c r="D153" s="60">
        <v>0</v>
      </c>
      <c r="E153" s="57">
        <v>0.8</v>
      </c>
      <c r="F153" s="57"/>
      <c r="G153" s="57"/>
      <c r="H153" s="57">
        <v>0.2</v>
      </c>
      <c r="I153" s="58">
        <f t="shared" si="5"/>
        <v>6.083333333333333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277">
        <v>180</v>
      </c>
      <c r="B154" s="53">
        <v>399</v>
      </c>
      <c r="C154" s="60">
        <v>15</v>
      </c>
      <c r="D154" s="53">
        <v>399</v>
      </c>
      <c r="E154" s="54">
        <v>0.8</v>
      </c>
      <c r="F154" s="54"/>
      <c r="G154" s="54"/>
      <c r="H154" s="54">
        <v>0.2</v>
      </c>
      <c r="I154" s="58">
        <f t="shared" si="5"/>
        <v>0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277"/>
      <c r="B155" s="53"/>
      <c r="C155" s="60"/>
      <c r="D155" s="53"/>
      <c r="E155" s="54"/>
      <c r="F155" s="54"/>
      <c r="G155" s="54"/>
      <c r="H155" s="54"/>
      <c r="I155" s="58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277"/>
      <c r="B156" s="53"/>
      <c r="C156" s="60"/>
      <c r="D156" s="53"/>
      <c r="E156" s="54"/>
      <c r="F156" s="54"/>
      <c r="G156" s="54"/>
      <c r="H156" s="54"/>
      <c r="I156" s="58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277"/>
      <c r="B157" s="53"/>
      <c r="C157" s="60"/>
      <c r="D157" s="53"/>
      <c r="E157" s="54"/>
      <c r="F157" s="54"/>
      <c r="G157" s="54"/>
      <c r="H157" s="54"/>
      <c r="I157" s="58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277"/>
      <c r="B158" s="53"/>
      <c r="C158" s="60"/>
      <c r="D158" s="53"/>
      <c r="E158" s="54"/>
      <c r="F158" s="54"/>
      <c r="G158" s="54"/>
      <c r="H158" s="54"/>
      <c r="I158" s="58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277"/>
      <c r="B159" s="53"/>
      <c r="C159" s="60"/>
      <c r="D159" s="53"/>
      <c r="E159" s="54"/>
      <c r="F159" s="54"/>
      <c r="G159" s="54"/>
      <c r="H159" s="54"/>
      <c r="I159" s="58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Merisier</v>
      </c>
      <c r="D162" s="253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0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7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99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15</v>
      </c>
      <c r="B166" s="60">
        <v>44</v>
      </c>
      <c r="C166" s="60">
        <v>1</v>
      </c>
      <c r="D166" s="60">
        <v>0</v>
      </c>
      <c r="E166" s="54"/>
      <c r="F166" s="54"/>
      <c r="G166" s="54"/>
      <c r="H166" s="54">
        <v>1</v>
      </c>
      <c r="I166" s="52">
        <f>IFERROR(B166/A166,"")</f>
        <v>2.9333333333333331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20</v>
      </c>
      <c r="B167" s="60">
        <v>118</v>
      </c>
      <c r="C167" s="60">
        <v>2</v>
      </c>
      <c r="D167" s="60">
        <v>15.7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14.8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25</v>
      </c>
      <c r="B168" s="60">
        <v>178</v>
      </c>
      <c r="C168" s="60">
        <v>3</v>
      </c>
      <c r="D168" s="60">
        <v>21.6</v>
      </c>
      <c r="E168" s="54"/>
      <c r="F168" s="54"/>
      <c r="G168" s="54"/>
      <c r="H168" s="54">
        <v>1</v>
      </c>
      <c r="I168" s="52">
        <f t="shared" si="6"/>
        <v>15.14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30</v>
      </c>
      <c r="B169" s="60">
        <v>230</v>
      </c>
      <c r="C169" s="60">
        <v>4</v>
      </c>
      <c r="D169" s="60">
        <v>23.2</v>
      </c>
      <c r="E169" s="54"/>
      <c r="F169" s="54"/>
      <c r="G169" s="54"/>
      <c r="H169" s="54">
        <v>1</v>
      </c>
      <c r="I169" s="52">
        <f t="shared" si="6"/>
        <v>14.719999999999999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35</v>
      </c>
      <c r="B170" s="60">
        <v>276</v>
      </c>
      <c r="C170" s="60">
        <v>5</v>
      </c>
      <c r="D170" s="60">
        <v>22.9</v>
      </c>
      <c r="E170" s="54">
        <v>0.2</v>
      </c>
      <c r="F170" s="54"/>
      <c r="G170" s="54"/>
      <c r="H170" s="54">
        <v>0.8</v>
      </c>
      <c r="I170" s="52">
        <f t="shared" si="6"/>
        <v>13.839999999999998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40</v>
      </c>
      <c r="B171" s="60">
        <v>318</v>
      </c>
      <c r="C171" s="60">
        <v>6</v>
      </c>
      <c r="D171" s="60">
        <v>21.8</v>
      </c>
      <c r="E171" s="54">
        <v>0.2</v>
      </c>
      <c r="F171" s="54"/>
      <c r="G171" s="54"/>
      <c r="H171" s="54">
        <v>0.8</v>
      </c>
      <c r="I171" s="52">
        <f t="shared" si="6"/>
        <v>12.98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45</v>
      </c>
      <c r="B172" s="60">
        <v>356</v>
      </c>
      <c r="C172" s="60">
        <v>7</v>
      </c>
      <c r="D172" s="60">
        <v>20.3</v>
      </c>
      <c r="E172" s="54">
        <v>0.3</v>
      </c>
      <c r="F172" s="54"/>
      <c r="G172" s="54"/>
      <c r="H172" s="54">
        <v>0.7</v>
      </c>
      <c r="I172" s="52">
        <f t="shared" si="6"/>
        <v>11.960000000000003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50</v>
      </c>
      <c r="B173" s="53">
        <v>390</v>
      </c>
      <c r="C173" s="60">
        <v>8</v>
      </c>
      <c r="D173" s="53">
        <v>18.7</v>
      </c>
      <c r="E173" s="54">
        <v>0.3</v>
      </c>
      <c r="F173" s="54"/>
      <c r="G173" s="54"/>
      <c r="H173" s="54">
        <v>0.7</v>
      </c>
      <c r="I173" s="52">
        <f t="shared" si="6"/>
        <v>10.860000000000003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55</v>
      </c>
      <c r="B174" s="53">
        <v>420</v>
      </c>
      <c r="C174" s="60">
        <v>9</v>
      </c>
      <c r="D174" s="53">
        <v>17.100000000000001</v>
      </c>
      <c r="E174" s="54">
        <v>0.4</v>
      </c>
      <c r="F174" s="54"/>
      <c r="G174" s="54"/>
      <c r="H174" s="54">
        <v>0.6</v>
      </c>
      <c r="I174" s="52">
        <f t="shared" si="6"/>
        <v>9.7399999999999984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60</v>
      </c>
      <c r="B175" s="53">
        <v>448</v>
      </c>
      <c r="C175" s="60">
        <v>10</v>
      </c>
      <c r="D175" s="53">
        <v>15.6</v>
      </c>
      <c r="E175" s="54">
        <v>0.4</v>
      </c>
      <c r="F175" s="54"/>
      <c r="G175" s="54"/>
      <c r="H175" s="54">
        <v>0.6</v>
      </c>
      <c r="I175" s="52">
        <f t="shared" si="6"/>
        <v>9.0200000000000049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65</v>
      </c>
      <c r="B176" s="53">
        <v>474</v>
      </c>
      <c r="C176" s="60">
        <v>11</v>
      </c>
      <c r="D176" s="53">
        <v>14.2</v>
      </c>
      <c r="E176" s="54">
        <v>0.5</v>
      </c>
      <c r="F176" s="54"/>
      <c r="G176" s="54"/>
      <c r="H176" s="54">
        <v>0.5</v>
      </c>
      <c r="I176" s="52">
        <f t="shared" si="6"/>
        <v>8.3200000000000038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70</v>
      </c>
      <c r="B177" s="53">
        <v>496</v>
      </c>
      <c r="C177" s="60">
        <v>12</v>
      </c>
      <c r="D177" s="53">
        <v>12.9</v>
      </c>
      <c r="E177" s="54">
        <v>0.5</v>
      </c>
      <c r="F177" s="54"/>
      <c r="G177" s="54"/>
      <c r="H177" s="54">
        <v>0.5</v>
      </c>
      <c r="I177" s="52">
        <f t="shared" si="6"/>
        <v>7.2399999999999975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75</v>
      </c>
      <c r="B178" s="53">
        <v>517</v>
      </c>
      <c r="C178" s="60">
        <v>13</v>
      </c>
      <c r="D178" s="53">
        <v>11.7</v>
      </c>
      <c r="E178" s="54">
        <v>0.6</v>
      </c>
      <c r="F178" s="54"/>
      <c r="G178" s="54"/>
      <c r="H178" s="54">
        <v>0.4</v>
      </c>
      <c r="I178" s="52">
        <f t="shared" si="6"/>
        <v>6.7799999999999958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80</v>
      </c>
      <c r="B179" s="53">
        <v>535</v>
      </c>
      <c r="C179" s="60">
        <v>14</v>
      </c>
      <c r="D179" s="53">
        <v>10.6</v>
      </c>
      <c r="E179" s="54">
        <v>0.6</v>
      </c>
      <c r="F179" s="54"/>
      <c r="G179" s="54"/>
      <c r="H179" s="54">
        <v>0.4</v>
      </c>
      <c r="I179" s="52">
        <f t="shared" si="6"/>
        <v>5.9399999999999977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85</v>
      </c>
      <c r="B180" s="53">
        <v>552</v>
      </c>
      <c r="C180" s="60">
        <v>15</v>
      </c>
      <c r="D180" s="53">
        <v>9.6</v>
      </c>
      <c r="E180" s="54">
        <v>0.7</v>
      </c>
      <c r="F180" s="54"/>
      <c r="G180" s="54"/>
      <c r="H180" s="54">
        <v>0.3</v>
      </c>
      <c r="I180" s="52">
        <f t="shared" si="6"/>
        <v>5.5200000000000049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90</v>
      </c>
      <c r="B181" s="53">
        <v>567</v>
      </c>
      <c r="C181" s="60">
        <v>16</v>
      </c>
      <c r="D181" s="53">
        <v>567</v>
      </c>
      <c r="E181" s="54">
        <v>0.8</v>
      </c>
      <c r="F181" s="54"/>
      <c r="G181" s="54"/>
      <c r="H181" s="54">
        <v>0.2</v>
      </c>
      <c r="I181" s="52">
        <f t="shared" si="6"/>
        <v>4.9200000000000044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277"/>
      <c r="B182" s="53"/>
      <c r="C182" s="60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277"/>
      <c r="B183" s="53"/>
      <c r="C183" s="60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277"/>
      <c r="B184" s="53"/>
      <c r="C184" s="60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277"/>
      <c r="B185" s="53"/>
      <c r="C185" s="60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Hêtre</v>
      </c>
      <c r="D188" s="253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0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7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99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30</v>
      </c>
      <c r="B192" s="60">
        <v>93</v>
      </c>
      <c r="C192" s="60">
        <v>1</v>
      </c>
      <c r="D192" s="60">
        <v>0</v>
      </c>
      <c r="E192" s="54">
        <v>0</v>
      </c>
      <c r="F192" s="54"/>
      <c r="G192" s="54"/>
      <c r="H192" s="54">
        <v>1</v>
      </c>
      <c r="I192" s="52">
        <f>IFERROR(B192/A192,"")</f>
        <v>3.1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40</v>
      </c>
      <c r="B193" s="60">
        <v>237</v>
      </c>
      <c r="C193" s="60">
        <v>2</v>
      </c>
      <c r="D193" s="60">
        <v>3</v>
      </c>
      <c r="E193" s="54">
        <v>0.2</v>
      </c>
      <c r="F193" s="54"/>
      <c r="G193" s="54"/>
      <c r="H193" s="54">
        <v>0.8</v>
      </c>
      <c r="I193" s="52">
        <f t="shared" ref="I193:I211" si="7">IF(A193&lt;&gt;0,(B193-(B192-D192))/(A193-A192),"")</f>
        <v>14.4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50</v>
      </c>
      <c r="B194" s="60">
        <v>362</v>
      </c>
      <c r="C194" s="60">
        <v>3</v>
      </c>
      <c r="D194" s="60">
        <v>24</v>
      </c>
      <c r="E194" s="54">
        <v>0.4</v>
      </c>
      <c r="F194" s="54"/>
      <c r="G194" s="54"/>
      <c r="H194" s="54">
        <v>0.6</v>
      </c>
      <c r="I194" s="52">
        <f t="shared" si="7"/>
        <v>12.8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60</v>
      </c>
      <c r="B195" s="60">
        <v>463</v>
      </c>
      <c r="C195" s="60">
        <v>4</v>
      </c>
      <c r="D195" s="60">
        <v>64</v>
      </c>
      <c r="E195" s="54">
        <v>0.5</v>
      </c>
      <c r="F195" s="54"/>
      <c r="G195" s="54"/>
      <c r="H195" s="54">
        <v>0.5</v>
      </c>
      <c r="I195" s="52">
        <f t="shared" si="7"/>
        <v>12.5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70</v>
      </c>
      <c r="B196" s="60">
        <v>544</v>
      </c>
      <c r="C196" s="60">
        <v>5</v>
      </c>
      <c r="D196" s="60">
        <v>75</v>
      </c>
      <c r="E196" s="54">
        <v>0.6</v>
      </c>
      <c r="F196" s="54"/>
      <c r="G196" s="54"/>
      <c r="H196" s="54">
        <v>0.4</v>
      </c>
      <c r="I196" s="52">
        <f t="shared" si="7"/>
        <v>14.5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80</v>
      </c>
      <c r="B197" s="60">
        <v>610</v>
      </c>
      <c r="C197" s="60">
        <v>6</v>
      </c>
      <c r="D197" s="60">
        <v>73</v>
      </c>
      <c r="E197" s="54">
        <v>0.8</v>
      </c>
      <c r="F197" s="54"/>
      <c r="G197" s="54"/>
      <c r="H197" s="54">
        <v>0.2</v>
      </c>
      <c r="I197" s="52">
        <f t="shared" si="7"/>
        <v>14.1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90</v>
      </c>
      <c r="B198" s="60">
        <v>667</v>
      </c>
      <c r="C198" s="60">
        <v>7</v>
      </c>
      <c r="D198" s="60">
        <v>667</v>
      </c>
      <c r="E198" s="54">
        <v>0.8</v>
      </c>
      <c r="F198" s="54"/>
      <c r="G198" s="54"/>
      <c r="H198" s="54">
        <v>0.2</v>
      </c>
      <c r="I198" s="52">
        <f t="shared" si="7"/>
        <v>13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60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60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60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60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60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60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60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60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60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60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60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60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60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Erable champêtre</v>
      </c>
      <c r="D214" s="253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0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7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99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15</v>
      </c>
      <c r="B218" s="60">
        <v>20</v>
      </c>
      <c r="C218" s="60">
        <v>1</v>
      </c>
      <c r="D218" s="60">
        <v>0</v>
      </c>
      <c r="E218" s="54"/>
      <c r="F218" s="54"/>
      <c r="G218" s="54"/>
      <c r="H218" s="54">
        <v>1</v>
      </c>
      <c r="I218" s="56">
        <f>IFERROR(B218/A218,"")</f>
        <v>1.3333333333333333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20</v>
      </c>
      <c r="B219" s="60">
        <v>77</v>
      </c>
      <c r="C219" s="60">
        <v>2</v>
      </c>
      <c r="D219" s="60">
        <v>6.5</v>
      </c>
      <c r="E219" s="54"/>
      <c r="F219" s="54"/>
      <c r="G219" s="54"/>
      <c r="H219" s="54">
        <v>1</v>
      </c>
      <c r="I219" s="56">
        <f t="shared" ref="I219:I237" si="8">IF(A219&lt;&gt;0,(B219-(B218-D218))/(A219-A218),"")</f>
        <v>11.4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25</v>
      </c>
      <c r="B220" s="60">
        <v>130</v>
      </c>
      <c r="C220" s="60">
        <v>3</v>
      </c>
      <c r="D220" s="60">
        <v>13.3</v>
      </c>
      <c r="E220" s="54"/>
      <c r="F220" s="54"/>
      <c r="G220" s="54"/>
      <c r="H220" s="54">
        <v>1</v>
      </c>
      <c r="I220" s="56">
        <f t="shared" si="8"/>
        <v>11.9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30</v>
      </c>
      <c r="B221" s="60">
        <v>174</v>
      </c>
      <c r="C221" s="60">
        <v>4</v>
      </c>
      <c r="D221" s="60">
        <v>15.7</v>
      </c>
      <c r="E221" s="54"/>
      <c r="F221" s="54"/>
      <c r="G221" s="54"/>
      <c r="H221" s="54">
        <v>1</v>
      </c>
      <c r="I221" s="56">
        <f t="shared" si="8"/>
        <v>11.459999999999999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35</v>
      </c>
      <c r="B222" s="60">
        <v>212</v>
      </c>
      <c r="C222" s="60">
        <v>5</v>
      </c>
      <c r="D222" s="60">
        <v>16.3</v>
      </c>
      <c r="E222" s="54">
        <v>0.2</v>
      </c>
      <c r="F222" s="54"/>
      <c r="G222" s="54"/>
      <c r="H222" s="54">
        <v>0.8</v>
      </c>
      <c r="I222" s="56">
        <f t="shared" si="8"/>
        <v>10.739999999999998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40</v>
      </c>
      <c r="B223" s="60">
        <v>246</v>
      </c>
      <c r="C223" s="60">
        <v>6</v>
      </c>
      <c r="D223" s="60">
        <v>15.9</v>
      </c>
      <c r="E223" s="54">
        <v>0.2</v>
      </c>
      <c r="F223" s="54"/>
      <c r="G223" s="54"/>
      <c r="H223" s="54">
        <v>0.8</v>
      </c>
      <c r="I223" s="56">
        <f t="shared" si="8"/>
        <v>10.060000000000002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45</v>
      </c>
      <c r="B224" s="60">
        <v>278</v>
      </c>
      <c r="C224" s="60">
        <v>7</v>
      </c>
      <c r="D224" s="60">
        <v>15.1</v>
      </c>
      <c r="E224" s="54">
        <v>0.3</v>
      </c>
      <c r="F224" s="54"/>
      <c r="G224" s="54"/>
      <c r="H224" s="54">
        <v>0.7</v>
      </c>
      <c r="I224" s="56">
        <f t="shared" si="8"/>
        <v>9.5800000000000018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>
        <v>50</v>
      </c>
      <c r="B225" s="53">
        <v>307</v>
      </c>
      <c r="C225" s="60">
        <v>8</v>
      </c>
      <c r="D225" s="53">
        <v>14.2</v>
      </c>
      <c r="E225" s="54">
        <v>0.3</v>
      </c>
      <c r="F225" s="54"/>
      <c r="G225" s="54"/>
      <c r="H225" s="54">
        <v>0.7</v>
      </c>
      <c r="I225" s="56">
        <f t="shared" si="8"/>
        <v>8.8200000000000038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>
        <v>55</v>
      </c>
      <c r="B226" s="53">
        <v>332</v>
      </c>
      <c r="C226" s="60">
        <v>9</v>
      </c>
      <c r="D226" s="53">
        <v>13.1</v>
      </c>
      <c r="E226" s="54">
        <v>0.4</v>
      </c>
      <c r="F226" s="54"/>
      <c r="G226" s="54"/>
      <c r="H226" s="54">
        <v>0.6</v>
      </c>
      <c r="I226" s="56">
        <f t="shared" si="8"/>
        <v>7.8399999999999981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3">
        <v>60</v>
      </c>
      <c r="B227" s="53">
        <v>355</v>
      </c>
      <c r="C227" s="60">
        <v>10</v>
      </c>
      <c r="D227" s="53">
        <v>12.1</v>
      </c>
      <c r="E227" s="54">
        <v>0.4</v>
      </c>
      <c r="F227" s="54"/>
      <c r="G227" s="54"/>
      <c r="H227" s="54">
        <v>0.6</v>
      </c>
      <c r="I227" s="56">
        <f t="shared" si="8"/>
        <v>7.2200000000000042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>
        <v>65</v>
      </c>
      <c r="B228" s="53">
        <v>376</v>
      </c>
      <c r="C228" s="60">
        <v>11</v>
      </c>
      <c r="D228" s="53">
        <v>11.1</v>
      </c>
      <c r="E228" s="54">
        <v>0.5</v>
      </c>
      <c r="F228" s="54"/>
      <c r="G228" s="54"/>
      <c r="H228" s="54">
        <v>0.5</v>
      </c>
      <c r="I228" s="56">
        <f t="shared" si="8"/>
        <v>6.6200000000000045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>
        <v>70</v>
      </c>
      <c r="B229" s="53">
        <v>395</v>
      </c>
      <c r="C229" s="60">
        <v>12</v>
      </c>
      <c r="D229" s="53">
        <v>10.1</v>
      </c>
      <c r="E229" s="54">
        <v>0.5</v>
      </c>
      <c r="F229" s="54"/>
      <c r="G229" s="54"/>
      <c r="H229" s="54">
        <v>0.5</v>
      </c>
      <c r="I229" s="56">
        <f t="shared" si="8"/>
        <v>6.0200000000000049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>
        <v>75</v>
      </c>
      <c r="B230" s="53">
        <v>412</v>
      </c>
      <c r="C230" s="60">
        <v>13</v>
      </c>
      <c r="D230" s="53">
        <v>9.1999999999999993</v>
      </c>
      <c r="E230" s="54">
        <v>0.6</v>
      </c>
      <c r="F230" s="54"/>
      <c r="G230" s="54"/>
      <c r="H230" s="54">
        <v>0.4</v>
      </c>
      <c r="I230" s="56">
        <f t="shared" si="8"/>
        <v>5.4200000000000044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>
        <v>80</v>
      </c>
      <c r="B231" s="53">
        <v>428</v>
      </c>
      <c r="C231" s="60">
        <v>14</v>
      </c>
      <c r="D231" s="53">
        <v>8.4</v>
      </c>
      <c r="E231" s="54">
        <v>0.6</v>
      </c>
      <c r="F231" s="54"/>
      <c r="G231" s="54"/>
      <c r="H231" s="54">
        <v>0.4</v>
      </c>
      <c r="I231" s="56">
        <f t="shared" si="8"/>
        <v>5.0399999999999974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85</v>
      </c>
      <c r="B232" s="53">
        <v>442</v>
      </c>
      <c r="C232" s="60">
        <v>15</v>
      </c>
      <c r="D232" s="53">
        <v>7.6</v>
      </c>
      <c r="E232" s="54">
        <v>0.7</v>
      </c>
      <c r="F232" s="54"/>
      <c r="G232" s="54"/>
      <c r="H232" s="54">
        <v>0.3</v>
      </c>
      <c r="I232" s="56">
        <f t="shared" si="8"/>
        <v>4.4799999999999951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90</v>
      </c>
      <c r="B233" s="53">
        <v>454</v>
      </c>
      <c r="C233" s="60">
        <v>16</v>
      </c>
      <c r="D233" s="53">
        <v>6.9</v>
      </c>
      <c r="E233" s="54">
        <v>0.7</v>
      </c>
      <c r="F233" s="54"/>
      <c r="G233" s="54"/>
      <c r="H233" s="54">
        <v>0.3</v>
      </c>
      <c r="I233" s="56">
        <f t="shared" si="8"/>
        <v>3.9200000000000044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>
        <v>95</v>
      </c>
      <c r="B234" s="53">
        <v>466</v>
      </c>
      <c r="C234" s="60">
        <v>17</v>
      </c>
      <c r="D234" s="53">
        <v>6.2</v>
      </c>
      <c r="E234" s="54">
        <v>0.8</v>
      </c>
      <c r="F234" s="54"/>
      <c r="G234" s="54"/>
      <c r="H234" s="54">
        <v>0.2</v>
      </c>
      <c r="I234" s="56">
        <f t="shared" si="8"/>
        <v>3.7799999999999954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>
        <v>100</v>
      </c>
      <c r="B235" s="53">
        <v>476</v>
      </c>
      <c r="C235" s="60">
        <v>18</v>
      </c>
      <c r="D235" s="53">
        <v>476</v>
      </c>
      <c r="E235" s="54">
        <v>0.8</v>
      </c>
      <c r="F235" s="54"/>
      <c r="G235" s="54"/>
      <c r="H235" s="54">
        <v>0.2</v>
      </c>
      <c r="I235" s="56">
        <f t="shared" si="8"/>
        <v>3.2399999999999975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60"/>
      <c r="D236" s="53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60"/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Mélèze d'Europe</v>
      </c>
      <c r="D240" s="253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0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7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99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60">
        <v>10</v>
      </c>
      <c r="B244" s="60">
        <v>47</v>
      </c>
      <c r="C244" s="60">
        <v>1</v>
      </c>
      <c r="D244" s="60">
        <v>0</v>
      </c>
      <c r="E244" s="54">
        <v>0</v>
      </c>
      <c r="F244" s="54">
        <v>0.56000000000000005</v>
      </c>
      <c r="G244" s="54">
        <v>0.44</v>
      </c>
      <c r="H244" s="63"/>
      <c r="I244" s="56">
        <f>IFERROR(B244/A244,"")</f>
        <v>4.7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60">
        <v>15</v>
      </c>
      <c r="B245" s="60">
        <v>121</v>
      </c>
      <c r="C245" s="60">
        <v>2</v>
      </c>
      <c r="D245" s="60">
        <v>36</v>
      </c>
      <c r="E245" s="54">
        <v>0</v>
      </c>
      <c r="F245" s="54">
        <v>0.56000000000000005</v>
      </c>
      <c r="G245" s="54">
        <v>0.44</v>
      </c>
      <c r="H245" s="63"/>
      <c r="I245" s="56">
        <f>IF(A245&lt;&gt;0,(B245-(B244-D244))/(A245-A244),"")</f>
        <v>14.8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60">
        <v>20</v>
      </c>
      <c r="B246" s="60">
        <v>165</v>
      </c>
      <c r="C246" s="60">
        <v>3</v>
      </c>
      <c r="D246" s="60">
        <v>39</v>
      </c>
      <c r="E246" s="54">
        <v>0</v>
      </c>
      <c r="F246" s="54">
        <v>0.56000000000000005</v>
      </c>
      <c r="G246" s="54">
        <v>0.44</v>
      </c>
      <c r="H246" s="63"/>
      <c r="I246" s="56">
        <f>IF(A246&lt;&gt;0,(B246-(B245-D245))/(A246-A245),"")</f>
        <v>16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60">
        <v>25</v>
      </c>
      <c r="B247" s="60">
        <v>205</v>
      </c>
      <c r="C247" s="60">
        <v>4</v>
      </c>
      <c r="D247" s="60">
        <v>41</v>
      </c>
      <c r="E247" s="54">
        <v>0</v>
      </c>
      <c r="F247" s="54">
        <v>0.56000000000000005</v>
      </c>
      <c r="G247" s="54">
        <v>0.44</v>
      </c>
      <c r="H247" s="63"/>
      <c r="I247" s="56">
        <f t="shared" ref="I247:I263" si="9">IF(A247&lt;&gt;0,(B247-(B246-D246))/(A247-A246),"")</f>
        <v>15.8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60">
        <v>30</v>
      </c>
      <c r="B248" s="60">
        <v>237</v>
      </c>
      <c r="C248" s="60">
        <v>5</v>
      </c>
      <c r="D248" s="60">
        <v>40</v>
      </c>
      <c r="E248" s="54">
        <v>0</v>
      </c>
      <c r="F248" s="54">
        <v>0.56000000000000005</v>
      </c>
      <c r="G248" s="54">
        <v>0.44</v>
      </c>
      <c r="H248" s="63"/>
      <c r="I248" s="56">
        <f t="shared" si="9"/>
        <v>14.6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60">
        <v>35</v>
      </c>
      <c r="B249" s="60">
        <v>265</v>
      </c>
      <c r="C249" s="60">
        <v>6</v>
      </c>
      <c r="D249" s="60">
        <v>38</v>
      </c>
      <c r="E249" s="54">
        <v>0.2</v>
      </c>
      <c r="F249" s="54">
        <v>0.44800000000000006</v>
      </c>
      <c r="G249" s="54">
        <v>0.35200000000000004</v>
      </c>
      <c r="H249" s="63"/>
      <c r="I249" s="56">
        <f t="shared" si="9"/>
        <v>13.6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60">
        <v>40</v>
      </c>
      <c r="B250" s="60">
        <v>285</v>
      </c>
      <c r="C250" s="60">
        <v>7</v>
      </c>
      <c r="D250" s="60">
        <v>34</v>
      </c>
      <c r="E250" s="54">
        <v>0.2</v>
      </c>
      <c r="F250" s="54">
        <v>0.44800000000000006</v>
      </c>
      <c r="G250" s="54">
        <v>0.35200000000000004</v>
      </c>
      <c r="H250" s="63"/>
      <c r="I250" s="56">
        <f t="shared" si="9"/>
        <v>11.6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60">
        <v>45</v>
      </c>
      <c r="B251" s="60">
        <v>302</v>
      </c>
      <c r="C251" s="60">
        <v>8</v>
      </c>
      <c r="D251" s="60">
        <v>30</v>
      </c>
      <c r="E251" s="54">
        <v>0.4</v>
      </c>
      <c r="F251" s="54">
        <v>0.33600000000000002</v>
      </c>
      <c r="G251" s="54">
        <v>0.26400000000000001</v>
      </c>
      <c r="H251" s="63"/>
      <c r="I251" s="56">
        <f t="shared" si="9"/>
        <v>10.199999999999999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60">
        <v>50</v>
      </c>
      <c r="B252" s="60">
        <v>315</v>
      </c>
      <c r="C252" s="60">
        <v>9</v>
      </c>
      <c r="D252" s="60">
        <v>26</v>
      </c>
      <c r="E252" s="54">
        <v>0.4</v>
      </c>
      <c r="F252" s="54">
        <v>0.33600000000000002</v>
      </c>
      <c r="G252" s="54">
        <v>0.26400000000000001</v>
      </c>
      <c r="H252" s="63"/>
      <c r="I252" s="56">
        <f t="shared" si="9"/>
        <v>8.6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60">
        <v>55</v>
      </c>
      <c r="B253" s="60">
        <v>327</v>
      </c>
      <c r="C253" s="60">
        <v>10</v>
      </c>
      <c r="D253" s="60">
        <v>23</v>
      </c>
      <c r="E253" s="54">
        <v>0.6</v>
      </c>
      <c r="F253" s="54">
        <v>0.22400000000000003</v>
      </c>
      <c r="G253" s="54">
        <v>0.17600000000000002</v>
      </c>
      <c r="H253" s="63"/>
      <c r="I253" s="56">
        <f t="shared" si="9"/>
        <v>7.6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60">
        <v>60</v>
      </c>
      <c r="B254" s="60">
        <v>334</v>
      </c>
      <c r="C254" s="60">
        <v>11</v>
      </c>
      <c r="D254" s="60">
        <v>19</v>
      </c>
      <c r="E254" s="54">
        <v>0.6</v>
      </c>
      <c r="F254" s="54">
        <v>0.22400000000000003</v>
      </c>
      <c r="G254" s="54">
        <v>0.17600000000000002</v>
      </c>
      <c r="H254" s="63"/>
      <c r="I254" s="56">
        <f t="shared" si="9"/>
        <v>6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60">
        <v>65</v>
      </c>
      <c r="B255" s="60">
        <v>341</v>
      </c>
      <c r="C255" s="60">
        <v>12</v>
      </c>
      <c r="D255" s="60">
        <v>16</v>
      </c>
      <c r="E255" s="54">
        <v>0.6</v>
      </c>
      <c r="F255" s="54">
        <v>0.22400000000000003</v>
      </c>
      <c r="G255" s="54">
        <v>0.17600000000000002</v>
      </c>
      <c r="H255" s="63"/>
      <c r="I255" s="56">
        <f t="shared" si="9"/>
        <v>5.2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60">
        <v>70</v>
      </c>
      <c r="B256" s="60">
        <v>347</v>
      </c>
      <c r="C256" s="60">
        <v>13</v>
      </c>
      <c r="D256" s="60">
        <v>14</v>
      </c>
      <c r="E256" s="54">
        <v>0.8</v>
      </c>
      <c r="F256" s="54">
        <v>0.11</v>
      </c>
      <c r="G256" s="54">
        <v>0.09</v>
      </c>
      <c r="H256" s="64"/>
      <c r="I256" s="56">
        <f t="shared" si="9"/>
        <v>4.4000000000000004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89"/>
      <c r="B257" s="60"/>
      <c r="C257" s="60"/>
      <c r="D257" s="60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60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60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60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60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60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60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3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0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7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99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0"/>
      <c r="C270" s="60"/>
      <c r="D270" s="60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0"/>
      <c r="C271" s="60"/>
      <c r="D271" s="60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0"/>
      <c r="C272" s="60"/>
      <c r="D272" s="60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0"/>
      <c r="C273" s="60"/>
      <c r="D273" s="60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0"/>
      <c r="C274" s="60"/>
      <c r="D274" s="60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0"/>
      <c r="C275" s="60"/>
      <c r="D275" s="60"/>
      <c r="E275" s="54"/>
      <c r="F275" s="54"/>
      <c r="G275" s="54"/>
      <c r="H275" s="5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0"/>
      <c r="C276" s="60"/>
      <c r="D276" s="60"/>
      <c r="E276" s="54"/>
      <c r="F276" s="54"/>
      <c r="G276" s="54"/>
      <c r="H276" s="5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3"/>
      <c r="B277" s="53"/>
      <c r="C277" s="60"/>
      <c r="D277" s="53"/>
      <c r="E277" s="54"/>
      <c r="F277" s="54"/>
      <c r="G277" s="54"/>
      <c r="H277" s="5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3"/>
      <c r="B278" s="53"/>
      <c r="C278" s="60"/>
      <c r="D278" s="53"/>
      <c r="E278" s="54"/>
      <c r="F278" s="54"/>
      <c r="G278" s="54"/>
      <c r="H278" s="5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3"/>
      <c r="B279" s="53"/>
      <c r="C279" s="60"/>
      <c r="D279" s="53"/>
      <c r="E279" s="54"/>
      <c r="F279" s="54"/>
      <c r="G279" s="54"/>
      <c r="H279" s="5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3"/>
      <c r="B280" s="53"/>
      <c r="C280" s="60"/>
      <c r="D280" s="53"/>
      <c r="E280" s="54"/>
      <c r="F280" s="54"/>
      <c r="G280" s="54"/>
      <c r="H280" s="5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3"/>
      <c r="B281" s="53"/>
      <c r="C281" s="60"/>
      <c r="D281" s="53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3"/>
      <c r="B282" s="53"/>
      <c r="C282" s="60"/>
      <c r="D282" s="53"/>
      <c r="E282" s="54"/>
      <c r="F282" s="54"/>
      <c r="G282" s="54"/>
      <c r="H282" s="54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53"/>
      <c r="B283" s="53"/>
      <c r="C283" s="60"/>
      <c r="D283" s="53"/>
      <c r="E283" s="54"/>
      <c r="F283" s="54"/>
      <c r="G283" s="54"/>
      <c r="H283" s="54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60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60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60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60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60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60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disablePrompts="1"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0" sqref="B10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1"/>
      <c r="K1" s="10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2" t="s">
        <v>297</v>
      </c>
      <c r="C5" s="102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1"/>
      <c r="C6" s="23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3"/>
      <c r="B7" s="29" t="s">
        <v>296</v>
      </c>
      <c r="C7" s="104" t="s">
        <v>214</v>
      </c>
      <c r="D7" s="229"/>
      <c r="E7" s="105"/>
      <c r="F7" s="29" t="s">
        <v>296</v>
      </c>
      <c r="G7" s="104" t="s">
        <v>215</v>
      </c>
      <c r="H7" s="230"/>
      <c r="I7" s="230"/>
      <c r="J7" s="230"/>
      <c r="K7" s="230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</row>
    <row r="8" spans="1:38" ht="17.25" customHeight="1" x14ac:dyDescent="0.3">
      <c r="A8" s="109">
        <v>1</v>
      </c>
      <c r="B8" s="61">
        <v>0</v>
      </c>
      <c r="C8" s="52" t="s">
        <v>177</v>
      </c>
      <c r="D8" s="25"/>
      <c r="E8" s="109">
        <v>4</v>
      </c>
      <c r="F8" s="61">
        <v>0</v>
      </c>
      <c r="G8" s="106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09">
        <v>2</v>
      </c>
      <c r="B9" s="61">
        <v>1</v>
      </c>
      <c r="C9" s="112" t="s">
        <v>216</v>
      </c>
      <c r="D9" s="25"/>
      <c r="E9" s="109">
        <v>5</v>
      </c>
      <c r="F9" s="61">
        <v>0</v>
      </c>
      <c r="G9" s="107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09">
        <v>3</v>
      </c>
      <c r="B10" s="61">
        <v>0</v>
      </c>
      <c r="C10" s="113" t="s">
        <v>217</v>
      </c>
      <c r="D10" s="25"/>
      <c r="E10" s="5"/>
      <c r="F10" s="110">
        <f>SUM(F7:F9)</f>
        <v>0</v>
      </c>
      <c r="G10" s="108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0">
        <v>0</v>
      </c>
      <c r="C11" s="108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0"/>
      <c r="B13" s="111"/>
      <c r="C13" s="102" t="s">
        <v>273</v>
      </c>
      <c r="D13" s="230"/>
      <c r="E13" s="103"/>
      <c r="F13" s="111"/>
      <c r="G13" s="102" t="s">
        <v>302</v>
      </c>
      <c r="H13" s="230"/>
      <c r="I13" s="230"/>
      <c r="J13" s="230"/>
      <c r="K13" s="230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</row>
    <row r="14" spans="1:38" s="4" customFormat="1" ht="21" customHeight="1" x14ac:dyDescent="0.3">
      <c r="A14" s="230"/>
      <c r="B14" s="111"/>
      <c r="C14" s="102" t="s">
        <v>310</v>
      </c>
      <c r="D14" s="230"/>
      <c r="E14" s="103"/>
      <c r="F14" s="111"/>
      <c r="G14" s="102" t="s">
        <v>295</v>
      </c>
      <c r="H14" s="230"/>
      <c r="I14" s="230"/>
      <c r="J14" s="230"/>
      <c r="K14" s="230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</row>
    <row r="15" spans="1:38" x14ac:dyDescent="0.3">
      <c r="A15" s="25"/>
      <c r="B15" s="29" t="s">
        <v>296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1">
        <v>0</v>
      </c>
      <c r="C16" s="114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1">
        <v>0</v>
      </c>
      <c r="C17" s="114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1">
        <v>0</v>
      </c>
      <c r="C18" s="114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0">
        <f>SUM(B16:B18)</f>
        <v>0</v>
      </c>
      <c r="C19" s="108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4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4140625" defaultRowHeight="14.4" x14ac:dyDescent="0.3"/>
  <cols>
    <col min="1" max="1" width="6.77734375" style="67" bestFit="1" customWidth="1"/>
    <col min="2" max="4" width="11.44140625" style="67"/>
    <col min="5" max="5" width="9.44140625" style="67" customWidth="1"/>
    <col min="6" max="7" width="11.44140625" style="67"/>
    <col min="8" max="8" width="10.6640625" style="67" customWidth="1"/>
    <col min="9" max="9" width="9.44140625" style="67" customWidth="1"/>
    <col min="10" max="11" width="10.44140625" style="67" bestFit="1" customWidth="1"/>
    <col min="12" max="12" width="14" style="67" bestFit="1" customWidth="1"/>
    <col min="13" max="13" width="14" style="67" customWidth="1"/>
    <col min="14" max="23" width="11.44140625" style="67"/>
    <col min="24" max="24" width="11.6640625" style="67" bestFit="1" customWidth="1"/>
    <col min="25" max="25" width="14.44140625" style="67" bestFit="1" customWidth="1"/>
    <col min="26" max="26" width="12.44140625" style="67" bestFit="1" customWidth="1"/>
    <col min="27" max="27" width="9.6640625" style="67" bestFit="1" customWidth="1"/>
    <col min="28" max="28" width="11" style="67" bestFit="1" customWidth="1"/>
    <col min="29" max="29" width="9.44140625" style="67" bestFit="1" customWidth="1"/>
    <col min="30" max="31" width="9.44140625" style="67" customWidth="1"/>
    <col min="32" max="32" width="11.44140625" style="67"/>
    <col min="33" max="34" width="14" style="67" bestFit="1" customWidth="1"/>
    <col min="35" max="35" width="10.44140625" style="67" bestFit="1" customWidth="1"/>
    <col min="36" max="36" width="9.44140625" style="67" bestFit="1" customWidth="1"/>
    <col min="37" max="38" width="10.44140625" style="67" bestFit="1" customWidth="1"/>
    <col min="39" max="41" width="10.44140625" style="67" customWidth="1"/>
    <col min="42" max="42" width="9" style="67" bestFit="1" customWidth="1"/>
    <col min="43" max="43" width="10.44140625" style="67" bestFit="1" customWidth="1"/>
    <col min="44" max="44" width="9.33203125" style="67" bestFit="1" customWidth="1"/>
    <col min="45" max="45" width="11.6640625" style="67" bestFit="1" customWidth="1"/>
    <col min="46" max="46" width="8.44140625" style="67" bestFit="1" customWidth="1"/>
    <col min="47" max="47" width="9.44140625" style="67" bestFit="1" customWidth="1"/>
    <col min="48" max="48" width="9.6640625" style="67" bestFit="1" customWidth="1"/>
    <col min="49" max="49" width="11" style="67" bestFit="1" customWidth="1"/>
    <col min="50" max="50" width="9.44140625" style="67" bestFit="1" customWidth="1"/>
    <col min="51" max="52" width="9.44140625" style="67" customWidth="1"/>
    <col min="53" max="53" width="10.44140625" style="67" bestFit="1" customWidth="1"/>
    <col min="54" max="54" width="14.33203125" style="67" customWidth="1"/>
    <col min="55" max="55" width="14" style="67" customWidth="1"/>
    <col min="56" max="56" width="10.44140625" style="67" bestFit="1" customWidth="1"/>
    <col min="57" max="57" width="9.44140625" style="67" bestFit="1" customWidth="1"/>
    <col min="58" max="59" width="10.44140625" style="67" bestFit="1" customWidth="1"/>
    <col min="60" max="62" width="10.44140625" style="67" customWidth="1"/>
    <col min="63" max="63" width="9" style="67" bestFit="1" customWidth="1"/>
    <col min="64" max="64" width="10.44140625" style="67" bestFit="1" customWidth="1"/>
    <col min="65" max="65" width="9.33203125" style="67" bestFit="1" customWidth="1"/>
    <col min="66" max="66" width="11.6640625" style="67" bestFit="1" customWidth="1"/>
    <col min="67" max="67" width="8.44140625" style="67" bestFit="1" customWidth="1"/>
    <col min="68" max="68" width="9.44140625" style="67" bestFit="1" customWidth="1"/>
    <col min="69" max="69" width="9.6640625" style="67" bestFit="1" customWidth="1"/>
    <col min="70" max="70" width="11" style="67" bestFit="1" customWidth="1"/>
    <col min="71" max="71" width="9.44140625" style="67" bestFit="1" customWidth="1"/>
    <col min="72" max="73" width="9.44140625" style="67" customWidth="1"/>
    <col min="74" max="74" width="10.44140625" style="67" bestFit="1" customWidth="1"/>
    <col min="75" max="75" width="14" style="67" bestFit="1" customWidth="1"/>
    <col min="76" max="76" width="13.77734375" style="67" customWidth="1"/>
    <col min="77" max="77" width="10.44140625" style="67" bestFit="1" customWidth="1"/>
    <col min="78" max="78" width="9.44140625" style="67" bestFit="1" customWidth="1"/>
    <col min="79" max="80" width="10.44140625" style="67" bestFit="1" customWidth="1"/>
    <col min="81" max="83" width="10.44140625" style="67" customWidth="1"/>
    <col min="84" max="84" width="11.44140625" style="67"/>
    <col min="85" max="85" width="10.44140625" style="67" bestFit="1" customWidth="1"/>
    <col min="86" max="86" width="9.33203125" style="67" bestFit="1" customWidth="1"/>
    <col min="87" max="87" width="11.6640625" style="67" bestFit="1" customWidth="1"/>
    <col min="88" max="88" width="8.44140625" style="67" bestFit="1" customWidth="1"/>
    <col min="89" max="89" width="9.44140625" style="67" bestFit="1" customWidth="1"/>
    <col min="90" max="90" width="9.6640625" style="67" bestFit="1" customWidth="1"/>
    <col min="91" max="91" width="11" style="67" bestFit="1" customWidth="1"/>
    <col min="92" max="92" width="9.44140625" style="67" bestFit="1" customWidth="1"/>
    <col min="93" max="94" width="9.44140625" style="67" customWidth="1"/>
    <col min="95" max="95" width="11.44140625" style="67"/>
    <col min="96" max="97" width="14" style="67" customWidth="1"/>
    <col min="98" max="98" width="10.44140625" style="67" bestFit="1" customWidth="1"/>
    <col min="99" max="99" width="9.44140625" style="67" bestFit="1" customWidth="1"/>
    <col min="100" max="101" width="10.44140625" style="67" bestFit="1" customWidth="1"/>
    <col min="102" max="104" width="10.44140625" style="67" customWidth="1"/>
    <col min="105" max="105" width="9" style="67" bestFit="1" customWidth="1"/>
    <col min="106" max="106" width="10.44140625" style="67" bestFit="1" customWidth="1"/>
    <col min="107" max="107" width="9.33203125" style="67" bestFit="1" customWidth="1"/>
    <col min="108" max="108" width="11.6640625" style="67" bestFit="1" customWidth="1"/>
    <col min="109" max="109" width="8.44140625" style="67" bestFit="1" customWidth="1"/>
    <col min="110" max="110" width="9.44140625" style="67" bestFit="1" customWidth="1"/>
    <col min="111" max="111" width="9.6640625" style="67" bestFit="1" customWidth="1"/>
    <col min="112" max="112" width="11" style="67" bestFit="1" customWidth="1"/>
    <col min="113" max="113" width="9.44140625" style="67" bestFit="1" customWidth="1"/>
    <col min="114" max="115" width="9.44140625" style="67" customWidth="1"/>
    <col min="116" max="116" width="10.44140625" style="67" bestFit="1" customWidth="1"/>
    <col min="117" max="117" width="14.33203125" style="67" customWidth="1"/>
    <col min="118" max="118" width="14" style="67" bestFit="1" customWidth="1"/>
    <col min="119" max="119" width="10.44140625" style="67" bestFit="1" customWidth="1"/>
    <col min="120" max="120" width="9.44140625" style="67" bestFit="1" customWidth="1"/>
    <col min="121" max="122" width="10.44140625" style="67" bestFit="1" customWidth="1"/>
    <col min="123" max="125" width="10.44140625" style="67" customWidth="1"/>
    <col min="126" max="126" width="9" style="67" bestFit="1" customWidth="1"/>
    <col min="127" max="127" width="10.44140625" style="67" bestFit="1" customWidth="1"/>
    <col min="128" max="128" width="9.33203125" style="67" bestFit="1" customWidth="1"/>
    <col min="129" max="129" width="11.6640625" style="67" bestFit="1" customWidth="1"/>
    <col min="130" max="130" width="8.44140625" style="67" bestFit="1" customWidth="1"/>
    <col min="131" max="131" width="9.44140625" style="67" bestFit="1" customWidth="1"/>
    <col min="132" max="132" width="9.6640625" style="67" bestFit="1" customWidth="1"/>
    <col min="133" max="133" width="11" style="67" bestFit="1" customWidth="1"/>
    <col min="134" max="134" width="9.44140625" style="67" bestFit="1" customWidth="1"/>
    <col min="135" max="136" width="9.44140625" style="67" customWidth="1"/>
    <col min="137" max="137" width="10.44140625" style="67" bestFit="1" customWidth="1"/>
    <col min="138" max="139" width="14" style="67" customWidth="1"/>
    <col min="140" max="140" width="10.44140625" style="67" bestFit="1" customWidth="1"/>
    <col min="141" max="141" width="9.44140625" style="67" bestFit="1" customWidth="1"/>
    <col min="142" max="143" width="10.44140625" style="67" bestFit="1" customWidth="1"/>
    <col min="144" max="146" width="10.44140625" style="67" customWidth="1"/>
    <col min="147" max="147" width="9" style="67" bestFit="1" customWidth="1"/>
    <col min="148" max="148" width="10.44140625" style="67" bestFit="1" customWidth="1"/>
    <col min="149" max="149" width="9.33203125" style="67" bestFit="1" customWidth="1"/>
    <col min="150" max="150" width="11.6640625" style="67" bestFit="1" customWidth="1"/>
    <col min="151" max="151" width="8.44140625" style="67" bestFit="1" customWidth="1"/>
    <col min="152" max="152" width="9.44140625" style="67" bestFit="1" customWidth="1"/>
    <col min="153" max="153" width="9.6640625" style="67" bestFit="1" customWidth="1"/>
    <col min="154" max="154" width="11" style="67" bestFit="1" customWidth="1"/>
    <col min="155" max="155" width="9.44140625" style="67" bestFit="1" customWidth="1"/>
    <col min="156" max="157" width="9.44140625" style="67" customWidth="1"/>
    <col min="158" max="158" width="11.44140625" style="67"/>
    <col min="159" max="160" width="14" style="67" bestFit="1" customWidth="1"/>
    <col min="161" max="161" width="10.44140625" style="67" bestFit="1" customWidth="1"/>
    <col min="162" max="162" width="9.44140625" style="67" bestFit="1" customWidth="1"/>
    <col min="163" max="164" width="10.44140625" style="67" bestFit="1" customWidth="1"/>
    <col min="165" max="167" width="10.44140625" style="67" customWidth="1"/>
    <col min="168" max="168" width="9" style="67" bestFit="1" customWidth="1"/>
    <col min="169" max="169" width="10.44140625" style="67" bestFit="1" customWidth="1"/>
    <col min="170" max="170" width="9.33203125" style="67" bestFit="1" customWidth="1"/>
    <col min="171" max="171" width="11.6640625" style="67" bestFit="1" customWidth="1"/>
    <col min="172" max="172" width="8.109375" style="67" bestFit="1" customWidth="1"/>
    <col min="173" max="173" width="9.44140625" style="67" bestFit="1" customWidth="1"/>
    <col min="174" max="174" width="9.6640625" style="67" bestFit="1" customWidth="1"/>
    <col min="175" max="175" width="11" style="67" bestFit="1" customWidth="1"/>
    <col min="176" max="176" width="9.44140625" style="67" bestFit="1" customWidth="1"/>
    <col min="177" max="178" width="9.44140625" style="67" customWidth="1"/>
    <col min="179" max="179" width="10.44140625" style="67" bestFit="1" customWidth="1"/>
    <col min="180" max="181" width="14" style="67" bestFit="1" customWidth="1"/>
    <col min="182" max="182" width="10.44140625" style="67" bestFit="1" customWidth="1"/>
    <col min="183" max="183" width="9.44140625" style="67" bestFit="1" customWidth="1"/>
    <col min="184" max="185" width="10.44140625" style="67" bestFit="1" customWidth="1"/>
    <col min="186" max="188" width="10.44140625" style="67" customWidth="1"/>
    <col min="189" max="189" width="9" style="67" bestFit="1" customWidth="1"/>
    <col min="190" max="190" width="10.44140625" style="67" bestFit="1" customWidth="1"/>
    <col min="191" max="191" width="9.33203125" style="67" bestFit="1" customWidth="1"/>
    <col min="192" max="192" width="11.44140625" style="67"/>
    <col min="193" max="193" width="8.44140625" style="67" bestFit="1" customWidth="1"/>
    <col min="194" max="194" width="9.44140625" style="67" bestFit="1" customWidth="1"/>
    <col min="195" max="195" width="9.6640625" style="67" bestFit="1" customWidth="1"/>
    <col min="196" max="196" width="11" style="67" bestFit="1" customWidth="1"/>
    <col min="197" max="197" width="9.44140625" style="67" bestFit="1" customWidth="1"/>
    <col min="198" max="199" width="9.44140625" style="67" customWidth="1"/>
    <col min="200" max="200" width="10.44140625" style="67" bestFit="1" customWidth="1"/>
    <col min="201" max="201" width="14" style="67" customWidth="1"/>
    <col min="202" max="202" width="14.33203125" style="67" customWidth="1"/>
    <col min="203" max="203" width="10.44140625" style="67" bestFit="1" customWidth="1"/>
    <col min="204" max="204" width="9.44140625" style="67" bestFit="1" customWidth="1"/>
    <col min="205" max="206" width="10.44140625" style="67" bestFit="1" customWidth="1"/>
    <col min="207" max="209" width="10.44140625" style="67" customWidth="1"/>
    <col min="210" max="210" width="9" style="67" bestFit="1" customWidth="1"/>
    <col min="211" max="211" width="10.44140625" style="67" bestFit="1" customWidth="1"/>
    <col min="212" max="212" width="9.33203125" style="67" bestFit="1" customWidth="1"/>
    <col min="213" max="213" width="11.6640625" style="67" bestFit="1" customWidth="1"/>
    <col min="214" max="214" width="8.44140625" style="67" bestFit="1" customWidth="1"/>
    <col min="215" max="215" width="9.44140625" style="67" bestFit="1" customWidth="1"/>
    <col min="216" max="216" width="9.6640625" style="67" bestFit="1" customWidth="1"/>
    <col min="217" max="217" width="11" style="67" bestFit="1" customWidth="1"/>
    <col min="218" max="218" width="9.44140625" style="67" bestFit="1" customWidth="1"/>
    <col min="219" max="16384" width="11.44140625" style="67"/>
  </cols>
  <sheetData>
    <row r="1" spans="1:218" s="5" customFormat="1" ht="26.4" thickBot="1" x14ac:dyDescent="0.55000000000000004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Chêne sessile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Erable sycomore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>Erable plane</v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>Tilleul</v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>Alisier torminal</v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>Merisier</v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>Hêtre</v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>Erable champêtre</v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>Mélèze d'Europe</v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58.2" thickBot="1" x14ac:dyDescent="0.35">
      <c r="A2" s="71" t="s">
        <v>178</v>
      </c>
      <c r="B2" s="72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5" t="s">
        <v>300</v>
      </c>
      <c r="I2" s="68" t="s">
        <v>299</v>
      </c>
      <c r="J2" s="69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69" t="s">
        <v>299</v>
      </c>
      <c r="AE2" s="69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8" t="s">
        <v>299</v>
      </c>
      <c r="AZ2" s="69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8" t="s">
        <v>299</v>
      </c>
      <c r="BU2" s="69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8" t="s">
        <v>299</v>
      </c>
      <c r="CP2" s="69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8" t="s">
        <v>299</v>
      </c>
      <c r="DK2" s="69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8" t="s">
        <v>299</v>
      </c>
      <c r="EF2" s="69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8" t="s">
        <v>299</v>
      </c>
      <c r="FA2" s="69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8" t="s">
        <v>299</v>
      </c>
      <c r="FV2" s="69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8" t="s">
        <v>299</v>
      </c>
      <c r="GQ2" s="69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3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247.57967230773539</v>
      </c>
      <c r="T3" s="59">
        <f>IF('Données projet'!E9&gt;30,$R$33-$H$33,LOOKUP('Données projet'!$E$9,$A$3:$A$203,R3:R203)-LOOKUP('Données projet'!$E$9,$A$3:$A$203,$H$3:$H$203))</f>
        <v>156.58857589533295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504.15006129790828</v>
      </c>
      <c r="AO3" s="59">
        <f>IF('Données projet'!E10&gt;30,$AM$33-$H$33,LOOKUP('Données projet'!$E$10,$A$3:$A$203,AM3:AM203)-LOOKUP('Données projet'!$E$10,$A$3:$A$203,$H$3:$H$203))</f>
        <v>374.39334457402742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504.15006129790828</v>
      </c>
      <c r="BJ3" s="59">
        <f>IF('Données projet'!E11&gt;30,$BH$33-$H$33,LOOKUP('Données projet'!$E$11,$A$3:$A$203,BH3:BH203)-LOOKUP('Données projet'!$E$11,$A$3:$A$203,$H$3:$H$203))</f>
        <v>374.39334457402742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387.15063677712425</v>
      </c>
      <c r="CE3" s="59">
        <f>IF('Données projet'!E12&gt;30,$CC$33-$H$33,LOOKUP('Données projet'!$E$12,$A$3:$A$203,CC3:CC203)-LOOKUP('Données projet'!$E$12,$A$3:$A$203,$H$3:$H$203))</f>
        <v>313.19155394370705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306.00894145276209</v>
      </c>
      <c r="CZ3" s="59">
        <f>IF('Données projet'!E13&gt;30,$CX$33-$H$33,LOOKUP('Données projet'!$E$13,$A$3:$A$203,CX3:CX203)-LOOKUP('Données projet'!$E$13,$A$3:$A$203,$H$3:$H$203))</f>
        <v>168.74705421228828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458.14328535055694</v>
      </c>
      <c r="DU3" s="59">
        <f>IF('Données projet'!E14&gt;30,$DS$33-$H$33,LOOKUP('Données projet'!$E$14,$A$3:$A$203,DS3:DS203)-LOOKUP('Données projet'!$E$14,$A$3:$A$203,$H$3:$H$203))</f>
        <v>366.75500153675739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projet'!$B$15,Paramètres!$A$1:$I$88,3,0)*VLOOKUP('Données projet'!$B$15,Paramètres!$A$1:$I$88,5,0)</f>
        <v>0</v>
      </c>
      <c r="EL3" s="13">
        <v>0</v>
      </c>
      <c r="EM3" s="15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462.99360395552145</v>
      </c>
      <c r="EP3" s="59">
        <f>IF('Données projet'!E15&gt;30,$EN$33-$H$33,LOOKUP('Données projet'!$E$15,$A$3:$A$203,EN3:EN203)-LOOKUP('Données projet'!$E$15,$A$3:$A$203,$H$3:$H$203))</f>
        <v>153.03880717786046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projet'!$B$16,Paramètres!$A$1:$I$88,3,0)*VLOOKUP('Données projet'!$B$16,Paramètres!$A$1:$I$88,5,0)</f>
        <v>0</v>
      </c>
      <c r="FG3" s="13">
        <v>0</v>
      </c>
      <c r="FH3" s="15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427.76895185088944</v>
      </c>
      <c r="FK3" s="59">
        <f>IF('Données projet'!E16&gt;30,$FI$33-$H$33,LOOKUP('Données projet'!$E$16,$A$3:$A$203,FI3:FI203)-LOOKUP('Données projet'!$E$16,$A$3:$A$203,$H$3:$H$203))</f>
        <v>308.32543361559135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projet'!$B$17,Paramètres!$A$1:$I$88,3,0)*VLOOKUP('Données projet'!$B$17,Paramètres!$A$1:$I$88,5,0)</f>
        <v>0</v>
      </c>
      <c r="GB3" s="13">
        <v>0</v>
      </c>
      <c r="GC3" s="15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247.85542034088905</v>
      </c>
      <c r="GF3" s="59">
        <f>IF('Données projet'!E17&gt;30,$GD$33-$H$33,LOOKUP('Données projet'!$E$17,$A$3:$A$203,GD3:GD203)-LOOKUP('Données projet'!$E$17,$A$3:$A$203,$H$3:$H$203))</f>
        <v>299.52241743660352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3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6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</v>
      </c>
      <c r="N4" s="14">
        <f>IF('Données projet'!$A$36&gt;35,N3+M4-V3,IF(A4&lt;'Données projet'!$A$36,$K$205^A4,IF(A4='Données projet'!$A$36,'Données projet'!$B$36,N3+M4-V3)))</f>
        <v>3</v>
      </c>
      <c r="O4" s="14">
        <f>N4*VLOOKUP('Données projet'!$B$9,Paramètres!$A$1:$I$88,3,0)*VLOOKUP('Données projet'!$B$9,Paramètres!$A$1:$I$88,5,0)</f>
        <v>2.7143999999999999</v>
      </c>
      <c r="P4" s="14">
        <f>EXP(-1.0587+0.8836*LN(O4)+0.284)</f>
        <v>1.1136437287183383</v>
      </c>
      <c r="Q4" s="22">
        <f t="shared" ref="Q4:Q34" si="2">(O4+P4)*0.475*44/12</f>
        <v>6.6671761608511053</v>
      </c>
      <c r="R4" s="59">
        <f t="shared" si="0"/>
        <v>264.55606504973997</v>
      </c>
      <c r="S4" s="59">
        <f ca="1">AVERAGE(OFFSET($R$3,0,0,'Données projet'!$E$9+1,1))-AVERAGE(OFFSET($H$3,0,0,'Données projet'!$E$9+1,1))</f>
        <v>247.57967230773539</v>
      </c>
      <c r="T4" s="59">
        <f>$T$3</f>
        <v>156.58857589533295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2.9333333333333331</v>
      </c>
      <c r="AI4" s="14">
        <f>IF('Données projet'!$A$62&gt;35,AI3+AH4-AQ3,IF(A4&lt;'Données projet'!$A$62,$AF$205^A4,IF(A4='Données projet'!$A$62,'Données projet'!$B$62,AI3+AH4-AQ3)))</f>
        <v>1.2869554452352225</v>
      </c>
      <c r="AJ4" s="14">
        <f>AI4*VLOOKUP('Données projet'!$B$10,Paramètres!$A$1:$I$88,3,0)*VLOOKUP('Données projet'!$B$10,Paramètres!$A$1:$I$88,5,0)</f>
        <v>1.0239017522291431</v>
      </c>
      <c r="AK4" s="14">
        <f>EXP(-1.0587+0.8836*LN(AJ4)+0.284)</f>
        <v>0.47056138624727661</v>
      </c>
      <c r="AL4" s="22">
        <f t="shared" ref="AL4:AL67" si="4">(AJ4+AK4)*0.475*44/12</f>
        <v>2.6028566328464309</v>
      </c>
      <c r="AM4" s="59">
        <f t="shared" ref="AM4:AM67" si="5">AL4+(AD4+AE4)*44/12</f>
        <v>260.49174552173531</v>
      </c>
      <c r="AN4" s="59">
        <f ca="1">AVERAGE(OFFSET($AM$3,0,0,'Données projet'!$E$10+1,1))-AVERAGE(OFFSET($H$3,0,0,'Données projet'!$E$10+1,1))</f>
        <v>504.15006129790828</v>
      </c>
      <c r="AO4" s="59">
        <f>$AO$3</f>
        <v>374.39334457402742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2.9333333333333331</v>
      </c>
      <c r="BD4" s="13">
        <f>IF('Données projet'!$A$88&gt;35,BD3+BC4-BL3,IF(A4&lt;'Données projet'!$A$88,$BA$205^A4,IF(A4='Données projet'!$A$88,'Données projet'!$B$88,BD3+BC4-BL3)))</f>
        <v>1.2869554452352225</v>
      </c>
      <c r="BE4" s="14">
        <f>BD4*VLOOKUP('Données projet'!$B$11,Paramètres!$A$1:$I$88,3,0)*VLOOKUP('Données projet'!$B$11,Paramètres!$A$1:$I$88,5,0)</f>
        <v>1.0239017522291431</v>
      </c>
      <c r="BF4" s="14">
        <f>EXP(-1.0587+0.8836*LN(BE4)+0.284)</f>
        <v>0.47056138624727661</v>
      </c>
      <c r="BG4" s="22">
        <f t="shared" ref="BG4:BG67" si="7">(BE4+BF4)*0.475*44/12</f>
        <v>2.6028566328464309</v>
      </c>
      <c r="BH4" s="59">
        <f t="shared" ref="BH4:BH67" si="8">BG4+(AY4+AZ4)*44/12</f>
        <v>260.49174552173531</v>
      </c>
      <c r="BI4" s="59">
        <f ca="1">AVERAGE(OFFSET($BH$3,0,0,'Données projet'!$E$11+1,1))-AVERAGE(OFFSET($H$3,0,0,'Données projet'!$E$11+1,1))</f>
        <v>504.15006129790828</v>
      </c>
      <c r="BJ4" s="59">
        <f>$BJ$3</f>
        <v>374.39334457402742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2.9333333333333331</v>
      </c>
      <c r="BY4" s="13">
        <f>IF('Données projet'!$A$114&gt;35,BY3+BX4-CG3,IF(A4&lt;'Données projet'!$A$114,$BV$205^A4,IF(A4='Données projet'!$A$114,'Données projet'!$B$114,BY3+BX4-CG3)))</f>
        <v>1.2869554452352225</v>
      </c>
      <c r="BZ4" s="14">
        <f>BY4*VLOOKUP('Données projet'!$B$12,Paramètres!$A$1:$I$88,3,0)*VLOOKUP('Données projet'!$B$12,Paramètres!$A$1:$I$88,5,0)</f>
        <v>0.86328971266378729</v>
      </c>
      <c r="CA4" s="14">
        <f>EXP(-1.0587+0.8836*LN(BZ4)+0.284)</f>
        <v>0.40470633847049153</v>
      </c>
      <c r="CB4" s="22">
        <f t="shared" ref="CB4:CB67" si="10">(BZ4+CA4)*0.475*44/12</f>
        <v>2.2084264557255353</v>
      </c>
      <c r="CC4" s="59">
        <f t="shared" ref="CC4:CC67" si="11">CB4+(BT4+BU4)*44/12</f>
        <v>260.0973153446144</v>
      </c>
      <c r="CD4" s="59">
        <f ca="1">AVERAGE(OFFSET($CC$3,0,0,'Données projet'!$E$12+1,1))-AVERAGE(OFFSET($H$3,0,0,'Données projet'!$E$12+1,1))</f>
        <v>387.15063677712425</v>
      </c>
      <c r="CE4" s="59">
        <f>$CE$3</f>
        <v>313.19155394370705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</v>
      </c>
      <c r="CT4" s="13">
        <f>IF('Données projet'!$A$140&gt;35,CT3+CS4-DB3,IF(A4&lt;'Données projet'!$A$140,$CQ$205^A4,IF(A4='Données projet'!$A$140,'Données projet'!$B$140,CT3+CS4-DB3)))</f>
        <v>3</v>
      </c>
      <c r="CU4" s="18">
        <f>CT4*VLOOKUP('Données projet'!$B$13,Paramètres!$A$1:$I$88,3,0)*VLOOKUP('Données projet'!$B$13,Paramètres!$A$1:$I$88,5,0)</f>
        <v>2.9015999999999997</v>
      </c>
      <c r="CV4" s="14">
        <f>EXP(-1.0587+0.8836*LN(CU4)+0.284)</f>
        <v>1.1812412308987945</v>
      </c>
      <c r="CW4" s="22">
        <f t="shared" ref="CW4:CW67" si="13">(CU4+CV4)*0.475*44/12</f>
        <v>7.1109484771487343</v>
      </c>
      <c r="CX4" s="59">
        <f t="shared" ref="CX4:CX67" si="14">CW4+(CO4+CP4)*44/12</f>
        <v>264.99983736603758</v>
      </c>
      <c r="CY4" s="59">
        <f ca="1">AVERAGE(OFFSET($CX$3,0,0,'Données projet'!$E$13+1,1))-AVERAGE(OFFSET($H$3,0,0,'Données projet'!$E$13+1,1))</f>
        <v>306.00894145276209</v>
      </c>
      <c r="CZ4" s="59">
        <f>$CZ$3</f>
        <v>168.74705421228828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2.9333333333333331</v>
      </c>
      <c r="DO4" s="13">
        <f>IF('Données projet'!$A$166&gt;35,DO3+DN4-DW3,IF(A4&lt;'Données projet'!$A$166,$DL$205^A4,IF(A4='Données projet'!$A$166,'Données projet'!$B$166,DO3+DN4-DW3)))</f>
        <v>1.2869554452352225</v>
      </c>
      <c r="DP4" s="18">
        <f>DO4*VLOOKUP('Données projet'!$B$14,Paramètres!$A$1:$I$88,3,0)*VLOOKUP('Données projet'!$B$14,Paramètres!$A$1:$I$88,5,0)</f>
        <v>1.0038252472834737</v>
      </c>
      <c r="DQ4" s="14">
        <f>EXP(-1.0587+0.8836*LN(DP4)+0.284)</f>
        <v>0.46239930728670547</v>
      </c>
      <c r="DR4" s="22">
        <f t="shared" ref="DR4:DR67" si="16">(DP4+DQ4)*0.475*44/12</f>
        <v>2.5536744325430618</v>
      </c>
      <c r="DS4" s="59">
        <f t="shared" ref="DS4:DS67" si="17">DR4+(DJ4+DK4)*44/12</f>
        <v>260.44256332143192</v>
      </c>
      <c r="DT4" s="59">
        <f ca="1">AVERAGE(OFFSET($DS$3,0,0,'Données projet'!$E$14+1,1))-AVERAGE(OFFSET($H$3,0,0,'Données projet'!$E$14+1,1))</f>
        <v>458.14328535055694</v>
      </c>
      <c r="DU4" s="59">
        <f>$DU$3</f>
        <v>366.75500153675739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projet'!$B$14,Paramètres!$A$1:$I$88,3,0)*0.475*44/12</f>
        <v>0</v>
      </c>
      <c r="EB4" s="23">
        <f>EXP(-LN(2)/25)*EB3+(1-EXP(-LN(2)/25))/(LN(2)/25)*Calculateur!DW4*Calculateur!DY4*VLOOKUP('Données projet'!$B$14,Paramètres!$A$1:$I$88,3,0)*0.475*44/12</f>
        <v>0</v>
      </c>
      <c r="EC4" s="23">
        <f>EXP(-LN(2)/2)*EC3+(1-EXP(-LN(2)/2))/(LN(2)/2)*DW4*DZ4*VLOOKUP('Données projet'!$B$14,Paramètres!$A$1:$I$88,3,0)*0.475*44/12</f>
        <v>0</v>
      </c>
      <c r="ED4" s="24">
        <f t="shared" ref="ED4:ED67" si="18">SUM(EA4:EC4)</f>
        <v>0</v>
      </c>
      <c r="EE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3.1</v>
      </c>
      <c r="EJ4" s="13">
        <f>IF('Données projet'!$A$192&gt;35,EJ3+EI4-ER3,IF(A4&lt;'Données projet'!$A$192,$EG$205^A4,IF(A4='Données projet'!$A$192,'Données projet'!$B$192,EJ3+EI4-ER3)))</f>
        <v>1.1630974358429402</v>
      </c>
      <c r="EK4" s="18">
        <f>EJ4*VLOOKUP('Données projet'!$B$15,Paramètres!$A$1:$I$88,3,0)*VLOOKUP('Données projet'!$B$15,Paramètres!$A$1:$I$88,5,0)</f>
        <v>0.99793759995324283</v>
      </c>
      <c r="EL4" s="14">
        <f>EXP(-1.0587+0.8836*LN(EK4)+0.284)</f>
        <v>0.46000210268149644</v>
      </c>
      <c r="EM4" s="22">
        <f t="shared" ref="EM4:EM67" si="19">(EK4+EL4)*0.475*44/12</f>
        <v>2.5392449820888379</v>
      </c>
      <c r="EN4" s="59">
        <f t="shared" ref="EN4:EN67" si="20">EM4+(EE4+EF4)*44/12</f>
        <v>260.42813387097772</v>
      </c>
      <c r="EO4" s="59">
        <f ca="1">AVERAGE(OFFSET($EN$3,0,0,'Données projet'!$E$15+1,1))-AVERAGE(OFFSET($H$3,0,0,'Données projet'!$E$15+1,1))</f>
        <v>462.99360395552145</v>
      </c>
      <c r="EP4" s="59">
        <f>$EP$3</f>
        <v>153.03880717786046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projet'!$B$15,Paramètres!$A$1:$I$88,3,0)*0.475*44/12</f>
        <v>0</v>
      </c>
      <c r="EW4" s="23">
        <f>EXP(-LN(2)/25)*EW3+(1-EXP(-LN(2)/25))/(LN(2)/25)*Calculateur!ER4*Calculateur!ET4*VLOOKUP('Données projet'!$B$15,Paramètres!$A$1:$I$88,3,0)*0.475*44/12</f>
        <v>0</v>
      </c>
      <c r="EX4" s="23">
        <f>EXP(-LN(2)/2)*EX3+(1-EXP(-LN(2)/2))/(LN(2)/2)*ER4*EU4*VLOOKUP('Données projet'!$B$15,Paramètres!$A$1:$I$88,3,0)*0.475*44/12</f>
        <v>0</v>
      </c>
      <c r="EY4" s="24">
        <f t="shared" ref="EY4:EY67" si="21">SUM(EV4:EX4)</f>
        <v>0</v>
      </c>
      <c r="EZ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1.3333333333333333</v>
      </c>
      <c r="FE4" s="13">
        <f>IF('Données projet'!$A$218&gt;35,FE3+FD4-FM3,IF(A4&lt;'Données projet'!$A$218,$FB$205^A4,IF(A4='Données projet'!$A$218,'Données projet'!$B$218,FE3+FD4-FM3)))</f>
        <v>1.2210553000675681</v>
      </c>
      <c r="FF4" s="18">
        <f>FE4*VLOOKUP('Données projet'!$B$16,Paramètres!$A$1:$I$88,3,0)*VLOOKUP('Données projet'!$B$16,Paramètres!$A$1:$I$88,5,0)</f>
        <v>1.0667139101390277</v>
      </c>
      <c r="FG4" s="14">
        <f>EXP(-1.0587+0.8836*LN(FF4)+0.284)</f>
        <v>0.48790496874146483</v>
      </c>
      <c r="FH4" s="22">
        <f t="shared" ref="FH4:FH67" si="22">(FF4+FG4)*0.475*44/12</f>
        <v>2.7076278807168577</v>
      </c>
      <c r="FI4" s="59">
        <f t="shared" ref="FI4:FI67" si="23">FH4+(EZ4+FA4)*44/12</f>
        <v>260.59651676960573</v>
      </c>
      <c r="FJ4" s="59">
        <f ca="1">AVERAGE(OFFSET($FI$3,0,0,'Données projet'!$E$16+1,1))-AVERAGE(OFFSET($H$3,0,0,'Données projet'!$E$16+1,1))</f>
        <v>427.76895185088944</v>
      </c>
      <c r="FK4" s="59">
        <f>$FK$3</f>
        <v>308.32543361559135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projet'!$B$16,Paramètres!$A$1:$I$88,3,0)*0.475*44/12</f>
        <v>0</v>
      </c>
      <c r="FR4" s="23">
        <f>EXP(-LN(2)/25)*FR3+(1-EXP(-LN(2)/25))/(LN(2)/25)*Calculateur!FM4*Calculateur!FO4*VLOOKUP('Données projet'!$B$16,Paramètres!$A$1:$I$88,3,0)*0.475*44/12</f>
        <v>0</v>
      </c>
      <c r="FS4" s="23">
        <f>EXP(-LN(2)/2)*FS3+(1-EXP(-LN(2)/2))/(LN(2)/2)*FM4*FP4*VLOOKUP('Données projet'!$B$16,Paramètres!$A$1:$I$88,3,0)*0.475*44/12</f>
        <v>0</v>
      </c>
      <c r="FT4" s="24">
        <f t="shared" ref="FT4:FT67" si="24">SUM(FQ4:FS4)</f>
        <v>0</v>
      </c>
      <c r="FU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4.7</v>
      </c>
      <c r="FZ4" s="13">
        <f>IF('Données projet'!$A$244&gt;35,FZ3+FY4-GH3,IF(A4&lt;'Données projet'!$A$244,$FW$205^A4,IF(A4='Données projet'!$A$244,'Données projet'!$B$244,FZ3+FY4-GH3)))</f>
        <v>1.4696360133599291</v>
      </c>
      <c r="GA4" s="18">
        <f>FZ4*VLOOKUP('Données projet'!$B$17,Paramètres!$A$1:$I$88,3,0)*VLOOKUP('Données projet'!$B$17,Paramètres!$A$1:$I$88,5,0)</f>
        <v>0.91705287233659571</v>
      </c>
      <c r="GB4" s="14">
        <f>EXP(-1.0587+0.8836*LN(GA4)+0.284)</f>
        <v>0.42689762144274424</v>
      </c>
      <c r="GC4" s="22">
        <f t="shared" ref="GC4:GC67" si="25">(GA4+GB4)*0.475*44/12</f>
        <v>2.3407137766656838</v>
      </c>
      <c r="GD4" s="59">
        <f t="shared" ref="GD4:GD67" si="26">GC4+(FU4+FV4)*44/12</f>
        <v>260.22960266555452</v>
      </c>
      <c r="GE4" s="59">
        <f ca="1">AVERAGE(OFFSET($GD$3,0,0,'Données projet'!$E$17+1,1))-AVERAGE(OFFSET($H$3,0,0,'Données projet'!$E$17+1,1))</f>
        <v>247.85542034088905</v>
      </c>
      <c r="GF4" s="59">
        <f>$GF$3</f>
        <v>299.52241743660352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projet'!$B$17,Paramètres!$A$1:$I$88,3,0)*0.475*44/12</f>
        <v>0</v>
      </c>
      <c r="GM4" s="23">
        <f>EXP(-LN(2)/25)*GM3+(1-EXP(-LN(2)/25))/(LN(2)/25)*Calculateur!GH4*Calculateur!GJ4*VLOOKUP('Données projet'!$B$17,Paramètres!$A$1:$I$88,3,0)*0.475*44/12</f>
        <v>0</v>
      </c>
      <c r="GN4" s="23">
        <f>EXP(-LN(2)/2)*GN3+(1-EXP(-LN(2)/2))/(LN(2)/2)*GH4*GK4*VLOOKUP('Données projet'!$B$17,Paramètres!$A$1:$I$88,3,0)*0.475*44/12</f>
        <v>0</v>
      </c>
      <c r="GO4" s="23">
        <f t="shared" ref="GO4:GO67" si="27">SUM(GL4:GN4)</f>
        <v>0</v>
      </c>
      <c r="GP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3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6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</v>
      </c>
      <c r="N5" s="14">
        <f>IF('Données projet'!$A$36&gt;35,N4+M5-V4,IF(A5&lt;'Données projet'!$A$36,$K$205^A5,IF(A5='Données projet'!$A$36,'Données projet'!$B$36,N4+M5-V4)))</f>
        <v>6</v>
      </c>
      <c r="O5" s="14">
        <f>N5*VLOOKUP('Données projet'!$B$9,Paramètres!$A$1:$I$88,3,0)*VLOOKUP('Données projet'!$B$9,Paramètres!$A$1:$I$88,5,0)</f>
        <v>5.4287999999999998</v>
      </c>
      <c r="P5" s="14">
        <f t="shared" ref="P5:P68" si="33">EXP(-1.0587+0.8836*LN(O5)+0.284)</f>
        <v>2.0546430333413586</v>
      </c>
      <c r="Q5" s="22">
        <f t="shared" si="2"/>
        <v>13.033663283069531</v>
      </c>
      <c r="R5" s="59">
        <f t="shared" si="0"/>
        <v>272.14477439418067</v>
      </c>
      <c r="S5" s="59">
        <f ca="1">AVERAGE(OFFSET($R$3,0,0,'Données projet'!$E$9+1,1))-AVERAGE(OFFSET($H$3,0,0,'Données projet'!$E$9+1,1))</f>
        <v>247.57967230773539</v>
      </c>
      <c r="T5" s="59">
        <f t="shared" ref="T5:T68" si="34">$T$3</f>
        <v>156.58857589533295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2.9333333333333331</v>
      </c>
      <c r="AI5" s="14">
        <f>IF('Données projet'!$A$62&gt;35,AI4+AH5-AQ4,IF(A5&lt;'Données projet'!$A$62,$AF$205^A5,IF(A5='Données projet'!$A$62,'Données projet'!$B$62,AI4+AH5-AQ4)))</f>
        <v>1.65625431802059</v>
      </c>
      <c r="AJ5" s="14">
        <f>AI5*VLOOKUP('Données projet'!$B$10,Paramètres!$A$1:$I$88,3,0)*VLOOKUP('Données projet'!$B$10,Paramètres!$A$1:$I$88,5,0)</f>
        <v>1.3177159354171815</v>
      </c>
      <c r="AK5" s="14">
        <f t="shared" ref="AK5:AK68" si="35">EXP(-1.0587+0.8836*LN(AJ5)+0.284)</f>
        <v>0.58806672427702456</v>
      </c>
      <c r="AL5" s="22">
        <f t="shared" si="4"/>
        <v>3.3192381323007418</v>
      </c>
      <c r="AM5" s="59">
        <f t="shared" si="5"/>
        <v>262.43034924341191</v>
      </c>
      <c r="AN5" s="59">
        <f ca="1">AVERAGE(OFFSET($AM$3,0,0,'Données projet'!$E$10+1,1))-AVERAGE(OFFSET($H$3,0,0,'Données projet'!$E$10+1,1))</f>
        <v>504.15006129790828</v>
      </c>
      <c r="AO5" s="59">
        <f t="shared" ref="AO5:AO68" si="36">$AO$3</f>
        <v>374.39334457402742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2.9333333333333331</v>
      </c>
      <c r="BD5" s="13">
        <f>IF('Données projet'!$A$88&gt;35,BD4+BC5-BL4,IF(A5&lt;'Données projet'!$A$88,$BA$205^A5,IF(A5='Données projet'!$A$88,'Données projet'!$B$88,BD4+BC5-BL4)))</f>
        <v>1.65625431802059</v>
      </c>
      <c r="BE5" s="14">
        <f>BD5*VLOOKUP('Données projet'!$B$11,Paramètres!$A$1:$I$88,3,0)*VLOOKUP('Données projet'!$B$11,Paramètres!$A$1:$I$88,5,0)</f>
        <v>1.3177159354171815</v>
      </c>
      <c r="BF5" s="14">
        <f t="shared" ref="BF5:BF68" si="37">EXP(-1.0587+0.8836*LN(BE5)+0.284)</f>
        <v>0.58806672427702456</v>
      </c>
      <c r="BG5" s="22">
        <f t="shared" si="7"/>
        <v>3.3192381323007418</v>
      </c>
      <c r="BH5" s="59">
        <f t="shared" si="8"/>
        <v>262.43034924341191</v>
      </c>
      <c r="BI5" s="59">
        <f ca="1">AVERAGE(OFFSET($BH$3,0,0,'Données projet'!$E$11+1,1))-AVERAGE(OFFSET($H$3,0,0,'Données projet'!$E$11+1,1))</f>
        <v>504.15006129790828</v>
      </c>
      <c r="BJ5" s="59">
        <f t="shared" ref="BJ5:BJ68" si="38">$BJ$3</f>
        <v>374.39334457402742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2.9333333333333331</v>
      </c>
      <c r="BY5" s="13">
        <f>IF('Données projet'!$A$114&gt;35,BY4+BX5-CG4,IF(A5&lt;'Données projet'!$A$114,$BV$205^A5,IF(A5='Données projet'!$A$114,'Données projet'!$B$114,BY4+BX5-CG4)))</f>
        <v>1.65625431802059</v>
      </c>
      <c r="BZ5" s="14">
        <f>BY5*VLOOKUP('Données projet'!$B$12,Paramètres!$A$1:$I$88,3,0)*VLOOKUP('Données projet'!$B$12,Paramètres!$A$1:$I$88,5,0)</f>
        <v>1.1110153965282117</v>
      </c>
      <c r="CA5" s="14">
        <f t="shared" ref="CA5:CA68" si="39">EXP(-1.0587+0.8836*LN(BZ5)+0.284)</f>
        <v>0.50576680899487669</v>
      </c>
      <c r="CB5" s="22">
        <f t="shared" si="10"/>
        <v>2.8158956746193788</v>
      </c>
      <c r="CC5" s="59">
        <f t="shared" si="11"/>
        <v>261.9270067857305</v>
      </c>
      <c r="CD5" s="59">
        <f ca="1">AVERAGE(OFFSET($CC$3,0,0,'Données projet'!$E$12+1,1))-AVERAGE(OFFSET($H$3,0,0,'Données projet'!$E$12+1,1))</f>
        <v>387.15063677712425</v>
      </c>
      <c r="CE5" s="59">
        <f t="shared" ref="CE5:CE68" si="40">$CE$3</f>
        <v>313.19155394370705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</v>
      </c>
      <c r="CT5" s="13">
        <f>IF('Données projet'!$A$140&gt;35,CT4+CS5-DB4,IF(A5&lt;'Données projet'!$A$140,$CQ$205^A5,IF(A5='Données projet'!$A$140,'Données projet'!$B$140,CT4+CS5-DB4)))</f>
        <v>6</v>
      </c>
      <c r="CU5" s="18">
        <f>CT5*VLOOKUP('Données projet'!$B$13,Paramètres!$A$1:$I$88,3,0)*VLOOKUP('Données projet'!$B$13,Paramètres!$A$1:$I$88,5,0)</f>
        <v>5.8031999999999995</v>
      </c>
      <c r="CV5" s="14">
        <f t="shared" ref="CV5:CV68" si="41">EXP(-1.0587+0.8836*LN(CU5)+0.284)</f>
        <v>2.1793586253612545</v>
      </c>
      <c r="CW5" s="22">
        <f t="shared" si="13"/>
        <v>13.902956272504184</v>
      </c>
      <c r="CX5" s="59">
        <f t="shared" si="14"/>
        <v>273.01406738361533</v>
      </c>
      <c r="CY5" s="59">
        <f ca="1">AVERAGE(OFFSET($CX$3,0,0,'Données projet'!$E$13+1,1))-AVERAGE(OFFSET($H$3,0,0,'Données projet'!$E$13+1,1))</f>
        <v>306.00894145276209</v>
      </c>
      <c r="CZ5" s="59">
        <f t="shared" ref="CZ5:CZ68" si="42">$CZ$3</f>
        <v>168.74705421228828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2.9333333333333331</v>
      </c>
      <c r="DO5" s="13">
        <f>IF('Données projet'!$A$166&gt;35,DO4+DN5-DW4,IF(A5&lt;'Données projet'!$A$166,$DL$205^A5,IF(A5='Données projet'!$A$166,'Données projet'!$B$166,DO4+DN5-DW4)))</f>
        <v>1.65625431802059</v>
      </c>
      <c r="DP5" s="18">
        <f>DO5*VLOOKUP('Données projet'!$B$14,Paramètres!$A$1:$I$88,3,0)*VLOOKUP('Données projet'!$B$14,Paramètres!$A$1:$I$88,5,0)</f>
        <v>1.2918783680560602</v>
      </c>
      <c r="DQ5" s="14">
        <f t="shared" ref="DQ5:DQ68" si="43">EXP(-1.0587+0.8836*LN(DP5)+0.284)</f>
        <v>0.57786646735430447</v>
      </c>
      <c r="DR5" s="22">
        <f t="shared" si="16"/>
        <v>3.2564722550063849</v>
      </c>
      <c r="DS5" s="59">
        <f t="shared" si="17"/>
        <v>262.36758336611751</v>
      </c>
      <c r="DT5" s="59">
        <f ca="1">AVERAGE(OFFSET($DS$3,0,0,'Données projet'!$E$14+1,1))-AVERAGE(OFFSET($H$3,0,0,'Données projet'!$E$14+1,1))</f>
        <v>458.14328535055694</v>
      </c>
      <c r="DU5" s="59">
        <f t="shared" ref="DU5:DU68" si="44">$DU$3</f>
        <v>366.75500153675739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projet'!$B$14,Paramètres!$A$1:$I$88,3,0)*0.475*44/12</f>
        <v>0</v>
      </c>
      <c r="EB5" s="23">
        <f>EXP(-LN(2)/25)*EB4+(1-EXP(-LN(2)/25))/(LN(2)/25)*Calculateur!DW5*Calculateur!DY5*VLOOKUP('Données projet'!$B$14,Paramètres!$A$1:$I$88,3,0)*0.475*44/12</f>
        <v>0</v>
      </c>
      <c r="EC5" s="23">
        <f>EXP(-LN(2)/2)*EC4+(1-EXP(-LN(2)/2))/(LN(2)/2)*DW5*DZ5*VLOOKUP('Données projet'!$B$14,Paramètres!$A$1:$I$88,3,0)*0.475*44/12</f>
        <v>0</v>
      </c>
      <c r="ED5" s="24">
        <f t="shared" si="18"/>
        <v>0</v>
      </c>
      <c r="EE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3.1</v>
      </c>
      <c r="EJ5" s="13">
        <f>IF('Données projet'!$A$192&gt;35,EJ4+EI5-ER4,IF(A5&lt;'Données projet'!$A$192,$EG$205^A5,IF(A5='Données projet'!$A$192,'Données projet'!$B$192,EJ4+EI5-ER4)))</f>
        <v>1.3527956452644225</v>
      </c>
      <c r="EK5" s="18">
        <f>EJ5*VLOOKUP('Données projet'!$B$15,Paramètres!$A$1:$I$88,3,0)*VLOOKUP('Données projet'!$B$15,Paramètres!$A$1:$I$88,5,0)</f>
        <v>1.1606986636368748</v>
      </c>
      <c r="EL5" s="14">
        <f t="shared" ref="EL5:EL68" si="45">EXP(-1.0587+0.8836*LN(EK5)+0.284)</f>
        <v>0.52570027148856346</v>
      </c>
      <c r="EM5" s="22">
        <f t="shared" si="19"/>
        <v>2.9371448120101378</v>
      </c>
      <c r="EN5" s="59">
        <f t="shared" si="20"/>
        <v>262.0482559231213</v>
      </c>
      <c r="EO5" s="59">
        <f ca="1">AVERAGE(OFFSET($EN$3,0,0,'Données projet'!$E$15+1,1))-AVERAGE(OFFSET($H$3,0,0,'Données projet'!$E$15+1,1))</f>
        <v>462.99360395552145</v>
      </c>
      <c r="EP5" s="59">
        <f t="shared" ref="EP5:EP68" si="46">$EP$3</f>
        <v>153.03880717786046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projet'!$B$15,Paramètres!$A$1:$I$88,3,0)*0.475*44/12</f>
        <v>0</v>
      </c>
      <c r="EW5" s="23">
        <f>EXP(-LN(2)/25)*EW4+(1-EXP(-LN(2)/25))/(LN(2)/25)*Calculateur!ER5*Calculateur!ET5*VLOOKUP('Données projet'!$B$15,Paramètres!$A$1:$I$88,3,0)*0.475*44/12</f>
        <v>0</v>
      </c>
      <c r="EX5" s="23">
        <f>EXP(-LN(2)/2)*EX4+(1-EXP(-LN(2)/2))/(LN(2)/2)*ER5*EU5*VLOOKUP('Données projet'!$B$15,Paramètres!$A$1:$I$88,3,0)*0.475*44/12</f>
        <v>0</v>
      </c>
      <c r="EY5" s="24">
        <f t="shared" si="21"/>
        <v>0</v>
      </c>
      <c r="EZ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1.3333333333333333</v>
      </c>
      <c r="FE5" s="13">
        <f>IF('Données projet'!$A$218&gt;35,FE4+FD5-FM4,IF(A5&lt;'Données projet'!$A$218,$FB$205^A5,IF(A5='Données projet'!$A$218,'Données projet'!$B$218,FE4+FD5-FM4)))</f>
        <v>1.4909760458230989</v>
      </c>
      <c r="FF5" s="18">
        <f>FE5*VLOOKUP('Données projet'!$B$16,Paramètres!$A$1:$I$88,3,0)*VLOOKUP('Données projet'!$B$16,Paramètres!$A$1:$I$88,5,0)</f>
        <v>1.3025166736310594</v>
      </c>
      <c r="FG5" s="14">
        <f t="shared" ref="FG5:FG68" si="47">EXP(-1.0587+0.8836*LN(FF5)+0.284)</f>
        <v>0.58206914886981964</v>
      </c>
      <c r="FH5" s="22">
        <f t="shared" si="22"/>
        <v>3.2823203075223639</v>
      </c>
      <c r="FI5" s="59">
        <f t="shared" si="23"/>
        <v>262.3934314186335</v>
      </c>
      <c r="FJ5" s="59">
        <f ca="1">AVERAGE(OFFSET($FI$3,0,0,'Données projet'!$E$16+1,1))-AVERAGE(OFFSET($H$3,0,0,'Données projet'!$E$16+1,1))</f>
        <v>427.76895185088944</v>
      </c>
      <c r="FK5" s="59">
        <f t="shared" ref="FK5:FK68" si="48">$FK$3</f>
        <v>308.32543361559135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projet'!$B$16,Paramètres!$A$1:$I$88,3,0)*0.475*44/12</f>
        <v>0</v>
      </c>
      <c r="FR5" s="23">
        <f>EXP(-LN(2)/25)*FR4+(1-EXP(-LN(2)/25))/(LN(2)/25)*Calculateur!FM5*Calculateur!FO5*VLOOKUP('Données projet'!$B$16,Paramètres!$A$1:$I$88,3,0)*0.475*44/12</f>
        <v>0</v>
      </c>
      <c r="FS5" s="23">
        <f>EXP(-LN(2)/2)*FS4+(1-EXP(-LN(2)/2))/(LN(2)/2)*FM5*FP5*VLOOKUP('Données projet'!$B$16,Paramètres!$A$1:$I$88,3,0)*0.475*44/12</f>
        <v>0</v>
      </c>
      <c r="FT5" s="24">
        <f t="shared" si="24"/>
        <v>0</v>
      </c>
      <c r="FU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4.7</v>
      </c>
      <c r="FZ5" s="13">
        <f>IF('Données projet'!$A$244&gt;35,FZ4+FY5-GH4,IF(A5&lt;'Données projet'!$A$244,$FW$205^A5,IF(A5='Données projet'!$A$244,'Données projet'!$B$244,FZ4+FY5-GH4)))</f>
        <v>2.1598300117644658</v>
      </c>
      <c r="GA5" s="18">
        <f>FZ5*VLOOKUP('Données projet'!$B$17,Paramètres!$A$1:$I$88,3,0)*VLOOKUP('Données projet'!$B$17,Paramètres!$A$1:$I$88,5,0)</f>
        <v>1.3477339273410267</v>
      </c>
      <c r="GB5" s="14">
        <f t="shared" ref="GB5:GB68" si="49">EXP(-1.0587+0.8836*LN(GA5)+0.284)</f>
        <v>0.59988817577552389</v>
      </c>
      <c r="GC5" s="22">
        <f t="shared" si="25"/>
        <v>3.3921084962613257</v>
      </c>
      <c r="GD5" s="59">
        <f t="shared" si="26"/>
        <v>262.50321960737244</v>
      </c>
      <c r="GE5" s="59">
        <f ca="1">AVERAGE(OFFSET($GD$3,0,0,'Données projet'!$E$17+1,1))-AVERAGE(OFFSET($H$3,0,0,'Données projet'!$E$17+1,1))</f>
        <v>247.85542034088905</v>
      </c>
      <c r="GF5" s="59">
        <f t="shared" ref="GF5:GF68" si="50">$GF$3</f>
        <v>299.52241743660352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projet'!$B$17,Paramètres!$A$1:$I$88,3,0)*0.475*44/12</f>
        <v>0</v>
      </c>
      <c r="GM5" s="23">
        <f>EXP(-LN(2)/25)*GM4+(1-EXP(-LN(2)/25))/(LN(2)/25)*Calculateur!GH5*Calculateur!GJ5*VLOOKUP('Données projet'!$B$17,Paramètres!$A$1:$I$88,3,0)*0.475*44/12</f>
        <v>0</v>
      </c>
      <c r="GN5" s="23">
        <f>EXP(-LN(2)/2)*GN4+(1-EXP(-LN(2)/2))/(LN(2)/2)*GH5*GK5*VLOOKUP('Données projet'!$B$17,Paramètres!$A$1:$I$88,3,0)*0.475*44/12</f>
        <v>0</v>
      </c>
      <c r="GO5" s="23">
        <f t="shared" si="27"/>
        <v>0</v>
      </c>
      <c r="GP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3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6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</v>
      </c>
      <c r="N6" s="14">
        <f>IF('Données projet'!$A$36&gt;35,N5+M6-V5,IF(A6&lt;'Données projet'!$A$36,$K$205^A6,IF(A6='Données projet'!$A$36,'Données projet'!$B$36,N5+M6-V5)))</f>
        <v>9</v>
      </c>
      <c r="O6" s="14">
        <f>N6*VLOOKUP('Données projet'!$B$9,Paramètres!$A$1:$I$88,3,0)*VLOOKUP('Données projet'!$B$9,Paramètres!$A$1:$I$88,5,0)</f>
        <v>8.1432000000000002</v>
      </c>
      <c r="P6" s="14">
        <f t="shared" si="33"/>
        <v>2.9398868551895574</v>
      </c>
      <c r="Q6" s="22">
        <f t="shared" si="2"/>
        <v>19.303042939455146</v>
      </c>
      <c r="R6" s="59">
        <f t="shared" si="0"/>
        <v>279.63637627278848</v>
      </c>
      <c r="S6" s="59">
        <f ca="1">AVERAGE(OFFSET($R$3,0,0,'Données projet'!$E$9+1,1))-AVERAGE(OFFSET($H$3,0,0,'Données projet'!$E$9+1,1))</f>
        <v>247.57967230773539</v>
      </c>
      <c r="T6" s="59">
        <f t="shared" si="34"/>
        <v>156.58857589533295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2.9333333333333331</v>
      </c>
      <c r="AI6" s="14">
        <f>IF('Données projet'!$A$62&gt;35,AI5+AH6-AQ5,IF(A6&lt;'Données projet'!$A$62,$AF$205^A6,IF(A6='Données projet'!$A$62,'Données projet'!$B$62,AI5+AH6-AQ5)))</f>
        <v>2.1315255132709483</v>
      </c>
      <c r="AJ6" s="14">
        <f>AI6*VLOOKUP('Données projet'!$B$10,Paramètres!$A$1:$I$88,3,0)*VLOOKUP('Données projet'!$B$10,Paramètres!$A$1:$I$88,5,0)</f>
        <v>1.6958416983583666</v>
      </c>
      <c r="AK6" s="14">
        <f t="shared" si="35"/>
        <v>0.73491468341642208</v>
      </c>
      <c r="AL6" s="22">
        <f t="shared" si="4"/>
        <v>4.2335673649244239</v>
      </c>
      <c r="AM6" s="59">
        <f t="shared" si="5"/>
        <v>264.56690069825771</v>
      </c>
      <c r="AN6" s="59">
        <f ca="1">AVERAGE(OFFSET($AM$3,0,0,'Données projet'!$E$10+1,1))-AVERAGE(OFFSET($H$3,0,0,'Données projet'!$E$10+1,1))</f>
        <v>504.15006129790828</v>
      </c>
      <c r="AO6" s="59">
        <f t="shared" si="36"/>
        <v>374.39334457402742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2.9333333333333331</v>
      </c>
      <c r="BD6" s="13">
        <f>IF('Données projet'!$A$88&gt;35,BD5+BC6-BL5,IF(A6&lt;'Données projet'!$A$88,$BA$205^A6,IF(A6='Données projet'!$A$88,'Données projet'!$B$88,BD5+BC6-BL5)))</f>
        <v>2.1315255132709483</v>
      </c>
      <c r="BE6" s="14">
        <f>BD6*VLOOKUP('Données projet'!$B$11,Paramètres!$A$1:$I$88,3,0)*VLOOKUP('Données projet'!$B$11,Paramètres!$A$1:$I$88,5,0)</f>
        <v>1.6958416983583666</v>
      </c>
      <c r="BF6" s="14">
        <f t="shared" si="37"/>
        <v>0.73491468341642208</v>
      </c>
      <c r="BG6" s="22">
        <f t="shared" si="7"/>
        <v>4.2335673649244239</v>
      </c>
      <c r="BH6" s="59">
        <f t="shared" si="8"/>
        <v>264.56690069825771</v>
      </c>
      <c r="BI6" s="59">
        <f ca="1">AVERAGE(OFFSET($BH$3,0,0,'Données projet'!$E$11+1,1))-AVERAGE(OFFSET($H$3,0,0,'Données projet'!$E$11+1,1))</f>
        <v>504.15006129790828</v>
      </c>
      <c r="BJ6" s="59">
        <f t="shared" si="38"/>
        <v>374.39334457402742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2.9333333333333331</v>
      </c>
      <c r="BY6" s="13">
        <f>IF('Données projet'!$A$114&gt;35,BY5+BX6-CG5,IF(A6&lt;'Données projet'!$A$114,$BV$205^A6,IF(A6='Données projet'!$A$114,'Données projet'!$B$114,BY5+BX6-CG5)))</f>
        <v>2.1315255132709483</v>
      </c>
      <c r="BZ6" s="14">
        <f>BY6*VLOOKUP('Données projet'!$B$12,Paramètres!$A$1:$I$88,3,0)*VLOOKUP('Données projet'!$B$12,Paramètres!$A$1:$I$88,5,0)</f>
        <v>1.429827314302152</v>
      </c>
      <c r="CA6" s="14">
        <f t="shared" si="39"/>
        <v>0.63206340194128496</v>
      </c>
      <c r="CB6" s="22">
        <f t="shared" si="10"/>
        <v>3.5911263307906527</v>
      </c>
      <c r="CC6" s="59">
        <f t="shared" si="11"/>
        <v>263.92445966412396</v>
      </c>
      <c r="CD6" s="59">
        <f ca="1">AVERAGE(OFFSET($CC$3,0,0,'Données projet'!$E$12+1,1))-AVERAGE(OFFSET($H$3,0,0,'Données projet'!$E$12+1,1))</f>
        <v>387.15063677712425</v>
      </c>
      <c r="CE6" s="59">
        <f t="shared" si="40"/>
        <v>313.19155394370705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</v>
      </c>
      <c r="CT6" s="13">
        <f>IF('Données projet'!$A$140&gt;35,CT5+CS6-DB5,IF(A6&lt;'Données projet'!$A$140,$CQ$205^A6,IF(A6='Données projet'!$A$140,'Données projet'!$B$140,CT5+CS6-DB5)))</f>
        <v>9</v>
      </c>
      <c r="CU6" s="18">
        <f>CT6*VLOOKUP('Données projet'!$B$13,Paramètres!$A$1:$I$88,3,0)*VLOOKUP('Données projet'!$B$13,Paramètres!$A$1:$I$88,5,0)</f>
        <v>8.7048000000000005</v>
      </c>
      <c r="CV6" s="14">
        <f t="shared" si="41"/>
        <v>3.1183362128963368</v>
      </c>
      <c r="CW6" s="22">
        <f t="shared" si="13"/>
        <v>20.591962237461122</v>
      </c>
      <c r="CX6" s="59">
        <f t="shared" si="14"/>
        <v>280.92529557079445</v>
      </c>
      <c r="CY6" s="59">
        <f ca="1">AVERAGE(OFFSET($CX$3,0,0,'Données projet'!$E$13+1,1))-AVERAGE(OFFSET($H$3,0,0,'Données projet'!$E$13+1,1))</f>
        <v>306.00894145276209</v>
      </c>
      <c r="CZ6" s="59">
        <f t="shared" si="42"/>
        <v>168.74705421228828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2.9333333333333331</v>
      </c>
      <c r="DO6" s="13">
        <f>IF('Données projet'!$A$166&gt;35,DO5+DN6-DW5,IF(A6&lt;'Données projet'!$A$166,$DL$205^A6,IF(A6='Données projet'!$A$166,'Données projet'!$B$166,DO5+DN6-DW5)))</f>
        <v>2.1315255132709483</v>
      </c>
      <c r="DP6" s="18">
        <f>DO6*VLOOKUP('Données projet'!$B$14,Paramètres!$A$1:$I$88,3,0)*VLOOKUP('Données projet'!$B$14,Paramètres!$A$1:$I$88,5,0)</f>
        <v>1.6625899003513398</v>
      </c>
      <c r="DQ6" s="14">
        <f t="shared" si="43"/>
        <v>0.72216728881363601</v>
      </c>
      <c r="DR6" s="22">
        <f t="shared" si="16"/>
        <v>4.1534521044623327</v>
      </c>
      <c r="DS6" s="59">
        <f t="shared" si="17"/>
        <v>264.48678543779567</v>
      </c>
      <c r="DT6" s="59">
        <f ca="1">AVERAGE(OFFSET($DS$3,0,0,'Données projet'!$E$14+1,1))-AVERAGE(OFFSET($H$3,0,0,'Données projet'!$E$14+1,1))</f>
        <v>458.14328535055694</v>
      </c>
      <c r="DU6" s="59">
        <f t="shared" si="44"/>
        <v>366.75500153675739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projet'!$B$14,Paramètres!$A$1:$I$88,3,0)*0.475*44/12</f>
        <v>0</v>
      </c>
      <c r="EB6" s="23">
        <f>EXP(-LN(2)/25)*EB5+(1-EXP(-LN(2)/25))/(LN(2)/25)*Calculateur!DW6*Calculateur!DY6*VLOOKUP('Données projet'!$B$14,Paramètres!$A$1:$I$88,3,0)*0.475*44/12</f>
        <v>0</v>
      </c>
      <c r="EC6" s="23">
        <f>EXP(-LN(2)/2)*EC5+(1-EXP(-LN(2)/2))/(LN(2)/2)*DW6*DZ6*VLOOKUP('Données projet'!$B$14,Paramètres!$A$1:$I$88,3,0)*0.475*44/12</f>
        <v>0</v>
      </c>
      <c r="ED6" s="24">
        <f t="shared" si="18"/>
        <v>0</v>
      </c>
      <c r="EE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3.1</v>
      </c>
      <c r="EJ6" s="13">
        <f>IF('Données projet'!$A$192&gt;35,EJ5+EI6-ER5,IF(A6&lt;'Données projet'!$A$192,$EG$205^A6,IF(A6='Données projet'!$A$192,'Données projet'!$B$192,EJ5+EI6-ER5)))</f>
        <v>1.5734331462265456</v>
      </c>
      <c r="EK6" s="18">
        <f>EJ6*VLOOKUP('Données projet'!$B$15,Paramètres!$A$1:$I$88,3,0)*VLOOKUP('Données projet'!$B$15,Paramètres!$A$1:$I$88,5,0)</f>
        <v>1.3500056394623763</v>
      </c>
      <c r="EL6" s="14">
        <f t="shared" si="45"/>
        <v>0.60078154824109631</v>
      </c>
      <c r="EM6" s="22">
        <f t="shared" si="19"/>
        <v>3.397621018583548</v>
      </c>
      <c r="EN6" s="59">
        <f t="shared" si="20"/>
        <v>263.73095435191686</v>
      </c>
      <c r="EO6" s="59">
        <f ca="1">AVERAGE(OFFSET($EN$3,0,0,'Données projet'!$E$15+1,1))-AVERAGE(OFFSET($H$3,0,0,'Données projet'!$E$15+1,1))</f>
        <v>462.99360395552145</v>
      </c>
      <c r="EP6" s="59">
        <f t="shared" si="46"/>
        <v>153.03880717786046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projet'!$B$15,Paramètres!$A$1:$I$88,3,0)*0.475*44/12</f>
        <v>0</v>
      </c>
      <c r="EW6" s="23">
        <f>EXP(-LN(2)/25)*EW5+(1-EXP(-LN(2)/25))/(LN(2)/25)*Calculateur!ER6*Calculateur!ET6*VLOOKUP('Données projet'!$B$15,Paramètres!$A$1:$I$88,3,0)*0.475*44/12</f>
        <v>0</v>
      </c>
      <c r="EX6" s="23">
        <f>EXP(-LN(2)/2)*EX5+(1-EXP(-LN(2)/2))/(LN(2)/2)*ER6*EU6*VLOOKUP('Données projet'!$B$15,Paramètres!$A$1:$I$88,3,0)*0.475*44/12</f>
        <v>0</v>
      </c>
      <c r="EY6" s="24">
        <f t="shared" si="21"/>
        <v>0</v>
      </c>
      <c r="EZ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1.3333333333333333</v>
      </c>
      <c r="FE6" s="13">
        <f>IF('Données projet'!$A$218&gt;35,FE5+FD6-FM5,IF(A6&lt;'Données projet'!$A$218,$FB$205^A6,IF(A6='Données projet'!$A$218,'Données projet'!$B$218,FE5+FD6-FM5)))</f>
        <v>1.8205642030260802</v>
      </c>
      <c r="FF6" s="18">
        <f>FE6*VLOOKUP('Données projet'!$B$16,Paramètres!$A$1:$I$88,3,0)*VLOOKUP('Données projet'!$B$16,Paramètres!$A$1:$I$88,5,0)</f>
        <v>1.5904448877635839</v>
      </c>
      <c r="FG6" s="14">
        <f t="shared" si="47"/>
        <v>0.69440673035155076</v>
      </c>
      <c r="FH6" s="22">
        <f t="shared" si="22"/>
        <v>3.979449901550526</v>
      </c>
      <c r="FI6" s="59">
        <f t="shared" si="23"/>
        <v>264.31278323488385</v>
      </c>
      <c r="FJ6" s="59">
        <f ca="1">AVERAGE(OFFSET($FI$3,0,0,'Données projet'!$E$16+1,1))-AVERAGE(OFFSET($H$3,0,0,'Données projet'!$E$16+1,1))</f>
        <v>427.76895185088944</v>
      </c>
      <c r="FK6" s="59">
        <f t="shared" si="48"/>
        <v>308.32543361559135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projet'!$B$16,Paramètres!$A$1:$I$88,3,0)*0.475*44/12</f>
        <v>0</v>
      </c>
      <c r="FR6" s="23">
        <f>EXP(-LN(2)/25)*FR5+(1-EXP(-LN(2)/25))/(LN(2)/25)*Calculateur!FM6*Calculateur!FO6*VLOOKUP('Données projet'!$B$16,Paramètres!$A$1:$I$88,3,0)*0.475*44/12</f>
        <v>0</v>
      </c>
      <c r="FS6" s="23">
        <f>EXP(-LN(2)/2)*FS5+(1-EXP(-LN(2)/2))/(LN(2)/2)*FM6*FP6*VLOOKUP('Données projet'!$B$16,Paramètres!$A$1:$I$88,3,0)*0.475*44/12</f>
        <v>0</v>
      </c>
      <c r="FT6" s="24">
        <f t="shared" si="24"/>
        <v>0</v>
      </c>
      <c r="FU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4.7</v>
      </c>
      <c r="FZ6" s="13">
        <f>IF('Données projet'!$A$244&gt;35,FZ5+FY6-GH5,IF(A6&lt;'Données projet'!$A$244,$FW$205^A6,IF(A6='Données projet'!$A$244,'Données projet'!$B$244,FZ5+FY6-GH5)))</f>
        <v>3.1741639680246583</v>
      </c>
      <c r="GA6" s="18">
        <f>FZ6*VLOOKUP('Données projet'!$B$17,Paramètres!$A$1:$I$88,3,0)*VLOOKUP('Données projet'!$B$17,Paramètres!$A$1:$I$88,5,0)</f>
        <v>1.9806783160473869</v>
      </c>
      <c r="GB6" s="14">
        <f t="shared" si="49"/>
        <v>0.84297921880914306</v>
      </c>
      <c r="GC6" s="22">
        <f t="shared" si="25"/>
        <v>4.9178702065417896</v>
      </c>
      <c r="GD6" s="59">
        <f t="shared" si="26"/>
        <v>265.25120353987512</v>
      </c>
      <c r="GE6" s="59">
        <f ca="1">AVERAGE(OFFSET($GD$3,0,0,'Données projet'!$E$17+1,1))-AVERAGE(OFFSET($H$3,0,0,'Données projet'!$E$17+1,1))</f>
        <v>247.85542034088905</v>
      </c>
      <c r="GF6" s="59">
        <f t="shared" si="50"/>
        <v>299.52241743660352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projet'!$B$17,Paramètres!$A$1:$I$88,3,0)*0.475*44/12</f>
        <v>0</v>
      </c>
      <c r="GM6" s="23">
        <f>EXP(-LN(2)/25)*GM5+(1-EXP(-LN(2)/25))/(LN(2)/25)*Calculateur!GH6*Calculateur!GJ6*VLOOKUP('Données projet'!$B$17,Paramètres!$A$1:$I$88,3,0)*0.475*44/12</f>
        <v>0</v>
      </c>
      <c r="GN6" s="23">
        <f>EXP(-LN(2)/2)*GN5+(1-EXP(-LN(2)/2))/(LN(2)/2)*GH6*GK6*VLOOKUP('Données projet'!$B$17,Paramètres!$A$1:$I$88,3,0)*0.475*44/12</f>
        <v>0</v>
      </c>
      <c r="GO6" s="23">
        <f t="shared" si="27"/>
        <v>0</v>
      </c>
      <c r="GP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3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6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</v>
      </c>
      <c r="N7" s="14">
        <f>IF('Données projet'!$A$36&gt;35,N6+M7-V6,IF(A7&lt;'Données projet'!$A$36,$K$205^A7,IF(A7='Données projet'!$A$36,'Données projet'!$B$36,N6+M7-V6)))</f>
        <v>12</v>
      </c>
      <c r="O7" s="14">
        <f>N7*VLOOKUP('Données projet'!$B$9,Paramètres!$A$1:$I$88,3,0)*VLOOKUP('Données projet'!$B$9,Paramètres!$A$1:$I$88,5,0)</f>
        <v>10.8576</v>
      </c>
      <c r="P7" s="14">
        <f t="shared" si="33"/>
        <v>3.7907617001683773</v>
      </c>
      <c r="Q7" s="22">
        <f t="shared" si="2"/>
        <v>25.512563294459923</v>
      </c>
      <c r="R7" s="59">
        <f t="shared" si="0"/>
        <v>287.06811885001548</v>
      </c>
      <c r="S7" s="59">
        <f ca="1">AVERAGE(OFFSET($R$3,0,0,'Données projet'!$E$9+1,1))-AVERAGE(OFFSET($H$3,0,0,'Données projet'!$E$9+1,1))</f>
        <v>247.57967230773539</v>
      </c>
      <c r="T7" s="59">
        <f t="shared" si="34"/>
        <v>156.58857589533295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2.9333333333333331</v>
      </c>
      <c r="AI7" s="14">
        <f>IF('Données projet'!$A$62&gt;35,AI6+AH7-AQ6,IF(A7&lt;'Données projet'!$A$62,$AF$205^A7,IF(A7='Données projet'!$A$62,'Données projet'!$B$62,AI6+AH7-AQ6)))</f>
        <v>2.7431783659618496</v>
      </c>
      <c r="AJ7" s="14">
        <f>AI7*VLOOKUP('Données projet'!$B$10,Paramètres!$A$1:$I$88,3,0)*VLOOKUP('Données projet'!$B$10,Paramètres!$A$1:$I$88,5,0)</f>
        <v>2.1824727079592479</v>
      </c>
      <c r="AK7" s="14">
        <f t="shared" si="35"/>
        <v>0.91843250026612888</v>
      </c>
      <c r="AL7" s="22">
        <f t="shared" si="4"/>
        <v>5.4007432376591966</v>
      </c>
      <c r="AM7" s="59">
        <f t="shared" si="5"/>
        <v>266.95629879321473</v>
      </c>
      <c r="AN7" s="59">
        <f ca="1">AVERAGE(OFFSET($AM$3,0,0,'Données projet'!$E$10+1,1))-AVERAGE(OFFSET($H$3,0,0,'Données projet'!$E$10+1,1))</f>
        <v>504.15006129790828</v>
      </c>
      <c r="AO7" s="59">
        <f t="shared" si="36"/>
        <v>374.39334457402742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2.9333333333333331</v>
      </c>
      <c r="BD7" s="13">
        <f>IF('Données projet'!$A$88&gt;35,BD6+BC7-BL6,IF(A7&lt;'Données projet'!$A$88,$BA$205^A7,IF(A7='Données projet'!$A$88,'Données projet'!$B$88,BD6+BC7-BL6)))</f>
        <v>2.7431783659618496</v>
      </c>
      <c r="BE7" s="14">
        <f>BD7*VLOOKUP('Données projet'!$B$11,Paramètres!$A$1:$I$88,3,0)*VLOOKUP('Données projet'!$B$11,Paramètres!$A$1:$I$88,5,0)</f>
        <v>2.1824727079592479</v>
      </c>
      <c r="BF7" s="14">
        <f t="shared" si="37"/>
        <v>0.91843250026612888</v>
      </c>
      <c r="BG7" s="22">
        <f t="shared" si="7"/>
        <v>5.4007432376591966</v>
      </c>
      <c r="BH7" s="59">
        <f t="shared" si="8"/>
        <v>266.95629879321473</v>
      </c>
      <c r="BI7" s="59">
        <f ca="1">AVERAGE(OFFSET($BH$3,0,0,'Données projet'!$E$11+1,1))-AVERAGE(OFFSET($H$3,0,0,'Données projet'!$E$11+1,1))</f>
        <v>504.15006129790828</v>
      </c>
      <c r="BJ7" s="59">
        <f t="shared" si="38"/>
        <v>374.39334457402742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2.9333333333333331</v>
      </c>
      <c r="BY7" s="13">
        <f>IF('Données projet'!$A$114&gt;35,BY6+BX7-CG6,IF(A7&lt;'Données projet'!$A$114,$BV$205^A7,IF(A7='Données projet'!$A$114,'Données projet'!$B$114,BY6+BX7-CG6)))</f>
        <v>2.7431783659618496</v>
      </c>
      <c r="BZ7" s="14">
        <f>BY7*VLOOKUP('Données projet'!$B$12,Paramètres!$A$1:$I$88,3,0)*VLOOKUP('Données projet'!$B$12,Paramètres!$A$1:$I$88,5,0)</f>
        <v>1.8401240478872085</v>
      </c>
      <c r="CA7" s="14">
        <f t="shared" si="39"/>
        <v>0.78989790743195498</v>
      </c>
      <c r="CB7" s="22">
        <f t="shared" si="10"/>
        <v>4.5806215721808767</v>
      </c>
      <c r="CC7" s="59">
        <f t="shared" si="11"/>
        <v>266.1361771277364</v>
      </c>
      <c r="CD7" s="59">
        <f ca="1">AVERAGE(OFFSET($CC$3,0,0,'Données projet'!$E$12+1,1))-AVERAGE(OFFSET($H$3,0,0,'Données projet'!$E$12+1,1))</f>
        <v>387.15063677712425</v>
      </c>
      <c r="CE7" s="59">
        <f t="shared" si="40"/>
        <v>313.19155394370705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</v>
      </c>
      <c r="CT7" s="13">
        <f>IF('Données projet'!$A$140&gt;35,CT6+CS7-DB6,IF(A7&lt;'Données projet'!$A$140,$CQ$205^A7,IF(A7='Données projet'!$A$140,'Données projet'!$B$140,CT6+CS7-DB6)))</f>
        <v>12</v>
      </c>
      <c r="CU7" s="18">
        <f>CT7*VLOOKUP('Données projet'!$B$13,Paramètres!$A$1:$I$88,3,0)*VLOOKUP('Données projet'!$B$13,Paramètres!$A$1:$I$88,5,0)</f>
        <v>11.606399999999999</v>
      </c>
      <c r="CV7" s="14">
        <f t="shared" si="41"/>
        <v>4.0208586474098684</v>
      </c>
      <c r="CW7" s="22">
        <f t="shared" si="13"/>
        <v>27.217475477572183</v>
      </c>
      <c r="CX7" s="59">
        <f t="shared" si="14"/>
        <v>288.77303103312772</v>
      </c>
      <c r="CY7" s="59">
        <f ca="1">AVERAGE(OFFSET($CX$3,0,0,'Données projet'!$E$13+1,1))-AVERAGE(OFFSET($H$3,0,0,'Données projet'!$E$13+1,1))</f>
        <v>306.00894145276209</v>
      </c>
      <c r="CZ7" s="59">
        <f t="shared" si="42"/>
        <v>168.74705421228828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2.9333333333333331</v>
      </c>
      <c r="DO7" s="13">
        <f>IF('Données projet'!$A$166&gt;35,DO6+DN7-DW6,IF(A7&lt;'Données projet'!$A$166,$DL$205^A7,IF(A7='Données projet'!$A$166,'Données projet'!$B$166,DO6+DN7-DW6)))</f>
        <v>2.7431783659618496</v>
      </c>
      <c r="DP7" s="18">
        <f>DO7*VLOOKUP('Données projet'!$B$14,Paramètres!$A$1:$I$88,3,0)*VLOOKUP('Données projet'!$B$14,Paramètres!$A$1:$I$88,5,0)</f>
        <v>2.1396791254502427</v>
      </c>
      <c r="DQ7" s="14">
        <f t="shared" si="43"/>
        <v>0.90250191436125871</v>
      </c>
      <c r="DR7" s="22">
        <f t="shared" si="16"/>
        <v>5.2984653110050317</v>
      </c>
      <c r="DS7" s="59">
        <f t="shared" si="17"/>
        <v>266.85402086656057</v>
      </c>
      <c r="DT7" s="59">
        <f ca="1">AVERAGE(OFFSET($DS$3,0,0,'Données projet'!$E$14+1,1))-AVERAGE(OFFSET($H$3,0,0,'Données projet'!$E$14+1,1))</f>
        <v>458.14328535055694</v>
      </c>
      <c r="DU7" s="59">
        <f t="shared" si="44"/>
        <v>366.75500153675739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projet'!$B$14,Paramètres!$A$1:$I$88,3,0)*0.475*44/12</f>
        <v>0</v>
      </c>
      <c r="EB7" s="23">
        <f>EXP(-LN(2)/25)*EB6+(1-EXP(-LN(2)/25))/(LN(2)/25)*Calculateur!DW7*Calculateur!DY7*VLOOKUP('Données projet'!$B$14,Paramètres!$A$1:$I$88,3,0)*0.475*44/12</f>
        <v>0</v>
      </c>
      <c r="EC7" s="23">
        <f>EXP(-LN(2)/2)*EC6+(1-EXP(-LN(2)/2))/(LN(2)/2)*DW7*DZ7*VLOOKUP('Données projet'!$B$14,Paramètres!$A$1:$I$88,3,0)*0.475*44/12</f>
        <v>0</v>
      </c>
      <c r="ED7" s="24">
        <f t="shared" si="18"/>
        <v>0</v>
      </c>
      <c r="EE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3.1</v>
      </c>
      <c r="EJ7" s="13">
        <f>IF('Données projet'!$A$192&gt;35,EJ6+EI7-ER6,IF(A7&lt;'Données projet'!$A$192,$EG$205^A7,IF(A7='Données projet'!$A$192,'Données projet'!$B$192,EJ6+EI7-ER6)))</f>
        <v>1.8300560578463854</v>
      </c>
      <c r="EK7" s="18">
        <f>EJ7*VLOOKUP('Données projet'!$B$15,Paramètres!$A$1:$I$88,3,0)*VLOOKUP('Données projet'!$B$15,Paramètres!$A$1:$I$88,5,0)</f>
        <v>1.5701880976321987</v>
      </c>
      <c r="EL7" s="14">
        <f t="shared" si="45"/>
        <v>0.68658604205195095</v>
      </c>
      <c r="EM7" s="22">
        <f t="shared" si="19"/>
        <v>3.930548293283227</v>
      </c>
      <c r="EN7" s="59">
        <f t="shared" si="20"/>
        <v>265.48610384883875</v>
      </c>
      <c r="EO7" s="59">
        <f ca="1">AVERAGE(OFFSET($EN$3,0,0,'Données projet'!$E$15+1,1))-AVERAGE(OFFSET($H$3,0,0,'Données projet'!$E$15+1,1))</f>
        <v>462.99360395552145</v>
      </c>
      <c r="EP7" s="59">
        <f t="shared" si="46"/>
        <v>153.03880717786046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projet'!$B$15,Paramètres!$A$1:$I$88,3,0)*0.475*44/12</f>
        <v>0</v>
      </c>
      <c r="EW7" s="23">
        <f>EXP(-LN(2)/25)*EW6+(1-EXP(-LN(2)/25))/(LN(2)/25)*Calculateur!ER7*Calculateur!ET7*VLOOKUP('Données projet'!$B$15,Paramètres!$A$1:$I$88,3,0)*0.475*44/12</f>
        <v>0</v>
      </c>
      <c r="EX7" s="23">
        <f>EXP(-LN(2)/2)*EX6+(1-EXP(-LN(2)/2))/(LN(2)/2)*ER7*EU7*VLOOKUP('Données projet'!$B$15,Paramètres!$A$1:$I$88,3,0)*0.475*44/12</f>
        <v>0</v>
      </c>
      <c r="EY7" s="24">
        <f t="shared" si="21"/>
        <v>0</v>
      </c>
      <c r="EZ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1.3333333333333333</v>
      </c>
      <c r="FE7" s="13">
        <f>IF('Données projet'!$A$218&gt;35,FE6+FD7-FM6,IF(A7&lt;'Données projet'!$A$218,$FB$205^A7,IF(A7='Données projet'!$A$218,'Données projet'!$B$218,FE6+FD7-FM6)))</f>
        <v>2.2230095692182839</v>
      </c>
      <c r="FF7" s="18">
        <f>FE7*VLOOKUP('Données projet'!$B$16,Paramètres!$A$1:$I$88,3,0)*VLOOKUP('Données projet'!$B$16,Paramètres!$A$1:$I$88,5,0)</f>
        <v>1.9420211596690931</v>
      </c>
      <c r="FG7" s="14">
        <f t="shared" si="47"/>
        <v>0.82842512456432593</v>
      </c>
      <c r="FH7" s="22">
        <f t="shared" si="22"/>
        <v>4.8251939450398709</v>
      </c>
      <c r="FI7" s="59">
        <f t="shared" si="23"/>
        <v>266.38074950059541</v>
      </c>
      <c r="FJ7" s="59">
        <f ca="1">AVERAGE(OFFSET($FI$3,0,0,'Données projet'!$E$16+1,1))-AVERAGE(OFFSET($H$3,0,0,'Données projet'!$E$16+1,1))</f>
        <v>427.76895185088944</v>
      </c>
      <c r="FK7" s="59">
        <f t="shared" si="48"/>
        <v>308.32543361559135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projet'!$B$16,Paramètres!$A$1:$I$88,3,0)*0.475*44/12</f>
        <v>0</v>
      </c>
      <c r="FR7" s="23">
        <f>EXP(-LN(2)/25)*FR6+(1-EXP(-LN(2)/25))/(LN(2)/25)*Calculateur!FM7*Calculateur!FO7*VLOOKUP('Données projet'!$B$16,Paramètres!$A$1:$I$88,3,0)*0.475*44/12</f>
        <v>0</v>
      </c>
      <c r="FS7" s="23">
        <f>EXP(-LN(2)/2)*FS6+(1-EXP(-LN(2)/2))/(LN(2)/2)*FM7*FP7*VLOOKUP('Données projet'!$B$16,Paramètres!$A$1:$I$88,3,0)*0.475*44/12</f>
        <v>0</v>
      </c>
      <c r="FT7" s="24">
        <f t="shared" si="24"/>
        <v>0</v>
      </c>
      <c r="FU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4.7</v>
      </c>
      <c r="FZ7" s="13">
        <f>IF('Données projet'!$A$244&gt;35,FZ6+FY7-GH6,IF(A7&lt;'Données projet'!$A$244,$FW$205^A7,IF(A7='Données projet'!$A$244,'Données projet'!$B$244,FZ6+FY7-GH6)))</f>
        <v>4.664865679718492</v>
      </c>
      <c r="GA7" s="18">
        <f>FZ7*VLOOKUP('Données projet'!$B$17,Paramètres!$A$1:$I$88,3,0)*VLOOKUP('Données projet'!$B$17,Paramètres!$A$1:$I$88,5,0)</f>
        <v>2.9108761841443394</v>
      </c>
      <c r="GB7" s="14">
        <f t="shared" si="49"/>
        <v>1.1845773796514742</v>
      </c>
      <c r="GC7" s="22">
        <f t="shared" si="25"/>
        <v>7.1329149569443757</v>
      </c>
      <c r="GD7" s="59">
        <f t="shared" si="26"/>
        <v>268.68847051249992</v>
      </c>
      <c r="GE7" s="59">
        <f ca="1">AVERAGE(OFFSET($GD$3,0,0,'Données projet'!$E$17+1,1))-AVERAGE(OFFSET($H$3,0,0,'Données projet'!$E$17+1,1))</f>
        <v>247.85542034088905</v>
      </c>
      <c r="GF7" s="59">
        <f t="shared" si="50"/>
        <v>299.52241743660352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projet'!$B$17,Paramètres!$A$1:$I$88,3,0)*0.475*44/12</f>
        <v>0</v>
      </c>
      <c r="GM7" s="23">
        <f>EXP(-LN(2)/25)*GM6+(1-EXP(-LN(2)/25))/(LN(2)/25)*Calculateur!GH7*Calculateur!GJ7*VLOOKUP('Données projet'!$B$17,Paramètres!$A$1:$I$88,3,0)*0.475*44/12</f>
        <v>0</v>
      </c>
      <c r="GN7" s="23">
        <f>EXP(-LN(2)/2)*GN6+(1-EXP(-LN(2)/2))/(LN(2)/2)*GH7*GK7*VLOOKUP('Données projet'!$B$17,Paramètres!$A$1:$I$88,3,0)*0.475*44/12</f>
        <v>0</v>
      </c>
      <c r="GO7" s="23">
        <f t="shared" si="27"/>
        <v>0</v>
      </c>
      <c r="GP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3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6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</v>
      </c>
      <c r="N8" s="14">
        <f>IF('Données projet'!$A$36&gt;35,N7+M8-V7,IF(A8&lt;'Données projet'!$A$36,$K$205^A8,IF(A8='Données projet'!$A$36,'Données projet'!$B$36,N7+M8-V7)))</f>
        <v>15</v>
      </c>
      <c r="O8" s="14">
        <f>N8*VLOOKUP('Données projet'!$B$9,Paramètres!$A$1:$I$88,3,0)*VLOOKUP('Données projet'!$B$9,Paramètres!$A$1:$I$88,5,0)</f>
        <v>13.571999999999999</v>
      </c>
      <c r="P8" s="14">
        <f t="shared" si="33"/>
        <v>4.6169606338501863</v>
      </c>
      <c r="Q8" s="22">
        <f t="shared" si="2"/>
        <v>31.679106437289075</v>
      </c>
      <c r="R8" s="59">
        <f t="shared" si="0"/>
        <v>294.45688421506685</v>
      </c>
      <c r="S8" s="59">
        <f ca="1">AVERAGE(OFFSET($R$3,0,0,'Données projet'!$E$9+1,1))-AVERAGE(OFFSET($H$3,0,0,'Données projet'!$E$9+1,1))</f>
        <v>247.57967230773539</v>
      </c>
      <c r="T8" s="59">
        <f t="shared" si="34"/>
        <v>156.58857589533295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2.9333333333333331</v>
      </c>
      <c r="AI8" s="14">
        <f>IF('Données projet'!$A$62&gt;35,AI7+AH8-AQ7,IF(A8&lt;'Données projet'!$A$62,$AF$205^A8,IF(A8='Données projet'!$A$62,'Données projet'!$B$62,AI7+AH8-AQ7)))</f>
        <v>3.5303483353260625</v>
      </c>
      <c r="AJ8" s="14">
        <f>AI8*VLOOKUP('Données projet'!$B$10,Paramètres!$A$1:$I$88,3,0)*VLOOKUP('Données projet'!$B$10,Paramètres!$A$1:$I$88,5,0)</f>
        <v>2.8087451355854154</v>
      </c>
      <c r="AK8" s="14">
        <f t="shared" si="35"/>
        <v>1.1477771183231793</v>
      </c>
      <c r="AL8" s="22">
        <f t="shared" si="4"/>
        <v>6.8909429255574688</v>
      </c>
      <c r="AM8" s="59">
        <f t="shared" si="5"/>
        <v>269.66872070333523</v>
      </c>
      <c r="AN8" s="59">
        <f ca="1">AVERAGE(OFFSET($AM$3,0,0,'Données projet'!$E$10+1,1))-AVERAGE(OFFSET($H$3,0,0,'Données projet'!$E$10+1,1))</f>
        <v>504.15006129790828</v>
      </c>
      <c r="AO8" s="59">
        <f t="shared" si="36"/>
        <v>374.39334457402742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2.9333333333333331</v>
      </c>
      <c r="BD8" s="13">
        <f>IF('Données projet'!$A$88&gt;35,BD7+BC8-BL7,IF(A8&lt;'Données projet'!$A$88,$BA$205^A8,IF(A8='Données projet'!$A$88,'Données projet'!$B$88,BD7+BC8-BL7)))</f>
        <v>3.5303483353260625</v>
      </c>
      <c r="BE8" s="14">
        <f>BD8*VLOOKUP('Données projet'!$B$11,Paramètres!$A$1:$I$88,3,0)*VLOOKUP('Données projet'!$B$11,Paramètres!$A$1:$I$88,5,0)</f>
        <v>2.8087451355854154</v>
      </c>
      <c r="BF8" s="14">
        <f t="shared" si="37"/>
        <v>1.1477771183231793</v>
      </c>
      <c r="BG8" s="22">
        <f t="shared" si="7"/>
        <v>6.8909429255574688</v>
      </c>
      <c r="BH8" s="59">
        <f t="shared" si="8"/>
        <v>269.66872070333523</v>
      </c>
      <c r="BI8" s="59">
        <f ca="1">AVERAGE(OFFSET($BH$3,0,0,'Données projet'!$E$11+1,1))-AVERAGE(OFFSET($H$3,0,0,'Données projet'!$E$11+1,1))</f>
        <v>504.15006129790828</v>
      </c>
      <c r="BJ8" s="59">
        <f t="shared" si="38"/>
        <v>374.39334457402742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2.9333333333333331</v>
      </c>
      <c r="BY8" s="13">
        <f>IF('Données projet'!$A$114&gt;35,BY7+BX8-CG7,IF(A8&lt;'Données projet'!$A$114,$BV$205^A8,IF(A8='Données projet'!$A$114,'Données projet'!$B$114,BY7+BX8-CG7)))</f>
        <v>3.5303483353260625</v>
      </c>
      <c r="BZ8" s="14">
        <f>BY8*VLOOKUP('Données projet'!$B$12,Paramètres!$A$1:$I$88,3,0)*VLOOKUP('Données projet'!$B$12,Paramètres!$A$1:$I$88,5,0)</f>
        <v>2.3681576633367225</v>
      </c>
      <c r="CA8" s="14">
        <f t="shared" si="39"/>
        <v>0.98714575507623148</v>
      </c>
      <c r="CB8" s="22">
        <f t="shared" si="10"/>
        <v>5.8438201204025617</v>
      </c>
      <c r="CC8" s="59">
        <f t="shared" si="11"/>
        <v>268.62159789818031</v>
      </c>
      <c r="CD8" s="59">
        <f ca="1">AVERAGE(OFFSET($CC$3,0,0,'Données projet'!$E$12+1,1))-AVERAGE(OFFSET($H$3,0,0,'Données projet'!$E$12+1,1))</f>
        <v>387.15063677712425</v>
      </c>
      <c r="CE8" s="59">
        <f t="shared" si="40"/>
        <v>313.19155394370705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</v>
      </c>
      <c r="CT8" s="13">
        <f>IF('Données projet'!$A$140&gt;35,CT7+CS8-DB7,IF(A8&lt;'Données projet'!$A$140,$CQ$205^A8,IF(A8='Données projet'!$A$140,'Données projet'!$B$140,CT7+CS8-DB7)))</f>
        <v>15</v>
      </c>
      <c r="CU8" s="18">
        <f>CT8*VLOOKUP('Données projet'!$B$13,Paramètres!$A$1:$I$88,3,0)*VLOOKUP('Données projet'!$B$13,Paramètres!$A$1:$I$88,5,0)</f>
        <v>14.508000000000001</v>
      </c>
      <c r="CV8" s="14">
        <f t="shared" si="41"/>
        <v>4.8972073577041</v>
      </c>
      <c r="CW8" s="22">
        <f t="shared" si="13"/>
        <v>33.797402814667969</v>
      </c>
      <c r="CX8" s="59">
        <f t="shared" si="14"/>
        <v>296.57518059244575</v>
      </c>
      <c r="CY8" s="59">
        <f ca="1">AVERAGE(OFFSET($CX$3,0,0,'Données projet'!$E$13+1,1))-AVERAGE(OFFSET($H$3,0,0,'Données projet'!$E$13+1,1))</f>
        <v>306.00894145276209</v>
      </c>
      <c r="CZ8" s="59">
        <f t="shared" si="42"/>
        <v>168.74705421228828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2.9333333333333331</v>
      </c>
      <c r="DO8" s="13">
        <f>IF('Données projet'!$A$166&gt;35,DO7+DN8-DW7,IF(A8&lt;'Données projet'!$A$166,$DL$205^A8,IF(A8='Données projet'!$A$166,'Données projet'!$B$166,DO7+DN8-DW7)))</f>
        <v>3.5303483353260625</v>
      </c>
      <c r="DP8" s="18">
        <f>DO8*VLOOKUP('Données projet'!$B$14,Paramètres!$A$1:$I$88,3,0)*VLOOKUP('Données projet'!$B$14,Paramètres!$A$1:$I$88,5,0)</f>
        <v>2.7536717015543291</v>
      </c>
      <c r="DQ8" s="14">
        <f t="shared" si="43"/>
        <v>1.1278684565785295</v>
      </c>
      <c r="DR8" s="22">
        <f t="shared" si="16"/>
        <v>6.7603491087480618</v>
      </c>
      <c r="DS8" s="59">
        <f t="shared" si="17"/>
        <v>269.53812688652584</v>
      </c>
      <c r="DT8" s="59">
        <f ca="1">AVERAGE(OFFSET($DS$3,0,0,'Données projet'!$E$14+1,1))-AVERAGE(OFFSET($H$3,0,0,'Données projet'!$E$14+1,1))</f>
        <v>458.14328535055694</v>
      </c>
      <c r="DU8" s="59">
        <f t="shared" si="44"/>
        <v>366.75500153675739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projet'!$B$14,Paramètres!$A$1:$I$88,3,0)*0.475*44/12</f>
        <v>0</v>
      </c>
      <c r="EB8" s="23">
        <f>EXP(-LN(2)/25)*EB7+(1-EXP(-LN(2)/25))/(LN(2)/25)*Calculateur!DW8*Calculateur!DY8*VLOOKUP('Données projet'!$B$14,Paramètres!$A$1:$I$88,3,0)*0.475*44/12</f>
        <v>0</v>
      </c>
      <c r="EC8" s="23">
        <f>EXP(-LN(2)/2)*EC7+(1-EXP(-LN(2)/2))/(LN(2)/2)*DW8*DZ8*VLOOKUP('Données projet'!$B$14,Paramètres!$A$1:$I$88,3,0)*0.475*44/12</f>
        <v>0</v>
      </c>
      <c r="ED8" s="24">
        <f t="shared" si="18"/>
        <v>0</v>
      </c>
      <c r="EE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3.1</v>
      </c>
      <c r="EJ8" s="13">
        <f>IF('Données projet'!$A$192&gt;35,EJ7+EI8-ER7,IF(A8&lt;'Données projet'!$A$192,$EG$205^A8,IF(A8='Données projet'!$A$192,'Données projet'!$B$192,EJ7+EI8-ER7)))</f>
        <v>2.1285335083299701</v>
      </c>
      <c r="EK8" s="18">
        <f>EJ8*VLOOKUP('Données projet'!$B$15,Paramètres!$A$1:$I$88,3,0)*VLOOKUP('Données projet'!$B$15,Paramètres!$A$1:$I$88,5,0)</f>
        <v>1.8262817501471147</v>
      </c>
      <c r="EL8" s="14">
        <f t="shared" si="45"/>
        <v>0.78464525836500609</v>
      </c>
      <c r="EM8" s="22">
        <f t="shared" si="19"/>
        <v>4.5473645398252769</v>
      </c>
      <c r="EN8" s="59">
        <f t="shared" si="20"/>
        <v>267.32514231760302</v>
      </c>
      <c r="EO8" s="59">
        <f ca="1">AVERAGE(OFFSET($EN$3,0,0,'Données projet'!$E$15+1,1))-AVERAGE(OFFSET($H$3,0,0,'Données projet'!$E$15+1,1))</f>
        <v>462.99360395552145</v>
      </c>
      <c r="EP8" s="59">
        <f t="shared" si="46"/>
        <v>153.03880717786046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projet'!$B$15,Paramètres!$A$1:$I$88,3,0)*0.475*44/12</f>
        <v>0</v>
      </c>
      <c r="EW8" s="23">
        <f>EXP(-LN(2)/25)*EW7+(1-EXP(-LN(2)/25))/(LN(2)/25)*Calculateur!ER8*Calculateur!ET8*VLOOKUP('Données projet'!$B$15,Paramètres!$A$1:$I$88,3,0)*0.475*44/12</f>
        <v>0</v>
      </c>
      <c r="EX8" s="23">
        <f>EXP(-LN(2)/2)*EX7+(1-EXP(-LN(2)/2))/(LN(2)/2)*ER8*EU8*VLOOKUP('Données projet'!$B$15,Paramètres!$A$1:$I$88,3,0)*0.475*44/12</f>
        <v>0</v>
      </c>
      <c r="EY8" s="24">
        <f t="shared" si="21"/>
        <v>0</v>
      </c>
      <c r="EZ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1.3333333333333333</v>
      </c>
      <c r="FE8" s="13">
        <f>IF('Données projet'!$A$218&gt;35,FE7+FD8-FM7,IF(A8&lt;'Données projet'!$A$218,$FB$205^A8,IF(A8='Données projet'!$A$218,'Données projet'!$B$218,FE7+FD8-FM7)))</f>
        <v>2.7144176165949068</v>
      </c>
      <c r="FF8" s="18">
        <f>FE8*VLOOKUP('Données projet'!$B$16,Paramètres!$A$1:$I$88,3,0)*VLOOKUP('Données projet'!$B$16,Paramètres!$A$1:$I$88,5,0)</f>
        <v>2.371315229857311</v>
      </c>
      <c r="FG8" s="14">
        <f t="shared" si="47"/>
        <v>0.98830866265074668</v>
      </c>
      <c r="FH8" s="22">
        <f t="shared" si="22"/>
        <v>5.8513449461181999</v>
      </c>
      <c r="FI8" s="59">
        <f t="shared" si="23"/>
        <v>268.62912272389599</v>
      </c>
      <c r="FJ8" s="59">
        <f ca="1">AVERAGE(OFFSET($FI$3,0,0,'Données projet'!$E$16+1,1))-AVERAGE(OFFSET($H$3,0,0,'Données projet'!$E$16+1,1))</f>
        <v>427.76895185088944</v>
      </c>
      <c r="FK8" s="59">
        <f t="shared" si="48"/>
        <v>308.32543361559135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projet'!$B$16,Paramètres!$A$1:$I$88,3,0)*0.475*44/12</f>
        <v>0</v>
      </c>
      <c r="FR8" s="23">
        <f>EXP(-LN(2)/25)*FR7+(1-EXP(-LN(2)/25))/(LN(2)/25)*Calculateur!FM8*Calculateur!FO8*VLOOKUP('Données projet'!$B$16,Paramètres!$A$1:$I$88,3,0)*0.475*44/12</f>
        <v>0</v>
      </c>
      <c r="FS8" s="23">
        <f>EXP(-LN(2)/2)*FS7+(1-EXP(-LN(2)/2))/(LN(2)/2)*FM8*FP8*VLOOKUP('Données projet'!$B$16,Paramètres!$A$1:$I$88,3,0)*0.475*44/12</f>
        <v>0</v>
      </c>
      <c r="FT8" s="24">
        <f t="shared" si="24"/>
        <v>0</v>
      </c>
      <c r="FU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4.7</v>
      </c>
      <c r="FZ8" s="13">
        <f>IF('Données projet'!$A$244&gt;35,FZ7+FY8-GH7,IF(A8&lt;'Données projet'!$A$244,$FW$205^A8,IF(A8='Données projet'!$A$244,'Données projet'!$B$244,FZ7+FY8-GH7)))</f>
        <v>6.8556546004010404</v>
      </c>
      <c r="GA8" s="18">
        <f>FZ8*VLOOKUP('Données projet'!$B$17,Paramètres!$A$1:$I$88,3,0)*VLOOKUP('Données projet'!$B$17,Paramètres!$A$1:$I$88,5,0)</f>
        <v>4.2779284706502487</v>
      </c>
      <c r="GB8" s="14">
        <f t="shared" si="49"/>
        <v>1.6646004279491653</v>
      </c>
      <c r="GC8" s="22">
        <f t="shared" si="25"/>
        <v>10.349904498393979</v>
      </c>
      <c r="GD8" s="59">
        <f t="shared" si="26"/>
        <v>273.12768227617175</v>
      </c>
      <c r="GE8" s="59">
        <f ca="1">AVERAGE(OFFSET($GD$3,0,0,'Données projet'!$E$17+1,1))-AVERAGE(OFFSET($H$3,0,0,'Données projet'!$E$17+1,1))</f>
        <v>247.85542034088905</v>
      </c>
      <c r="GF8" s="59">
        <f t="shared" si="50"/>
        <v>299.52241743660352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projet'!$B$17,Paramètres!$A$1:$I$88,3,0)*0.475*44/12</f>
        <v>0</v>
      </c>
      <c r="GM8" s="23">
        <f>EXP(-LN(2)/25)*GM7+(1-EXP(-LN(2)/25))/(LN(2)/25)*Calculateur!GH8*Calculateur!GJ8*VLOOKUP('Données projet'!$B$17,Paramètres!$A$1:$I$88,3,0)*0.475*44/12</f>
        <v>0</v>
      </c>
      <c r="GN8" s="23">
        <f>EXP(-LN(2)/2)*GN7+(1-EXP(-LN(2)/2))/(LN(2)/2)*GH8*GK8*VLOOKUP('Données projet'!$B$17,Paramètres!$A$1:$I$88,3,0)*0.475*44/12</f>
        <v>0</v>
      </c>
      <c r="GO8" s="23">
        <f t="shared" si="27"/>
        <v>0</v>
      </c>
      <c r="GP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3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6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</v>
      </c>
      <c r="N9" s="14">
        <f>IF('Données projet'!$A$36&gt;35,N8+M9-V8,IF(A9&lt;'Données projet'!$A$36,$K$205^A9,IF(A9='Données projet'!$A$36,'Données projet'!$B$36,N8+M9-V8)))</f>
        <v>18</v>
      </c>
      <c r="O9" s="14">
        <f>N9*VLOOKUP('Données projet'!$B$9,Paramètres!$A$1:$I$88,3,0)*VLOOKUP('Données projet'!$B$9,Paramètres!$A$1:$I$88,5,0)</f>
        <v>16.2864</v>
      </c>
      <c r="P9" s="14">
        <f t="shared" si="33"/>
        <v>5.4240129855342607</v>
      </c>
      <c r="Q9" s="22">
        <f t="shared" si="2"/>
        <v>37.812302616472174</v>
      </c>
      <c r="R9" s="59">
        <f t="shared" si="0"/>
        <v>301.81230261647215</v>
      </c>
      <c r="S9" s="59">
        <f ca="1">AVERAGE(OFFSET($R$3,0,0,'Données projet'!$E$9+1,1))-AVERAGE(OFFSET($H$3,0,0,'Données projet'!$E$9+1,1))</f>
        <v>247.57967230773539</v>
      </c>
      <c r="T9" s="59">
        <f t="shared" si="34"/>
        <v>156.58857589533295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2.9333333333333331</v>
      </c>
      <c r="AI9" s="14">
        <f>IF('Données projet'!$A$62&gt;35,AI8+AH9-AQ8,IF(A9&lt;'Données projet'!$A$62,$AF$205^A9,IF(A9='Données projet'!$A$62,'Données projet'!$B$62,AI8+AH9-AQ8)))</f>
        <v>4.5434010137249796</v>
      </c>
      <c r="AJ9" s="14">
        <f>AI9*VLOOKUP('Données projet'!$B$10,Paramètres!$A$1:$I$88,3,0)*VLOOKUP('Données projet'!$B$10,Paramètres!$A$1:$I$88,5,0)</f>
        <v>3.6147298465195941</v>
      </c>
      <c r="AK9" s="14">
        <f t="shared" si="35"/>
        <v>1.4343920897447868</v>
      </c>
      <c r="AL9" s="22">
        <f t="shared" si="4"/>
        <v>8.7938873723271289</v>
      </c>
      <c r="AM9" s="59">
        <f t="shared" si="5"/>
        <v>272.79388737232711</v>
      </c>
      <c r="AN9" s="59">
        <f ca="1">AVERAGE(OFFSET($AM$3,0,0,'Données projet'!$E$10+1,1))-AVERAGE(OFFSET($H$3,0,0,'Données projet'!$E$10+1,1))</f>
        <v>504.15006129790828</v>
      </c>
      <c r="AO9" s="59">
        <f t="shared" si="36"/>
        <v>374.39334457402742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2.9333333333333331</v>
      </c>
      <c r="BD9" s="13">
        <f>IF('Données projet'!$A$88&gt;35,BD8+BC9-BL8,IF(A9&lt;'Données projet'!$A$88,$BA$205^A9,IF(A9='Données projet'!$A$88,'Données projet'!$B$88,BD8+BC9-BL8)))</f>
        <v>4.5434010137249796</v>
      </c>
      <c r="BE9" s="14">
        <f>BD9*VLOOKUP('Données projet'!$B$11,Paramètres!$A$1:$I$88,3,0)*VLOOKUP('Données projet'!$B$11,Paramètres!$A$1:$I$88,5,0)</f>
        <v>3.6147298465195941</v>
      </c>
      <c r="BF9" s="14">
        <f t="shared" si="37"/>
        <v>1.4343920897447868</v>
      </c>
      <c r="BG9" s="22">
        <f t="shared" si="7"/>
        <v>8.7938873723271289</v>
      </c>
      <c r="BH9" s="59">
        <f t="shared" si="8"/>
        <v>272.79388737232711</v>
      </c>
      <c r="BI9" s="59">
        <f ca="1">AVERAGE(OFFSET($BH$3,0,0,'Données projet'!$E$11+1,1))-AVERAGE(OFFSET($H$3,0,0,'Données projet'!$E$11+1,1))</f>
        <v>504.15006129790828</v>
      </c>
      <c r="BJ9" s="59">
        <f t="shared" si="38"/>
        <v>374.39334457402742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2.9333333333333331</v>
      </c>
      <c r="BY9" s="13">
        <f>IF('Données projet'!$A$114&gt;35,BY8+BX9-CG8,IF(A9&lt;'Données projet'!$A$114,$BV$205^A9,IF(A9='Données projet'!$A$114,'Données projet'!$B$114,BY8+BX9-CG8)))</f>
        <v>4.5434010137249796</v>
      </c>
      <c r="BZ9" s="14">
        <f>BY9*VLOOKUP('Données projet'!$B$12,Paramètres!$A$1:$I$88,3,0)*VLOOKUP('Données projet'!$B$12,Paramètres!$A$1:$I$88,5,0)</f>
        <v>3.0477134000067161</v>
      </c>
      <c r="CA9" s="14">
        <f t="shared" si="39"/>
        <v>1.2336489723502235</v>
      </c>
      <c r="CB9" s="22">
        <f t="shared" si="10"/>
        <v>7.456706131855003</v>
      </c>
      <c r="CC9" s="59">
        <f t="shared" si="11"/>
        <v>271.45670613185501</v>
      </c>
      <c r="CD9" s="59">
        <f ca="1">AVERAGE(OFFSET($CC$3,0,0,'Données projet'!$E$12+1,1))-AVERAGE(OFFSET($H$3,0,0,'Données projet'!$E$12+1,1))</f>
        <v>387.15063677712425</v>
      </c>
      <c r="CE9" s="59">
        <f t="shared" si="40"/>
        <v>313.19155394370705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</v>
      </c>
      <c r="CT9" s="13">
        <f>IF('Données projet'!$A$140&gt;35,CT8+CS9-DB8,IF(A9&lt;'Données projet'!$A$140,$CQ$205^A9,IF(A9='Données projet'!$A$140,'Données projet'!$B$140,CT8+CS9-DB8)))</f>
        <v>18</v>
      </c>
      <c r="CU9" s="18">
        <f>CT9*VLOOKUP('Données projet'!$B$13,Paramètres!$A$1:$I$88,3,0)*VLOOKUP('Données projet'!$B$13,Paramètres!$A$1:$I$88,5,0)</f>
        <v>17.409600000000001</v>
      </c>
      <c r="CV9" s="14">
        <f t="shared" si="41"/>
        <v>5.7532473000294733</v>
      </c>
      <c r="CW9" s="22">
        <f t="shared" si="13"/>
        <v>40.341959047551335</v>
      </c>
      <c r="CX9" s="59">
        <f t="shared" si="14"/>
        <v>304.34195904755131</v>
      </c>
      <c r="CY9" s="59">
        <f ca="1">AVERAGE(OFFSET($CX$3,0,0,'Données projet'!$E$13+1,1))-AVERAGE(OFFSET($H$3,0,0,'Données projet'!$E$13+1,1))</f>
        <v>306.00894145276209</v>
      </c>
      <c r="CZ9" s="59">
        <f t="shared" si="42"/>
        <v>168.74705421228828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2.9333333333333331</v>
      </c>
      <c r="DO9" s="13">
        <f>IF('Données projet'!$A$166&gt;35,DO8+DN9-DW8,IF(A9&lt;'Données projet'!$A$166,$DL$205^A9,IF(A9='Données projet'!$A$166,'Données projet'!$B$166,DO8+DN9-DW8)))</f>
        <v>4.5434010137249796</v>
      </c>
      <c r="DP9" s="18">
        <f>DO9*VLOOKUP('Données projet'!$B$14,Paramètres!$A$1:$I$88,3,0)*VLOOKUP('Données projet'!$B$14,Paramètres!$A$1:$I$88,5,0)</f>
        <v>3.5438527907054844</v>
      </c>
      <c r="DQ9" s="14">
        <f t="shared" si="43"/>
        <v>1.4095119745481621</v>
      </c>
      <c r="DR9" s="22">
        <f t="shared" si="16"/>
        <v>8.6271102994834354</v>
      </c>
      <c r="DS9" s="59">
        <f t="shared" si="17"/>
        <v>272.62711029948343</v>
      </c>
      <c r="DT9" s="59">
        <f ca="1">AVERAGE(OFFSET($DS$3,0,0,'Données projet'!$E$14+1,1))-AVERAGE(OFFSET($H$3,0,0,'Données projet'!$E$14+1,1))</f>
        <v>458.14328535055694</v>
      </c>
      <c r="DU9" s="59">
        <f t="shared" si="44"/>
        <v>366.75500153675739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projet'!$B$14,Paramètres!$A$1:$I$88,3,0)*0.475*44/12</f>
        <v>0</v>
      </c>
      <c r="EB9" s="23">
        <f>EXP(-LN(2)/25)*EB8+(1-EXP(-LN(2)/25))/(LN(2)/25)*Calculateur!DW9*Calculateur!DY9*VLOOKUP('Données projet'!$B$14,Paramètres!$A$1:$I$88,3,0)*0.475*44/12</f>
        <v>0</v>
      </c>
      <c r="EC9" s="23">
        <f>EXP(-LN(2)/2)*EC8+(1-EXP(-LN(2)/2))/(LN(2)/2)*DW9*DZ9*VLOOKUP('Données projet'!$B$14,Paramètres!$A$1:$I$88,3,0)*0.475*44/12</f>
        <v>0</v>
      </c>
      <c r="ED9" s="24">
        <f t="shared" si="18"/>
        <v>0</v>
      </c>
      <c r="EE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3.1</v>
      </c>
      <c r="EJ9" s="13">
        <f>IF('Données projet'!$A$192&gt;35,EJ8+EI9-ER8,IF(A9&lt;'Données projet'!$A$192,$EG$205^A9,IF(A9='Données projet'!$A$192,'Données projet'!$B$192,EJ8+EI9-ER8)))</f>
        <v>2.4756918656443663</v>
      </c>
      <c r="EK9" s="18">
        <f>EJ9*VLOOKUP('Données projet'!$B$15,Paramètres!$A$1:$I$88,3,0)*VLOOKUP('Données projet'!$B$15,Paramètres!$A$1:$I$88,5,0)</f>
        <v>2.1241436207228666</v>
      </c>
      <c r="EL9" s="14">
        <f t="shared" si="45"/>
        <v>0.89670943445730888</v>
      </c>
      <c r="EM9" s="22">
        <f t="shared" si="19"/>
        <v>5.2613190711054711</v>
      </c>
      <c r="EN9" s="59">
        <f t="shared" si="20"/>
        <v>269.26131907110545</v>
      </c>
      <c r="EO9" s="59">
        <f ca="1">AVERAGE(OFFSET($EN$3,0,0,'Données projet'!$E$15+1,1))-AVERAGE(OFFSET($H$3,0,0,'Données projet'!$E$15+1,1))</f>
        <v>462.99360395552145</v>
      </c>
      <c r="EP9" s="59">
        <f t="shared" si="46"/>
        <v>153.03880717786046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projet'!$B$15,Paramètres!$A$1:$I$88,3,0)*0.475*44/12</f>
        <v>0</v>
      </c>
      <c r="EW9" s="23">
        <f>EXP(-LN(2)/25)*EW8+(1-EXP(-LN(2)/25))/(LN(2)/25)*Calculateur!ER9*Calculateur!ET9*VLOOKUP('Données projet'!$B$15,Paramètres!$A$1:$I$88,3,0)*0.475*44/12</f>
        <v>0</v>
      </c>
      <c r="EX9" s="23">
        <f>EXP(-LN(2)/2)*EX8+(1-EXP(-LN(2)/2))/(LN(2)/2)*ER9*EU9*VLOOKUP('Données projet'!$B$15,Paramètres!$A$1:$I$88,3,0)*0.475*44/12</f>
        <v>0</v>
      </c>
      <c r="EY9" s="24">
        <f t="shared" si="21"/>
        <v>0</v>
      </c>
      <c r="EZ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1.3333333333333333</v>
      </c>
      <c r="FE9" s="13">
        <f>IF('Données projet'!$A$218&gt;35,FE8+FD9-FM8,IF(A9&lt;'Données projet'!$A$218,$FB$205^A9,IF(A9='Données projet'!$A$218,'Données projet'!$B$218,FE8+FD9-FM8)))</f>
        <v>3.3144540173399872</v>
      </c>
      <c r="FF9" s="18">
        <f>FE9*VLOOKUP('Données projet'!$B$16,Paramètres!$A$1:$I$88,3,0)*VLOOKUP('Données projet'!$B$16,Paramètres!$A$1:$I$88,5,0)</f>
        <v>2.895507029548213</v>
      </c>
      <c r="FG9" s="14">
        <f t="shared" si="47"/>
        <v>1.1790492389812399</v>
      </c>
      <c r="FH9" s="22">
        <f t="shared" si="22"/>
        <v>7.0965188343554635</v>
      </c>
      <c r="FI9" s="59">
        <f t="shared" si="23"/>
        <v>271.09651883435544</v>
      </c>
      <c r="FJ9" s="59">
        <f ca="1">AVERAGE(OFFSET($FI$3,0,0,'Données projet'!$E$16+1,1))-AVERAGE(OFFSET($H$3,0,0,'Données projet'!$E$16+1,1))</f>
        <v>427.76895185088944</v>
      </c>
      <c r="FK9" s="59">
        <f t="shared" si="48"/>
        <v>308.32543361559135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projet'!$B$16,Paramètres!$A$1:$I$88,3,0)*0.475*44/12</f>
        <v>0</v>
      </c>
      <c r="FR9" s="23">
        <f>EXP(-LN(2)/25)*FR8+(1-EXP(-LN(2)/25))/(LN(2)/25)*Calculateur!FM9*Calculateur!FO9*VLOOKUP('Données projet'!$B$16,Paramètres!$A$1:$I$88,3,0)*0.475*44/12</f>
        <v>0</v>
      </c>
      <c r="FS9" s="23">
        <f>EXP(-LN(2)/2)*FS8+(1-EXP(-LN(2)/2))/(LN(2)/2)*FM9*FP9*VLOOKUP('Données projet'!$B$16,Paramètres!$A$1:$I$88,3,0)*0.475*44/12</f>
        <v>0</v>
      </c>
      <c r="FT9" s="24">
        <f t="shared" si="24"/>
        <v>0</v>
      </c>
      <c r="FU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4.7</v>
      </c>
      <c r="FZ9" s="13">
        <f>IF('Données projet'!$A$244&gt;35,FZ8+FY9-GH8,IF(A9&lt;'Données projet'!$A$244,$FW$205^A9,IF(A9='Données projet'!$A$244,'Données projet'!$B$244,FZ8+FY9-GH8)))</f>
        <v>10.075316895906044</v>
      </c>
      <c r="GA9" s="18">
        <f>FZ9*VLOOKUP('Données projet'!$B$17,Paramètres!$A$1:$I$88,3,0)*VLOOKUP('Données projet'!$B$17,Paramètres!$A$1:$I$88,5,0)</f>
        <v>6.2869977430453705</v>
      </c>
      <c r="GB9" s="14">
        <f t="shared" si="49"/>
        <v>2.3391419018517783</v>
      </c>
      <c r="GC9" s="22">
        <f t="shared" si="25"/>
        <v>15.023859881529203</v>
      </c>
      <c r="GD9" s="59">
        <f t="shared" si="26"/>
        <v>279.02385988152918</v>
      </c>
      <c r="GE9" s="59">
        <f ca="1">AVERAGE(OFFSET($GD$3,0,0,'Données projet'!$E$17+1,1))-AVERAGE(OFFSET($H$3,0,0,'Données projet'!$E$17+1,1))</f>
        <v>247.85542034088905</v>
      </c>
      <c r="GF9" s="59">
        <f t="shared" si="50"/>
        <v>299.52241743660352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projet'!$B$17,Paramètres!$A$1:$I$88,3,0)*0.475*44/12</f>
        <v>0</v>
      </c>
      <c r="GM9" s="23">
        <f>EXP(-LN(2)/25)*GM8+(1-EXP(-LN(2)/25))/(LN(2)/25)*Calculateur!GH9*Calculateur!GJ9*VLOOKUP('Données projet'!$B$17,Paramètres!$A$1:$I$88,3,0)*0.475*44/12</f>
        <v>0</v>
      </c>
      <c r="GN9" s="23">
        <f>EXP(-LN(2)/2)*GN8+(1-EXP(-LN(2)/2))/(LN(2)/2)*GH9*GK9*VLOOKUP('Données projet'!$B$17,Paramètres!$A$1:$I$88,3,0)*0.475*44/12</f>
        <v>0</v>
      </c>
      <c r="GO9" s="23">
        <f t="shared" si="27"/>
        <v>0</v>
      </c>
      <c r="GP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3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6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</v>
      </c>
      <c r="N10" s="14">
        <f>IF('Données projet'!$A$36&gt;35,N9+M10-V9,IF(A10&lt;'Données projet'!$A$36,$K$205^A10,IF(A10='Données projet'!$A$36,'Données projet'!$B$36,N9+M10-V9)))</f>
        <v>21</v>
      </c>
      <c r="O10" s="14">
        <f>N10*VLOOKUP('Données projet'!$B$9,Paramètres!$A$1:$I$88,3,0)*VLOOKUP('Données projet'!$B$9,Paramètres!$A$1:$I$88,5,0)</f>
        <v>19.000800000000002</v>
      </c>
      <c r="P10" s="14">
        <f t="shared" si="33"/>
        <v>6.2154833000252001</v>
      </c>
      <c r="Q10" s="22">
        <f t="shared" si="2"/>
        <v>43.918360080877228</v>
      </c>
      <c r="R10" s="59">
        <f t="shared" si="0"/>
        <v>309.14058230309945</v>
      </c>
      <c r="S10" s="59">
        <f ca="1">AVERAGE(OFFSET($R$3,0,0,'Données projet'!$E$9+1,1))-AVERAGE(OFFSET($H$3,0,0,'Données projet'!$E$9+1,1))</f>
        <v>247.57967230773539</v>
      </c>
      <c r="T10" s="59">
        <f t="shared" si="34"/>
        <v>156.58857589533295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2.9333333333333331</v>
      </c>
      <c r="AI10" s="14">
        <f>IF('Données projet'!$A$62&gt;35,AI9+AH10-AQ9,IF(A10&lt;'Données projet'!$A$62,$AF$205^A10,IF(A10='Données projet'!$A$62,'Données projet'!$B$62,AI9+AH10-AQ9)))</f>
        <v>5.8471546745005929</v>
      </c>
      <c r="AJ10" s="14">
        <f>AI10*VLOOKUP('Données projet'!$B$10,Paramètres!$A$1:$I$88,3,0)*VLOOKUP('Données projet'!$B$10,Paramètres!$A$1:$I$88,5,0)</f>
        <v>4.6519962590326722</v>
      </c>
      <c r="AK10" s="14">
        <f t="shared" si="35"/>
        <v>1.7925785714636386</v>
      </c>
      <c r="AL10" s="22">
        <f t="shared" si="4"/>
        <v>11.22430116311441</v>
      </c>
      <c r="AM10" s="59">
        <f t="shared" si="5"/>
        <v>276.44652338533666</v>
      </c>
      <c r="AN10" s="59">
        <f ca="1">AVERAGE(OFFSET($AM$3,0,0,'Données projet'!$E$10+1,1))-AVERAGE(OFFSET($H$3,0,0,'Données projet'!$E$10+1,1))</f>
        <v>504.15006129790828</v>
      </c>
      <c r="AO10" s="59">
        <f t="shared" si="36"/>
        <v>374.39334457402742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2.9333333333333331</v>
      </c>
      <c r="BD10" s="13">
        <f>IF('Données projet'!$A$88&gt;35,BD9+BC10-BL9,IF(A10&lt;'Données projet'!$A$88,$BA$205^A10,IF(A10='Données projet'!$A$88,'Données projet'!$B$88,BD9+BC10-BL9)))</f>
        <v>5.8471546745005929</v>
      </c>
      <c r="BE10" s="14">
        <f>BD10*VLOOKUP('Données projet'!$B$11,Paramètres!$A$1:$I$88,3,0)*VLOOKUP('Données projet'!$B$11,Paramètres!$A$1:$I$88,5,0)</f>
        <v>4.6519962590326722</v>
      </c>
      <c r="BF10" s="14">
        <f t="shared" si="37"/>
        <v>1.7925785714636386</v>
      </c>
      <c r="BG10" s="22">
        <f t="shared" si="7"/>
        <v>11.22430116311441</v>
      </c>
      <c r="BH10" s="59">
        <f t="shared" si="8"/>
        <v>276.44652338533666</v>
      </c>
      <c r="BI10" s="59">
        <f ca="1">AVERAGE(OFFSET($BH$3,0,0,'Données projet'!$E$11+1,1))-AVERAGE(OFFSET($H$3,0,0,'Données projet'!$E$11+1,1))</f>
        <v>504.15006129790828</v>
      </c>
      <c r="BJ10" s="59">
        <f t="shared" si="38"/>
        <v>374.39334457402742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2.9333333333333331</v>
      </c>
      <c r="BY10" s="13">
        <f>IF('Données projet'!$A$114&gt;35,BY9+BX10-CG9,IF(A10&lt;'Données projet'!$A$114,$BV$205^A10,IF(A10='Données projet'!$A$114,'Données projet'!$B$114,BY9+BX10-CG9)))</f>
        <v>5.8471546745005929</v>
      </c>
      <c r="BZ10" s="14">
        <f>BY10*VLOOKUP('Données projet'!$B$12,Paramètres!$A$1:$I$88,3,0)*VLOOKUP('Données projet'!$B$12,Paramètres!$A$1:$I$88,5,0)</f>
        <v>3.9222713556549982</v>
      </c>
      <c r="CA10" s="14">
        <f t="shared" si="39"/>
        <v>1.5417072698278846</v>
      </c>
      <c r="CB10" s="22">
        <f t="shared" si="10"/>
        <v>9.5164294393826854</v>
      </c>
      <c r="CC10" s="59">
        <f t="shared" si="11"/>
        <v>274.73865166160493</v>
      </c>
      <c r="CD10" s="59">
        <f ca="1">AVERAGE(OFFSET($CC$3,0,0,'Données projet'!$E$12+1,1))-AVERAGE(OFFSET($H$3,0,0,'Données projet'!$E$12+1,1))</f>
        <v>387.15063677712425</v>
      </c>
      <c r="CE10" s="59">
        <f t="shared" si="40"/>
        <v>313.19155394370705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</v>
      </c>
      <c r="CT10" s="13">
        <f>IF('Données projet'!$A$140&gt;35,CT9+CS10-DB9,IF(A10&lt;'Données projet'!$A$140,$CQ$205^A10,IF(A10='Données projet'!$A$140,'Données projet'!$B$140,CT9+CS10-DB9)))</f>
        <v>21</v>
      </c>
      <c r="CU10" s="18">
        <f>CT10*VLOOKUP('Données projet'!$B$13,Paramètres!$A$1:$I$88,3,0)*VLOOKUP('Données projet'!$B$13,Paramètres!$A$1:$I$88,5,0)</f>
        <v>20.311199999999999</v>
      </c>
      <c r="CV10" s="14">
        <f t="shared" si="41"/>
        <v>6.5927593849088089</v>
      </c>
      <c r="CW10" s="22">
        <f t="shared" si="13"/>
        <v>46.85772926204951</v>
      </c>
      <c r="CX10" s="59">
        <f t="shared" si="14"/>
        <v>312.07995148427176</v>
      </c>
      <c r="CY10" s="59">
        <f ca="1">AVERAGE(OFFSET($CX$3,0,0,'Données projet'!$E$13+1,1))-AVERAGE(OFFSET($H$3,0,0,'Données projet'!$E$13+1,1))</f>
        <v>306.00894145276209</v>
      </c>
      <c r="CZ10" s="59">
        <f t="shared" si="42"/>
        <v>168.74705421228828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2.9333333333333331</v>
      </c>
      <c r="DO10" s="13">
        <f>IF('Données projet'!$A$166&gt;35,DO9+DN10-DW9,IF(A10&lt;'Données projet'!$A$166,$DL$205^A10,IF(A10='Données projet'!$A$166,'Données projet'!$B$166,DO9+DN10-DW9)))</f>
        <v>5.8471546745005929</v>
      </c>
      <c r="DP10" s="18">
        <f>DO10*VLOOKUP('Données projet'!$B$14,Paramètres!$A$1:$I$88,3,0)*VLOOKUP('Données projet'!$B$14,Paramètres!$A$1:$I$88,5,0)</f>
        <v>4.5607806461104623</v>
      </c>
      <c r="DQ10" s="14">
        <f t="shared" si="43"/>
        <v>1.7614855658092698</v>
      </c>
      <c r="DR10" s="22">
        <f t="shared" si="16"/>
        <v>11.011280319093535</v>
      </c>
      <c r="DS10" s="59">
        <f t="shared" si="17"/>
        <v>276.23350254131577</v>
      </c>
      <c r="DT10" s="59">
        <f ca="1">AVERAGE(OFFSET($DS$3,0,0,'Données projet'!$E$14+1,1))-AVERAGE(OFFSET($H$3,0,0,'Données projet'!$E$14+1,1))</f>
        <v>458.14328535055694</v>
      </c>
      <c r="DU10" s="59">
        <f t="shared" si="44"/>
        <v>366.75500153675739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projet'!$B$14,Paramètres!$A$1:$I$88,3,0)*0.475*44/12</f>
        <v>0</v>
      </c>
      <c r="EB10" s="23">
        <f>EXP(-LN(2)/25)*EB9+(1-EXP(-LN(2)/25))/(LN(2)/25)*Calculateur!DW10*Calculateur!DY10*VLOOKUP('Données projet'!$B$14,Paramètres!$A$1:$I$88,3,0)*0.475*44/12</f>
        <v>0</v>
      </c>
      <c r="EC10" s="23">
        <f>EXP(-LN(2)/2)*EC9+(1-EXP(-LN(2)/2))/(LN(2)/2)*DW10*DZ10*VLOOKUP('Données projet'!$B$14,Paramètres!$A$1:$I$88,3,0)*0.475*44/12</f>
        <v>0</v>
      </c>
      <c r="ED10" s="24">
        <f t="shared" si="18"/>
        <v>0</v>
      </c>
      <c r="EE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3.1</v>
      </c>
      <c r="EJ10" s="13">
        <f>IF('Données projet'!$A$192&gt;35,EJ9+EI10-ER9,IF(A10&lt;'Données projet'!$A$192,$EG$205^A10,IF(A10='Données projet'!$A$192,'Données projet'!$B$192,EJ9+EI10-ER9)))</f>
        <v>2.8794708608681874</v>
      </c>
      <c r="EK10" s="18">
        <f>EJ10*VLOOKUP('Données projet'!$B$15,Paramètres!$A$1:$I$88,3,0)*VLOOKUP('Données projet'!$B$15,Paramètres!$A$1:$I$88,5,0)</f>
        <v>2.4705859986249052</v>
      </c>
      <c r="EL10" s="14">
        <f t="shared" si="45"/>
        <v>1.0247787790373628</v>
      </c>
      <c r="EM10" s="22">
        <f t="shared" si="19"/>
        <v>6.087760321095117</v>
      </c>
      <c r="EN10" s="59">
        <f t="shared" si="20"/>
        <v>271.30998254331735</v>
      </c>
      <c r="EO10" s="59">
        <f ca="1">AVERAGE(OFFSET($EN$3,0,0,'Données projet'!$E$15+1,1))-AVERAGE(OFFSET($H$3,0,0,'Données projet'!$E$15+1,1))</f>
        <v>462.99360395552145</v>
      </c>
      <c r="EP10" s="59">
        <f t="shared" si="46"/>
        <v>153.03880717786046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projet'!$B$15,Paramètres!$A$1:$I$88,3,0)*0.475*44/12</f>
        <v>0</v>
      </c>
      <c r="EW10" s="23">
        <f>EXP(-LN(2)/25)*EW9+(1-EXP(-LN(2)/25))/(LN(2)/25)*Calculateur!ER10*Calculateur!ET10*VLOOKUP('Données projet'!$B$15,Paramètres!$A$1:$I$88,3,0)*0.475*44/12</f>
        <v>0</v>
      </c>
      <c r="EX10" s="23">
        <f>EXP(-LN(2)/2)*EX9+(1-EXP(-LN(2)/2))/(LN(2)/2)*ER10*EU10*VLOOKUP('Données projet'!$B$15,Paramètres!$A$1:$I$88,3,0)*0.475*44/12</f>
        <v>0</v>
      </c>
      <c r="EY10" s="24">
        <f t="shared" si="21"/>
        <v>0</v>
      </c>
      <c r="EZ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1.3333333333333333</v>
      </c>
      <c r="FE10" s="13">
        <f>IF('Données projet'!$A$218&gt;35,FE9+FD10-FM9,IF(A10&lt;'Données projet'!$A$218,$FB$205^A10,IF(A10='Données projet'!$A$218,'Données projet'!$B$218,FE9+FD10-FM9)))</f>
        <v>4.0471316447032351</v>
      </c>
      <c r="FF10" s="18">
        <f>FE10*VLOOKUP('Données projet'!$B$16,Paramètres!$A$1:$I$88,3,0)*VLOOKUP('Données projet'!$B$16,Paramètres!$A$1:$I$88,5,0)</f>
        <v>3.5355742048127463</v>
      </c>
      <c r="FG10" s="14">
        <f t="shared" si="47"/>
        <v>1.4066021684093055</v>
      </c>
      <c r="FH10" s="22">
        <f t="shared" si="22"/>
        <v>8.607623850028407</v>
      </c>
      <c r="FI10" s="59">
        <f t="shared" si="23"/>
        <v>273.82984607225063</v>
      </c>
      <c r="FJ10" s="59">
        <f ca="1">AVERAGE(OFFSET($FI$3,0,0,'Données projet'!$E$16+1,1))-AVERAGE(OFFSET($H$3,0,0,'Données projet'!$E$16+1,1))</f>
        <v>427.76895185088944</v>
      </c>
      <c r="FK10" s="59">
        <f t="shared" si="48"/>
        <v>308.32543361559135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projet'!$B$16,Paramètres!$A$1:$I$88,3,0)*0.475*44/12</f>
        <v>0</v>
      </c>
      <c r="FR10" s="23">
        <f>EXP(-LN(2)/25)*FR9+(1-EXP(-LN(2)/25))/(LN(2)/25)*Calculateur!FM10*Calculateur!FO10*VLOOKUP('Données projet'!$B$16,Paramètres!$A$1:$I$88,3,0)*0.475*44/12</f>
        <v>0</v>
      </c>
      <c r="FS10" s="23">
        <f>EXP(-LN(2)/2)*FS9+(1-EXP(-LN(2)/2))/(LN(2)/2)*FM10*FP10*VLOOKUP('Données projet'!$B$16,Paramètres!$A$1:$I$88,3,0)*0.475*44/12</f>
        <v>0</v>
      </c>
      <c r="FT10" s="24">
        <f t="shared" si="24"/>
        <v>0</v>
      </c>
      <c r="FU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4.7</v>
      </c>
      <c r="FZ10" s="13">
        <f>IF('Données projet'!$A$244&gt;35,FZ9+FY10-GH9,IF(A10&lt;'Données projet'!$A$244,$FW$205^A10,IF(A10='Données projet'!$A$244,'Données projet'!$B$244,FZ9+FY10-GH9)))</f>
        <v>14.807048556237293</v>
      </c>
      <c r="GA10" s="18">
        <f>FZ10*VLOOKUP('Données projet'!$B$17,Paramètres!$A$1:$I$88,3,0)*VLOOKUP('Données projet'!$B$17,Paramètres!$A$1:$I$88,5,0)</f>
        <v>9.2395982990920711</v>
      </c>
      <c r="GB10" s="14">
        <f t="shared" si="49"/>
        <v>3.2870259703945286</v>
      </c>
      <c r="GC10" s="22">
        <f t="shared" si="25"/>
        <v>21.817203936022494</v>
      </c>
      <c r="GD10" s="59">
        <f t="shared" si="26"/>
        <v>287.03942615824474</v>
      </c>
      <c r="GE10" s="59">
        <f ca="1">AVERAGE(OFFSET($GD$3,0,0,'Données projet'!$E$17+1,1))-AVERAGE(OFFSET($H$3,0,0,'Données projet'!$E$17+1,1))</f>
        <v>247.85542034088905</v>
      </c>
      <c r="GF10" s="59">
        <f t="shared" si="50"/>
        <v>299.52241743660352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projet'!$B$17,Paramètres!$A$1:$I$88,3,0)*0.475*44/12</f>
        <v>0</v>
      </c>
      <c r="GM10" s="23">
        <f>EXP(-LN(2)/25)*GM9+(1-EXP(-LN(2)/25))/(LN(2)/25)*Calculateur!GH10*Calculateur!GJ10*VLOOKUP('Données projet'!$B$17,Paramètres!$A$1:$I$88,3,0)*0.475*44/12</f>
        <v>0</v>
      </c>
      <c r="GN10" s="23">
        <f>EXP(-LN(2)/2)*GN9+(1-EXP(-LN(2)/2))/(LN(2)/2)*GH10*GK10*VLOOKUP('Données projet'!$B$17,Paramètres!$A$1:$I$88,3,0)*0.475*44/12</f>
        <v>0</v>
      </c>
      <c r="GO10" s="23">
        <f t="shared" si="27"/>
        <v>0</v>
      </c>
      <c r="GP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3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6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</v>
      </c>
      <c r="N11" s="14">
        <f>IF('Données projet'!$A$36&gt;35,N10+M11-V10,IF(A11&lt;'Données projet'!$A$36,$K$205^A11,IF(A11='Données projet'!$A$36,'Données projet'!$B$36,N10+M11-V10)))</f>
        <v>24</v>
      </c>
      <c r="O11" s="14">
        <f>N11*VLOOKUP('Données projet'!$B$9,Paramètres!$A$1:$I$88,3,0)*VLOOKUP('Données projet'!$B$9,Paramètres!$A$1:$I$88,5,0)</f>
        <v>21.715199999999999</v>
      </c>
      <c r="P11" s="14">
        <f t="shared" si="33"/>
        <v>6.9938544235075568</v>
      </c>
      <c r="Q11" s="22">
        <f t="shared" si="2"/>
        <v>50.00160312094232</v>
      </c>
      <c r="R11" s="59">
        <f t="shared" si="0"/>
        <v>316.44604756538678</v>
      </c>
      <c r="S11" s="59">
        <f ca="1">AVERAGE(OFFSET($R$3,0,0,'Données projet'!$E$9+1,1))-AVERAGE(OFFSET($H$3,0,0,'Données projet'!$E$9+1,1))</f>
        <v>247.57967230773539</v>
      </c>
      <c r="T11" s="59">
        <f t="shared" si="34"/>
        <v>156.58857589533295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2.9333333333333331</v>
      </c>
      <c r="AI11" s="14">
        <f>IF('Données projet'!$A$62&gt;35,AI10+AH11-AQ10,IF(A11&lt;'Données projet'!$A$62,$AF$205^A11,IF(A11='Données projet'!$A$62,'Données projet'!$B$62,AI10+AH11-AQ10)))</f>
        <v>7.5250275474811232</v>
      </c>
      <c r="AJ11" s="14">
        <f>AI11*VLOOKUP('Données projet'!$B$10,Paramètres!$A$1:$I$88,3,0)*VLOOKUP('Données projet'!$B$10,Paramètres!$A$1:$I$88,5,0)</f>
        <v>5.9869119167759823</v>
      </c>
      <c r="AK11" s="14">
        <f t="shared" si="35"/>
        <v>2.2402089065078084</v>
      </c>
      <c r="AL11" s="22">
        <f t="shared" si="4"/>
        <v>14.328902100552602</v>
      </c>
      <c r="AM11" s="59">
        <f t="shared" si="5"/>
        <v>280.77334654499708</v>
      </c>
      <c r="AN11" s="59">
        <f ca="1">AVERAGE(OFFSET($AM$3,0,0,'Données projet'!$E$10+1,1))-AVERAGE(OFFSET($H$3,0,0,'Données projet'!$E$10+1,1))</f>
        <v>504.15006129790828</v>
      </c>
      <c r="AO11" s="59">
        <f t="shared" si="36"/>
        <v>374.39334457402742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2.9333333333333331</v>
      </c>
      <c r="BD11" s="13">
        <f>IF('Données projet'!$A$88&gt;35,BD10+BC11-BL10,IF(A11&lt;'Données projet'!$A$88,$BA$205^A11,IF(A11='Données projet'!$A$88,'Données projet'!$B$88,BD10+BC11-BL10)))</f>
        <v>7.5250275474811232</v>
      </c>
      <c r="BE11" s="14">
        <f>BD11*VLOOKUP('Données projet'!$B$11,Paramètres!$A$1:$I$88,3,0)*VLOOKUP('Données projet'!$B$11,Paramètres!$A$1:$I$88,5,0)</f>
        <v>5.9869119167759823</v>
      </c>
      <c r="BF11" s="14">
        <f t="shared" si="37"/>
        <v>2.2402089065078084</v>
      </c>
      <c r="BG11" s="22">
        <f t="shared" si="7"/>
        <v>14.328902100552602</v>
      </c>
      <c r="BH11" s="59">
        <f t="shared" si="8"/>
        <v>280.77334654499708</v>
      </c>
      <c r="BI11" s="59">
        <f ca="1">AVERAGE(OFFSET($BH$3,0,0,'Données projet'!$E$11+1,1))-AVERAGE(OFFSET($H$3,0,0,'Données projet'!$E$11+1,1))</f>
        <v>504.15006129790828</v>
      </c>
      <c r="BJ11" s="59">
        <f t="shared" si="38"/>
        <v>374.39334457402742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2.9333333333333331</v>
      </c>
      <c r="BY11" s="13">
        <f>IF('Données projet'!$A$114&gt;35,BY10+BX11-CG10,IF(A11&lt;'Données projet'!$A$114,$BV$205^A11,IF(A11='Données projet'!$A$114,'Données projet'!$B$114,BY10+BX11-CG10)))</f>
        <v>7.5250275474811232</v>
      </c>
      <c r="BZ11" s="14">
        <f>BY11*VLOOKUP('Données projet'!$B$12,Paramètres!$A$1:$I$88,3,0)*VLOOKUP('Données projet'!$B$12,Paramètres!$A$1:$I$88,5,0)</f>
        <v>5.0477884788503378</v>
      </c>
      <c r="CA11" s="14">
        <f t="shared" si="39"/>
        <v>1.9266917568228454</v>
      </c>
      <c r="CB11" s="22">
        <f t="shared" si="10"/>
        <v>12.147219743797459</v>
      </c>
      <c r="CC11" s="59">
        <f t="shared" si="11"/>
        <v>278.59166418824191</v>
      </c>
      <c r="CD11" s="59">
        <f ca="1">AVERAGE(OFFSET($CC$3,0,0,'Données projet'!$E$12+1,1))-AVERAGE(OFFSET($H$3,0,0,'Données projet'!$E$12+1,1))</f>
        <v>387.15063677712425</v>
      </c>
      <c r="CE11" s="59">
        <f t="shared" si="40"/>
        <v>313.19155394370705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</v>
      </c>
      <c r="CT11" s="13">
        <f>IF('Données projet'!$A$140&gt;35,CT10+CS11-DB10,IF(A11&lt;'Données projet'!$A$140,$CQ$205^A11,IF(A11='Données projet'!$A$140,'Données projet'!$B$140,CT10+CS11-DB10)))</f>
        <v>24</v>
      </c>
      <c r="CU11" s="18">
        <f>CT11*VLOOKUP('Données projet'!$B$13,Paramètres!$A$1:$I$88,3,0)*VLOOKUP('Données projet'!$B$13,Paramètres!$A$1:$I$88,5,0)</f>
        <v>23.212799999999998</v>
      </c>
      <c r="CV11" s="14">
        <f t="shared" si="41"/>
        <v>7.4183771657915161</v>
      </c>
      <c r="CW11" s="22">
        <f t="shared" si="13"/>
        <v>53.349300230420219</v>
      </c>
      <c r="CX11" s="59">
        <f t="shared" si="14"/>
        <v>319.79374467486468</v>
      </c>
      <c r="CY11" s="59">
        <f ca="1">AVERAGE(OFFSET($CX$3,0,0,'Données projet'!$E$13+1,1))-AVERAGE(OFFSET($H$3,0,0,'Données projet'!$E$13+1,1))</f>
        <v>306.00894145276209</v>
      </c>
      <c r="CZ11" s="59">
        <f t="shared" si="42"/>
        <v>168.74705421228828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2.9333333333333331</v>
      </c>
      <c r="DO11" s="13">
        <f>IF('Données projet'!$A$166&gt;35,DO10+DN11-DW10,IF(A11&lt;'Données projet'!$A$166,$DL$205^A11,IF(A11='Données projet'!$A$166,'Données projet'!$B$166,DO10+DN11-DW10)))</f>
        <v>7.5250275474811232</v>
      </c>
      <c r="DP11" s="18">
        <f>DO11*VLOOKUP('Données projet'!$B$14,Paramètres!$A$1:$I$88,3,0)*VLOOKUP('Données projet'!$B$14,Paramètres!$A$1:$I$88,5,0)</f>
        <v>5.8695214870352768</v>
      </c>
      <c r="DQ11" s="14">
        <f t="shared" si="43"/>
        <v>2.2013515703185549</v>
      </c>
      <c r="DR11" s="22">
        <f t="shared" si="16"/>
        <v>14.056770574891258</v>
      </c>
      <c r="DS11" s="59">
        <f t="shared" si="17"/>
        <v>280.50121501933569</v>
      </c>
      <c r="DT11" s="59">
        <f ca="1">AVERAGE(OFFSET($DS$3,0,0,'Données projet'!$E$14+1,1))-AVERAGE(OFFSET($H$3,0,0,'Données projet'!$E$14+1,1))</f>
        <v>458.14328535055694</v>
      </c>
      <c r="DU11" s="59">
        <f t="shared" si="44"/>
        <v>366.75500153675739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projet'!$B$14,Paramètres!$A$1:$I$88,3,0)*0.475*44/12</f>
        <v>0</v>
      </c>
      <c r="EB11" s="23">
        <f>EXP(-LN(2)/25)*EB10+(1-EXP(-LN(2)/25))/(LN(2)/25)*Calculateur!DW11*Calculateur!DY11*VLOOKUP('Données projet'!$B$14,Paramètres!$A$1:$I$88,3,0)*0.475*44/12</f>
        <v>0</v>
      </c>
      <c r="EC11" s="23">
        <f>EXP(-LN(2)/2)*EC10+(1-EXP(-LN(2)/2))/(LN(2)/2)*DW11*DZ11*VLOOKUP('Données projet'!$B$14,Paramètres!$A$1:$I$88,3,0)*0.475*44/12</f>
        <v>0</v>
      </c>
      <c r="ED11" s="24">
        <f t="shared" si="18"/>
        <v>0</v>
      </c>
      <c r="EE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3.1</v>
      </c>
      <c r="EJ11" s="13">
        <f>IF('Données projet'!$A$192&gt;35,EJ10+EI11-ER10,IF(A11&lt;'Données projet'!$A$192,$EG$205^A11,IF(A11='Données projet'!$A$192,'Données projet'!$B$192,EJ10+EI11-ER10)))</f>
        <v>3.3491051748602527</v>
      </c>
      <c r="EK11" s="18">
        <f>EJ11*VLOOKUP('Données projet'!$B$15,Paramètres!$A$1:$I$88,3,0)*VLOOKUP('Données projet'!$B$15,Paramètres!$A$1:$I$88,5,0)</f>
        <v>2.8735322400300971</v>
      </c>
      <c r="EL11" s="14">
        <f t="shared" si="45"/>
        <v>1.1711391735282395</v>
      </c>
      <c r="EM11" s="22">
        <f t="shared" si="19"/>
        <v>7.0444693786141031</v>
      </c>
      <c r="EN11" s="59">
        <f t="shared" si="20"/>
        <v>273.48891382305857</v>
      </c>
      <c r="EO11" s="59">
        <f ca="1">AVERAGE(OFFSET($EN$3,0,0,'Données projet'!$E$15+1,1))-AVERAGE(OFFSET($H$3,0,0,'Données projet'!$E$15+1,1))</f>
        <v>462.99360395552145</v>
      </c>
      <c r="EP11" s="59">
        <f t="shared" si="46"/>
        <v>153.03880717786046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projet'!$B$15,Paramètres!$A$1:$I$88,3,0)*0.475*44/12</f>
        <v>0</v>
      </c>
      <c r="EW11" s="23">
        <f>EXP(-LN(2)/25)*EW10+(1-EXP(-LN(2)/25))/(LN(2)/25)*Calculateur!ER11*Calculateur!ET11*VLOOKUP('Données projet'!$B$15,Paramètres!$A$1:$I$88,3,0)*0.475*44/12</f>
        <v>0</v>
      </c>
      <c r="EX11" s="23">
        <f>EXP(-LN(2)/2)*EX10+(1-EXP(-LN(2)/2))/(LN(2)/2)*ER11*EU11*VLOOKUP('Données projet'!$B$15,Paramètres!$A$1:$I$88,3,0)*0.475*44/12</f>
        <v>0</v>
      </c>
      <c r="EY11" s="24">
        <f t="shared" si="21"/>
        <v>0</v>
      </c>
      <c r="EZ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1.3333333333333333</v>
      </c>
      <c r="FE11" s="13">
        <f>IF('Données projet'!$A$218&gt;35,FE10+FD11-FM10,IF(A11&lt;'Données projet'!$A$218,$FB$205^A11,IF(A11='Données projet'!$A$218,'Données projet'!$B$218,FE10+FD11-FM10)))</f>
        <v>4.94177154483606</v>
      </c>
      <c r="FF11" s="18">
        <f>FE11*VLOOKUP('Données projet'!$B$16,Paramètres!$A$1:$I$88,3,0)*VLOOKUP('Données projet'!$B$16,Paramètres!$A$1:$I$88,5,0)</f>
        <v>4.3171316215687829</v>
      </c>
      <c r="FG11" s="14">
        <f t="shared" si="47"/>
        <v>1.6780721235046248</v>
      </c>
      <c r="FH11" s="22">
        <f t="shared" si="22"/>
        <v>10.441646522669517</v>
      </c>
      <c r="FI11" s="59">
        <f t="shared" si="23"/>
        <v>276.886090967114</v>
      </c>
      <c r="FJ11" s="59">
        <f ca="1">AVERAGE(OFFSET($FI$3,0,0,'Données projet'!$E$16+1,1))-AVERAGE(OFFSET($H$3,0,0,'Données projet'!$E$16+1,1))</f>
        <v>427.76895185088944</v>
      </c>
      <c r="FK11" s="59">
        <f t="shared" si="48"/>
        <v>308.32543361559135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projet'!$B$16,Paramètres!$A$1:$I$88,3,0)*0.475*44/12</f>
        <v>0</v>
      </c>
      <c r="FR11" s="23">
        <f>EXP(-LN(2)/25)*FR10+(1-EXP(-LN(2)/25))/(LN(2)/25)*Calculateur!FM11*Calculateur!FO11*VLOOKUP('Données projet'!$B$16,Paramètres!$A$1:$I$88,3,0)*0.475*44/12</f>
        <v>0</v>
      </c>
      <c r="FS11" s="23">
        <f>EXP(-LN(2)/2)*FS10+(1-EXP(-LN(2)/2))/(LN(2)/2)*FM11*FP11*VLOOKUP('Données projet'!$B$16,Paramètres!$A$1:$I$88,3,0)*0.475*44/12</f>
        <v>0</v>
      </c>
      <c r="FT11" s="24">
        <f t="shared" si="24"/>
        <v>0</v>
      </c>
      <c r="FU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4.7</v>
      </c>
      <c r="FZ11" s="13">
        <f>IF('Données projet'!$A$244&gt;35,FZ10+FY11-GH10,IF(A11&lt;'Données projet'!$A$244,$FW$205^A11,IF(A11='Données projet'!$A$244,'Données projet'!$B$244,FZ10+FY11-GH10)))</f>
        <v>21.760971809815469</v>
      </c>
      <c r="GA11" s="18">
        <f>FZ11*VLOOKUP('Données projet'!$B$17,Paramètres!$A$1:$I$88,3,0)*VLOOKUP('Données projet'!$B$17,Paramètres!$A$1:$I$88,5,0)</f>
        <v>13.578846409324854</v>
      </c>
      <c r="GB11" s="14">
        <f t="shared" si="49"/>
        <v>4.6190185048178138</v>
      </c>
      <c r="GC11" s="22">
        <f t="shared" si="25"/>
        <v>31.69461472546514</v>
      </c>
      <c r="GD11" s="59">
        <f t="shared" si="26"/>
        <v>298.13905916990961</v>
      </c>
      <c r="GE11" s="59">
        <f ca="1">AVERAGE(OFFSET($GD$3,0,0,'Données projet'!$E$17+1,1))-AVERAGE(OFFSET($H$3,0,0,'Données projet'!$E$17+1,1))</f>
        <v>247.85542034088905</v>
      </c>
      <c r="GF11" s="59">
        <f t="shared" si="50"/>
        <v>299.52241743660352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projet'!$B$17,Paramètres!$A$1:$I$88,3,0)*0.475*44/12</f>
        <v>0</v>
      </c>
      <c r="GM11" s="23">
        <f>EXP(-LN(2)/25)*GM10+(1-EXP(-LN(2)/25))/(LN(2)/25)*Calculateur!GH11*Calculateur!GJ11*VLOOKUP('Données projet'!$B$17,Paramètres!$A$1:$I$88,3,0)*0.475*44/12</f>
        <v>0</v>
      </c>
      <c r="GN11" s="23">
        <f>EXP(-LN(2)/2)*GN10+(1-EXP(-LN(2)/2))/(LN(2)/2)*GH11*GK11*VLOOKUP('Données projet'!$B$17,Paramètres!$A$1:$I$88,3,0)*0.475*44/12</f>
        <v>0</v>
      </c>
      <c r="GO11" s="23">
        <f t="shared" si="27"/>
        <v>0</v>
      </c>
      <c r="GP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3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6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</v>
      </c>
      <c r="N12" s="14">
        <f>IF('Données projet'!$A$36&gt;35,N11+M12-V11,IF(A12&lt;'Données projet'!$A$36,$K$205^A12,IF(A12='Données projet'!$A$36,'Données projet'!$B$36,N11+M12-V11)))</f>
        <v>27</v>
      </c>
      <c r="O12" s="14">
        <f>N12*VLOOKUP('Données projet'!$B$9,Paramètres!$A$1:$I$88,3,0)*VLOOKUP('Données projet'!$B$9,Paramètres!$A$1:$I$88,5,0)</f>
        <v>24.429599999999997</v>
      </c>
      <c r="P12" s="14">
        <f t="shared" si="33"/>
        <v>7.7609512795113149</v>
      </c>
      <c r="Q12" s="22">
        <f t="shared" si="2"/>
        <v>56.06521014514886</v>
      </c>
      <c r="R12" s="59">
        <f t="shared" si="0"/>
        <v>323.73187681181554</v>
      </c>
      <c r="S12" s="59">
        <f ca="1">AVERAGE(OFFSET($R$3,0,0,'Données projet'!$E$9+1,1))-AVERAGE(OFFSET($H$3,0,0,'Données projet'!$E$9+1,1))</f>
        <v>247.57967230773539</v>
      </c>
      <c r="T12" s="59">
        <f t="shared" si="34"/>
        <v>156.58857589533295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2.9333333333333331</v>
      </c>
      <c r="AI12" s="14">
        <f>IF('Données projet'!$A$62&gt;35,AI11+AH12-AQ11,IF(A12&lt;'Données projet'!$A$62,$AF$205^A12,IF(A12='Données projet'!$A$62,'Données projet'!$B$62,AI11+AH12-AQ11)))</f>
        <v>9.684375177775884</v>
      </c>
      <c r="AJ12" s="14">
        <f>AI12*VLOOKUP('Données projet'!$B$10,Paramètres!$A$1:$I$88,3,0)*VLOOKUP('Données projet'!$B$10,Paramètres!$A$1:$I$88,5,0)</f>
        <v>7.7048888914384941</v>
      </c>
      <c r="AK12" s="14">
        <f t="shared" si="35"/>
        <v>2.7996183959173857</v>
      </c>
      <c r="AL12" s="22">
        <f t="shared" si="4"/>
        <v>18.29535019214482</v>
      </c>
      <c r="AM12" s="59">
        <f t="shared" si="5"/>
        <v>285.96201685881152</v>
      </c>
      <c r="AN12" s="59">
        <f ca="1">AVERAGE(OFFSET($AM$3,0,0,'Données projet'!$E$10+1,1))-AVERAGE(OFFSET($H$3,0,0,'Données projet'!$E$10+1,1))</f>
        <v>504.15006129790828</v>
      </c>
      <c r="AO12" s="59">
        <f t="shared" si="36"/>
        <v>374.39334457402742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2.9333333333333331</v>
      </c>
      <c r="BD12" s="13">
        <f>IF('Données projet'!$A$88&gt;35,BD11+BC12-BL11,IF(A12&lt;'Données projet'!$A$88,$BA$205^A12,IF(A12='Données projet'!$A$88,'Données projet'!$B$88,BD11+BC12-BL11)))</f>
        <v>9.684375177775884</v>
      </c>
      <c r="BE12" s="14">
        <f>BD12*VLOOKUP('Données projet'!$B$11,Paramètres!$A$1:$I$88,3,0)*VLOOKUP('Données projet'!$B$11,Paramètres!$A$1:$I$88,5,0)</f>
        <v>7.7048888914384941</v>
      </c>
      <c r="BF12" s="14">
        <f t="shared" si="37"/>
        <v>2.7996183959173857</v>
      </c>
      <c r="BG12" s="22">
        <f t="shared" si="7"/>
        <v>18.29535019214482</v>
      </c>
      <c r="BH12" s="59">
        <f t="shared" si="8"/>
        <v>285.96201685881152</v>
      </c>
      <c r="BI12" s="59">
        <f ca="1">AVERAGE(OFFSET($BH$3,0,0,'Données projet'!$E$11+1,1))-AVERAGE(OFFSET($H$3,0,0,'Données projet'!$E$11+1,1))</f>
        <v>504.15006129790828</v>
      </c>
      <c r="BJ12" s="59">
        <f t="shared" si="38"/>
        <v>374.39334457402742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2.9333333333333331</v>
      </c>
      <c r="BY12" s="13">
        <f>IF('Données projet'!$A$114&gt;35,BY11+BX12-CG11,IF(A12&lt;'Données projet'!$A$114,$BV$205^A12,IF(A12='Données projet'!$A$114,'Données projet'!$B$114,BY11+BX12-CG11)))</f>
        <v>9.684375177775884</v>
      </c>
      <c r="BZ12" s="14">
        <f>BY12*VLOOKUP('Données projet'!$B$12,Paramètres!$A$1:$I$88,3,0)*VLOOKUP('Données projet'!$B$12,Paramètres!$A$1:$I$88,5,0)</f>
        <v>6.4962788692520634</v>
      </c>
      <c r="CA12" s="14">
        <f t="shared" si="39"/>
        <v>2.4078119098598556</v>
      </c>
      <c r="CB12" s="22">
        <f t="shared" si="10"/>
        <v>15.507958106953255</v>
      </c>
      <c r="CC12" s="59">
        <f t="shared" si="11"/>
        <v>283.17462477361994</v>
      </c>
      <c r="CD12" s="59">
        <f ca="1">AVERAGE(OFFSET($CC$3,0,0,'Données projet'!$E$12+1,1))-AVERAGE(OFFSET($H$3,0,0,'Données projet'!$E$12+1,1))</f>
        <v>387.15063677712425</v>
      </c>
      <c r="CE12" s="59">
        <f t="shared" si="40"/>
        <v>313.19155394370705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</v>
      </c>
      <c r="CT12" s="13">
        <f>IF('Données projet'!$A$140&gt;35,CT11+CS12-DB11,IF(A12&lt;'Données projet'!$A$140,$CQ$205^A12,IF(A12='Données projet'!$A$140,'Données projet'!$B$140,CT11+CS12-DB11)))</f>
        <v>27</v>
      </c>
      <c r="CU12" s="18">
        <f>CT12*VLOOKUP('Données projet'!$B$13,Paramètres!$A$1:$I$88,3,0)*VLOOKUP('Données projet'!$B$13,Paramètres!$A$1:$I$88,5,0)</f>
        <v>26.1144</v>
      </c>
      <c r="CV12" s="14">
        <f t="shared" si="41"/>
        <v>8.232036337964395</v>
      </c>
      <c r="CW12" s="22">
        <f t="shared" si="13"/>
        <v>59.820043288621314</v>
      </c>
      <c r="CX12" s="59">
        <f t="shared" si="14"/>
        <v>327.48670995528801</v>
      </c>
      <c r="CY12" s="59">
        <f ca="1">AVERAGE(OFFSET($CX$3,0,0,'Données projet'!$E$13+1,1))-AVERAGE(OFFSET($H$3,0,0,'Données projet'!$E$13+1,1))</f>
        <v>306.00894145276209</v>
      </c>
      <c r="CZ12" s="59">
        <f t="shared" si="42"/>
        <v>168.74705421228828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2.9333333333333331</v>
      </c>
      <c r="DO12" s="13">
        <f>IF('Données projet'!$A$166&gt;35,DO11+DN12-DW11,IF(A12&lt;'Données projet'!$A$166,$DL$205^A12,IF(A12='Données projet'!$A$166,'Données projet'!$B$166,DO11+DN12-DW11)))</f>
        <v>9.684375177775884</v>
      </c>
      <c r="DP12" s="18">
        <f>DO12*VLOOKUP('Données projet'!$B$14,Paramètres!$A$1:$I$88,3,0)*VLOOKUP('Données projet'!$B$14,Paramètres!$A$1:$I$88,5,0)</f>
        <v>7.5538126386651898</v>
      </c>
      <c r="DQ12" s="14">
        <f t="shared" si="43"/>
        <v>2.7510578742197187</v>
      </c>
      <c r="DR12" s="22">
        <f t="shared" si="16"/>
        <v>17.947649476607882</v>
      </c>
      <c r="DS12" s="59">
        <f t="shared" si="17"/>
        <v>285.61431614327455</v>
      </c>
      <c r="DT12" s="59">
        <f ca="1">AVERAGE(OFFSET($DS$3,0,0,'Données projet'!$E$14+1,1))-AVERAGE(OFFSET($H$3,0,0,'Données projet'!$E$14+1,1))</f>
        <v>458.14328535055694</v>
      </c>
      <c r="DU12" s="59">
        <f t="shared" si="44"/>
        <v>366.75500153675739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projet'!$B$14,Paramètres!$A$1:$I$88,3,0)*0.475*44/12</f>
        <v>0</v>
      </c>
      <c r="EB12" s="23">
        <f>EXP(-LN(2)/25)*EB11+(1-EXP(-LN(2)/25))/(LN(2)/25)*Calculateur!DW12*Calculateur!DY12*VLOOKUP('Données projet'!$B$14,Paramètres!$A$1:$I$88,3,0)*0.475*44/12</f>
        <v>0</v>
      </c>
      <c r="EC12" s="23">
        <f>EXP(-LN(2)/2)*EC11+(1-EXP(-LN(2)/2))/(LN(2)/2)*DW12*DZ12*VLOOKUP('Données projet'!$B$14,Paramètres!$A$1:$I$88,3,0)*0.475*44/12</f>
        <v>0</v>
      </c>
      <c r="ED12" s="24">
        <f t="shared" si="18"/>
        <v>0</v>
      </c>
      <c r="EE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3.1</v>
      </c>
      <c r="EJ12" s="13">
        <f>IF('Données projet'!$A$192&gt;35,EJ11+EI12-ER11,IF(A12&lt;'Données projet'!$A$192,$EG$205^A12,IF(A12='Données projet'!$A$192,'Données projet'!$B$192,EJ11+EI12-ER11)))</f>
        <v>3.8953356412482818</v>
      </c>
      <c r="EK12" s="18">
        <f>EJ12*VLOOKUP('Données projet'!$B$15,Paramètres!$A$1:$I$88,3,0)*VLOOKUP('Données projet'!$B$15,Paramètres!$A$1:$I$88,5,0)</f>
        <v>3.3421979801910262</v>
      </c>
      <c r="EL12" s="14">
        <f t="shared" si="45"/>
        <v>1.3384029722598318</v>
      </c>
      <c r="EM12" s="22">
        <f t="shared" si="19"/>
        <v>8.1520466588519103</v>
      </c>
      <c r="EN12" s="59">
        <f t="shared" si="20"/>
        <v>275.81871332551862</v>
      </c>
      <c r="EO12" s="59">
        <f ca="1">AVERAGE(OFFSET($EN$3,0,0,'Données projet'!$E$15+1,1))-AVERAGE(OFFSET($H$3,0,0,'Données projet'!$E$15+1,1))</f>
        <v>462.99360395552145</v>
      </c>
      <c r="EP12" s="59">
        <f t="shared" si="46"/>
        <v>153.03880717786046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projet'!$B$15,Paramètres!$A$1:$I$88,3,0)*0.475*44/12</f>
        <v>0</v>
      </c>
      <c r="EW12" s="23">
        <f>EXP(-LN(2)/25)*EW11+(1-EXP(-LN(2)/25))/(LN(2)/25)*Calculateur!ER12*Calculateur!ET12*VLOOKUP('Données projet'!$B$15,Paramètres!$A$1:$I$88,3,0)*0.475*44/12</f>
        <v>0</v>
      </c>
      <c r="EX12" s="23">
        <f>EXP(-LN(2)/2)*EX11+(1-EXP(-LN(2)/2))/(LN(2)/2)*ER12*EU12*VLOOKUP('Données projet'!$B$15,Paramètres!$A$1:$I$88,3,0)*0.475*44/12</f>
        <v>0</v>
      </c>
      <c r="EY12" s="24">
        <f t="shared" si="21"/>
        <v>0</v>
      </c>
      <c r="EZ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1.3333333333333333</v>
      </c>
      <c r="FE12" s="13">
        <f>IF('Données projet'!$A$218&gt;35,FE11+FD12-FM11,IF(A12&lt;'Données projet'!$A$218,$FB$205^A12,IF(A12='Données projet'!$A$218,'Données projet'!$B$218,FE11+FD12-FM11)))</f>
        <v>6.0341763365451646</v>
      </c>
      <c r="FF12" s="18">
        <f>FE12*VLOOKUP('Données projet'!$B$16,Paramètres!$A$1:$I$88,3,0)*VLOOKUP('Données projet'!$B$16,Paramètres!$A$1:$I$88,5,0)</f>
        <v>5.271456447605857</v>
      </c>
      <c r="FG12" s="14">
        <f t="shared" si="47"/>
        <v>2.0019349571085807</v>
      </c>
      <c r="FH12" s="22">
        <f t="shared" si="22"/>
        <v>12.667823363210978</v>
      </c>
      <c r="FI12" s="59">
        <f t="shared" si="23"/>
        <v>280.33449002987766</v>
      </c>
      <c r="FJ12" s="59">
        <f ca="1">AVERAGE(OFFSET($FI$3,0,0,'Données projet'!$E$16+1,1))-AVERAGE(OFFSET($H$3,0,0,'Données projet'!$E$16+1,1))</f>
        <v>427.76895185088944</v>
      </c>
      <c r="FK12" s="59">
        <f t="shared" si="48"/>
        <v>308.32543361559135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projet'!$B$16,Paramètres!$A$1:$I$88,3,0)*0.475*44/12</f>
        <v>0</v>
      </c>
      <c r="FR12" s="23">
        <f>EXP(-LN(2)/25)*FR11+(1-EXP(-LN(2)/25))/(LN(2)/25)*Calculateur!FM12*Calculateur!FO12*VLOOKUP('Données projet'!$B$16,Paramètres!$A$1:$I$88,3,0)*0.475*44/12</f>
        <v>0</v>
      </c>
      <c r="FS12" s="23">
        <f>EXP(-LN(2)/2)*FS11+(1-EXP(-LN(2)/2))/(LN(2)/2)*FM12*FP12*VLOOKUP('Données projet'!$B$16,Paramètres!$A$1:$I$88,3,0)*0.475*44/12</f>
        <v>0</v>
      </c>
      <c r="FT12" s="24">
        <f t="shared" si="24"/>
        <v>0</v>
      </c>
      <c r="FU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4.7</v>
      </c>
      <c r="FZ12" s="13">
        <f>IF('Données projet'!$A$244&gt;35,FZ11+FY12-GH11,IF(A12&lt;'Données projet'!$A$244,$FW$205^A12,IF(A12='Données projet'!$A$244,'Données projet'!$B$244,FZ11+FY12-GH11)))</f>
        <v>31.980707857415009</v>
      </c>
      <c r="GA12" s="18">
        <f>FZ12*VLOOKUP('Données projet'!$B$17,Paramètres!$A$1:$I$88,3,0)*VLOOKUP('Données projet'!$B$17,Paramètres!$A$1:$I$88,5,0)</f>
        <v>19.955961703026965</v>
      </c>
      <c r="GB12" s="14">
        <f t="shared" si="49"/>
        <v>6.4907707270985107</v>
      </c>
      <c r="GC12" s="22">
        <f t="shared" si="25"/>
        <v>46.061392315801868</v>
      </c>
      <c r="GD12" s="59">
        <f t="shared" si="26"/>
        <v>313.72805898246855</v>
      </c>
      <c r="GE12" s="59">
        <f ca="1">AVERAGE(OFFSET($GD$3,0,0,'Données projet'!$E$17+1,1))-AVERAGE(OFFSET($H$3,0,0,'Données projet'!$E$17+1,1))</f>
        <v>247.85542034088905</v>
      </c>
      <c r="GF12" s="59">
        <f t="shared" si="50"/>
        <v>299.52241743660352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projet'!$B$17,Paramètres!$A$1:$I$88,3,0)*0.475*44/12</f>
        <v>0</v>
      </c>
      <c r="GM12" s="23">
        <f>EXP(-LN(2)/25)*GM11+(1-EXP(-LN(2)/25))/(LN(2)/25)*Calculateur!GH12*Calculateur!GJ12*VLOOKUP('Données projet'!$B$17,Paramètres!$A$1:$I$88,3,0)*0.475*44/12</f>
        <v>0</v>
      </c>
      <c r="GN12" s="23">
        <f>EXP(-LN(2)/2)*GN11+(1-EXP(-LN(2)/2))/(LN(2)/2)*GH12*GK12*VLOOKUP('Données projet'!$B$17,Paramètres!$A$1:$I$88,3,0)*0.475*44/12</f>
        <v>0</v>
      </c>
      <c r="GO12" s="23">
        <f t="shared" si="27"/>
        <v>0</v>
      </c>
      <c r="GP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3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6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</v>
      </c>
      <c r="N13" s="14">
        <f>IF('Données projet'!$A$36&gt;35,N12+M13-V12,IF(A13&lt;'Données projet'!$A$36,$K$205^A13,IF(A13='Données projet'!$A$36,'Données projet'!$B$36,N12+M13-V12)))</f>
        <v>30</v>
      </c>
      <c r="O13" s="14">
        <f>N13*VLOOKUP('Données projet'!$B$9,Paramètres!$A$1:$I$88,3,0)*VLOOKUP('Données projet'!$B$9,Paramètres!$A$1:$I$88,5,0)</f>
        <v>27.143999999999998</v>
      </c>
      <c r="P13" s="14">
        <f t="shared" si="33"/>
        <v>8.5181694620316346</v>
      </c>
      <c r="Q13" s="22">
        <f t="shared" si="2"/>
        <v>62.111611813038422</v>
      </c>
      <c r="R13" s="59">
        <f t="shared" si="0"/>
        <v>331.00050070192731</v>
      </c>
      <c r="S13" s="59">
        <f ca="1">AVERAGE(OFFSET($R$3,0,0,'Données projet'!$E$9+1,1))-AVERAGE(OFFSET($H$3,0,0,'Données projet'!$E$9+1,1))</f>
        <v>247.57967230773539</v>
      </c>
      <c r="T13" s="59">
        <f t="shared" si="34"/>
        <v>156.58857589533295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2.9333333333333331</v>
      </c>
      <c r="AI13" s="14">
        <f>IF('Données projet'!$A$62&gt;35,AI12+AH13-AQ12,IF(A13&lt;'Données projet'!$A$62,$AF$205^A13,IF(A13='Données projet'!$A$62,'Données projet'!$B$62,AI12+AH13-AQ12)))</f>
        <v>12.4633593687395</v>
      </c>
      <c r="AJ13" s="14">
        <f>AI13*VLOOKUP('Données projet'!$B$10,Paramètres!$A$1:$I$88,3,0)*VLOOKUP('Données projet'!$B$10,Paramètres!$A$1:$I$88,5,0)</f>
        <v>9.9158487137691473</v>
      </c>
      <c r="AK13" s="14">
        <f t="shared" si="35"/>
        <v>3.4987197577824269</v>
      </c>
      <c r="AL13" s="22">
        <f t="shared" si="4"/>
        <v>23.363706754618992</v>
      </c>
      <c r="AM13" s="59">
        <f t="shared" si="5"/>
        <v>292.25259564350785</v>
      </c>
      <c r="AN13" s="59">
        <f ca="1">AVERAGE(OFFSET($AM$3,0,0,'Données projet'!$E$10+1,1))-AVERAGE(OFFSET($H$3,0,0,'Données projet'!$E$10+1,1))</f>
        <v>504.15006129790828</v>
      </c>
      <c r="AO13" s="59">
        <f t="shared" si="36"/>
        <v>374.39334457402742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2.9333333333333331</v>
      </c>
      <c r="BD13" s="13">
        <f>IF('Données projet'!$A$88&gt;35,BD12+BC13-BL12,IF(A13&lt;'Données projet'!$A$88,$BA$205^A13,IF(A13='Données projet'!$A$88,'Données projet'!$B$88,BD12+BC13-BL12)))</f>
        <v>12.4633593687395</v>
      </c>
      <c r="BE13" s="14">
        <f>BD13*VLOOKUP('Données projet'!$B$11,Paramètres!$A$1:$I$88,3,0)*VLOOKUP('Données projet'!$B$11,Paramètres!$A$1:$I$88,5,0)</f>
        <v>9.9158487137691473</v>
      </c>
      <c r="BF13" s="14">
        <f t="shared" si="37"/>
        <v>3.4987197577824269</v>
      </c>
      <c r="BG13" s="22">
        <f t="shared" si="7"/>
        <v>23.363706754618992</v>
      </c>
      <c r="BH13" s="59">
        <f t="shared" si="8"/>
        <v>292.25259564350785</v>
      </c>
      <c r="BI13" s="59">
        <f ca="1">AVERAGE(OFFSET($BH$3,0,0,'Données projet'!$E$11+1,1))-AVERAGE(OFFSET($H$3,0,0,'Données projet'!$E$11+1,1))</f>
        <v>504.15006129790828</v>
      </c>
      <c r="BJ13" s="59">
        <f t="shared" si="38"/>
        <v>374.39334457402742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2.9333333333333331</v>
      </c>
      <c r="BY13" s="13">
        <f>IF('Données projet'!$A$114&gt;35,BY12+BX13-CG12,IF(A13&lt;'Données projet'!$A$114,$BV$205^A13,IF(A13='Données projet'!$A$114,'Données projet'!$B$114,BY12+BX13-CG12)))</f>
        <v>12.4633593687395</v>
      </c>
      <c r="BZ13" s="14">
        <f>BY13*VLOOKUP('Données projet'!$B$12,Paramètres!$A$1:$I$88,3,0)*VLOOKUP('Données projet'!$B$12,Paramètres!$A$1:$I$88,5,0)</f>
        <v>8.3604214645504573</v>
      </c>
      <c r="CA13" s="14">
        <f t="shared" si="39"/>
        <v>3.0090740632135451</v>
      </c>
      <c r="CB13" s="22">
        <f t="shared" si="10"/>
        <v>19.801871377522303</v>
      </c>
      <c r="CC13" s="59">
        <f t="shared" si="11"/>
        <v>288.69076026641119</v>
      </c>
      <c r="CD13" s="59">
        <f ca="1">AVERAGE(OFFSET($CC$3,0,0,'Données projet'!$E$12+1,1))-AVERAGE(OFFSET($H$3,0,0,'Données projet'!$E$12+1,1))</f>
        <v>387.15063677712425</v>
      </c>
      <c r="CE13" s="59">
        <f t="shared" si="40"/>
        <v>313.19155394370705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</v>
      </c>
      <c r="CT13" s="13">
        <f>IF('Données projet'!$A$140&gt;35,CT12+CS13-DB12,IF(A13&lt;'Données projet'!$A$140,$CQ$205^A13,IF(A13='Données projet'!$A$140,'Données projet'!$B$140,CT12+CS13-DB12)))</f>
        <v>30</v>
      </c>
      <c r="CU13" s="18">
        <f>CT13*VLOOKUP('Données projet'!$B$13,Paramètres!$A$1:$I$88,3,0)*VLOOKUP('Données projet'!$B$13,Paramètres!$A$1:$I$88,5,0)</f>
        <v>29.016000000000002</v>
      </c>
      <c r="CV13" s="14">
        <f t="shared" si="41"/>
        <v>9.0352172071357728</v>
      </c>
      <c r="CW13" s="22">
        <f t="shared" si="13"/>
        <v>66.272536635761469</v>
      </c>
      <c r="CX13" s="59">
        <f t="shared" si="14"/>
        <v>335.16142552465033</v>
      </c>
      <c r="CY13" s="59">
        <f ca="1">AVERAGE(OFFSET($CX$3,0,0,'Données projet'!$E$13+1,1))-AVERAGE(OFFSET($H$3,0,0,'Données projet'!$E$13+1,1))</f>
        <v>306.00894145276209</v>
      </c>
      <c r="CZ13" s="59">
        <f t="shared" si="42"/>
        <v>168.74705421228828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2.9333333333333331</v>
      </c>
      <c r="DO13" s="13">
        <f>IF('Données projet'!$A$166&gt;35,DO12+DN13-DW12,IF(A13&lt;'Données projet'!$A$166,$DL$205^A13,IF(A13='Données projet'!$A$166,'Données projet'!$B$166,DO12+DN13-DW12)))</f>
        <v>12.4633593687395</v>
      </c>
      <c r="DP13" s="18">
        <f>DO13*VLOOKUP('Données projet'!$B$14,Paramètres!$A$1:$I$88,3,0)*VLOOKUP('Données projet'!$B$14,Paramètres!$A$1:$I$88,5,0)</f>
        <v>9.7214203076168104</v>
      </c>
      <c r="DQ13" s="14">
        <f t="shared" si="43"/>
        <v>3.4380330381353446</v>
      </c>
      <c r="DR13" s="22">
        <f t="shared" si="16"/>
        <v>22.919381243851671</v>
      </c>
      <c r="DS13" s="59">
        <f t="shared" si="17"/>
        <v>291.80827013274052</v>
      </c>
      <c r="DT13" s="59">
        <f ca="1">AVERAGE(OFFSET($DS$3,0,0,'Données projet'!$E$14+1,1))-AVERAGE(OFFSET($H$3,0,0,'Données projet'!$E$14+1,1))</f>
        <v>458.14328535055694</v>
      </c>
      <c r="DU13" s="59">
        <f t="shared" si="44"/>
        <v>366.75500153675739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projet'!$B$14,Paramètres!$A$1:$I$88,3,0)*0.475*44/12</f>
        <v>0</v>
      </c>
      <c r="EB13" s="23">
        <f>EXP(-LN(2)/25)*EB12+(1-EXP(-LN(2)/25))/(LN(2)/25)*Calculateur!DW13*Calculateur!DY13*VLOOKUP('Données projet'!$B$14,Paramètres!$A$1:$I$88,3,0)*0.475*44/12</f>
        <v>0</v>
      </c>
      <c r="EC13" s="23">
        <f>EXP(-LN(2)/2)*EC12+(1-EXP(-LN(2)/2))/(LN(2)/2)*DW13*DZ13*VLOOKUP('Données projet'!$B$14,Paramètres!$A$1:$I$88,3,0)*0.475*44/12</f>
        <v>0</v>
      </c>
      <c r="ED13" s="24">
        <f t="shared" si="18"/>
        <v>0</v>
      </c>
      <c r="EE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3.1</v>
      </c>
      <c r="EJ13" s="13">
        <f>IF('Données projet'!$A$192&gt;35,EJ12+EI13-ER12,IF(A13&lt;'Données projet'!$A$192,$EG$205^A13,IF(A13='Données projet'!$A$192,'Données projet'!$B$192,EJ12+EI13-ER12)))</f>
        <v>4.530654896083492</v>
      </c>
      <c r="EK13" s="18">
        <f>EJ13*VLOOKUP('Données projet'!$B$15,Paramètres!$A$1:$I$88,3,0)*VLOOKUP('Données projet'!$B$15,Paramètres!$A$1:$I$88,5,0)</f>
        <v>3.887301900839637</v>
      </c>
      <c r="EL13" s="14">
        <f t="shared" si="45"/>
        <v>1.5295556298038546</v>
      </c>
      <c r="EM13" s="22">
        <f t="shared" si="19"/>
        <v>9.4343601992040806</v>
      </c>
      <c r="EN13" s="59">
        <f t="shared" si="20"/>
        <v>278.32324908809295</v>
      </c>
      <c r="EO13" s="59">
        <f ca="1">AVERAGE(OFFSET($EN$3,0,0,'Données projet'!$E$15+1,1))-AVERAGE(OFFSET($H$3,0,0,'Données projet'!$E$15+1,1))</f>
        <v>462.99360395552145</v>
      </c>
      <c r="EP13" s="59">
        <f t="shared" si="46"/>
        <v>153.03880717786046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projet'!$B$15,Paramètres!$A$1:$I$88,3,0)*0.475*44/12</f>
        <v>0</v>
      </c>
      <c r="EW13" s="23">
        <f>EXP(-LN(2)/25)*EW12+(1-EXP(-LN(2)/25))/(LN(2)/25)*Calculateur!ER13*Calculateur!ET13*VLOOKUP('Données projet'!$B$15,Paramètres!$A$1:$I$88,3,0)*0.475*44/12</f>
        <v>0</v>
      </c>
      <c r="EX13" s="23">
        <f>EXP(-LN(2)/2)*EX12+(1-EXP(-LN(2)/2))/(LN(2)/2)*ER13*EU13*VLOOKUP('Données projet'!$B$15,Paramètres!$A$1:$I$88,3,0)*0.475*44/12</f>
        <v>0</v>
      </c>
      <c r="EY13" s="24">
        <f t="shared" si="21"/>
        <v>0</v>
      </c>
      <c r="EZ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1.3333333333333333</v>
      </c>
      <c r="FE13" s="13">
        <f>IF('Données projet'!$A$218&gt;35,FE12+FD13-FM12,IF(A13&lt;'Données projet'!$A$218,$FB$205^A13,IF(A13='Données projet'!$A$218,'Données projet'!$B$218,FE12+FD13-FM12)))</f>
        <v>7.3680629972807754</v>
      </c>
      <c r="FF13" s="18">
        <f>FE13*VLOOKUP('Données projet'!$B$16,Paramètres!$A$1:$I$88,3,0)*VLOOKUP('Données projet'!$B$16,Paramètres!$A$1:$I$88,5,0)</f>
        <v>6.4367398344244862</v>
      </c>
      <c r="FG13" s="14">
        <f t="shared" si="47"/>
        <v>2.3883023359706552</v>
      </c>
      <c r="FH13" s="22">
        <f t="shared" si="22"/>
        <v>15.37028178010487</v>
      </c>
      <c r="FI13" s="59">
        <f t="shared" si="23"/>
        <v>284.2591706689937</v>
      </c>
      <c r="FJ13" s="59">
        <f ca="1">AVERAGE(OFFSET($FI$3,0,0,'Données projet'!$E$16+1,1))-AVERAGE(OFFSET($H$3,0,0,'Données projet'!$E$16+1,1))</f>
        <v>427.76895185088944</v>
      </c>
      <c r="FK13" s="59">
        <f t="shared" si="48"/>
        <v>308.32543361559135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projet'!$B$16,Paramètres!$A$1:$I$88,3,0)*0.475*44/12</f>
        <v>0</v>
      </c>
      <c r="FR13" s="23">
        <f>EXP(-LN(2)/25)*FR12+(1-EXP(-LN(2)/25))/(LN(2)/25)*Calculateur!FM13*Calculateur!FO13*VLOOKUP('Données projet'!$B$16,Paramètres!$A$1:$I$88,3,0)*0.475*44/12</f>
        <v>0</v>
      </c>
      <c r="FS13" s="23">
        <f>EXP(-LN(2)/2)*FS12+(1-EXP(-LN(2)/2))/(LN(2)/2)*FM13*FP13*VLOOKUP('Données projet'!$B$16,Paramètres!$A$1:$I$88,3,0)*0.475*44/12</f>
        <v>0</v>
      </c>
      <c r="FT13" s="24">
        <f t="shared" si="24"/>
        <v>0</v>
      </c>
      <c r="FU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>
        <f>VLOOKUP(A13,'Données projet'!$A$243:$I$263,2,0)</f>
        <v>47</v>
      </c>
      <c r="FX13" s="13">
        <f>VLOOKUP(A13,'Données projet'!$A$243:$I$263,9,0)</f>
        <v>4.7</v>
      </c>
      <c r="FY13" s="13">
        <f t="array" ref="FY13">INDEX(FX:FX,MIN(IF(ISNUMBER(FX13:FX209),ROW(FX13:FX209),"")))</f>
        <v>4.7</v>
      </c>
      <c r="FZ13" s="13">
        <f>IF('Données projet'!$A$244&gt;35,FZ12+FY13-GH12,IF(A13&lt;'Données projet'!$A$244,$FW$205^A13,IF(A13='Données projet'!$A$244,'Données projet'!$B$244,FZ12+FY13-GH12)))</f>
        <v>47</v>
      </c>
      <c r="GA13" s="18">
        <f>FZ13*VLOOKUP('Données projet'!$B$17,Paramètres!$A$1:$I$88,3,0)*VLOOKUP('Données projet'!$B$17,Paramètres!$A$1:$I$88,5,0)</f>
        <v>29.327999999999999</v>
      </c>
      <c r="GB13" s="14">
        <f t="shared" si="49"/>
        <v>9.1210079777371842</v>
      </c>
      <c r="GC13" s="22">
        <f t="shared" si="25"/>
        <v>66.965355561225593</v>
      </c>
      <c r="GD13" s="59">
        <f t="shared" si="26"/>
        <v>335.85424445011444</v>
      </c>
      <c r="GE13" s="59">
        <f ca="1">AVERAGE(OFFSET($GD$3,0,0,'Données projet'!$E$17+1,1))-AVERAGE(OFFSET($H$3,0,0,'Données projet'!$E$17+1,1))</f>
        <v>247.85542034088905</v>
      </c>
      <c r="GF13" s="59">
        <f t="shared" si="50"/>
        <v>299.52241743660352</v>
      </c>
      <c r="GG13" s="16">
        <f>IF(ISNA(VLOOKUP(A13,'Données projet'!$A$243:$I$263,3,0)),0,VLOOKUP(A13,'Données projet'!$A$243:$I$263,3,0))</f>
        <v>1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0.33600000000000002</v>
      </c>
      <c r="GK13" s="17">
        <f>IF(ISNA(VLOOKUP(A13,'Données projet'!$A$243:$I$263,7,0)),0%,VLOOKUP(A13,'Données projet'!$A$243:$I$263,7,0))</f>
        <v>0.44</v>
      </c>
      <c r="GL13" s="23">
        <f>EXP(-LN(2)/35)*GL12+(1-EXP(-LN(2)/35))/(LN(2)/35)*GH13*GI13*VLOOKUP('Données projet'!$B$17,Paramètres!$A$1:$I$88,3,0)*0.475*44/12</f>
        <v>0</v>
      </c>
      <c r="GM13" s="23">
        <f>EXP(-LN(2)/25)*GM12+(1-EXP(-LN(2)/25))/(LN(2)/25)*Calculateur!GH13*Calculateur!GJ13*VLOOKUP('Données projet'!$B$17,Paramètres!$A$1:$I$88,3,0)*0.475*44/12</f>
        <v>0</v>
      </c>
      <c r="GN13" s="23">
        <f>EXP(-LN(2)/2)*GN12+(1-EXP(-LN(2)/2))/(LN(2)/2)*GH13*GK13*VLOOKUP('Données projet'!$B$17,Paramètres!$A$1:$I$88,3,0)*0.475*44/12</f>
        <v>0</v>
      </c>
      <c r="GO13" s="23">
        <f t="shared" si="27"/>
        <v>0</v>
      </c>
      <c r="GP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3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6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</v>
      </c>
      <c r="N14" s="14">
        <f>IF('Données projet'!$A$36&gt;35,N13+M14-V13,IF(A14&lt;'Données projet'!$A$36,$K$205^A14,IF(A14='Données projet'!$A$36,'Données projet'!$B$36,N13+M14-V13)))</f>
        <v>33</v>
      </c>
      <c r="O14" s="14">
        <f>N14*VLOOKUP('Données projet'!$B$9,Paramètres!$A$1:$I$88,3,0)*VLOOKUP('Données projet'!$B$9,Paramètres!$A$1:$I$88,5,0)</f>
        <v>29.858399999999996</v>
      </c>
      <c r="P14" s="14">
        <f t="shared" si="33"/>
        <v>9.2666092944057148</v>
      </c>
      <c r="Q14" s="22">
        <f t="shared" si="2"/>
        <v>68.14272452108996</v>
      </c>
      <c r="R14" s="59">
        <f t="shared" si="0"/>
        <v>338.25383563220112</v>
      </c>
      <c r="S14" s="59">
        <f ca="1">AVERAGE(OFFSET($R$3,0,0,'Données projet'!$E$9+1,1))-AVERAGE(OFFSET($H$3,0,0,'Données projet'!$E$9+1,1))</f>
        <v>247.57967230773539</v>
      </c>
      <c r="T14" s="59">
        <f t="shared" si="34"/>
        <v>156.58857589533295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2.9333333333333331</v>
      </c>
      <c r="AI14" s="14">
        <f>IF('Données projet'!$A$62&gt;35,AI13+AH14-AQ13,IF(A14&lt;'Données projet'!$A$62,$AF$205^A14,IF(A14='Données projet'!$A$62,'Données projet'!$B$62,AI13+AH14-AQ13)))</f>
        <v>16.039788205522726</v>
      </c>
      <c r="AJ14" s="14">
        <f>AI14*VLOOKUP('Données projet'!$B$10,Paramètres!$A$1:$I$88,3,0)*VLOOKUP('Données projet'!$B$10,Paramètres!$A$1:$I$88,5,0)</f>
        <v>12.761255496313881</v>
      </c>
      <c r="AK14" s="14">
        <f t="shared" si="35"/>
        <v>4.3723958812915118</v>
      </c>
      <c r="AL14" s="22">
        <f t="shared" si="4"/>
        <v>29.841109482662727</v>
      </c>
      <c r="AM14" s="59">
        <f t="shared" si="5"/>
        <v>299.95222059377386</v>
      </c>
      <c r="AN14" s="59">
        <f ca="1">AVERAGE(OFFSET($AM$3,0,0,'Données projet'!$E$10+1,1))-AVERAGE(OFFSET($H$3,0,0,'Données projet'!$E$10+1,1))</f>
        <v>504.15006129790828</v>
      </c>
      <c r="AO14" s="59">
        <f t="shared" si="36"/>
        <v>374.39334457402742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2.9333333333333331</v>
      </c>
      <c r="BD14" s="13">
        <f>IF('Données projet'!$A$88&gt;35,BD13+BC14-BL13,IF(A14&lt;'Données projet'!$A$88,$BA$205^A14,IF(A14='Données projet'!$A$88,'Données projet'!$B$88,BD13+BC14-BL13)))</f>
        <v>16.039788205522726</v>
      </c>
      <c r="BE14" s="14">
        <f>BD14*VLOOKUP('Données projet'!$B$11,Paramètres!$A$1:$I$88,3,0)*VLOOKUP('Données projet'!$B$11,Paramètres!$A$1:$I$88,5,0)</f>
        <v>12.761255496313881</v>
      </c>
      <c r="BF14" s="14">
        <f t="shared" si="37"/>
        <v>4.3723958812915118</v>
      </c>
      <c r="BG14" s="22">
        <f t="shared" si="7"/>
        <v>29.841109482662727</v>
      </c>
      <c r="BH14" s="59">
        <f t="shared" si="8"/>
        <v>299.95222059377386</v>
      </c>
      <c r="BI14" s="59">
        <f ca="1">AVERAGE(OFFSET($BH$3,0,0,'Données projet'!$E$11+1,1))-AVERAGE(OFFSET($H$3,0,0,'Données projet'!$E$11+1,1))</f>
        <v>504.15006129790828</v>
      </c>
      <c r="BJ14" s="59">
        <f t="shared" si="38"/>
        <v>374.39334457402742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2.9333333333333331</v>
      </c>
      <c r="BY14" s="13">
        <f>IF('Données projet'!$A$114&gt;35,BY13+BX14-CG13,IF(A14&lt;'Données projet'!$A$114,$BV$205^A14,IF(A14='Données projet'!$A$114,'Données projet'!$B$114,BY13+BX14-CG13)))</f>
        <v>16.039788205522726</v>
      </c>
      <c r="BZ14" s="14">
        <f>BY14*VLOOKUP('Données projet'!$B$12,Paramètres!$A$1:$I$88,3,0)*VLOOKUP('Données projet'!$B$12,Paramètres!$A$1:$I$88,5,0)</f>
        <v>10.759489928264644</v>
      </c>
      <c r="CA14" s="14">
        <f t="shared" si="39"/>
        <v>3.76047924708184</v>
      </c>
      <c r="CB14" s="22">
        <f t="shared" si="10"/>
        <v>25.288946313728459</v>
      </c>
      <c r="CC14" s="59">
        <f t="shared" si="11"/>
        <v>295.40005742483959</v>
      </c>
      <c r="CD14" s="59">
        <f ca="1">AVERAGE(OFFSET($CC$3,0,0,'Données projet'!$E$12+1,1))-AVERAGE(OFFSET($H$3,0,0,'Données projet'!$E$12+1,1))</f>
        <v>387.15063677712425</v>
      </c>
      <c r="CE14" s="59">
        <f t="shared" si="40"/>
        <v>313.19155394370705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</v>
      </c>
      <c r="CT14" s="13">
        <f>IF('Données projet'!$A$140&gt;35,CT13+CS14-DB13,IF(A14&lt;'Données projet'!$A$140,$CQ$205^A14,IF(A14='Données projet'!$A$140,'Données projet'!$B$140,CT13+CS14-DB13)))</f>
        <v>33</v>
      </c>
      <c r="CU14" s="18">
        <f>CT14*VLOOKUP('Données projet'!$B$13,Paramètres!$A$1:$I$88,3,0)*VLOOKUP('Données projet'!$B$13,Paramètres!$A$1:$I$88,5,0)</f>
        <v>31.917600000000004</v>
      </c>
      <c r="CV14" s="14">
        <f t="shared" si="41"/>
        <v>9.829086885605312</v>
      </c>
      <c r="CW14" s="22">
        <f t="shared" si="13"/>
        <v>72.708812992429259</v>
      </c>
      <c r="CX14" s="59">
        <f t="shared" si="14"/>
        <v>342.81992410354042</v>
      </c>
      <c r="CY14" s="59">
        <f ca="1">AVERAGE(OFFSET($CX$3,0,0,'Données projet'!$E$13+1,1))-AVERAGE(OFFSET($H$3,0,0,'Données projet'!$E$13+1,1))</f>
        <v>306.00894145276209</v>
      </c>
      <c r="CZ14" s="59">
        <f t="shared" si="42"/>
        <v>168.74705421228828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2.9333333333333331</v>
      </c>
      <c r="DO14" s="13">
        <f>IF('Données projet'!$A$166&gt;35,DO13+DN14-DW13,IF(A14&lt;'Données projet'!$A$166,$DL$205^A14,IF(A14='Données projet'!$A$166,'Données projet'!$B$166,DO13+DN14-DW13)))</f>
        <v>16.039788205522726</v>
      </c>
      <c r="DP14" s="18">
        <f>DO14*VLOOKUP('Données projet'!$B$14,Paramètres!$A$1:$I$88,3,0)*VLOOKUP('Données projet'!$B$14,Paramètres!$A$1:$I$88,5,0)</f>
        <v>12.511034800307726</v>
      </c>
      <c r="DQ14" s="14">
        <f t="shared" si="43"/>
        <v>4.2965548933290547</v>
      </c>
      <c r="DR14" s="22">
        <f t="shared" si="16"/>
        <v>29.273218716417393</v>
      </c>
      <c r="DS14" s="59">
        <f t="shared" si="17"/>
        <v>299.38432982752852</v>
      </c>
      <c r="DT14" s="59">
        <f ca="1">AVERAGE(OFFSET($DS$3,0,0,'Données projet'!$E$14+1,1))-AVERAGE(OFFSET($H$3,0,0,'Données projet'!$E$14+1,1))</f>
        <v>458.14328535055694</v>
      </c>
      <c r="DU14" s="59">
        <f t="shared" si="44"/>
        <v>366.75500153675739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projet'!$B$14,Paramètres!$A$1:$I$88,3,0)*0.475*44/12</f>
        <v>0</v>
      </c>
      <c r="EB14" s="23">
        <f>EXP(-LN(2)/25)*EB13+(1-EXP(-LN(2)/25))/(LN(2)/25)*Calculateur!DW14*Calculateur!DY14*VLOOKUP('Données projet'!$B$14,Paramètres!$A$1:$I$88,3,0)*0.475*44/12</f>
        <v>0</v>
      </c>
      <c r="EC14" s="23">
        <f>EXP(-LN(2)/2)*EC13+(1-EXP(-LN(2)/2))/(LN(2)/2)*DW14*DZ14*VLOOKUP('Données projet'!$B$14,Paramètres!$A$1:$I$88,3,0)*0.475*44/12</f>
        <v>0</v>
      </c>
      <c r="ED14" s="24">
        <f t="shared" si="18"/>
        <v>0</v>
      </c>
      <c r="EE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3.1</v>
      </c>
      <c r="EJ14" s="13">
        <f>IF('Données projet'!$A$192&gt;35,EJ13+EI14-ER13,IF(A14&lt;'Données projet'!$A$192,$EG$205^A14,IF(A14='Données projet'!$A$192,'Données projet'!$B$192,EJ13+EI14-ER13)))</f>
        <v>5.2695930923239729</v>
      </c>
      <c r="EK14" s="18">
        <f>EJ14*VLOOKUP('Données projet'!$B$15,Paramètres!$A$1:$I$88,3,0)*VLOOKUP('Données projet'!$B$15,Paramètres!$A$1:$I$88,5,0)</f>
        <v>4.5213108732139693</v>
      </c>
      <c r="EL14" s="14">
        <f t="shared" si="45"/>
        <v>1.7480089876925935</v>
      </c>
      <c r="EM14" s="22">
        <f t="shared" si="19"/>
        <v>10.919065424412265</v>
      </c>
      <c r="EN14" s="59">
        <f t="shared" si="20"/>
        <v>281.03017653552342</v>
      </c>
      <c r="EO14" s="59">
        <f ca="1">AVERAGE(OFFSET($EN$3,0,0,'Données projet'!$E$15+1,1))-AVERAGE(OFFSET($H$3,0,0,'Données projet'!$E$15+1,1))</f>
        <v>462.99360395552145</v>
      </c>
      <c r="EP14" s="59">
        <f t="shared" si="46"/>
        <v>153.03880717786046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projet'!$B$15,Paramètres!$A$1:$I$88,3,0)*0.475*44/12</f>
        <v>0</v>
      </c>
      <c r="EW14" s="23">
        <f>EXP(-LN(2)/25)*EW13+(1-EXP(-LN(2)/25))/(LN(2)/25)*Calculateur!ER14*Calculateur!ET14*VLOOKUP('Données projet'!$B$15,Paramètres!$A$1:$I$88,3,0)*0.475*44/12</f>
        <v>0</v>
      </c>
      <c r="EX14" s="23">
        <f>EXP(-LN(2)/2)*EX13+(1-EXP(-LN(2)/2))/(LN(2)/2)*ER14*EU14*VLOOKUP('Données projet'!$B$15,Paramètres!$A$1:$I$88,3,0)*0.475*44/12</f>
        <v>0</v>
      </c>
      <c r="EY14" s="24">
        <f t="shared" si="21"/>
        <v>0</v>
      </c>
      <c r="EZ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1.3333333333333333</v>
      </c>
      <c r="FE14" s="13">
        <f>IF('Données projet'!$A$218&gt;35,FE13+FD14-FM13,IF(A14&lt;'Données projet'!$A$218,$FB$205^A14,IF(A14='Données projet'!$A$218,'Données projet'!$B$218,FE13+FD14-FM13)))</f>
        <v>8.9968123740614221</v>
      </c>
      <c r="FF14" s="18">
        <f>FE14*VLOOKUP('Données projet'!$B$16,Paramètres!$A$1:$I$88,3,0)*VLOOKUP('Données projet'!$B$16,Paramètres!$A$1:$I$88,5,0)</f>
        <v>7.8596152899800593</v>
      </c>
      <c r="FG14" s="14">
        <f t="shared" si="47"/>
        <v>2.8492374478745464</v>
      </c>
      <c r="FH14" s="22">
        <f t="shared" si="22"/>
        <v>18.651251851763437</v>
      </c>
      <c r="FI14" s="59">
        <f t="shared" si="23"/>
        <v>288.76236296287459</v>
      </c>
      <c r="FJ14" s="59">
        <f ca="1">AVERAGE(OFFSET($FI$3,0,0,'Données projet'!$E$16+1,1))-AVERAGE(OFFSET($H$3,0,0,'Données projet'!$E$16+1,1))</f>
        <v>427.76895185088944</v>
      </c>
      <c r="FK14" s="59">
        <f t="shared" si="48"/>
        <v>308.32543361559135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projet'!$B$16,Paramètres!$A$1:$I$88,3,0)*0.475*44/12</f>
        <v>0</v>
      </c>
      <c r="FR14" s="23">
        <f>EXP(-LN(2)/25)*FR13+(1-EXP(-LN(2)/25))/(LN(2)/25)*Calculateur!FM14*Calculateur!FO14*VLOOKUP('Données projet'!$B$16,Paramètres!$A$1:$I$88,3,0)*0.475*44/12</f>
        <v>0</v>
      </c>
      <c r="FS14" s="23">
        <f>EXP(-LN(2)/2)*FS13+(1-EXP(-LN(2)/2))/(LN(2)/2)*FM14*FP14*VLOOKUP('Données projet'!$B$16,Paramètres!$A$1:$I$88,3,0)*0.475*44/12</f>
        <v>0</v>
      </c>
      <c r="FT14" s="24">
        <f t="shared" si="24"/>
        <v>0</v>
      </c>
      <c r="FU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14.8</v>
      </c>
      <c r="FZ14" s="13">
        <f>IF('Données projet'!$A$244&gt;35,FZ13+FY14-GH13,IF(A14&lt;'Données projet'!$A$244,$FW$205^A14,IF(A14='Données projet'!$A$244,'Données projet'!$B$244,FZ13+FY14-GH13)))</f>
        <v>61.8</v>
      </c>
      <c r="GA14" s="18">
        <f>FZ14*VLOOKUP('Données projet'!$B$17,Paramètres!$A$1:$I$88,3,0)*VLOOKUP('Données projet'!$B$17,Paramètres!$A$1:$I$88,5,0)</f>
        <v>38.563200000000002</v>
      </c>
      <c r="GB14" s="14">
        <f t="shared" si="49"/>
        <v>11.617015930302525</v>
      </c>
      <c r="GC14" s="22">
        <f t="shared" si="25"/>
        <v>87.39720941194355</v>
      </c>
      <c r="GD14" s="59">
        <f t="shared" si="26"/>
        <v>357.50832052305469</v>
      </c>
      <c r="GE14" s="59">
        <f ca="1">AVERAGE(OFFSET($GD$3,0,0,'Données projet'!$E$17+1,1))-AVERAGE(OFFSET($H$3,0,0,'Données projet'!$E$17+1,1))</f>
        <v>247.85542034088905</v>
      </c>
      <c r="GF14" s="59">
        <f t="shared" si="50"/>
        <v>299.52241743660352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projet'!$B$17,Paramètres!$A$1:$I$88,3,0)*0.475*44/12</f>
        <v>0</v>
      </c>
      <c r="GM14" s="23">
        <f>EXP(-LN(2)/25)*GM13+(1-EXP(-LN(2)/25))/(LN(2)/25)*Calculateur!GH14*Calculateur!GJ14*VLOOKUP('Données projet'!$B$17,Paramètres!$A$1:$I$88,3,0)*0.475*44/12</f>
        <v>0</v>
      </c>
      <c r="GN14" s="23">
        <f>EXP(-LN(2)/2)*GN13+(1-EXP(-LN(2)/2))/(LN(2)/2)*GH14*GK14*VLOOKUP('Données projet'!$B$17,Paramètres!$A$1:$I$88,3,0)*0.475*44/12</f>
        <v>0</v>
      </c>
      <c r="GO14" s="23">
        <f t="shared" si="27"/>
        <v>0</v>
      </c>
      <c r="GP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3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6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</v>
      </c>
      <c r="N15" s="14">
        <f>IF('Données projet'!$A$36&gt;35,N14+M15-V14,IF(A15&lt;'Données projet'!$A$36,$K$205^A15,IF(A15='Données projet'!$A$36,'Données projet'!$B$36,N14+M15-V14)))</f>
        <v>36</v>
      </c>
      <c r="O15" s="14">
        <f>N15*VLOOKUP('Données projet'!$B$9,Paramètres!$A$1:$I$88,3,0)*VLOOKUP('Données projet'!$B$9,Paramètres!$A$1:$I$88,5,0)</f>
        <v>32.572800000000001</v>
      </c>
      <c r="P15" s="14">
        <f t="shared" si="33"/>
        <v>10.007159566468195</v>
      </c>
      <c r="Q15" s="22">
        <f t="shared" si="2"/>
        <v>74.160096244932106</v>
      </c>
      <c r="R15" s="59">
        <f t="shared" si="0"/>
        <v>345.49342957826542</v>
      </c>
      <c r="S15" s="59">
        <f ca="1">AVERAGE(OFFSET($R$3,0,0,'Données projet'!$E$9+1,1))-AVERAGE(OFFSET($H$3,0,0,'Données projet'!$E$9+1,1))</f>
        <v>247.57967230773539</v>
      </c>
      <c r="T15" s="59">
        <f t="shared" si="34"/>
        <v>156.58857589533295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2.9333333333333331</v>
      </c>
      <c r="AI15" s="14">
        <f>IF('Données projet'!$A$62&gt;35,AI14+AH15-AQ14,IF(A15&lt;'Données projet'!$A$62,$AF$205^A15,IF(A15='Données projet'!$A$62,'Données projet'!$B$62,AI14+AH15-AQ14)))</f>
        <v>20.642492771517173</v>
      </c>
      <c r="AJ15" s="14">
        <f>AI15*VLOOKUP('Données projet'!$B$10,Paramètres!$A$1:$I$88,3,0)*VLOOKUP('Données projet'!$B$10,Paramètres!$A$1:$I$88,5,0)</f>
        <v>16.423167249019063</v>
      </c>
      <c r="AK15" s="14">
        <f t="shared" si="35"/>
        <v>5.4642403696980661</v>
      </c>
      <c r="AL15" s="22">
        <f t="shared" si="4"/>
        <v>38.120568269265661</v>
      </c>
      <c r="AM15" s="59">
        <f t="shared" si="5"/>
        <v>309.45390160259899</v>
      </c>
      <c r="AN15" s="59">
        <f ca="1">AVERAGE(OFFSET($AM$3,0,0,'Données projet'!$E$10+1,1))-AVERAGE(OFFSET($H$3,0,0,'Données projet'!$E$10+1,1))</f>
        <v>504.15006129790828</v>
      </c>
      <c r="AO15" s="59">
        <f t="shared" si="36"/>
        <v>374.39334457402742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2.9333333333333331</v>
      </c>
      <c r="BD15" s="13">
        <f>IF('Données projet'!$A$88&gt;35,BD14+BC15-BL14,IF(A15&lt;'Données projet'!$A$88,$BA$205^A15,IF(A15='Données projet'!$A$88,'Données projet'!$B$88,BD14+BC15-BL14)))</f>
        <v>20.642492771517173</v>
      </c>
      <c r="BE15" s="14">
        <f>BD15*VLOOKUP('Données projet'!$B$11,Paramètres!$A$1:$I$88,3,0)*VLOOKUP('Données projet'!$B$11,Paramètres!$A$1:$I$88,5,0)</f>
        <v>16.423167249019063</v>
      </c>
      <c r="BF15" s="14">
        <f t="shared" si="37"/>
        <v>5.4642403696980661</v>
      </c>
      <c r="BG15" s="22">
        <f t="shared" si="7"/>
        <v>38.120568269265661</v>
      </c>
      <c r="BH15" s="59">
        <f t="shared" si="8"/>
        <v>309.45390160259899</v>
      </c>
      <c r="BI15" s="59">
        <f ca="1">AVERAGE(OFFSET($BH$3,0,0,'Données projet'!$E$11+1,1))-AVERAGE(OFFSET($H$3,0,0,'Données projet'!$E$11+1,1))</f>
        <v>504.15006129790828</v>
      </c>
      <c r="BJ15" s="59">
        <f t="shared" si="38"/>
        <v>374.39334457402742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2.9333333333333331</v>
      </c>
      <c r="BY15" s="13">
        <f>IF('Données projet'!$A$114&gt;35,BY14+BX15-CG14,IF(A15&lt;'Données projet'!$A$114,$BV$205^A15,IF(A15='Données projet'!$A$114,'Données projet'!$B$114,BY14+BX15-CG14)))</f>
        <v>20.642492771517173</v>
      </c>
      <c r="BZ15" s="14">
        <f>BY15*VLOOKUP('Données projet'!$B$12,Paramètres!$A$1:$I$88,3,0)*VLOOKUP('Données projet'!$B$12,Paramètres!$A$1:$I$88,5,0)</f>
        <v>13.846984151133721</v>
      </c>
      <c r="CA15" s="14">
        <f t="shared" si="39"/>
        <v>4.6995201416315702</v>
      </c>
      <c r="CB15" s="22">
        <f t="shared" si="10"/>
        <v>32.301828309899548</v>
      </c>
      <c r="CC15" s="59">
        <f t="shared" si="11"/>
        <v>303.63516164323289</v>
      </c>
      <c r="CD15" s="59">
        <f ca="1">AVERAGE(OFFSET($CC$3,0,0,'Données projet'!$E$12+1,1))-AVERAGE(OFFSET($H$3,0,0,'Données projet'!$E$12+1,1))</f>
        <v>387.15063677712425</v>
      </c>
      <c r="CE15" s="59">
        <f t="shared" si="40"/>
        <v>313.19155394370705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</v>
      </c>
      <c r="CT15" s="13">
        <f>IF('Données projet'!$A$140&gt;35,CT14+CS15-DB14,IF(A15&lt;'Données projet'!$A$140,$CQ$205^A15,IF(A15='Données projet'!$A$140,'Données projet'!$B$140,CT14+CS15-DB14)))</f>
        <v>36</v>
      </c>
      <c r="CU15" s="18">
        <f>CT15*VLOOKUP('Données projet'!$B$13,Paramètres!$A$1:$I$88,3,0)*VLOOKUP('Données projet'!$B$13,Paramètres!$A$1:$I$88,5,0)</f>
        <v>34.819200000000002</v>
      </c>
      <c r="CV15" s="14">
        <f t="shared" si="41"/>
        <v>10.61458811221417</v>
      </c>
      <c r="CW15" s="22">
        <f t="shared" si="13"/>
        <v>79.130514295439681</v>
      </c>
      <c r="CX15" s="59">
        <f t="shared" si="14"/>
        <v>350.46384762877301</v>
      </c>
      <c r="CY15" s="59">
        <f ca="1">AVERAGE(OFFSET($CX$3,0,0,'Données projet'!$E$13+1,1))-AVERAGE(OFFSET($H$3,0,0,'Données projet'!$E$13+1,1))</f>
        <v>306.00894145276209</v>
      </c>
      <c r="CZ15" s="59">
        <f t="shared" si="42"/>
        <v>168.74705421228828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2.9333333333333331</v>
      </c>
      <c r="DO15" s="13">
        <f>IF('Données projet'!$A$166&gt;35,DO14+DN15-DW14,IF(A15&lt;'Données projet'!$A$166,$DL$205^A15,IF(A15='Données projet'!$A$166,'Données projet'!$B$166,DO14+DN15-DW14)))</f>
        <v>20.642492771517173</v>
      </c>
      <c r="DP15" s="18">
        <f>DO15*VLOOKUP('Données projet'!$B$14,Paramètres!$A$1:$I$88,3,0)*VLOOKUP('Données projet'!$B$14,Paramètres!$A$1:$I$88,5,0)</f>
        <v>16.101144361783394</v>
      </c>
      <c r="DQ15" s="14">
        <f t="shared" si="43"/>
        <v>5.3694608942449316</v>
      </c>
      <c r="DR15" s="22">
        <f t="shared" si="16"/>
        <v>37.394637487582663</v>
      </c>
      <c r="DS15" s="59">
        <f t="shared" si="17"/>
        <v>308.72797082091597</v>
      </c>
      <c r="DT15" s="59">
        <f ca="1">AVERAGE(OFFSET($DS$3,0,0,'Données projet'!$E$14+1,1))-AVERAGE(OFFSET($H$3,0,0,'Données projet'!$E$14+1,1))</f>
        <v>458.14328535055694</v>
      </c>
      <c r="DU15" s="59">
        <f t="shared" si="44"/>
        <v>366.75500153675739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projet'!$B$14,Paramètres!$A$1:$I$88,3,0)*0.475*44/12</f>
        <v>0</v>
      </c>
      <c r="EB15" s="23">
        <f>EXP(-LN(2)/25)*EB14+(1-EXP(-LN(2)/25))/(LN(2)/25)*Calculateur!DW15*Calculateur!DY15*VLOOKUP('Données projet'!$B$14,Paramètres!$A$1:$I$88,3,0)*0.475*44/12</f>
        <v>0</v>
      </c>
      <c r="EC15" s="23">
        <f>EXP(-LN(2)/2)*EC14+(1-EXP(-LN(2)/2))/(LN(2)/2)*DW15*DZ15*VLOOKUP('Données projet'!$B$14,Paramètres!$A$1:$I$88,3,0)*0.475*44/12</f>
        <v>0</v>
      </c>
      <c r="ED15" s="24">
        <f t="shared" si="18"/>
        <v>0</v>
      </c>
      <c r="EE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3.1</v>
      </c>
      <c r="EJ15" s="13">
        <f>IF('Données projet'!$A$192&gt;35,EJ14+EI15-ER14,IF(A15&lt;'Données projet'!$A$192,$EG$205^A15,IF(A15='Données projet'!$A$192,'Données projet'!$B$192,EJ14+EI15-ER14)))</f>
        <v>6.129050213617683</v>
      </c>
      <c r="EK15" s="18">
        <f>EJ15*VLOOKUP('Données projet'!$B$15,Paramètres!$A$1:$I$88,3,0)*VLOOKUP('Données projet'!$B$15,Paramètres!$A$1:$I$88,5,0)</f>
        <v>5.2587250832839727</v>
      </c>
      <c r="EL15" s="14">
        <f t="shared" si="45"/>
        <v>1.9976621716242624</v>
      </c>
      <c r="EM15" s="22">
        <f t="shared" si="19"/>
        <v>12.638207802298508</v>
      </c>
      <c r="EN15" s="59">
        <f t="shared" si="20"/>
        <v>283.97154113563181</v>
      </c>
      <c r="EO15" s="59">
        <f ca="1">AVERAGE(OFFSET($EN$3,0,0,'Données projet'!$E$15+1,1))-AVERAGE(OFFSET($H$3,0,0,'Données projet'!$E$15+1,1))</f>
        <v>462.99360395552145</v>
      </c>
      <c r="EP15" s="59">
        <f t="shared" si="46"/>
        <v>153.03880717786046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projet'!$B$15,Paramètres!$A$1:$I$88,3,0)*0.475*44/12</f>
        <v>0</v>
      </c>
      <c r="EW15" s="23">
        <f>EXP(-LN(2)/25)*EW14+(1-EXP(-LN(2)/25))/(LN(2)/25)*Calculateur!ER15*Calculateur!ET15*VLOOKUP('Données projet'!$B$15,Paramètres!$A$1:$I$88,3,0)*0.475*44/12</f>
        <v>0</v>
      </c>
      <c r="EX15" s="23">
        <f>EXP(-LN(2)/2)*EX14+(1-EXP(-LN(2)/2))/(LN(2)/2)*ER15*EU15*VLOOKUP('Données projet'!$B$15,Paramètres!$A$1:$I$88,3,0)*0.475*44/12</f>
        <v>0</v>
      </c>
      <c r="EY15" s="24">
        <f t="shared" si="21"/>
        <v>0</v>
      </c>
      <c r="EZ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1.3333333333333333</v>
      </c>
      <c r="FE15" s="13">
        <f>IF('Données projet'!$A$218&gt;35,FE14+FD15-FM14,IF(A15&lt;'Données projet'!$A$218,$FB$205^A15,IF(A15='Données projet'!$A$218,'Données projet'!$B$218,FE14+FD15-FM14)))</f>
        <v>10.985605433061183</v>
      </c>
      <c r="FF15" s="18">
        <f>FE15*VLOOKUP('Données projet'!$B$16,Paramètres!$A$1:$I$88,3,0)*VLOOKUP('Données projet'!$B$16,Paramètres!$A$1:$I$88,5,0)</f>
        <v>9.5970249063222504</v>
      </c>
      <c r="FG15" s="14">
        <f t="shared" si="47"/>
        <v>3.3991316392827087</v>
      </c>
      <c r="FH15" s="22">
        <f t="shared" si="22"/>
        <v>22.634972650261972</v>
      </c>
      <c r="FI15" s="59">
        <f t="shared" si="23"/>
        <v>293.96830598359531</v>
      </c>
      <c r="FJ15" s="59">
        <f ca="1">AVERAGE(OFFSET($FI$3,0,0,'Données projet'!$E$16+1,1))-AVERAGE(OFFSET($H$3,0,0,'Données projet'!$E$16+1,1))</f>
        <v>427.76895185088944</v>
      </c>
      <c r="FK15" s="59">
        <f t="shared" si="48"/>
        <v>308.32543361559135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projet'!$B$16,Paramètres!$A$1:$I$88,3,0)*0.475*44/12</f>
        <v>0</v>
      </c>
      <c r="FR15" s="23">
        <f>EXP(-LN(2)/25)*FR14+(1-EXP(-LN(2)/25))/(LN(2)/25)*Calculateur!FM15*Calculateur!FO15*VLOOKUP('Données projet'!$B$16,Paramètres!$A$1:$I$88,3,0)*0.475*44/12</f>
        <v>0</v>
      </c>
      <c r="FS15" s="23">
        <f>EXP(-LN(2)/2)*FS14+(1-EXP(-LN(2)/2))/(LN(2)/2)*FM15*FP15*VLOOKUP('Données projet'!$B$16,Paramètres!$A$1:$I$88,3,0)*0.475*44/12</f>
        <v>0</v>
      </c>
      <c r="FT15" s="24">
        <f t="shared" si="24"/>
        <v>0</v>
      </c>
      <c r="FU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14.8</v>
      </c>
      <c r="FZ15" s="13">
        <f>IF('Données projet'!$A$244&gt;35,FZ14+FY15-GH14,IF(A15&lt;'Données projet'!$A$244,$FW$205^A15,IF(A15='Données projet'!$A$244,'Données projet'!$B$244,FZ14+FY15-GH14)))</f>
        <v>76.599999999999994</v>
      </c>
      <c r="GA15" s="18">
        <f>FZ15*VLOOKUP('Données projet'!$B$17,Paramètres!$A$1:$I$88,3,0)*VLOOKUP('Données projet'!$B$17,Paramètres!$A$1:$I$88,5,0)</f>
        <v>47.798399999999994</v>
      </c>
      <c r="GB15" s="14">
        <f t="shared" si="49"/>
        <v>14.043705355612628</v>
      </c>
      <c r="GC15" s="22">
        <f t="shared" si="25"/>
        <v>107.70833349435866</v>
      </c>
      <c r="GD15" s="59">
        <f t="shared" si="26"/>
        <v>379.04166682769198</v>
      </c>
      <c r="GE15" s="59">
        <f ca="1">AVERAGE(OFFSET($GD$3,0,0,'Données projet'!$E$17+1,1))-AVERAGE(OFFSET($H$3,0,0,'Données projet'!$E$17+1,1))</f>
        <v>247.85542034088905</v>
      </c>
      <c r="GF15" s="59">
        <f t="shared" si="50"/>
        <v>299.52241743660352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projet'!$B$17,Paramètres!$A$1:$I$88,3,0)*0.475*44/12</f>
        <v>0</v>
      </c>
      <c r="GM15" s="23">
        <f>EXP(-LN(2)/25)*GM14+(1-EXP(-LN(2)/25))/(LN(2)/25)*Calculateur!GH15*Calculateur!GJ15*VLOOKUP('Données projet'!$B$17,Paramètres!$A$1:$I$88,3,0)*0.475*44/12</f>
        <v>0</v>
      </c>
      <c r="GN15" s="23">
        <f>EXP(-LN(2)/2)*GN14+(1-EXP(-LN(2)/2))/(LN(2)/2)*GH15*GK15*VLOOKUP('Données projet'!$B$17,Paramètres!$A$1:$I$88,3,0)*0.475*44/12</f>
        <v>0</v>
      </c>
      <c r="GO15" s="23">
        <f t="shared" si="27"/>
        <v>0</v>
      </c>
      <c r="GP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3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6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</v>
      </c>
      <c r="N16" s="14">
        <f>IF('Données projet'!$A$36&gt;35,N15+M16-V15,IF(A16&lt;'Données projet'!$A$36,$K$205^A16,IF(A16='Données projet'!$A$36,'Données projet'!$B$36,N15+M16-V15)))</f>
        <v>39</v>
      </c>
      <c r="O16" s="14">
        <f>N16*VLOOKUP('Données projet'!$B$9,Paramètres!$A$1:$I$88,3,0)*VLOOKUP('Données projet'!$B$9,Paramètres!$A$1:$I$88,5,0)</f>
        <v>35.287199999999999</v>
      </c>
      <c r="P16" s="14">
        <f t="shared" si="33"/>
        <v>10.740552489323523</v>
      </c>
      <c r="Q16" s="22">
        <f t="shared" si="2"/>
        <v>80.165002252238452</v>
      </c>
      <c r="R16" s="59">
        <f t="shared" si="0"/>
        <v>352.72055780779397</v>
      </c>
      <c r="S16" s="59">
        <f ca="1">AVERAGE(OFFSET($R$3,0,0,'Données projet'!$E$9+1,1))-AVERAGE(OFFSET($H$3,0,0,'Données projet'!$E$9+1,1))</f>
        <v>247.57967230773539</v>
      </c>
      <c r="T16" s="59">
        <f t="shared" si="34"/>
        <v>156.58857589533295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2.9333333333333331</v>
      </c>
      <c r="AI16" s="14">
        <f>IF('Données projet'!$A$62&gt;35,AI15+AH16-AQ15,IF(A16&lt;'Données projet'!$A$62,$AF$205^A16,IF(A16='Données projet'!$A$62,'Données projet'!$B$62,AI15+AH16-AQ15)))</f>
        <v>26.565968475532745</v>
      </c>
      <c r="AJ16" s="14">
        <f>AI16*VLOOKUP('Données projet'!$B$10,Paramètres!$A$1:$I$88,3,0)*VLOOKUP('Données projet'!$B$10,Paramètres!$A$1:$I$88,5,0)</f>
        <v>21.135884519133853</v>
      </c>
      <c r="AK16" s="14">
        <f t="shared" si="35"/>
        <v>6.8287327196499552</v>
      </c>
      <c r="AL16" s="22">
        <f t="shared" si="4"/>
        <v>48.705041690881806</v>
      </c>
      <c r="AM16" s="59">
        <f t="shared" si="5"/>
        <v>321.26059724643733</v>
      </c>
      <c r="AN16" s="59">
        <f ca="1">AVERAGE(OFFSET($AM$3,0,0,'Données projet'!$E$10+1,1))-AVERAGE(OFFSET($H$3,0,0,'Données projet'!$E$10+1,1))</f>
        <v>504.15006129790828</v>
      </c>
      <c r="AO16" s="59">
        <f t="shared" si="36"/>
        <v>374.39334457402742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2.9333333333333331</v>
      </c>
      <c r="BD16" s="13">
        <f>IF('Données projet'!$A$88&gt;35,BD15+BC16-BL15,IF(A16&lt;'Données projet'!$A$88,$BA$205^A16,IF(A16='Données projet'!$A$88,'Données projet'!$B$88,BD15+BC16-BL15)))</f>
        <v>26.565968475532745</v>
      </c>
      <c r="BE16" s="14">
        <f>BD16*VLOOKUP('Données projet'!$B$11,Paramètres!$A$1:$I$88,3,0)*VLOOKUP('Données projet'!$B$11,Paramètres!$A$1:$I$88,5,0)</f>
        <v>21.135884519133853</v>
      </c>
      <c r="BF16" s="14">
        <f t="shared" si="37"/>
        <v>6.8287327196499552</v>
      </c>
      <c r="BG16" s="22">
        <f t="shared" si="7"/>
        <v>48.705041690881806</v>
      </c>
      <c r="BH16" s="59">
        <f t="shared" si="8"/>
        <v>321.26059724643733</v>
      </c>
      <c r="BI16" s="59">
        <f ca="1">AVERAGE(OFFSET($BH$3,0,0,'Données projet'!$E$11+1,1))-AVERAGE(OFFSET($H$3,0,0,'Données projet'!$E$11+1,1))</f>
        <v>504.15006129790828</v>
      </c>
      <c r="BJ16" s="59">
        <f t="shared" si="38"/>
        <v>374.39334457402742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2.9333333333333331</v>
      </c>
      <c r="BY16" s="13">
        <f>IF('Données projet'!$A$114&gt;35,BY15+BX16-CG15,IF(A16&lt;'Données projet'!$A$114,$BV$205^A16,IF(A16='Données projet'!$A$114,'Données projet'!$B$114,BY15+BX16-CG15)))</f>
        <v>26.565968475532745</v>
      </c>
      <c r="BZ16" s="14">
        <f>BY16*VLOOKUP('Données projet'!$B$12,Paramètres!$A$1:$I$88,3,0)*VLOOKUP('Données projet'!$B$12,Paramètres!$A$1:$I$88,5,0)</f>
        <v>17.820451653387366</v>
      </c>
      <c r="CA16" s="14">
        <f t="shared" si="39"/>
        <v>5.8730518400651484</v>
      </c>
      <c r="CB16" s="22">
        <f t="shared" si="10"/>
        <v>41.266185251096459</v>
      </c>
      <c r="CC16" s="59">
        <f t="shared" si="11"/>
        <v>313.82174080665197</v>
      </c>
      <c r="CD16" s="59">
        <f ca="1">AVERAGE(OFFSET($CC$3,0,0,'Données projet'!$E$12+1,1))-AVERAGE(OFFSET($H$3,0,0,'Données projet'!$E$12+1,1))</f>
        <v>387.15063677712425</v>
      </c>
      <c r="CE16" s="59">
        <f t="shared" si="40"/>
        <v>313.19155394370705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</v>
      </c>
      <c r="CT16" s="13">
        <f>IF('Données projet'!$A$140&gt;35,CT15+CS16-DB15,IF(A16&lt;'Données projet'!$A$140,$CQ$205^A16,IF(A16='Données projet'!$A$140,'Données projet'!$B$140,CT15+CS16-DB15)))</f>
        <v>39</v>
      </c>
      <c r="CU16" s="18">
        <f>CT16*VLOOKUP('Données projet'!$B$13,Paramètres!$A$1:$I$88,3,0)*VLOOKUP('Données projet'!$B$13,Paramètres!$A$1:$I$88,5,0)</f>
        <v>37.720800000000004</v>
      </c>
      <c r="CV16" s="14">
        <f t="shared" si="41"/>
        <v>11.392497542838909</v>
      </c>
      <c r="CW16" s="22">
        <f t="shared" si="13"/>
        <v>85.538993220444425</v>
      </c>
      <c r="CX16" s="59">
        <f t="shared" si="14"/>
        <v>358.09454877599995</v>
      </c>
      <c r="CY16" s="59">
        <f ca="1">AVERAGE(OFFSET($CX$3,0,0,'Données projet'!$E$13+1,1))-AVERAGE(OFFSET($H$3,0,0,'Données projet'!$E$13+1,1))</f>
        <v>306.00894145276209</v>
      </c>
      <c r="CZ16" s="59">
        <f t="shared" si="42"/>
        <v>168.74705421228828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2.9333333333333331</v>
      </c>
      <c r="DO16" s="13">
        <f>IF('Données projet'!$A$166&gt;35,DO15+DN16-DW15,IF(A16&lt;'Données projet'!$A$166,$DL$205^A16,IF(A16='Données projet'!$A$166,'Données projet'!$B$166,DO15+DN16-DW15)))</f>
        <v>26.565968475532745</v>
      </c>
      <c r="DP16" s="18">
        <f>DO16*VLOOKUP('Données projet'!$B$14,Paramètres!$A$1:$I$88,3,0)*VLOOKUP('Données projet'!$B$14,Paramètres!$A$1:$I$88,5,0)</f>
        <v>20.721455410915542</v>
      </c>
      <c r="DQ16" s="14">
        <f t="shared" si="43"/>
        <v>6.7102855684654568</v>
      </c>
      <c r="DR16" s="22">
        <f t="shared" si="16"/>
        <v>47.776948872421904</v>
      </c>
      <c r="DS16" s="59">
        <f t="shared" si="17"/>
        <v>320.33250442797743</v>
      </c>
      <c r="DT16" s="59">
        <f ca="1">AVERAGE(OFFSET($DS$3,0,0,'Données projet'!$E$14+1,1))-AVERAGE(OFFSET($H$3,0,0,'Données projet'!$E$14+1,1))</f>
        <v>458.14328535055694</v>
      </c>
      <c r="DU16" s="59">
        <f t="shared" si="44"/>
        <v>366.75500153675739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projet'!$B$14,Paramètres!$A$1:$I$88,3,0)*0.475*44/12</f>
        <v>0</v>
      </c>
      <c r="EB16" s="23">
        <f>EXP(-LN(2)/25)*EB15+(1-EXP(-LN(2)/25))/(LN(2)/25)*Calculateur!DW16*Calculateur!DY16*VLOOKUP('Données projet'!$B$14,Paramètres!$A$1:$I$88,3,0)*0.475*44/12</f>
        <v>0</v>
      </c>
      <c r="EC16" s="23">
        <f>EXP(-LN(2)/2)*EC15+(1-EXP(-LN(2)/2))/(LN(2)/2)*DW16*DZ16*VLOOKUP('Données projet'!$B$14,Paramètres!$A$1:$I$88,3,0)*0.475*44/12</f>
        <v>0</v>
      </c>
      <c r="ED16" s="24">
        <f t="shared" si="18"/>
        <v>0</v>
      </c>
      <c r="EE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3.1</v>
      </c>
      <c r="EJ16" s="13">
        <f>IF('Données projet'!$A$192&gt;35,EJ15+EI16-ER15,IF(A16&lt;'Données projet'!$A$192,$EG$205^A16,IF(A16='Données projet'!$A$192,'Données projet'!$B$192,EJ15+EI16-ER15)))</f>
        <v>7.128682587611352</v>
      </c>
      <c r="EK16" s="18">
        <f>EJ16*VLOOKUP('Données projet'!$B$15,Paramètres!$A$1:$I$88,3,0)*VLOOKUP('Données projet'!$B$15,Paramètres!$A$1:$I$88,5,0)</f>
        <v>6.1164096601705404</v>
      </c>
      <c r="EL16" s="14">
        <f t="shared" si="45"/>
        <v>2.2829711860957342</v>
      </c>
      <c r="EM16" s="22">
        <f t="shared" si="19"/>
        <v>14.62892164058043</v>
      </c>
      <c r="EN16" s="59">
        <f t="shared" si="20"/>
        <v>287.18447719613596</v>
      </c>
      <c r="EO16" s="59">
        <f ca="1">AVERAGE(OFFSET($EN$3,0,0,'Données projet'!$E$15+1,1))-AVERAGE(OFFSET($H$3,0,0,'Données projet'!$E$15+1,1))</f>
        <v>462.99360395552145</v>
      </c>
      <c r="EP16" s="59">
        <f t="shared" si="46"/>
        <v>153.03880717786046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projet'!$B$15,Paramètres!$A$1:$I$88,3,0)*0.475*44/12</f>
        <v>0</v>
      </c>
      <c r="EW16" s="23">
        <f>EXP(-LN(2)/25)*EW15+(1-EXP(-LN(2)/25))/(LN(2)/25)*Calculateur!ER16*Calculateur!ET16*VLOOKUP('Données projet'!$B$15,Paramètres!$A$1:$I$88,3,0)*0.475*44/12</f>
        <v>0</v>
      </c>
      <c r="EX16" s="23">
        <f>EXP(-LN(2)/2)*EX15+(1-EXP(-LN(2)/2))/(LN(2)/2)*ER16*EU16*VLOOKUP('Données projet'!$B$15,Paramètres!$A$1:$I$88,3,0)*0.475*44/12</f>
        <v>0</v>
      </c>
      <c r="EY16" s="24">
        <f t="shared" si="21"/>
        <v>0</v>
      </c>
      <c r="EZ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1.3333333333333333</v>
      </c>
      <c r="FE16" s="13">
        <f>IF('Données projet'!$A$218&gt;35,FE15+FD16-FM15,IF(A16&lt;'Données projet'!$A$218,$FB$205^A16,IF(A16='Données projet'!$A$218,'Données projet'!$B$218,FE15+FD16-FM15)))</f>
        <v>13.414031738490428</v>
      </c>
      <c r="FF16" s="18">
        <f>FE16*VLOOKUP('Données projet'!$B$16,Paramètres!$A$1:$I$88,3,0)*VLOOKUP('Données projet'!$B$16,Paramètres!$A$1:$I$88,5,0)</f>
        <v>11.718498126745239</v>
      </c>
      <c r="FG16" s="14">
        <f t="shared" si="47"/>
        <v>4.055153742904718</v>
      </c>
      <c r="FH16" s="22">
        <f t="shared" si="22"/>
        <v>27.472443672973672</v>
      </c>
      <c r="FI16" s="59">
        <f t="shared" si="23"/>
        <v>300.02799922852921</v>
      </c>
      <c r="FJ16" s="59">
        <f ca="1">AVERAGE(OFFSET($FI$3,0,0,'Données projet'!$E$16+1,1))-AVERAGE(OFFSET($H$3,0,0,'Données projet'!$E$16+1,1))</f>
        <v>427.76895185088944</v>
      </c>
      <c r="FK16" s="59">
        <f t="shared" si="48"/>
        <v>308.32543361559135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projet'!$B$16,Paramètres!$A$1:$I$88,3,0)*0.475*44/12</f>
        <v>0</v>
      </c>
      <c r="FR16" s="23">
        <f>EXP(-LN(2)/25)*FR15+(1-EXP(-LN(2)/25))/(LN(2)/25)*Calculateur!FM16*Calculateur!FO16*VLOOKUP('Données projet'!$B$16,Paramètres!$A$1:$I$88,3,0)*0.475*44/12</f>
        <v>0</v>
      </c>
      <c r="FS16" s="23">
        <f>EXP(-LN(2)/2)*FS15+(1-EXP(-LN(2)/2))/(LN(2)/2)*FM16*FP16*VLOOKUP('Données projet'!$B$16,Paramètres!$A$1:$I$88,3,0)*0.475*44/12</f>
        <v>0</v>
      </c>
      <c r="FT16" s="24">
        <f t="shared" si="24"/>
        <v>0</v>
      </c>
      <c r="FU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14.8</v>
      </c>
      <c r="FZ16" s="13">
        <f>IF('Données projet'!$A$244&gt;35,FZ15+FY16-GH15,IF(A16&lt;'Données projet'!$A$244,$FW$205^A16,IF(A16='Données projet'!$A$244,'Données projet'!$B$244,FZ15+FY16-GH15)))</f>
        <v>91.399999999999991</v>
      </c>
      <c r="GA16" s="18">
        <f>FZ16*VLOOKUP('Données projet'!$B$17,Paramètres!$A$1:$I$88,3,0)*VLOOKUP('Données projet'!$B$17,Paramètres!$A$1:$I$88,5,0)</f>
        <v>57.033599999999993</v>
      </c>
      <c r="GB16" s="14">
        <f t="shared" si="49"/>
        <v>16.416071192432785</v>
      </c>
      <c r="GC16" s="22">
        <f t="shared" si="25"/>
        <v>127.92484399348707</v>
      </c>
      <c r="GD16" s="59">
        <f t="shared" si="26"/>
        <v>400.4803995490426</v>
      </c>
      <c r="GE16" s="59">
        <f ca="1">AVERAGE(OFFSET($GD$3,0,0,'Données projet'!$E$17+1,1))-AVERAGE(OFFSET($H$3,0,0,'Données projet'!$E$17+1,1))</f>
        <v>247.85542034088905</v>
      </c>
      <c r="GF16" s="59">
        <f t="shared" si="50"/>
        <v>299.52241743660352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projet'!$B$17,Paramètres!$A$1:$I$88,3,0)*0.475*44/12</f>
        <v>0</v>
      </c>
      <c r="GM16" s="23">
        <f>EXP(-LN(2)/25)*GM15+(1-EXP(-LN(2)/25))/(LN(2)/25)*Calculateur!GH16*Calculateur!GJ16*VLOOKUP('Données projet'!$B$17,Paramètres!$A$1:$I$88,3,0)*0.475*44/12</f>
        <v>0</v>
      </c>
      <c r="GN16" s="23">
        <f>EXP(-LN(2)/2)*GN15+(1-EXP(-LN(2)/2))/(LN(2)/2)*GH16*GK16*VLOOKUP('Données projet'!$B$17,Paramètres!$A$1:$I$88,3,0)*0.475*44/12</f>
        <v>0</v>
      </c>
      <c r="GO16" s="23">
        <f t="shared" si="27"/>
        <v>0</v>
      </c>
      <c r="GP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3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6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</v>
      </c>
      <c r="N17" s="14">
        <f>IF('Données projet'!$A$36&gt;35,N16+M17-V16,IF(A17&lt;'Données projet'!$A$36,$K$205^A17,IF(A17='Données projet'!$A$36,'Données projet'!$B$36,N16+M17-V16)))</f>
        <v>42</v>
      </c>
      <c r="O17" s="14">
        <f>N17*VLOOKUP('Données projet'!$B$9,Paramètres!$A$1:$I$88,3,0)*VLOOKUP('Données projet'!$B$9,Paramètres!$A$1:$I$88,5,0)</f>
        <v>38.001600000000003</v>
      </c>
      <c r="P17" s="14">
        <f t="shared" si="33"/>
        <v>11.467401227090512</v>
      </c>
      <c r="Q17" s="22">
        <f t="shared" si="2"/>
        <v>86.158510470515978</v>
      </c>
      <c r="R17" s="59">
        <f t="shared" si="0"/>
        <v>359.93628824829375</v>
      </c>
      <c r="S17" s="59">
        <f ca="1">AVERAGE(OFFSET($R$3,0,0,'Données projet'!$E$9+1,1))-AVERAGE(OFFSET($H$3,0,0,'Données projet'!$E$9+1,1))</f>
        <v>247.57967230773539</v>
      </c>
      <c r="T17" s="59">
        <f t="shared" si="34"/>
        <v>156.58857589533295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2.9333333333333331</v>
      </c>
      <c r="AI17" s="14">
        <f>IF('Données projet'!$A$62&gt;35,AI16+AH17-AQ16,IF(A17&lt;'Données projet'!$A$62,$AF$205^A17,IF(A17='Données projet'!$A$62,'Données projet'!$B$62,AI16+AH17-AQ16)))</f>
        <v>34.189217787534133</v>
      </c>
      <c r="AJ17" s="14">
        <f>AI17*VLOOKUP('Données projet'!$B$10,Paramètres!$A$1:$I$88,3,0)*VLOOKUP('Données projet'!$B$10,Paramètres!$A$1:$I$88,5,0)</f>
        <v>27.200941671762155</v>
      </c>
      <c r="AK17" s="14">
        <f t="shared" si="35"/>
        <v>8.53395667127187</v>
      </c>
      <c r="AL17" s="22">
        <f t="shared" si="4"/>
        <v>62.238281280784264</v>
      </c>
      <c r="AM17" s="59">
        <f t="shared" si="5"/>
        <v>336.01605905856206</v>
      </c>
      <c r="AN17" s="59">
        <f ca="1">AVERAGE(OFFSET($AM$3,0,0,'Données projet'!$E$10+1,1))-AVERAGE(OFFSET($H$3,0,0,'Données projet'!$E$10+1,1))</f>
        <v>504.15006129790828</v>
      </c>
      <c r="AO17" s="59">
        <f t="shared" si="36"/>
        <v>374.39334457402742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2.9333333333333331</v>
      </c>
      <c r="BD17" s="13">
        <f>IF('Données projet'!$A$88&gt;35,BD16+BC17-BL16,IF(A17&lt;'Données projet'!$A$88,$BA$205^A17,IF(A17='Données projet'!$A$88,'Données projet'!$B$88,BD16+BC17-BL16)))</f>
        <v>34.189217787534133</v>
      </c>
      <c r="BE17" s="14">
        <f>BD17*VLOOKUP('Données projet'!$B$11,Paramètres!$A$1:$I$88,3,0)*VLOOKUP('Données projet'!$B$11,Paramètres!$A$1:$I$88,5,0)</f>
        <v>27.200941671762155</v>
      </c>
      <c r="BF17" s="14">
        <f t="shared" si="37"/>
        <v>8.53395667127187</v>
      </c>
      <c r="BG17" s="22">
        <f t="shared" si="7"/>
        <v>62.238281280784264</v>
      </c>
      <c r="BH17" s="59">
        <f t="shared" si="8"/>
        <v>336.01605905856206</v>
      </c>
      <c r="BI17" s="59">
        <f ca="1">AVERAGE(OFFSET($BH$3,0,0,'Données projet'!$E$11+1,1))-AVERAGE(OFFSET($H$3,0,0,'Données projet'!$E$11+1,1))</f>
        <v>504.15006129790828</v>
      </c>
      <c r="BJ17" s="59">
        <f t="shared" si="38"/>
        <v>374.39334457402742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2.9333333333333331</v>
      </c>
      <c r="BY17" s="13">
        <f>IF('Données projet'!$A$114&gt;35,BY16+BX17-CG16,IF(A17&lt;'Données projet'!$A$114,$BV$205^A17,IF(A17='Données projet'!$A$114,'Données projet'!$B$114,BY16+BX17-CG16)))</f>
        <v>34.189217787534133</v>
      </c>
      <c r="BZ17" s="14">
        <f>BY17*VLOOKUP('Données projet'!$B$12,Paramètres!$A$1:$I$88,3,0)*VLOOKUP('Données projet'!$B$12,Paramètres!$A$1:$I$88,5,0)</f>
        <v>22.9341272918779</v>
      </c>
      <c r="CA17" s="14">
        <f t="shared" si="39"/>
        <v>7.3396297657142355</v>
      </c>
      <c r="CB17" s="22">
        <f t="shared" si="10"/>
        <v>52.726793541972967</v>
      </c>
      <c r="CC17" s="59">
        <f t="shared" si="11"/>
        <v>326.50457131975077</v>
      </c>
      <c r="CD17" s="59">
        <f ca="1">AVERAGE(OFFSET($CC$3,0,0,'Données projet'!$E$12+1,1))-AVERAGE(OFFSET($H$3,0,0,'Données projet'!$E$12+1,1))</f>
        <v>387.15063677712425</v>
      </c>
      <c r="CE17" s="59">
        <f t="shared" si="40"/>
        <v>313.19155394370705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</v>
      </c>
      <c r="CT17" s="13">
        <f>IF('Données projet'!$A$140&gt;35,CT16+CS17-DB16,IF(A17&lt;'Données projet'!$A$140,$CQ$205^A17,IF(A17='Données projet'!$A$140,'Données projet'!$B$140,CT16+CS17-DB16)))</f>
        <v>42</v>
      </c>
      <c r="CU17" s="18">
        <f>CT17*VLOOKUP('Données projet'!$B$13,Paramètres!$A$1:$I$88,3,0)*VLOOKUP('Données projet'!$B$13,Paramètres!$A$1:$I$88,5,0)</f>
        <v>40.622399999999999</v>
      </c>
      <c r="CV17" s="14">
        <f t="shared" si="41"/>
        <v>12.163465560290264</v>
      </c>
      <c r="CW17" s="22">
        <f t="shared" si="13"/>
        <v>91.935382517505545</v>
      </c>
      <c r="CX17" s="59">
        <f t="shared" si="14"/>
        <v>365.71316029528333</v>
      </c>
      <c r="CY17" s="59">
        <f ca="1">AVERAGE(OFFSET($CX$3,0,0,'Données projet'!$E$13+1,1))-AVERAGE(OFFSET($H$3,0,0,'Données projet'!$E$13+1,1))</f>
        <v>306.00894145276209</v>
      </c>
      <c r="CZ17" s="59">
        <f t="shared" si="42"/>
        <v>168.74705421228828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2.9333333333333331</v>
      </c>
      <c r="DO17" s="13">
        <f>IF('Données projet'!$A$166&gt;35,DO16+DN17-DW16,IF(A17&lt;'Données projet'!$A$166,$DL$205^A17,IF(A17='Données projet'!$A$166,'Données projet'!$B$166,DO16+DN17-DW16)))</f>
        <v>34.189217787534133</v>
      </c>
      <c r="DP17" s="18">
        <f>DO17*VLOOKUP('Données projet'!$B$14,Paramètres!$A$1:$I$88,3,0)*VLOOKUP('Données projet'!$B$14,Paramètres!$A$1:$I$88,5,0)</f>
        <v>26.667589874276626</v>
      </c>
      <c r="DQ17" s="14">
        <f t="shared" si="43"/>
        <v>8.3859317159041762</v>
      </c>
      <c r="DR17" s="22">
        <f t="shared" si="16"/>
        <v>61.051550102898226</v>
      </c>
      <c r="DS17" s="59">
        <f t="shared" si="17"/>
        <v>334.82932788067598</v>
      </c>
      <c r="DT17" s="59">
        <f ca="1">AVERAGE(OFFSET($DS$3,0,0,'Données projet'!$E$14+1,1))-AVERAGE(OFFSET($H$3,0,0,'Données projet'!$E$14+1,1))</f>
        <v>458.14328535055694</v>
      </c>
      <c r="DU17" s="59">
        <f t="shared" si="44"/>
        <v>366.75500153675739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projet'!$B$14,Paramètres!$A$1:$I$88,3,0)*0.475*44/12</f>
        <v>0</v>
      </c>
      <c r="EB17" s="23">
        <f>EXP(-LN(2)/25)*EB16+(1-EXP(-LN(2)/25))/(LN(2)/25)*Calculateur!DW17*Calculateur!DY17*VLOOKUP('Données projet'!$B$14,Paramètres!$A$1:$I$88,3,0)*0.475*44/12</f>
        <v>0</v>
      </c>
      <c r="EC17" s="23">
        <f>EXP(-LN(2)/2)*EC16+(1-EXP(-LN(2)/2))/(LN(2)/2)*DW17*DZ17*VLOOKUP('Données projet'!$B$14,Paramètres!$A$1:$I$88,3,0)*0.475*44/12</f>
        <v>0</v>
      </c>
      <c r="ED17" s="24">
        <f t="shared" si="18"/>
        <v>0</v>
      </c>
      <c r="EE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3.1</v>
      </c>
      <c r="EJ17" s="13">
        <f>IF('Données projet'!$A$192&gt;35,EJ16+EI17-ER16,IF(A17&lt;'Données projet'!$A$192,$EG$205^A17,IF(A17='Données projet'!$A$192,'Données projet'!$B$192,EJ16+EI17-ER16)))</f>
        <v>8.2913524385889801</v>
      </c>
      <c r="EK17" s="18">
        <f>EJ17*VLOOKUP('Données projet'!$B$15,Paramètres!$A$1:$I$88,3,0)*VLOOKUP('Données projet'!$B$15,Paramètres!$A$1:$I$88,5,0)</f>
        <v>7.1139803923093456</v>
      </c>
      <c r="EL17" s="14">
        <f t="shared" si="45"/>
        <v>2.6090284486418533</v>
      </c>
      <c r="EM17" s="22">
        <f t="shared" si="19"/>
        <v>16.934240397990006</v>
      </c>
      <c r="EN17" s="59">
        <f t="shared" si="20"/>
        <v>290.71201817576775</v>
      </c>
      <c r="EO17" s="59">
        <f ca="1">AVERAGE(OFFSET($EN$3,0,0,'Données projet'!$E$15+1,1))-AVERAGE(OFFSET($H$3,0,0,'Données projet'!$E$15+1,1))</f>
        <v>462.99360395552145</v>
      </c>
      <c r="EP17" s="59">
        <f t="shared" si="46"/>
        <v>153.03880717786046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projet'!$B$15,Paramètres!$A$1:$I$88,3,0)*0.475*44/12</f>
        <v>0</v>
      </c>
      <c r="EW17" s="23">
        <f>EXP(-LN(2)/25)*EW16+(1-EXP(-LN(2)/25))/(LN(2)/25)*Calculateur!ER17*Calculateur!ET17*VLOOKUP('Données projet'!$B$15,Paramètres!$A$1:$I$88,3,0)*0.475*44/12</f>
        <v>0</v>
      </c>
      <c r="EX17" s="23">
        <f>EXP(-LN(2)/2)*EX16+(1-EXP(-LN(2)/2))/(LN(2)/2)*ER17*EU17*VLOOKUP('Données projet'!$B$15,Paramètres!$A$1:$I$88,3,0)*0.475*44/12</f>
        <v>0</v>
      </c>
      <c r="EY17" s="24">
        <f t="shared" si="21"/>
        <v>0</v>
      </c>
      <c r="EZ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1.3333333333333333</v>
      </c>
      <c r="FE17" s="13">
        <f>IF('Données projet'!$A$218&gt;35,FE16+FD17-FM16,IF(A17&lt;'Données projet'!$A$218,$FB$205^A17,IF(A17='Données projet'!$A$218,'Données projet'!$B$218,FE16+FD17-FM16)))</f>
        <v>16.379274549558314</v>
      </c>
      <c r="FF17" s="18">
        <f>FE17*VLOOKUP('Données projet'!$B$16,Paramètres!$A$1:$I$88,3,0)*VLOOKUP('Données projet'!$B$16,Paramètres!$A$1:$I$88,5,0)</f>
        <v>14.308934246494147</v>
      </c>
      <c r="FG17" s="14">
        <f t="shared" si="47"/>
        <v>4.8377861241244124</v>
      </c>
      <c r="FH17" s="22">
        <f t="shared" si="22"/>
        <v>33.347204645493996</v>
      </c>
      <c r="FI17" s="59">
        <f t="shared" si="23"/>
        <v>307.12498242327177</v>
      </c>
      <c r="FJ17" s="59">
        <f ca="1">AVERAGE(OFFSET($FI$3,0,0,'Données projet'!$E$16+1,1))-AVERAGE(OFFSET($H$3,0,0,'Données projet'!$E$16+1,1))</f>
        <v>427.76895185088944</v>
      </c>
      <c r="FK17" s="59">
        <f t="shared" si="48"/>
        <v>308.32543361559135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projet'!$B$16,Paramètres!$A$1:$I$88,3,0)*0.475*44/12</f>
        <v>0</v>
      </c>
      <c r="FR17" s="23">
        <f>EXP(-LN(2)/25)*FR16+(1-EXP(-LN(2)/25))/(LN(2)/25)*Calculateur!FM17*Calculateur!FO17*VLOOKUP('Données projet'!$B$16,Paramètres!$A$1:$I$88,3,0)*0.475*44/12</f>
        <v>0</v>
      </c>
      <c r="FS17" s="23">
        <f>EXP(-LN(2)/2)*FS16+(1-EXP(-LN(2)/2))/(LN(2)/2)*FM17*FP17*VLOOKUP('Données projet'!$B$16,Paramètres!$A$1:$I$88,3,0)*0.475*44/12</f>
        <v>0</v>
      </c>
      <c r="FT17" s="24">
        <f t="shared" si="24"/>
        <v>0</v>
      </c>
      <c r="FU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14.8</v>
      </c>
      <c r="FZ17" s="13">
        <f>IF('Données projet'!$A$244&gt;35,FZ16+FY17-GH16,IF(A17&lt;'Données projet'!$A$244,$FW$205^A17,IF(A17='Données projet'!$A$244,'Données projet'!$B$244,FZ16+FY17-GH16)))</f>
        <v>106.19999999999999</v>
      </c>
      <c r="GA17" s="18">
        <f>FZ17*VLOOKUP('Données projet'!$B$17,Paramètres!$A$1:$I$88,3,0)*VLOOKUP('Données projet'!$B$17,Paramètres!$A$1:$I$88,5,0)</f>
        <v>66.268799999999999</v>
      </c>
      <c r="GB17" s="14">
        <f t="shared" si="49"/>
        <v>18.743935939110333</v>
      </c>
      <c r="GC17" s="22">
        <f t="shared" si="25"/>
        <v>148.06384842728383</v>
      </c>
      <c r="GD17" s="59">
        <f t="shared" si="26"/>
        <v>421.84162620506163</v>
      </c>
      <c r="GE17" s="59">
        <f ca="1">AVERAGE(OFFSET($GD$3,0,0,'Données projet'!$E$17+1,1))-AVERAGE(OFFSET($H$3,0,0,'Données projet'!$E$17+1,1))</f>
        <v>247.85542034088905</v>
      </c>
      <c r="GF17" s="59">
        <f t="shared" si="50"/>
        <v>299.52241743660352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projet'!$B$17,Paramètres!$A$1:$I$88,3,0)*0.475*44/12</f>
        <v>0</v>
      </c>
      <c r="GM17" s="23">
        <f>EXP(-LN(2)/25)*GM16+(1-EXP(-LN(2)/25))/(LN(2)/25)*Calculateur!GH17*Calculateur!GJ17*VLOOKUP('Données projet'!$B$17,Paramètres!$A$1:$I$88,3,0)*0.475*44/12</f>
        <v>0</v>
      </c>
      <c r="GN17" s="23">
        <f>EXP(-LN(2)/2)*GN16+(1-EXP(-LN(2)/2))/(LN(2)/2)*GH17*GK17*VLOOKUP('Données projet'!$B$17,Paramètres!$A$1:$I$88,3,0)*0.475*44/12</f>
        <v>0</v>
      </c>
      <c r="GO17" s="23">
        <f t="shared" si="27"/>
        <v>0</v>
      </c>
      <c r="GP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3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6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</v>
      </c>
      <c r="N18" s="14">
        <f>IF('Données projet'!$A$36&gt;35,N17+M18-V17,IF(A18&lt;'Données projet'!$A$36,$K$205^A18,IF(A18='Données projet'!$A$36,'Données projet'!$B$36,N17+M18-V17)))</f>
        <v>45</v>
      </c>
      <c r="O18" s="14">
        <f>N18*VLOOKUP('Données projet'!$B$9,Paramètres!$A$1:$I$88,3,0)*VLOOKUP('Données projet'!$B$9,Paramètres!$A$1:$I$88,5,0)</f>
        <v>40.716000000000001</v>
      </c>
      <c r="P18" s="14">
        <f t="shared" si="33"/>
        <v>12.188226385475176</v>
      </c>
      <c r="Q18" s="22">
        <f t="shared" si="2"/>
        <v>92.141527621369264</v>
      </c>
      <c r="R18" s="59">
        <f t="shared" si="0"/>
        <v>367.14152762136928</v>
      </c>
      <c r="S18" s="59">
        <f ca="1">AVERAGE(OFFSET($R$3,0,0,'Données projet'!$E$9+1,1))-AVERAGE(OFFSET($H$3,0,0,'Données projet'!$E$9+1,1))</f>
        <v>247.57967230773539</v>
      </c>
      <c r="T18" s="59">
        <f t="shared" si="34"/>
        <v>156.58857589533295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44</v>
      </c>
      <c r="AG18" s="13">
        <f>VLOOKUP(A18,'Données projet'!$A$61:$I$81,9,0)</f>
        <v>2.9333333333333331</v>
      </c>
      <c r="AH18" s="13">
        <f t="array" ref="AH18">INDEX(AG:AG,MIN(IF(ISNUMBER(AG18:AG214),ROW(AG18:AG214),"")))</f>
        <v>2.9333333333333331</v>
      </c>
      <c r="AI18" s="14">
        <f>IF('Données projet'!$A$62&gt;35,AI17+AH18-AQ17,IF(A18&lt;'Données projet'!$A$62,$AF$205^A18,IF(A18='Données projet'!$A$62,'Données projet'!$B$62,AI17+AH18-AQ17)))</f>
        <v>44</v>
      </c>
      <c r="AJ18" s="14">
        <f>AI18*VLOOKUP('Données projet'!$B$10,Paramètres!$A$1:$I$88,3,0)*VLOOKUP('Données projet'!$B$10,Paramètres!$A$1:$I$88,5,0)</f>
        <v>35.006400000000006</v>
      </c>
      <c r="AK18" s="14">
        <f t="shared" si="35"/>
        <v>10.664997365847841</v>
      </c>
      <c r="AL18" s="22">
        <f t="shared" si="4"/>
        <v>79.544350412184983</v>
      </c>
      <c r="AM18" s="59">
        <f t="shared" si="5"/>
        <v>354.544350412185</v>
      </c>
      <c r="AN18" s="59">
        <f ca="1">AVERAGE(OFFSET($AM$3,0,0,'Données projet'!$E$10+1,1))-AVERAGE(OFFSET($H$3,0,0,'Données projet'!$E$10+1,1))</f>
        <v>504.15006129790828</v>
      </c>
      <c r="AO18" s="59">
        <f t="shared" si="36"/>
        <v>374.39334457402742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44</v>
      </c>
      <c r="BB18" s="13">
        <f>VLOOKUP(A18,'Données projet'!$A$87:$I$107,9,0)</f>
        <v>2.9333333333333331</v>
      </c>
      <c r="BC18" s="13">
        <f t="array" ref="BC18">INDEX(BB:BB,MIN(IF(ISNUMBER(BB18:BB214),ROW(BB18:BB214),"")))</f>
        <v>2.9333333333333331</v>
      </c>
      <c r="BD18" s="13">
        <f>IF('Données projet'!$A$88&gt;35,BD17+BC18-BL17,IF(A18&lt;'Données projet'!$A$88,$BA$205^A18,IF(A18='Données projet'!$A$88,'Données projet'!$B$88,BD17+BC18-BL17)))</f>
        <v>44</v>
      </c>
      <c r="BE18" s="14">
        <f>BD18*VLOOKUP('Données projet'!$B$11,Paramètres!$A$1:$I$88,3,0)*VLOOKUP('Données projet'!$B$11,Paramètres!$A$1:$I$88,5,0)</f>
        <v>35.006400000000006</v>
      </c>
      <c r="BF18" s="14">
        <f t="shared" si="37"/>
        <v>10.664997365847841</v>
      </c>
      <c r="BG18" s="22">
        <f t="shared" si="7"/>
        <v>79.544350412184983</v>
      </c>
      <c r="BH18" s="59">
        <f t="shared" si="8"/>
        <v>354.544350412185</v>
      </c>
      <c r="BI18" s="59">
        <f ca="1">AVERAGE(OFFSET($BH$3,0,0,'Données projet'!$E$11+1,1))-AVERAGE(OFFSET($H$3,0,0,'Données projet'!$E$11+1,1))</f>
        <v>504.15006129790828</v>
      </c>
      <c r="BJ18" s="59">
        <f t="shared" si="38"/>
        <v>374.39334457402742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44</v>
      </c>
      <c r="BW18" s="13">
        <f>VLOOKUP(A18,'Données projet'!$A$113:$I$133,9,0)</f>
        <v>2.9333333333333331</v>
      </c>
      <c r="BX18" s="13">
        <f t="array" ref="BX18">INDEX(BW:BW,MIN(IF(ISNUMBER(BW18:BW214),ROW(BW18:BW214),"")))</f>
        <v>2.9333333333333331</v>
      </c>
      <c r="BY18" s="13">
        <f>IF('Données projet'!$A$114&gt;35,BY17+BX18-CG17,IF(A18&lt;'Données projet'!$A$114,$BV$205^A18,IF(A18='Données projet'!$A$114,'Données projet'!$B$114,BY17+BX18-CG17)))</f>
        <v>44</v>
      </c>
      <c r="BZ18" s="14">
        <f>BY18*VLOOKUP('Données projet'!$B$12,Paramètres!$A$1:$I$88,3,0)*VLOOKUP('Données projet'!$B$12,Paramètres!$A$1:$I$88,5,0)</f>
        <v>29.515199999999997</v>
      </c>
      <c r="CA18" s="14">
        <f t="shared" si="39"/>
        <v>9.1724313976361564</v>
      </c>
      <c r="CB18" s="22">
        <f t="shared" si="10"/>
        <v>67.380958017549631</v>
      </c>
      <c r="CC18" s="59">
        <f t="shared" si="11"/>
        <v>342.38095801754963</v>
      </c>
      <c r="CD18" s="59">
        <f ca="1">AVERAGE(OFFSET($CC$3,0,0,'Données projet'!$E$12+1,1))-AVERAGE(OFFSET($H$3,0,0,'Données projet'!$E$12+1,1))</f>
        <v>387.15063677712425</v>
      </c>
      <c r="CE18" s="59">
        <f t="shared" si="40"/>
        <v>313.19155394370705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</v>
      </c>
      <c r="CT18" s="13">
        <f>IF('Données projet'!$A$140&gt;35,CT17+CS18-DB17,IF(A18&lt;'Données projet'!$A$140,$CQ$205^A18,IF(A18='Données projet'!$A$140,'Données projet'!$B$140,CT17+CS18-DB17)))</f>
        <v>45</v>
      </c>
      <c r="CU18" s="18">
        <f>CT18*VLOOKUP('Données projet'!$B$13,Paramètres!$A$1:$I$88,3,0)*VLOOKUP('Données projet'!$B$13,Paramètres!$A$1:$I$88,5,0)</f>
        <v>43.524000000000001</v>
      </c>
      <c r="CV18" s="14">
        <f t="shared" si="41"/>
        <v>12.92804437072639</v>
      </c>
      <c r="CW18" s="22">
        <f t="shared" si="13"/>
        <v>98.320643945681795</v>
      </c>
      <c r="CX18" s="59">
        <f t="shared" si="14"/>
        <v>373.32064394568181</v>
      </c>
      <c r="CY18" s="59">
        <f ca="1">AVERAGE(OFFSET($CX$3,0,0,'Données projet'!$E$13+1,1))-AVERAGE(OFFSET($H$3,0,0,'Données projet'!$E$13+1,1))</f>
        <v>306.00894145276209</v>
      </c>
      <c r="CZ18" s="59">
        <f t="shared" si="42"/>
        <v>168.74705421228828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44</v>
      </c>
      <c r="DM18" s="13">
        <f>VLOOKUP(A18,'Données projet'!$A$165:$I$185,9,0)</f>
        <v>2.9333333333333331</v>
      </c>
      <c r="DN18" s="13">
        <f t="array" ref="DN18">INDEX(DM:DM,MIN(IF(ISNUMBER(DM18:DM214),ROW(DM18:DM214),"")))</f>
        <v>2.9333333333333331</v>
      </c>
      <c r="DO18" s="13">
        <f>IF('Données projet'!$A$166&gt;35,DO17+DN18-DW17,IF(A18&lt;'Données projet'!$A$166,$DL$205^A18,IF(A18='Données projet'!$A$166,'Données projet'!$B$166,DO17+DN18-DW17)))</f>
        <v>44</v>
      </c>
      <c r="DP18" s="18">
        <f>DO18*VLOOKUP('Données projet'!$B$14,Paramètres!$A$1:$I$88,3,0)*VLOOKUP('Données projet'!$B$14,Paramètres!$A$1:$I$88,5,0)</f>
        <v>34.32</v>
      </c>
      <c r="DQ18" s="14">
        <f t="shared" si="43"/>
        <v>10.480008641404153</v>
      </c>
      <c r="DR18" s="22">
        <f t="shared" si="16"/>
        <v>78.026681717112226</v>
      </c>
      <c r="DS18" s="59">
        <f t="shared" si="17"/>
        <v>353.02668171711224</v>
      </c>
      <c r="DT18" s="59">
        <f ca="1">AVERAGE(OFFSET($DS$3,0,0,'Données projet'!$E$14+1,1))-AVERAGE(OFFSET($H$3,0,0,'Données projet'!$E$14+1,1))</f>
        <v>458.14328535055694</v>
      </c>
      <c r="DU18" s="59">
        <f t="shared" si="44"/>
        <v>366.75500153675739</v>
      </c>
      <c r="DV18" s="16">
        <f>IF(ISNA(VLOOKUP(A18,'Données projet'!$A$165:$I$185,3,0)),0,VLOOKUP(A18,'Données projet'!$A$165:$I$185,3,0))</f>
        <v>1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projet'!$B$14,Paramètres!$A$1:$I$88,3,0)*0.475*44/12</f>
        <v>0</v>
      </c>
      <c r="EB18" s="23">
        <f>EXP(-LN(2)/25)*EB17+(1-EXP(-LN(2)/25))/(LN(2)/25)*Calculateur!DW18*Calculateur!DY18*VLOOKUP('Données projet'!$B$14,Paramètres!$A$1:$I$88,3,0)*0.475*44/12</f>
        <v>0</v>
      </c>
      <c r="EC18" s="23">
        <f>EXP(-LN(2)/2)*EC17+(1-EXP(-LN(2)/2))/(LN(2)/2)*DW18*DZ18*VLOOKUP('Données projet'!$B$14,Paramètres!$A$1:$I$88,3,0)*0.475*44/12</f>
        <v>0</v>
      </c>
      <c r="ED18" s="24">
        <f t="shared" si="18"/>
        <v>0</v>
      </c>
      <c r="EE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3.1</v>
      </c>
      <c r="EJ18" s="13">
        <f>IF('Données projet'!$A$192&gt;35,EJ17+EI18-ER17,IF(A18&lt;'Données projet'!$A$192,$EG$205^A18,IF(A18='Données projet'!$A$192,'Données projet'!$B$192,EJ17+EI18-ER17)))</f>
        <v>9.6436507609929532</v>
      </c>
      <c r="EK18" s="18">
        <f>EJ18*VLOOKUP('Données projet'!$B$15,Paramètres!$A$1:$I$88,3,0)*VLOOKUP('Données projet'!$B$15,Paramètres!$A$1:$I$88,5,0)</f>
        <v>8.2742523529319545</v>
      </c>
      <c r="EL18" s="14">
        <f t="shared" si="45"/>
        <v>2.9816536832703897</v>
      </c>
      <c r="EM18" s="22">
        <f t="shared" si="19"/>
        <v>19.604036346385747</v>
      </c>
      <c r="EN18" s="59">
        <f t="shared" si="20"/>
        <v>294.60403634638573</v>
      </c>
      <c r="EO18" s="59">
        <f ca="1">AVERAGE(OFFSET($EN$3,0,0,'Données projet'!$E$15+1,1))-AVERAGE(OFFSET($H$3,0,0,'Données projet'!$E$15+1,1))</f>
        <v>462.99360395552145</v>
      </c>
      <c r="EP18" s="59">
        <f t="shared" si="46"/>
        <v>153.03880717786046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projet'!$B$15,Paramètres!$A$1:$I$88,3,0)*0.475*44/12</f>
        <v>0</v>
      </c>
      <c r="EW18" s="23">
        <f>EXP(-LN(2)/25)*EW17+(1-EXP(-LN(2)/25))/(LN(2)/25)*Calculateur!ER18*Calculateur!ET18*VLOOKUP('Données projet'!$B$15,Paramètres!$A$1:$I$88,3,0)*0.475*44/12</f>
        <v>0</v>
      </c>
      <c r="EX18" s="23">
        <f>EXP(-LN(2)/2)*EX17+(1-EXP(-LN(2)/2))/(LN(2)/2)*ER18*EU18*VLOOKUP('Données projet'!$B$15,Paramètres!$A$1:$I$88,3,0)*0.475*44/12</f>
        <v>0</v>
      </c>
      <c r="EY18" s="24">
        <f t="shared" si="21"/>
        <v>0</v>
      </c>
      <c r="EZ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20</v>
      </c>
      <c r="FC18" s="13">
        <f>VLOOKUP(A18,'Données projet'!$A$217:$I$237,9,0)</f>
        <v>1.3333333333333333</v>
      </c>
      <c r="FD18" s="13">
        <f t="array" ref="FD18">INDEX(FC:FC,MIN(IF(ISNUMBER(FC18:FC214),ROW(FC18:FC214),"")))</f>
        <v>1.3333333333333333</v>
      </c>
      <c r="FE18" s="13">
        <f>IF('Données projet'!$A$218&gt;35,FE17+FD18-FM17,IF(A18&lt;'Données projet'!$A$218,$FB$205^A18,IF(A18='Données projet'!$A$218,'Données projet'!$B$218,FE17+FD18-FM17)))</f>
        <v>20</v>
      </c>
      <c r="FF18" s="18">
        <f>FE18*VLOOKUP('Données projet'!$B$16,Paramètres!$A$1:$I$88,3,0)*VLOOKUP('Données projet'!$B$16,Paramètres!$A$1:$I$88,5,0)</f>
        <v>17.472000000000001</v>
      </c>
      <c r="FG18" s="14">
        <f t="shared" si="47"/>
        <v>5.7714641827626956</v>
      </c>
      <c r="FH18" s="22">
        <f t="shared" si="22"/>
        <v>40.48236678497836</v>
      </c>
      <c r="FI18" s="59">
        <f t="shared" si="23"/>
        <v>315.48236678497835</v>
      </c>
      <c r="FJ18" s="59">
        <f ca="1">AVERAGE(OFFSET($FI$3,0,0,'Données projet'!$E$16+1,1))-AVERAGE(OFFSET($H$3,0,0,'Données projet'!$E$16+1,1))</f>
        <v>427.76895185088944</v>
      </c>
      <c r="FK18" s="59">
        <f t="shared" si="48"/>
        <v>308.32543361559135</v>
      </c>
      <c r="FL18" s="16">
        <f>IF(ISNA(VLOOKUP(A18,'Données projet'!$A$217:$I$237,3,0)),0,VLOOKUP(A18,'Données projet'!$A$217:$I$237,3,0))</f>
        <v>1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projet'!$B$16,Paramètres!$A$1:$I$88,3,0)*0.475*44/12</f>
        <v>0</v>
      </c>
      <c r="FR18" s="23">
        <f>EXP(-LN(2)/25)*FR17+(1-EXP(-LN(2)/25))/(LN(2)/25)*Calculateur!FM18*Calculateur!FO18*VLOOKUP('Données projet'!$B$16,Paramètres!$A$1:$I$88,3,0)*0.475*44/12</f>
        <v>0</v>
      </c>
      <c r="FS18" s="23">
        <f>EXP(-LN(2)/2)*FS17+(1-EXP(-LN(2)/2))/(LN(2)/2)*FM18*FP18*VLOOKUP('Données projet'!$B$16,Paramètres!$A$1:$I$88,3,0)*0.475*44/12</f>
        <v>0</v>
      </c>
      <c r="FT18" s="24">
        <f t="shared" si="24"/>
        <v>0</v>
      </c>
      <c r="FU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121</v>
      </c>
      <c r="FX18" s="13">
        <f>VLOOKUP(A18,'Données projet'!$A$243:$I$263,9,0)</f>
        <v>14.8</v>
      </c>
      <c r="FY18" s="13">
        <f t="array" ref="FY18">INDEX(FX:FX,MIN(IF(ISNUMBER(FX18:FX214),ROW(FX18:FX214),"")))</f>
        <v>14.8</v>
      </c>
      <c r="FZ18" s="13">
        <f>IF('Données projet'!$A$244&gt;35,FZ17+FY18-GH17,IF(A18&lt;'Données projet'!$A$244,$FW$205^A18,IF(A18='Données projet'!$A$244,'Données projet'!$B$244,FZ17+FY18-GH17)))</f>
        <v>120.99999999999999</v>
      </c>
      <c r="GA18" s="18">
        <f>FZ18*VLOOKUP('Données projet'!$B$17,Paramètres!$A$1:$I$88,3,0)*VLOOKUP('Données projet'!$B$17,Paramètres!$A$1:$I$88,5,0)</f>
        <v>75.503999999999991</v>
      </c>
      <c r="GB18" s="14">
        <f t="shared" si="49"/>
        <v>21.034215620093399</v>
      </c>
      <c r="GC18" s="22">
        <f t="shared" si="25"/>
        <v>168.13739220499596</v>
      </c>
      <c r="GD18" s="59">
        <f t="shared" si="26"/>
        <v>443.13739220499599</v>
      </c>
      <c r="GE18" s="59">
        <f ca="1">AVERAGE(OFFSET($GD$3,0,0,'Données projet'!$E$17+1,1))-AVERAGE(OFFSET($H$3,0,0,'Données projet'!$E$17+1,1))</f>
        <v>247.85542034088905</v>
      </c>
      <c r="GF18" s="59">
        <f t="shared" si="50"/>
        <v>299.52241743660352</v>
      </c>
      <c r="GG18" s="16">
        <f>IF(ISNA(VLOOKUP(A18,'Données projet'!$A$243:$I$263,3,0)),0,VLOOKUP(A18,'Données projet'!$A$243:$I$263,3,0))</f>
        <v>2</v>
      </c>
      <c r="GH18" s="16">
        <f>IF(ISNA(VLOOKUP(A18,'Données projet'!$A$243:$I$263,4,0)),0,VLOOKUP(A18,'Données projet'!$A$243:$I$263,4,0))</f>
        <v>36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0.33600000000000002</v>
      </c>
      <c r="GK18" s="17">
        <f>IF(ISNA(VLOOKUP(A18,'Données projet'!$A$243:$I$263,7,0)),0%,VLOOKUP(A18,'Données projet'!$A$243:$I$263,7,0))</f>
        <v>0.44</v>
      </c>
      <c r="GL18" s="23">
        <f>EXP(-LN(2)/35)*GL17+(1-EXP(-LN(2)/35))/(LN(2)/35)*GH18*GI18*VLOOKUP('Données projet'!$B$17,Paramètres!$A$1:$I$88,3,0)*0.475*44/12</f>
        <v>0</v>
      </c>
      <c r="GM18" s="23">
        <f>EXP(-LN(2)/25)*GM17+(1-EXP(-LN(2)/25))/(LN(2)/25)*Calculateur!GH18*Calculateur!GJ18*VLOOKUP('Données projet'!$B$17,Paramètres!$A$1:$I$88,3,0)*0.475*44/12</f>
        <v>9.9733570248763677</v>
      </c>
      <c r="GN18" s="23">
        <f>EXP(-LN(2)/2)*GN17+(1-EXP(-LN(2)/2))/(LN(2)/2)*GH18*GK18*VLOOKUP('Données projet'!$B$17,Paramètres!$A$1:$I$88,3,0)*0.475*44/12</f>
        <v>11.191165185919191</v>
      </c>
      <c r="GO18" s="23">
        <f t="shared" si="27"/>
        <v>21.16452221079556</v>
      </c>
      <c r="GP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3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6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</v>
      </c>
      <c r="N19" s="14">
        <f>IF('Données projet'!$A$36&gt;35,N18+M19-V18,IF(A19&lt;'Données projet'!$A$36,$K$205^A19,IF(A19='Données projet'!$A$36,'Données projet'!$B$36,N18+M19-V18)))</f>
        <v>48</v>
      </c>
      <c r="O19" s="14">
        <f>N19*VLOOKUP('Données projet'!$B$9,Paramètres!$A$1:$I$88,3,0)*VLOOKUP('Données projet'!$B$9,Paramètres!$A$1:$I$88,5,0)</f>
        <v>43.430399999999999</v>
      </c>
      <c r="P19" s="14">
        <f t="shared" si="33"/>
        <v>12.903475229013621</v>
      </c>
      <c r="Q19" s="22">
        <f t="shared" si="2"/>
        <v>98.114832690532054</v>
      </c>
      <c r="R19" s="59">
        <f t="shared" si="0"/>
        <v>374.3370549127543</v>
      </c>
      <c r="S19" s="59">
        <f ca="1">AVERAGE(OFFSET($R$3,0,0,'Données projet'!$E$9+1,1))-AVERAGE(OFFSET($H$3,0,0,'Données projet'!$E$9+1,1))</f>
        <v>247.57967230773539</v>
      </c>
      <c r="T19" s="59">
        <f t="shared" si="34"/>
        <v>156.58857589533295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14.8</v>
      </c>
      <c r="AI19" s="14">
        <f>IF('Données projet'!$A$62&gt;35,AI18+AH19-AQ18,IF(A19&lt;'Données projet'!$A$62,$AF$205^A19,IF(A19='Données projet'!$A$62,'Données projet'!$B$62,AI18+AH19-AQ18)))</f>
        <v>58.8</v>
      </c>
      <c r="AJ19" s="14">
        <f>AI19*VLOOKUP('Données projet'!$B$10,Paramètres!$A$1:$I$88,3,0)*VLOOKUP('Données projet'!$B$10,Paramètres!$A$1:$I$88,5,0)</f>
        <v>46.781280000000002</v>
      </c>
      <c r="AK19" s="14">
        <f t="shared" si="35"/>
        <v>13.779319585353516</v>
      </c>
      <c r="AL19" s="22">
        <f t="shared" si="4"/>
        <v>105.47637761115737</v>
      </c>
      <c r="AM19" s="59">
        <f t="shared" si="5"/>
        <v>381.6985998333796</v>
      </c>
      <c r="AN19" s="59">
        <f ca="1">AVERAGE(OFFSET($AM$3,0,0,'Données projet'!$E$10+1,1))-AVERAGE(OFFSET($H$3,0,0,'Données projet'!$E$10+1,1))</f>
        <v>504.15006129790828</v>
      </c>
      <c r="AO19" s="59">
        <f t="shared" si="36"/>
        <v>374.39334457402742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14.8</v>
      </c>
      <c r="BD19" s="13">
        <f>IF('Données projet'!$A$88&gt;35,BD18+BC19-BL18,IF(A19&lt;'Données projet'!$A$88,$BA$205^A19,IF(A19='Données projet'!$A$88,'Données projet'!$B$88,BD18+BC19-BL18)))</f>
        <v>58.8</v>
      </c>
      <c r="BE19" s="14">
        <f>BD19*VLOOKUP('Données projet'!$B$11,Paramètres!$A$1:$I$88,3,0)*VLOOKUP('Données projet'!$B$11,Paramètres!$A$1:$I$88,5,0)</f>
        <v>46.781280000000002</v>
      </c>
      <c r="BF19" s="14">
        <f t="shared" si="37"/>
        <v>13.779319585353516</v>
      </c>
      <c r="BG19" s="22">
        <f t="shared" si="7"/>
        <v>105.47637761115737</v>
      </c>
      <c r="BH19" s="59">
        <f t="shared" si="8"/>
        <v>381.6985998333796</v>
      </c>
      <c r="BI19" s="59">
        <f ca="1">AVERAGE(OFFSET($BH$3,0,0,'Données projet'!$E$11+1,1))-AVERAGE(OFFSET($H$3,0,0,'Données projet'!$E$11+1,1))</f>
        <v>504.15006129790828</v>
      </c>
      <c r="BJ19" s="59">
        <f t="shared" si="38"/>
        <v>374.39334457402742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14.8</v>
      </c>
      <c r="BY19" s="13">
        <f>IF('Données projet'!$A$114&gt;35,BY18+BX19-CG18,IF(A19&lt;'Données projet'!$A$114,$BV$205^A19,IF(A19='Données projet'!$A$114,'Données projet'!$B$114,BY18+BX19-CG18)))</f>
        <v>58.8</v>
      </c>
      <c r="BZ19" s="14">
        <f>BY19*VLOOKUP('Données projet'!$B$12,Paramètres!$A$1:$I$88,3,0)*VLOOKUP('Données projet'!$B$12,Paramètres!$A$1:$I$88,5,0)</f>
        <v>39.443039999999996</v>
      </c>
      <c r="CA19" s="14">
        <f t="shared" si="39"/>
        <v>11.850904343164059</v>
      </c>
      <c r="CB19" s="22">
        <f t="shared" si="10"/>
        <v>89.336953064344058</v>
      </c>
      <c r="CC19" s="59">
        <f t="shared" si="11"/>
        <v>365.5591752865663</v>
      </c>
      <c r="CD19" s="59">
        <f ca="1">AVERAGE(OFFSET($CC$3,0,0,'Données projet'!$E$12+1,1))-AVERAGE(OFFSET($H$3,0,0,'Données projet'!$E$12+1,1))</f>
        <v>387.15063677712425</v>
      </c>
      <c r="CE19" s="59">
        <f t="shared" si="40"/>
        <v>313.19155394370705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</v>
      </c>
      <c r="CT19" s="13">
        <f>IF('Données projet'!$A$140&gt;35,CT18+CS19-DB18,IF(A19&lt;'Données projet'!$A$140,$CQ$205^A19,IF(A19='Données projet'!$A$140,'Données projet'!$B$140,CT18+CS19-DB18)))</f>
        <v>48</v>
      </c>
      <c r="CU19" s="18">
        <f>CT19*VLOOKUP('Données projet'!$B$13,Paramètres!$A$1:$I$88,3,0)*VLOOKUP('Données projet'!$B$13,Paramètres!$A$1:$I$88,5,0)</f>
        <v>46.425599999999996</v>
      </c>
      <c r="CV19" s="14">
        <f t="shared" si="41"/>
        <v>13.686708387370782</v>
      </c>
      <c r="CW19" s="22">
        <f t="shared" si="13"/>
        <v>104.69560377467076</v>
      </c>
      <c r="CX19" s="59">
        <f t="shared" si="14"/>
        <v>380.91782599689299</v>
      </c>
      <c r="CY19" s="59">
        <f ca="1">AVERAGE(OFFSET($CX$3,0,0,'Données projet'!$E$13+1,1))-AVERAGE(OFFSET($H$3,0,0,'Données projet'!$E$13+1,1))</f>
        <v>306.00894145276209</v>
      </c>
      <c r="CZ19" s="59">
        <f t="shared" si="42"/>
        <v>168.74705421228828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0</v>
      </c>
      <c r="DI19" s="24">
        <f t="shared" si="15"/>
        <v>0</v>
      </c>
      <c r="DJ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14.8</v>
      </c>
      <c r="DO19" s="13">
        <f>IF('Données projet'!$A$166&gt;35,DO18+DN19-DW18,IF(A19&lt;'Données projet'!$A$166,$DL$205^A19,IF(A19='Données projet'!$A$166,'Données projet'!$B$166,DO18+DN19-DW18)))</f>
        <v>58.8</v>
      </c>
      <c r="DP19" s="18">
        <f>DO19*VLOOKUP('Données projet'!$B$14,Paramètres!$A$1:$I$88,3,0)*VLOOKUP('Données projet'!$B$14,Paramètres!$A$1:$I$88,5,0)</f>
        <v>45.863999999999997</v>
      </c>
      <c r="DQ19" s="14">
        <f t="shared" si="43"/>
        <v>13.540311673175401</v>
      </c>
      <c r="DR19" s="22">
        <f t="shared" si="16"/>
        <v>103.46250949744716</v>
      </c>
      <c r="DS19" s="59">
        <f t="shared" si="17"/>
        <v>379.6847317196694</v>
      </c>
      <c r="DT19" s="59">
        <f ca="1">AVERAGE(OFFSET($DS$3,0,0,'Données projet'!$E$14+1,1))-AVERAGE(OFFSET($H$3,0,0,'Données projet'!$E$14+1,1))</f>
        <v>458.14328535055694</v>
      </c>
      <c r="DU19" s="59">
        <f t="shared" si="44"/>
        <v>366.75500153675739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projet'!$B$14,Paramètres!$A$1:$I$88,3,0)*0.475*44/12</f>
        <v>0</v>
      </c>
      <c r="EB19" s="23">
        <f>EXP(-LN(2)/25)*EB18+(1-EXP(-LN(2)/25))/(LN(2)/25)*Calculateur!DW19*Calculateur!DY19*VLOOKUP('Données projet'!$B$14,Paramètres!$A$1:$I$88,3,0)*0.475*44/12</f>
        <v>0</v>
      </c>
      <c r="EC19" s="23">
        <f>EXP(-LN(2)/2)*EC18+(1-EXP(-LN(2)/2))/(LN(2)/2)*DW19*DZ19*VLOOKUP('Données projet'!$B$14,Paramètres!$A$1:$I$88,3,0)*0.475*44/12</f>
        <v>0</v>
      </c>
      <c r="ED19" s="24">
        <f t="shared" si="18"/>
        <v>0</v>
      </c>
      <c r="EE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3.1</v>
      </c>
      <c r="EJ19" s="13">
        <f>IF('Données projet'!$A$192&gt;35,EJ18+EI19-ER18,IF(A19&lt;'Données projet'!$A$192,$EG$205^A19,IF(A19='Données projet'!$A$192,'Données projet'!$B$192,EJ18+EI19-ER18)))</f>
        <v>11.216505472275724</v>
      </c>
      <c r="EK19" s="18">
        <f>EJ19*VLOOKUP('Données projet'!$B$15,Paramètres!$A$1:$I$88,3,0)*VLOOKUP('Données projet'!$B$15,Paramètres!$A$1:$I$88,5,0)</f>
        <v>9.6237616952125737</v>
      </c>
      <c r="EL19" s="14">
        <f t="shared" si="45"/>
        <v>3.4074977954294683</v>
      </c>
      <c r="EM19" s="22">
        <f t="shared" si="19"/>
        <v>22.696110279534889</v>
      </c>
      <c r="EN19" s="59">
        <f t="shared" si="20"/>
        <v>298.91833250175711</v>
      </c>
      <c r="EO19" s="59">
        <f ca="1">AVERAGE(OFFSET($EN$3,0,0,'Données projet'!$E$15+1,1))-AVERAGE(OFFSET($H$3,0,0,'Données projet'!$E$15+1,1))</f>
        <v>462.99360395552145</v>
      </c>
      <c r="EP19" s="59">
        <f t="shared" si="46"/>
        <v>153.03880717786046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projet'!$B$15,Paramètres!$A$1:$I$88,3,0)*0.475*44/12</f>
        <v>0</v>
      </c>
      <c r="EW19" s="23">
        <f>EXP(-LN(2)/25)*EW18+(1-EXP(-LN(2)/25))/(LN(2)/25)*Calculateur!ER19*Calculateur!ET19*VLOOKUP('Données projet'!$B$15,Paramètres!$A$1:$I$88,3,0)*0.475*44/12</f>
        <v>0</v>
      </c>
      <c r="EX19" s="23">
        <f>EXP(-LN(2)/2)*EX18+(1-EXP(-LN(2)/2))/(LN(2)/2)*ER19*EU19*VLOOKUP('Données projet'!$B$15,Paramètres!$A$1:$I$88,3,0)*0.475*44/12</f>
        <v>0</v>
      </c>
      <c r="EY19" s="24">
        <f t="shared" si="21"/>
        <v>0</v>
      </c>
      <c r="EZ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11.4</v>
      </c>
      <c r="FE19" s="13">
        <f>IF('Données projet'!$A$218&gt;35,FE18+FD19-FM18,IF(A19&lt;'Données projet'!$A$218,$FB$205^A19,IF(A19='Données projet'!$A$218,'Données projet'!$B$218,FE18+FD19-FM18)))</f>
        <v>31.4</v>
      </c>
      <c r="FF19" s="18">
        <f>FE19*VLOOKUP('Données projet'!$B$16,Paramètres!$A$1:$I$88,3,0)*VLOOKUP('Données projet'!$B$16,Paramètres!$A$1:$I$88,5,0)</f>
        <v>27.431039999999999</v>
      </c>
      <c r="FG19" s="14">
        <f t="shared" si="47"/>
        <v>8.5977128777312188</v>
      </c>
      <c r="FH19" s="22">
        <f t="shared" si="22"/>
        <v>62.7500779287152</v>
      </c>
      <c r="FI19" s="59">
        <f t="shared" si="23"/>
        <v>338.97230015093743</v>
      </c>
      <c r="FJ19" s="59">
        <f ca="1">AVERAGE(OFFSET($FI$3,0,0,'Données projet'!$E$16+1,1))-AVERAGE(OFFSET($H$3,0,0,'Données projet'!$E$16+1,1))</f>
        <v>427.76895185088944</v>
      </c>
      <c r="FK19" s="59">
        <f t="shared" si="48"/>
        <v>308.32543361559135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projet'!$B$16,Paramètres!$A$1:$I$88,3,0)*0.475*44/12</f>
        <v>0</v>
      </c>
      <c r="FR19" s="23">
        <f>EXP(-LN(2)/25)*FR18+(1-EXP(-LN(2)/25))/(LN(2)/25)*Calculateur!FM19*Calculateur!FO19*VLOOKUP('Données projet'!$B$16,Paramètres!$A$1:$I$88,3,0)*0.475*44/12</f>
        <v>0</v>
      </c>
      <c r="FS19" s="23">
        <f>EXP(-LN(2)/2)*FS18+(1-EXP(-LN(2)/2))/(LN(2)/2)*FM19*FP19*VLOOKUP('Données projet'!$B$16,Paramètres!$A$1:$I$88,3,0)*0.475*44/12</f>
        <v>0</v>
      </c>
      <c r="FT19" s="24">
        <f t="shared" si="24"/>
        <v>0</v>
      </c>
      <c r="FU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16</v>
      </c>
      <c r="FZ19" s="13">
        <f>IF('Données projet'!$A$244&gt;35,FZ18+FY19-GH18,IF(A19&lt;'Données projet'!$A$244,$FW$205^A19,IF(A19='Données projet'!$A$244,'Données projet'!$B$244,FZ18+FY19-GH18)))</f>
        <v>101</v>
      </c>
      <c r="GA19" s="18">
        <f>FZ19*VLOOKUP('Données projet'!$B$17,Paramètres!$A$1:$I$88,3,0)*VLOOKUP('Données projet'!$B$17,Paramètres!$A$1:$I$88,5,0)</f>
        <v>63.024000000000001</v>
      </c>
      <c r="GB19" s="14">
        <f t="shared" si="49"/>
        <v>17.930629390740226</v>
      </c>
      <c r="GC19" s="22">
        <f t="shared" si="25"/>
        <v>140.99597952220589</v>
      </c>
      <c r="GD19" s="59">
        <f t="shared" si="26"/>
        <v>417.21820174442814</v>
      </c>
      <c r="GE19" s="59">
        <f ca="1">AVERAGE(OFFSET($GD$3,0,0,'Données projet'!$E$17+1,1))-AVERAGE(OFFSET($H$3,0,0,'Données projet'!$E$17+1,1))</f>
        <v>247.85542034088905</v>
      </c>
      <c r="GF19" s="59">
        <f t="shared" si="50"/>
        <v>299.52241743660352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projet'!$B$17,Paramètres!$A$1:$I$88,3,0)*0.475*44/12</f>
        <v>0</v>
      </c>
      <c r="GM19" s="23">
        <f>EXP(-LN(2)/25)*GM18+(1-EXP(-LN(2)/25))/(LN(2)/25)*Calculateur!GH19*Calculateur!GJ19*VLOOKUP('Données projet'!$B$17,Paramètres!$A$1:$I$88,3,0)*0.475*44/12</f>
        <v>9.7006350525550715</v>
      </c>
      <c r="GN19" s="23">
        <f>EXP(-LN(2)/2)*GN18+(1-EXP(-LN(2)/2))/(LN(2)/2)*GH19*GK19*VLOOKUP('Données projet'!$B$17,Paramètres!$A$1:$I$88,3,0)*0.475*44/12</f>
        <v>7.9133487923422701</v>
      </c>
      <c r="GO19" s="23">
        <f t="shared" si="27"/>
        <v>17.613983844897341</v>
      </c>
      <c r="GP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3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6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</v>
      </c>
      <c r="N20" s="14">
        <f>IF('Données projet'!$A$36&gt;35,N19+M20-V19,IF(A20&lt;'Données projet'!$A$36,$K$205^A20,IF(A20='Données projet'!$A$36,'Données projet'!$B$36,N19+M20-V19)))</f>
        <v>51</v>
      </c>
      <c r="O20" s="14">
        <f>N20*VLOOKUP('Données projet'!$B$9,Paramètres!$A$1:$I$88,3,0)*VLOOKUP('Données projet'!$B$9,Paramètres!$A$1:$I$88,5,0)</f>
        <v>46.144799999999996</v>
      </c>
      <c r="P20" s="14">
        <f t="shared" si="33"/>
        <v>13.613535954240801</v>
      </c>
      <c r="Q20" s="22">
        <f t="shared" si="2"/>
        <v>104.07910178696937</v>
      </c>
      <c r="R20" s="59">
        <f t="shared" si="0"/>
        <v>381.52354623141383</v>
      </c>
      <c r="S20" s="59">
        <f ca="1">AVERAGE(OFFSET($R$3,0,0,'Données projet'!$E$9+1,1))-AVERAGE(OFFSET($H$3,0,0,'Données projet'!$E$9+1,1))</f>
        <v>247.57967230773539</v>
      </c>
      <c r="T20" s="59">
        <f t="shared" si="34"/>
        <v>156.58857589533295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14.8</v>
      </c>
      <c r="AI20" s="14">
        <f>IF('Données projet'!$A$62&gt;35,AI19+AH20-AQ19,IF(A20&lt;'Données projet'!$A$62,$AF$205^A20,IF(A20='Données projet'!$A$62,'Données projet'!$B$62,AI19+AH20-AQ19)))</f>
        <v>73.599999999999994</v>
      </c>
      <c r="AJ20" s="14">
        <f>AI20*VLOOKUP('Données projet'!$B$10,Paramètres!$A$1:$I$88,3,0)*VLOOKUP('Données projet'!$B$10,Paramètres!$A$1:$I$88,5,0)</f>
        <v>58.556159999999991</v>
      </c>
      <c r="AK20" s="14">
        <f t="shared" si="35"/>
        <v>16.802705063667073</v>
      </c>
      <c r="AL20" s="22">
        <f t="shared" si="4"/>
        <v>131.25002331922013</v>
      </c>
      <c r="AM20" s="59">
        <f t="shared" si="5"/>
        <v>408.69446776366459</v>
      </c>
      <c r="AN20" s="59">
        <f ca="1">AVERAGE(OFFSET($AM$3,0,0,'Données projet'!$E$10+1,1))-AVERAGE(OFFSET($H$3,0,0,'Données projet'!$E$10+1,1))</f>
        <v>504.15006129790828</v>
      </c>
      <c r="AO20" s="59">
        <f t="shared" si="36"/>
        <v>374.39334457402742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14.8</v>
      </c>
      <c r="BD20" s="13">
        <f>IF('Données projet'!$A$88&gt;35,BD19+BC20-BL19,IF(A20&lt;'Données projet'!$A$88,$BA$205^A20,IF(A20='Données projet'!$A$88,'Données projet'!$B$88,BD19+BC20-BL19)))</f>
        <v>73.599999999999994</v>
      </c>
      <c r="BE20" s="14">
        <f>BD20*VLOOKUP('Données projet'!$B$11,Paramètres!$A$1:$I$88,3,0)*VLOOKUP('Données projet'!$B$11,Paramètres!$A$1:$I$88,5,0)</f>
        <v>58.556159999999991</v>
      </c>
      <c r="BF20" s="14">
        <f t="shared" si="37"/>
        <v>16.802705063667073</v>
      </c>
      <c r="BG20" s="22">
        <f t="shared" si="7"/>
        <v>131.25002331922013</v>
      </c>
      <c r="BH20" s="59">
        <f t="shared" si="8"/>
        <v>408.69446776366459</v>
      </c>
      <c r="BI20" s="59">
        <f ca="1">AVERAGE(OFFSET($BH$3,0,0,'Données projet'!$E$11+1,1))-AVERAGE(OFFSET($H$3,0,0,'Données projet'!$E$11+1,1))</f>
        <v>504.15006129790828</v>
      </c>
      <c r="BJ20" s="59">
        <f t="shared" si="38"/>
        <v>374.39334457402742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14.8</v>
      </c>
      <c r="BY20" s="13">
        <f>IF('Données projet'!$A$114&gt;35,BY19+BX20-CG19,IF(A20&lt;'Données projet'!$A$114,$BV$205^A20,IF(A20='Données projet'!$A$114,'Données projet'!$B$114,BY19+BX20-CG19)))</f>
        <v>73.599999999999994</v>
      </c>
      <c r="BZ20" s="14">
        <f>BY20*VLOOKUP('Données projet'!$B$12,Paramètres!$A$1:$I$88,3,0)*VLOOKUP('Données projet'!$B$12,Paramètres!$A$1:$I$88,5,0)</f>
        <v>49.370879999999993</v>
      </c>
      <c r="CA20" s="14">
        <f t="shared" si="39"/>
        <v>14.451167140906994</v>
      </c>
      <c r="CB20" s="22">
        <f t="shared" si="10"/>
        <v>111.15673210374634</v>
      </c>
      <c r="CC20" s="59">
        <f t="shared" si="11"/>
        <v>388.60117654819078</v>
      </c>
      <c r="CD20" s="59">
        <f ca="1">AVERAGE(OFFSET($CC$3,0,0,'Données projet'!$E$12+1,1))-AVERAGE(OFFSET($H$3,0,0,'Données projet'!$E$12+1,1))</f>
        <v>387.15063677712425</v>
      </c>
      <c r="CE20" s="59">
        <f t="shared" si="40"/>
        <v>313.19155394370705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</v>
      </c>
      <c r="CT20" s="13">
        <f>IF('Données projet'!$A$140&gt;35,CT19+CS20-DB19,IF(A20&lt;'Données projet'!$A$140,$CQ$205^A20,IF(A20='Données projet'!$A$140,'Données projet'!$B$140,CT19+CS20-DB19)))</f>
        <v>51</v>
      </c>
      <c r="CU20" s="18">
        <f>CT20*VLOOKUP('Données projet'!$B$13,Paramètres!$A$1:$I$88,3,0)*VLOOKUP('Données projet'!$B$13,Paramètres!$A$1:$I$88,5,0)</f>
        <v>49.327200000000005</v>
      </c>
      <c r="CV20" s="14">
        <f t="shared" si="41"/>
        <v>14.439869370053771</v>
      </c>
      <c r="CW20" s="22">
        <f t="shared" si="13"/>
        <v>111.06097915284364</v>
      </c>
      <c r="CX20" s="59">
        <f t="shared" si="14"/>
        <v>388.50542359728809</v>
      </c>
      <c r="CY20" s="59">
        <f ca="1">AVERAGE(OFFSET($CX$3,0,0,'Données projet'!$E$13+1,1))-AVERAGE(OFFSET($H$3,0,0,'Données projet'!$E$13+1,1))</f>
        <v>306.00894145276209</v>
      </c>
      <c r="CZ20" s="59">
        <f t="shared" si="42"/>
        <v>168.74705421228828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0</v>
      </c>
      <c r="DI20" s="24">
        <f t="shared" si="15"/>
        <v>0</v>
      </c>
      <c r="DJ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14.8</v>
      </c>
      <c r="DO20" s="13">
        <f>IF('Données projet'!$A$166&gt;35,DO19+DN20-DW19,IF(A20&lt;'Données projet'!$A$166,$DL$205^A20,IF(A20='Données projet'!$A$166,'Données projet'!$B$166,DO19+DN20-DW19)))</f>
        <v>73.599999999999994</v>
      </c>
      <c r="DP20" s="18">
        <f>DO20*VLOOKUP('Données projet'!$B$14,Paramètres!$A$1:$I$88,3,0)*VLOOKUP('Données projet'!$B$14,Paramètres!$A$1:$I$88,5,0)</f>
        <v>57.407999999999994</v>
      </c>
      <c r="DQ20" s="14">
        <f t="shared" si="43"/>
        <v>16.511255298579947</v>
      </c>
      <c r="DR20" s="22">
        <f t="shared" si="16"/>
        <v>128.74270297836003</v>
      </c>
      <c r="DS20" s="59">
        <f t="shared" si="17"/>
        <v>406.18714742280451</v>
      </c>
      <c r="DT20" s="59">
        <f ca="1">AVERAGE(OFFSET($DS$3,0,0,'Données projet'!$E$14+1,1))-AVERAGE(OFFSET($H$3,0,0,'Données projet'!$E$14+1,1))</f>
        <v>458.14328535055694</v>
      </c>
      <c r="DU20" s="59">
        <f t="shared" si="44"/>
        <v>366.75500153675739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projet'!$B$14,Paramètres!$A$1:$I$88,3,0)*0.475*44/12</f>
        <v>0</v>
      </c>
      <c r="EB20" s="23">
        <f>EXP(-LN(2)/25)*EB19+(1-EXP(-LN(2)/25))/(LN(2)/25)*Calculateur!DW20*Calculateur!DY20*VLOOKUP('Données projet'!$B$14,Paramètres!$A$1:$I$88,3,0)*0.475*44/12</f>
        <v>0</v>
      </c>
      <c r="EC20" s="23">
        <f>EXP(-LN(2)/2)*EC19+(1-EXP(-LN(2)/2))/(LN(2)/2)*DW20*DZ20*VLOOKUP('Données projet'!$B$14,Paramètres!$A$1:$I$88,3,0)*0.475*44/12</f>
        <v>0</v>
      </c>
      <c r="ED20" s="24">
        <f t="shared" si="18"/>
        <v>0</v>
      </c>
      <c r="EE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3.1</v>
      </c>
      <c r="EJ20" s="13">
        <f>IF('Données projet'!$A$192&gt;35,EJ19+EI20-ER19,IF(A20&lt;'Données projet'!$A$192,$EG$205^A20,IF(A20='Données projet'!$A$192,'Données projet'!$B$192,EJ19+EI20-ER19)))</f>
        <v>13.045888753922203</v>
      </c>
      <c r="EK20" s="18">
        <f>EJ20*VLOOKUP('Données projet'!$B$15,Paramètres!$A$1:$I$88,3,0)*VLOOKUP('Données projet'!$B$15,Paramètres!$A$1:$I$88,5,0)</f>
        <v>11.193372550865252</v>
      </c>
      <c r="EL20" s="14">
        <f t="shared" si="45"/>
        <v>3.8941615825488016</v>
      </c>
      <c r="EM20" s="22">
        <f t="shared" si="19"/>
        <v>26.277455282362808</v>
      </c>
      <c r="EN20" s="59">
        <f t="shared" si="20"/>
        <v>303.72189972680724</v>
      </c>
      <c r="EO20" s="59">
        <f ca="1">AVERAGE(OFFSET($EN$3,0,0,'Données projet'!$E$15+1,1))-AVERAGE(OFFSET($H$3,0,0,'Données projet'!$E$15+1,1))</f>
        <v>462.99360395552145</v>
      </c>
      <c r="EP20" s="59">
        <f t="shared" si="46"/>
        <v>153.03880717786046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projet'!$B$15,Paramètres!$A$1:$I$88,3,0)*0.475*44/12</f>
        <v>0</v>
      </c>
      <c r="EW20" s="23">
        <f>EXP(-LN(2)/25)*EW19+(1-EXP(-LN(2)/25))/(LN(2)/25)*Calculateur!ER20*Calculateur!ET20*VLOOKUP('Données projet'!$B$15,Paramètres!$A$1:$I$88,3,0)*0.475*44/12</f>
        <v>0</v>
      </c>
      <c r="EX20" s="23">
        <f>EXP(-LN(2)/2)*EX19+(1-EXP(-LN(2)/2))/(LN(2)/2)*ER20*EU20*VLOOKUP('Données projet'!$B$15,Paramètres!$A$1:$I$88,3,0)*0.475*44/12</f>
        <v>0</v>
      </c>
      <c r="EY20" s="24">
        <f t="shared" si="21"/>
        <v>0</v>
      </c>
      <c r="EZ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11.4</v>
      </c>
      <c r="FE20" s="13">
        <f>IF('Données projet'!$A$218&gt;35,FE19+FD20-FM19,IF(A20&lt;'Données projet'!$A$218,$FB$205^A20,IF(A20='Données projet'!$A$218,'Données projet'!$B$218,FE19+FD20-FM19)))</f>
        <v>42.8</v>
      </c>
      <c r="FF20" s="18">
        <f>FE20*VLOOKUP('Données projet'!$B$16,Paramètres!$A$1:$I$88,3,0)*VLOOKUP('Données projet'!$B$16,Paramètres!$A$1:$I$88,5,0)</f>
        <v>37.390080000000005</v>
      </c>
      <c r="FG20" s="14">
        <f t="shared" si="47"/>
        <v>11.304194332413008</v>
      </c>
      <c r="FH20" s="22">
        <f t="shared" si="22"/>
        <v>84.809194462285987</v>
      </c>
      <c r="FI20" s="59">
        <f t="shared" si="23"/>
        <v>362.25363890673043</v>
      </c>
      <c r="FJ20" s="59">
        <f ca="1">AVERAGE(OFFSET($FI$3,0,0,'Données projet'!$E$16+1,1))-AVERAGE(OFFSET($H$3,0,0,'Données projet'!$E$16+1,1))</f>
        <v>427.76895185088944</v>
      </c>
      <c r="FK20" s="59">
        <f t="shared" si="48"/>
        <v>308.32543361559135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projet'!$B$16,Paramètres!$A$1:$I$88,3,0)*0.475*44/12</f>
        <v>0</v>
      </c>
      <c r="FR20" s="23">
        <f>EXP(-LN(2)/25)*FR19+(1-EXP(-LN(2)/25))/(LN(2)/25)*Calculateur!FM20*Calculateur!FO20*VLOOKUP('Données projet'!$B$16,Paramètres!$A$1:$I$88,3,0)*0.475*44/12</f>
        <v>0</v>
      </c>
      <c r="FS20" s="23">
        <f>EXP(-LN(2)/2)*FS19+(1-EXP(-LN(2)/2))/(LN(2)/2)*FM20*FP20*VLOOKUP('Données projet'!$B$16,Paramètres!$A$1:$I$88,3,0)*0.475*44/12</f>
        <v>0</v>
      </c>
      <c r="FT20" s="24">
        <f t="shared" si="24"/>
        <v>0</v>
      </c>
      <c r="FU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16</v>
      </c>
      <c r="FZ20" s="13">
        <f>IF('Données projet'!$A$244&gt;35,FZ19+FY20-GH19,IF(A20&lt;'Données projet'!$A$244,$FW$205^A20,IF(A20='Données projet'!$A$244,'Données projet'!$B$244,FZ19+FY20-GH19)))</f>
        <v>117</v>
      </c>
      <c r="GA20" s="18">
        <f>FZ20*VLOOKUP('Données projet'!$B$17,Paramètres!$A$1:$I$88,3,0)*VLOOKUP('Données projet'!$B$17,Paramètres!$A$1:$I$88,5,0)</f>
        <v>73.007999999999996</v>
      </c>
      <c r="GB20" s="14">
        <f t="shared" si="49"/>
        <v>20.418611018263636</v>
      </c>
      <c r="GC20" s="22">
        <f t="shared" si="25"/>
        <v>162.7180141901425</v>
      </c>
      <c r="GD20" s="59">
        <f t="shared" si="26"/>
        <v>440.16245863458698</v>
      </c>
      <c r="GE20" s="59">
        <f ca="1">AVERAGE(OFFSET($GD$3,0,0,'Données projet'!$E$17+1,1))-AVERAGE(OFFSET($H$3,0,0,'Données projet'!$E$17+1,1))</f>
        <v>247.85542034088905</v>
      </c>
      <c r="GF20" s="59">
        <f t="shared" si="50"/>
        <v>299.52241743660352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projet'!$B$17,Paramètres!$A$1:$I$88,3,0)*0.475*44/12</f>
        <v>0</v>
      </c>
      <c r="GM20" s="23">
        <f>EXP(-LN(2)/25)*GM19+(1-EXP(-LN(2)/25))/(LN(2)/25)*Calculateur!GH20*Calculateur!GJ20*VLOOKUP('Données projet'!$B$17,Paramètres!$A$1:$I$88,3,0)*0.475*44/12</f>
        <v>9.4353706769087271</v>
      </c>
      <c r="GN20" s="23">
        <f>EXP(-LN(2)/2)*GN19+(1-EXP(-LN(2)/2))/(LN(2)/2)*GH20*GK20*VLOOKUP('Données projet'!$B$17,Paramètres!$A$1:$I$88,3,0)*0.475*44/12</f>
        <v>5.5955825929595964</v>
      </c>
      <c r="GO20" s="23">
        <f t="shared" si="27"/>
        <v>15.030953269868323</v>
      </c>
      <c r="GP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3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6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</v>
      </c>
      <c r="N21" s="14">
        <f>IF('Données projet'!$A$36&gt;35,N20+M21-V20,IF(A21&lt;'Données projet'!$A$36,$K$205^A21,IF(A21='Données projet'!$A$36,'Données projet'!$B$36,N20+M21-V20)))</f>
        <v>54</v>
      </c>
      <c r="O21" s="14">
        <f>N21*VLOOKUP('Données projet'!$B$9,Paramètres!$A$1:$I$88,3,0)*VLOOKUP('Données projet'!$B$9,Paramètres!$A$1:$I$88,5,0)</f>
        <v>48.859199999999994</v>
      </c>
      <c r="P21" s="14">
        <f t="shared" si="33"/>
        <v>14.318748507569314</v>
      </c>
      <c r="Q21" s="22">
        <f t="shared" si="2"/>
        <v>110.03492698401654</v>
      </c>
      <c r="R21" s="59">
        <f t="shared" si="0"/>
        <v>388.70159365068321</v>
      </c>
      <c r="S21" s="59">
        <f ca="1">AVERAGE(OFFSET($R$3,0,0,'Données projet'!$E$9+1,1))-AVERAGE(OFFSET($H$3,0,0,'Données projet'!$E$9+1,1))</f>
        <v>247.57967230773539</v>
      </c>
      <c r="T21" s="59">
        <f t="shared" si="34"/>
        <v>156.58857589533295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14.8</v>
      </c>
      <c r="AI21" s="14">
        <f>IF('Données projet'!$A$62&gt;35,AI20+AH21-AQ20,IF(A21&lt;'Données projet'!$A$62,$AF$205^A21,IF(A21='Données projet'!$A$62,'Données projet'!$B$62,AI20+AH21-AQ20)))</f>
        <v>88.399999999999991</v>
      </c>
      <c r="AJ21" s="14">
        <f>AI21*VLOOKUP('Données projet'!$B$10,Paramètres!$A$1:$I$88,3,0)*VLOOKUP('Données projet'!$B$10,Paramètres!$A$1:$I$88,5,0)</f>
        <v>70.331040000000002</v>
      </c>
      <c r="AK21" s="14">
        <f t="shared" si="35"/>
        <v>19.755643883558012</v>
      </c>
      <c r="AL21" s="22">
        <f t="shared" si="4"/>
        <v>156.9009744305302</v>
      </c>
      <c r="AM21" s="59">
        <f t="shared" si="5"/>
        <v>435.56764109719688</v>
      </c>
      <c r="AN21" s="59">
        <f ca="1">AVERAGE(OFFSET($AM$3,0,0,'Données projet'!$E$10+1,1))-AVERAGE(OFFSET($H$3,0,0,'Données projet'!$E$10+1,1))</f>
        <v>504.15006129790828</v>
      </c>
      <c r="AO21" s="59">
        <f t="shared" si="36"/>
        <v>374.39334457402742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14.8</v>
      </c>
      <c r="BD21" s="13">
        <f>IF('Données projet'!$A$88&gt;35,BD20+BC21-BL20,IF(A21&lt;'Données projet'!$A$88,$BA$205^A21,IF(A21='Données projet'!$A$88,'Données projet'!$B$88,BD20+BC21-BL20)))</f>
        <v>88.399999999999991</v>
      </c>
      <c r="BE21" s="14">
        <f>BD21*VLOOKUP('Données projet'!$B$11,Paramètres!$A$1:$I$88,3,0)*VLOOKUP('Données projet'!$B$11,Paramètres!$A$1:$I$88,5,0)</f>
        <v>70.331040000000002</v>
      </c>
      <c r="BF21" s="14">
        <f t="shared" si="37"/>
        <v>19.755643883558012</v>
      </c>
      <c r="BG21" s="22">
        <f t="shared" si="7"/>
        <v>156.9009744305302</v>
      </c>
      <c r="BH21" s="59">
        <f t="shared" si="8"/>
        <v>435.56764109719688</v>
      </c>
      <c r="BI21" s="59">
        <f ca="1">AVERAGE(OFFSET($BH$3,0,0,'Données projet'!$E$11+1,1))-AVERAGE(OFFSET($H$3,0,0,'Données projet'!$E$11+1,1))</f>
        <v>504.15006129790828</v>
      </c>
      <c r="BJ21" s="59">
        <f t="shared" si="38"/>
        <v>374.39334457402742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14.8</v>
      </c>
      <c r="BY21" s="13">
        <f>IF('Données projet'!$A$114&gt;35,BY20+BX21-CG20,IF(A21&lt;'Données projet'!$A$114,$BV$205^A21,IF(A21='Données projet'!$A$114,'Données projet'!$B$114,BY20+BX21-CG20)))</f>
        <v>88.399999999999991</v>
      </c>
      <c r="BZ21" s="14">
        <f>BY21*VLOOKUP('Données projet'!$B$12,Paramètres!$A$1:$I$88,3,0)*VLOOKUP('Données projet'!$B$12,Paramètres!$A$1:$I$88,5,0)</f>
        <v>59.298719999999989</v>
      </c>
      <c r="CA21" s="14">
        <f t="shared" si="39"/>
        <v>16.990842287344602</v>
      </c>
      <c r="CB21" s="22">
        <f t="shared" si="10"/>
        <v>132.87098765045849</v>
      </c>
      <c r="CC21" s="59">
        <f t="shared" si="11"/>
        <v>411.5376543171252</v>
      </c>
      <c r="CD21" s="59">
        <f ca="1">AVERAGE(OFFSET($CC$3,0,0,'Données projet'!$E$12+1,1))-AVERAGE(OFFSET($H$3,0,0,'Données projet'!$E$12+1,1))</f>
        <v>387.15063677712425</v>
      </c>
      <c r="CE21" s="59">
        <f t="shared" si="40"/>
        <v>313.19155394370705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</v>
      </c>
      <c r="CT21" s="13">
        <f>IF('Données projet'!$A$140&gt;35,CT20+CS21-DB20,IF(A21&lt;'Données projet'!$A$140,$CQ$205^A21,IF(A21='Données projet'!$A$140,'Données projet'!$B$140,CT20+CS21-DB20)))</f>
        <v>54</v>
      </c>
      <c r="CU21" s="18">
        <f>CT21*VLOOKUP('Données projet'!$B$13,Paramètres!$A$1:$I$88,3,0)*VLOOKUP('Données projet'!$B$13,Paramètres!$A$1:$I$88,5,0)</f>
        <v>52.2288</v>
      </c>
      <c r="CV21" s="14">
        <f t="shared" si="41"/>
        <v>15.187887899730002</v>
      </c>
      <c r="CW21" s="22">
        <f t="shared" si="13"/>
        <v>117.41739809202976</v>
      </c>
      <c r="CX21" s="59">
        <f t="shared" si="14"/>
        <v>396.08406475869646</v>
      </c>
      <c r="CY21" s="59">
        <f ca="1">AVERAGE(OFFSET($CX$3,0,0,'Données projet'!$E$13+1,1))-AVERAGE(OFFSET($H$3,0,0,'Données projet'!$E$13+1,1))</f>
        <v>306.00894145276209</v>
      </c>
      <c r="CZ21" s="59">
        <f t="shared" si="42"/>
        <v>168.74705421228828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0</v>
      </c>
      <c r="DI21" s="24">
        <f t="shared" si="15"/>
        <v>0</v>
      </c>
      <c r="DJ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14.8</v>
      </c>
      <c r="DO21" s="13">
        <f>IF('Données projet'!$A$166&gt;35,DO20+DN21-DW20,IF(A21&lt;'Données projet'!$A$166,$DL$205^A21,IF(A21='Données projet'!$A$166,'Données projet'!$B$166,DO20+DN21-DW20)))</f>
        <v>88.399999999999991</v>
      </c>
      <c r="DP21" s="18">
        <f>DO21*VLOOKUP('Données projet'!$B$14,Paramètres!$A$1:$I$88,3,0)*VLOOKUP('Données projet'!$B$14,Paramètres!$A$1:$I$88,5,0)</f>
        <v>68.951999999999998</v>
      </c>
      <c r="DQ21" s="14">
        <f t="shared" si="43"/>
        <v>19.412974191553594</v>
      </c>
      <c r="DR21" s="22">
        <f t="shared" si="16"/>
        <v>153.90233005028915</v>
      </c>
      <c r="DS21" s="59">
        <f t="shared" si="17"/>
        <v>432.56899671695584</v>
      </c>
      <c r="DT21" s="59">
        <f ca="1">AVERAGE(OFFSET($DS$3,0,0,'Données projet'!$E$14+1,1))-AVERAGE(OFFSET($H$3,0,0,'Données projet'!$E$14+1,1))</f>
        <v>458.14328535055694</v>
      </c>
      <c r="DU21" s="59">
        <f t="shared" si="44"/>
        <v>366.75500153675739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projet'!$B$14,Paramètres!$A$1:$I$88,3,0)*0.475*44/12</f>
        <v>0</v>
      </c>
      <c r="EB21" s="23">
        <f>EXP(-LN(2)/25)*EB20+(1-EXP(-LN(2)/25))/(LN(2)/25)*Calculateur!DW21*Calculateur!DY21*VLOOKUP('Données projet'!$B$14,Paramètres!$A$1:$I$88,3,0)*0.475*44/12</f>
        <v>0</v>
      </c>
      <c r="EC21" s="23">
        <f>EXP(-LN(2)/2)*EC20+(1-EXP(-LN(2)/2))/(LN(2)/2)*DW21*DZ21*VLOOKUP('Données projet'!$B$14,Paramètres!$A$1:$I$88,3,0)*0.475*44/12</f>
        <v>0</v>
      </c>
      <c r="ED21" s="24">
        <f t="shared" si="18"/>
        <v>0</v>
      </c>
      <c r="EE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3.1</v>
      </c>
      <c r="EJ21" s="13">
        <f>IF('Données projet'!$A$192&gt;35,EJ20+EI21-ER20,IF(A21&lt;'Données projet'!$A$192,$EG$205^A21,IF(A21='Données projet'!$A$192,'Données projet'!$B$192,EJ20+EI21-ER20)))</f>
        <v>15.173639757979165</v>
      </c>
      <c r="EK21" s="18">
        <f>EJ21*VLOOKUP('Données projet'!$B$15,Paramètres!$A$1:$I$88,3,0)*VLOOKUP('Données projet'!$B$15,Paramètres!$A$1:$I$88,5,0)</f>
        <v>13.018982912346125</v>
      </c>
      <c r="EL21" s="14">
        <f t="shared" si="45"/>
        <v>4.4503313989929403</v>
      </c>
      <c r="EM21" s="22">
        <f t="shared" si="19"/>
        <v>30.425722425582205</v>
      </c>
      <c r="EN21" s="59">
        <f t="shared" si="20"/>
        <v>309.09238909224888</v>
      </c>
      <c r="EO21" s="59">
        <f ca="1">AVERAGE(OFFSET($EN$3,0,0,'Données projet'!$E$15+1,1))-AVERAGE(OFFSET($H$3,0,0,'Données projet'!$E$15+1,1))</f>
        <v>462.99360395552145</v>
      </c>
      <c r="EP21" s="59">
        <f t="shared" si="46"/>
        <v>153.03880717786046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projet'!$B$15,Paramètres!$A$1:$I$88,3,0)*0.475*44/12</f>
        <v>0</v>
      </c>
      <c r="EW21" s="23">
        <f>EXP(-LN(2)/25)*EW20+(1-EXP(-LN(2)/25))/(LN(2)/25)*Calculateur!ER21*Calculateur!ET21*VLOOKUP('Données projet'!$B$15,Paramètres!$A$1:$I$88,3,0)*0.475*44/12</f>
        <v>0</v>
      </c>
      <c r="EX21" s="23">
        <f>EXP(-LN(2)/2)*EX20+(1-EXP(-LN(2)/2))/(LN(2)/2)*ER21*EU21*VLOOKUP('Données projet'!$B$15,Paramètres!$A$1:$I$88,3,0)*0.475*44/12</f>
        <v>0</v>
      </c>
      <c r="EY21" s="24">
        <f t="shared" si="21"/>
        <v>0</v>
      </c>
      <c r="EZ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11.4</v>
      </c>
      <c r="FE21" s="13">
        <f>IF('Données projet'!$A$218&gt;35,FE20+FD21-FM20,IF(A21&lt;'Données projet'!$A$218,$FB$205^A21,IF(A21='Données projet'!$A$218,'Données projet'!$B$218,FE20+FD21-FM20)))</f>
        <v>54.199999999999996</v>
      </c>
      <c r="FF21" s="18">
        <f>FE21*VLOOKUP('Données projet'!$B$16,Paramètres!$A$1:$I$88,3,0)*VLOOKUP('Données projet'!$B$16,Paramètres!$A$1:$I$88,5,0)</f>
        <v>47.349119999999999</v>
      </c>
      <c r="FG21" s="14">
        <f t="shared" si="47"/>
        <v>13.927003034591849</v>
      </c>
      <c r="FH21" s="22">
        <f t="shared" si="22"/>
        <v>106.72258095191414</v>
      </c>
      <c r="FI21" s="59">
        <f t="shared" si="23"/>
        <v>385.38924761858084</v>
      </c>
      <c r="FJ21" s="59">
        <f ca="1">AVERAGE(OFFSET($FI$3,0,0,'Données projet'!$E$16+1,1))-AVERAGE(OFFSET($H$3,0,0,'Données projet'!$E$16+1,1))</f>
        <v>427.76895185088944</v>
      </c>
      <c r="FK21" s="59">
        <f t="shared" si="48"/>
        <v>308.32543361559135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projet'!$B$16,Paramètres!$A$1:$I$88,3,0)*0.475*44/12</f>
        <v>0</v>
      </c>
      <c r="FR21" s="23">
        <f>EXP(-LN(2)/25)*FR20+(1-EXP(-LN(2)/25))/(LN(2)/25)*Calculateur!FM21*Calculateur!FO21*VLOOKUP('Données projet'!$B$16,Paramètres!$A$1:$I$88,3,0)*0.475*44/12</f>
        <v>0</v>
      </c>
      <c r="FS21" s="23">
        <f>EXP(-LN(2)/2)*FS20+(1-EXP(-LN(2)/2))/(LN(2)/2)*FM21*FP21*VLOOKUP('Données projet'!$B$16,Paramètres!$A$1:$I$88,3,0)*0.475*44/12</f>
        <v>0</v>
      </c>
      <c r="FT21" s="24">
        <f t="shared" si="24"/>
        <v>0</v>
      </c>
      <c r="FU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16</v>
      </c>
      <c r="FZ21" s="13">
        <f>IF('Données projet'!$A$244&gt;35,FZ20+FY21-GH20,IF(A21&lt;'Données projet'!$A$244,$FW$205^A21,IF(A21='Données projet'!$A$244,'Données projet'!$B$244,FZ20+FY21-GH20)))</f>
        <v>133</v>
      </c>
      <c r="GA21" s="18">
        <f>FZ21*VLOOKUP('Données projet'!$B$17,Paramètres!$A$1:$I$88,3,0)*VLOOKUP('Données projet'!$B$17,Paramètres!$A$1:$I$88,5,0)</f>
        <v>82.992000000000004</v>
      </c>
      <c r="GB21" s="14">
        <f t="shared" si="49"/>
        <v>22.867173045817324</v>
      </c>
      <c r="GC21" s="22">
        <f t="shared" si="25"/>
        <v>184.37139305479852</v>
      </c>
      <c r="GD21" s="59">
        <f t="shared" si="26"/>
        <v>463.03805972146517</v>
      </c>
      <c r="GE21" s="59">
        <f ca="1">AVERAGE(OFFSET($GD$3,0,0,'Données projet'!$E$17+1,1))-AVERAGE(OFFSET($H$3,0,0,'Données projet'!$E$17+1,1))</f>
        <v>247.85542034088905</v>
      </c>
      <c r="GF21" s="59">
        <f t="shared" si="50"/>
        <v>299.52241743660352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projet'!$B$17,Paramètres!$A$1:$I$88,3,0)*0.475*44/12</f>
        <v>0</v>
      </c>
      <c r="GM21" s="23">
        <f>EXP(-LN(2)/25)*GM20+(1-EXP(-LN(2)/25))/(LN(2)/25)*Calculateur!GH21*Calculateur!GJ21*VLOOKUP('Données projet'!$B$17,Paramètres!$A$1:$I$88,3,0)*0.475*44/12</f>
        <v>9.1773599695640797</v>
      </c>
      <c r="GN21" s="23">
        <f>EXP(-LN(2)/2)*GN20+(1-EXP(-LN(2)/2))/(LN(2)/2)*GH21*GK21*VLOOKUP('Données projet'!$B$17,Paramètres!$A$1:$I$88,3,0)*0.475*44/12</f>
        <v>3.9566743961711359</v>
      </c>
      <c r="GO21" s="23">
        <f t="shared" si="27"/>
        <v>13.134034365735216</v>
      </c>
      <c r="GP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3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6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</v>
      </c>
      <c r="N22" s="14">
        <f>IF('Données projet'!$A$36&gt;35,N21+M22-V21,IF(A22&lt;'Données projet'!$A$36,$K$205^A22,IF(A22='Données projet'!$A$36,'Données projet'!$B$36,N21+M22-V21)))</f>
        <v>57</v>
      </c>
      <c r="O22" s="14">
        <f>N22*VLOOKUP('Données projet'!$B$9,Paramètres!$A$1:$I$88,3,0)*VLOOKUP('Données projet'!$B$9,Paramètres!$A$1:$I$88,5,0)</f>
        <v>51.573599999999992</v>
      </c>
      <c r="P22" s="14">
        <f t="shared" si="33"/>
        <v>15.019412930275323</v>
      </c>
      <c r="Q22" s="22">
        <f t="shared" si="2"/>
        <v>115.98283085356282</v>
      </c>
      <c r="R22" s="59">
        <f t="shared" si="0"/>
        <v>395.87171974245166</v>
      </c>
      <c r="S22" s="59">
        <f ca="1">AVERAGE(OFFSET($R$3,0,0,'Données projet'!$E$9+1,1))-AVERAGE(OFFSET($H$3,0,0,'Données projet'!$E$9+1,1))</f>
        <v>247.57967230773539</v>
      </c>
      <c r="T22" s="59">
        <f t="shared" si="34"/>
        <v>156.58857589533295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14.8</v>
      </c>
      <c r="AI22" s="14">
        <f>IF('Données projet'!$A$62&gt;35,AI21+AH22-AQ21,IF(A22&lt;'Données projet'!$A$62,$AF$205^A22,IF(A22='Données projet'!$A$62,'Données projet'!$B$62,AI21+AH22-AQ21)))</f>
        <v>103.19999999999999</v>
      </c>
      <c r="AJ22" s="14">
        <f>AI22*VLOOKUP('Données projet'!$B$10,Paramètres!$A$1:$I$88,3,0)*VLOOKUP('Données projet'!$B$10,Paramètres!$A$1:$I$88,5,0)</f>
        <v>82.105919999999998</v>
      </c>
      <c r="AK22" s="14">
        <f t="shared" si="35"/>
        <v>22.651311269703989</v>
      </c>
      <c r="AL22" s="22">
        <f t="shared" si="4"/>
        <v>182.45217779473444</v>
      </c>
      <c r="AM22" s="59">
        <f t="shared" si="5"/>
        <v>462.3410666836233</v>
      </c>
      <c r="AN22" s="59">
        <f ca="1">AVERAGE(OFFSET($AM$3,0,0,'Données projet'!$E$10+1,1))-AVERAGE(OFFSET($H$3,0,0,'Données projet'!$E$10+1,1))</f>
        <v>504.15006129790828</v>
      </c>
      <c r="AO22" s="59">
        <f t="shared" si="36"/>
        <v>374.39334457402742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14.8</v>
      </c>
      <c r="BD22" s="13">
        <f>IF('Données projet'!$A$88&gt;35,BD21+BC22-BL21,IF(A22&lt;'Données projet'!$A$88,$BA$205^A22,IF(A22='Données projet'!$A$88,'Données projet'!$B$88,BD21+BC22-BL21)))</f>
        <v>103.19999999999999</v>
      </c>
      <c r="BE22" s="14">
        <f>BD22*VLOOKUP('Données projet'!$B$11,Paramètres!$A$1:$I$88,3,0)*VLOOKUP('Données projet'!$B$11,Paramètres!$A$1:$I$88,5,0)</f>
        <v>82.105919999999998</v>
      </c>
      <c r="BF22" s="14">
        <f t="shared" si="37"/>
        <v>22.651311269703989</v>
      </c>
      <c r="BG22" s="22">
        <f t="shared" si="7"/>
        <v>182.45217779473444</v>
      </c>
      <c r="BH22" s="59">
        <f t="shared" si="8"/>
        <v>462.3410666836233</v>
      </c>
      <c r="BI22" s="59">
        <f ca="1">AVERAGE(OFFSET($BH$3,0,0,'Données projet'!$E$11+1,1))-AVERAGE(OFFSET($H$3,0,0,'Données projet'!$E$11+1,1))</f>
        <v>504.15006129790828</v>
      </c>
      <c r="BJ22" s="59">
        <f t="shared" si="38"/>
        <v>374.39334457402742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14.8</v>
      </c>
      <c r="BY22" s="13">
        <f>IF('Données projet'!$A$114&gt;35,BY21+BX22-CG21,IF(A22&lt;'Données projet'!$A$114,$BV$205^A22,IF(A22='Données projet'!$A$114,'Données projet'!$B$114,BY21+BX22-CG21)))</f>
        <v>103.19999999999999</v>
      </c>
      <c r="BZ22" s="14">
        <f>BY22*VLOOKUP('Données projet'!$B$12,Paramètres!$A$1:$I$88,3,0)*VLOOKUP('Données projet'!$B$12,Paramètres!$A$1:$I$88,5,0)</f>
        <v>69.226559999999992</v>
      </c>
      <c r="CA22" s="14">
        <f t="shared" si="39"/>
        <v>19.481261134971277</v>
      </c>
      <c r="CB22" s="22">
        <f t="shared" si="10"/>
        <v>154.49945514340828</v>
      </c>
      <c r="CC22" s="59">
        <f t="shared" si="11"/>
        <v>434.38834403229714</v>
      </c>
      <c r="CD22" s="59">
        <f ca="1">AVERAGE(OFFSET($CC$3,0,0,'Données projet'!$E$12+1,1))-AVERAGE(OFFSET($H$3,0,0,'Données projet'!$E$12+1,1))</f>
        <v>387.15063677712425</v>
      </c>
      <c r="CE22" s="59">
        <f t="shared" si="40"/>
        <v>313.19155394370705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</v>
      </c>
      <c r="CT22" s="13">
        <f>IF('Données projet'!$A$140&gt;35,CT21+CS22-DB21,IF(A22&lt;'Données projet'!$A$140,$CQ$205^A22,IF(A22='Données projet'!$A$140,'Données projet'!$B$140,CT21+CS22-DB21)))</f>
        <v>57</v>
      </c>
      <c r="CU22" s="18">
        <f>CT22*VLOOKUP('Données projet'!$B$13,Paramètres!$A$1:$I$88,3,0)*VLOOKUP('Données projet'!$B$13,Paramètres!$A$1:$I$88,5,0)</f>
        <v>55.130399999999995</v>
      </c>
      <c r="CV22" s="14">
        <f t="shared" si="41"/>
        <v>15.931082230000035</v>
      </c>
      <c r="CW22" s="22">
        <f t="shared" si="13"/>
        <v>123.7654148839167</v>
      </c>
      <c r="CX22" s="59">
        <f t="shared" si="14"/>
        <v>403.65430377280558</v>
      </c>
      <c r="CY22" s="59">
        <f ca="1">AVERAGE(OFFSET($CX$3,0,0,'Données projet'!$E$13+1,1))-AVERAGE(OFFSET($H$3,0,0,'Données projet'!$E$13+1,1))</f>
        <v>306.00894145276209</v>
      </c>
      <c r="CZ22" s="59">
        <f t="shared" si="42"/>
        <v>168.74705421228828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0</v>
      </c>
      <c r="DI22" s="24">
        <f t="shared" si="15"/>
        <v>0</v>
      </c>
      <c r="DJ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14.8</v>
      </c>
      <c r="DO22" s="13">
        <f>IF('Données projet'!$A$166&gt;35,DO21+DN22-DW21,IF(A22&lt;'Données projet'!$A$166,$DL$205^A22,IF(A22='Données projet'!$A$166,'Données projet'!$B$166,DO21+DN22-DW21)))</f>
        <v>103.19999999999999</v>
      </c>
      <c r="DP22" s="18">
        <f>DO22*VLOOKUP('Données projet'!$B$14,Paramètres!$A$1:$I$88,3,0)*VLOOKUP('Données projet'!$B$14,Paramètres!$A$1:$I$88,5,0)</f>
        <v>80.495999999999995</v>
      </c>
      <c r="DQ22" s="14">
        <f t="shared" si="43"/>
        <v>22.258415047134118</v>
      </c>
      <c r="DR22" s="22">
        <f t="shared" si="16"/>
        <v>178.96393954042523</v>
      </c>
      <c r="DS22" s="59">
        <f t="shared" si="17"/>
        <v>458.85282842931406</v>
      </c>
      <c r="DT22" s="59">
        <f ca="1">AVERAGE(OFFSET($DS$3,0,0,'Données projet'!$E$14+1,1))-AVERAGE(OFFSET($H$3,0,0,'Données projet'!$E$14+1,1))</f>
        <v>458.14328535055694</v>
      </c>
      <c r="DU22" s="59">
        <f t="shared" si="44"/>
        <v>366.75500153675739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projet'!$B$14,Paramètres!$A$1:$I$88,3,0)*0.475*44/12</f>
        <v>0</v>
      </c>
      <c r="EB22" s="23">
        <f>EXP(-LN(2)/25)*EB21+(1-EXP(-LN(2)/25))/(LN(2)/25)*Calculateur!DW22*Calculateur!DY22*VLOOKUP('Données projet'!$B$14,Paramètres!$A$1:$I$88,3,0)*0.475*44/12</f>
        <v>0</v>
      </c>
      <c r="EC22" s="23">
        <f>EXP(-LN(2)/2)*EC21+(1-EXP(-LN(2)/2))/(LN(2)/2)*DW22*DZ22*VLOOKUP('Données projet'!$B$14,Paramètres!$A$1:$I$88,3,0)*0.475*44/12</f>
        <v>0</v>
      </c>
      <c r="ED22" s="24">
        <f t="shared" si="18"/>
        <v>0</v>
      </c>
      <c r="EE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3.1</v>
      </c>
      <c r="EJ22" s="13">
        <f>IF('Données projet'!$A$192&gt;35,EJ21+EI22-ER21,IF(A22&lt;'Données projet'!$A$192,$EG$205^A22,IF(A22='Données projet'!$A$192,'Données projet'!$B$192,EJ21+EI22-ER21)))</f>
        <v>17.648421494910057</v>
      </c>
      <c r="EK22" s="18">
        <f>EJ22*VLOOKUP('Données projet'!$B$15,Paramètres!$A$1:$I$88,3,0)*VLOOKUP('Données projet'!$B$15,Paramètres!$A$1:$I$88,5,0)</f>
        <v>15.142345642632829</v>
      </c>
      <c r="EL22" s="14">
        <f t="shared" si="45"/>
        <v>5.0859341968803005</v>
      </c>
      <c r="EM22" s="22">
        <f t="shared" si="19"/>
        <v>35.230920720485365</v>
      </c>
      <c r="EN22" s="59">
        <f t="shared" si="20"/>
        <v>315.11980960937422</v>
      </c>
      <c r="EO22" s="59">
        <f ca="1">AVERAGE(OFFSET($EN$3,0,0,'Données projet'!$E$15+1,1))-AVERAGE(OFFSET($H$3,0,0,'Données projet'!$E$15+1,1))</f>
        <v>462.99360395552145</v>
      </c>
      <c r="EP22" s="59">
        <f t="shared" si="46"/>
        <v>153.03880717786046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projet'!$B$15,Paramètres!$A$1:$I$88,3,0)*0.475*44/12</f>
        <v>0</v>
      </c>
      <c r="EW22" s="23">
        <f>EXP(-LN(2)/25)*EW21+(1-EXP(-LN(2)/25))/(LN(2)/25)*Calculateur!ER22*Calculateur!ET22*VLOOKUP('Données projet'!$B$15,Paramètres!$A$1:$I$88,3,0)*0.475*44/12</f>
        <v>0</v>
      </c>
      <c r="EX22" s="23">
        <f>EXP(-LN(2)/2)*EX21+(1-EXP(-LN(2)/2))/(LN(2)/2)*ER22*EU22*VLOOKUP('Données projet'!$B$15,Paramètres!$A$1:$I$88,3,0)*0.475*44/12</f>
        <v>0</v>
      </c>
      <c r="EY22" s="24">
        <f t="shared" si="21"/>
        <v>0</v>
      </c>
      <c r="EZ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11.4</v>
      </c>
      <c r="FE22" s="13">
        <f>IF('Données projet'!$A$218&gt;35,FE21+FD22-FM21,IF(A22&lt;'Données projet'!$A$218,$FB$205^A22,IF(A22='Données projet'!$A$218,'Données projet'!$B$218,FE21+FD22-FM21)))</f>
        <v>65.599999999999994</v>
      </c>
      <c r="FF22" s="18">
        <f>FE22*VLOOKUP('Données projet'!$B$16,Paramètres!$A$1:$I$88,3,0)*VLOOKUP('Données projet'!$B$16,Paramètres!$A$1:$I$88,5,0)</f>
        <v>57.308160000000001</v>
      </c>
      <c r="FG22" s="14">
        <f t="shared" si="47"/>
        <v>16.485879954521049</v>
      </c>
      <c r="FH22" s="22">
        <f t="shared" si="22"/>
        <v>128.52461958745749</v>
      </c>
      <c r="FI22" s="59">
        <f t="shared" si="23"/>
        <v>408.41350847634635</v>
      </c>
      <c r="FJ22" s="59">
        <f ca="1">AVERAGE(OFFSET($FI$3,0,0,'Données projet'!$E$16+1,1))-AVERAGE(OFFSET($H$3,0,0,'Données projet'!$E$16+1,1))</f>
        <v>427.76895185088944</v>
      </c>
      <c r="FK22" s="59">
        <f t="shared" si="48"/>
        <v>308.32543361559135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projet'!$B$16,Paramètres!$A$1:$I$88,3,0)*0.475*44/12</f>
        <v>0</v>
      </c>
      <c r="FR22" s="23">
        <f>EXP(-LN(2)/25)*FR21+(1-EXP(-LN(2)/25))/(LN(2)/25)*Calculateur!FM22*Calculateur!FO22*VLOOKUP('Données projet'!$B$16,Paramètres!$A$1:$I$88,3,0)*0.475*44/12</f>
        <v>0</v>
      </c>
      <c r="FS22" s="23">
        <f>EXP(-LN(2)/2)*FS21+(1-EXP(-LN(2)/2))/(LN(2)/2)*FM22*FP22*VLOOKUP('Données projet'!$B$16,Paramètres!$A$1:$I$88,3,0)*0.475*44/12</f>
        <v>0</v>
      </c>
      <c r="FT22" s="24">
        <f t="shared" si="24"/>
        <v>0</v>
      </c>
      <c r="FU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16</v>
      </c>
      <c r="FZ22" s="13">
        <f>IF('Données projet'!$A$244&gt;35,FZ21+FY22-GH21,IF(A22&lt;'Données projet'!$A$244,$FW$205^A22,IF(A22='Données projet'!$A$244,'Données projet'!$B$244,FZ21+FY22-GH21)))</f>
        <v>149</v>
      </c>
      <c r="GA22" s="18">
        <f>FZ22*VLOOKUP('Données projet'!$B$17,Paramètres!$A$1:$I$88,3,0)*VLOOKUP('Données projet'!$B$17,Paramètres!$A$1:$I$88,5,0)</f>
        <v>92.975999999999999</v>
      </c>
      <c r="GB22" s="14">
        <f t="shared" si="49"/>
        <v>25.281599962100863</v>
      </c>
      <c r="GC22" s="22">
        <f t="shared" si="25"/>
        <v>205.96531993399233</v>
      </c>
      <c r="GD22" s="59">
        <f t="shared" si="26"/>
        <v>485.85420882288122</v>
      </c>
      <c r="GE22" s="59">
        <f ca="1">AVERAGE(OFFSET($GD$3,0,0,'Données projet'!$E$17+1,1))-AVERAGE(OFFSET($H$3,0,0,'Données projet'!$E$17+1,1))</f>
        <v>247.85542034088905</v>
      </c>
      <c r="GF22" s="59">
        <f t="shared" si="50"/>
        <v>299.52241743660352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projet'!$B$17,Paramètres!$A$1:$I$88,3,0)*0.475*44/12</f>
        <v>0</v>
      </c>
      <c r="GM22" s="23">
        <f>EXP(-LN(2)/25)*GM21+(1-EXP(-LN(2)/25))/(LN(2)/25)*Calculateur!GH22*Calculateur!GJ22*VLOOKUP('Données projet'!$B$17,Paramètres!$A$1:$I$88,3,0)*0.475*44/12</f>
        <v>8.9264045785799642</v>
      </c>
      <c r="GN22" s="23">
        <f>EXP(-LN(2)/2)*GN21+(1-EXP(-LN(2)/2))/(LN(2)/2)*GH22*GK22*VLOOKUP('Données projet'!$B$17,Paramètres!$A$1:$I$88,3,0)*0.475*44/12</f>
        <v>2.7977912964797986</v>
      </c>
      <c r="GO22" s="23">
        <f t="shared" si="27"/>
        <v>11.724195875059763</v>
      </c>
      <c r="GP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3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6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</v>
      </c>
      <c r="N23" s="14">
        <f>IF('Données projet'!$A$36&gt;35,N22+M23-V22,IF(A23&lt;'Données projet'!$A$36,$K$205^A23,IF(A23='Données projet'!$A$36,'Données projet'!$B$36,N22+M23-V22)))</f>
        <v>60</v>
      </c>
      <c r="O23" s="14">
        <f>N23*VLOOKUP('Données projet'!$B$9,Paramètres!$A$1:$I$88,3,0)*VLOOKUP('Données projet'!$B$9,Paramètres!$A$1:$I$88,5,0)</f>
        <v>54.287999999999997</v>
      </c>
      <c r="P23" s="14">
        <f t="shared" si="33"/>
        <v>15.715795896526746</v>
      </c>
      <c r="Q23" s="22">
        <f t="shared" si="2"/>
        <v>121.9232778531174</v>
      </c>
      <c r="R23" s="59">
        <f t="shared" si="0"/>
        <v>403.03438896422853</v>
      </c>
      <c r="S23" s="59">
        <f ca="1">AVERAGE(OFFSET($R$3,0,0,'Données projet'!$E$9+1,1))-AVERAGE(OFFSET($H$3,0,0,'Données projet'!$E$9+1,1))</f>
        <v>247.57967230773539</v>
      </c>
      <c r="T23" s="59">
        <f t="shared" si="34"/>
        <v>156.58857589533295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4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118</v>
      </c>
      <c r="AG23" s="13">
        <f>VLOOKUP(A23,'Données projet'!$A$61:$I$81,9,0)</f>
        <v>14.8</v>
      </c>
      <c r="AH23" s="13">
        <f t="array" ref="AH23">INDEX(AG:AG,MIN(IF(ISNUMBER(AG23:AG219),ROW(AG23:AG219),"")))</f>
        <v>14.8</v>
      </c>
      <c r="AI23" s="14">
        <f>IF('Données projet'!$A$62&gt;35,AI22+AH23-AQ22,IF(A23&lt;'Données projet'!$A$62,$AF$205^A23,IF(A23='Données projet'!$A$62,'Données projet'!$B$62,AI22+AH23-AQ22)))</f>
        <v>117.99999999999999</v>
      </c>
      <c r="AJ23" s="14">
        <f>AI23*VLOOKUP('Données projet'!$B$10,Paramètres!$A$1:$I$88,3,0)*VLOOKUP('Données projet'!$B$10,Paramètres!$A$1:$I$88,5,0)</f>
        <v>93.880799999999994</v>
      </c>
      <c r="AK23" s="14">
        <f t="shared" si="35"/>
        <v>25.498868498718462</v>
      </c>
      <c r="AL23" s="22">
        <f t="shared" si="4"/>
        <v>207.91958930193462</v>
      </c>
      <c r="AM23" s="59">
        <f t="shared" si="5"/>
        <v>489.03070041304579</v>
      </c>
      <c r="AN23" s="59">
        <f ca="1">AVERAGE(OFFSET($AM$3,0,0,'Données projet'!$E$10+1,1))-AVERAGE(OFFSET($H$3,0,0,'Données projet'!$E$10+1,1))</f>
        <v>504.15006129790828</v>
      </c>
      <c r="AO23" s="59">
        <f t="shared" si="36"/>
        <v>374.39334457402742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15.7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118</v>
      </c>
      <c r="BB23" s="13">
        <f>VLOOKUP(A23,'Données projet'!$A$87:$I$107,9,0)</f>
        <v>14.8</v>
      </c>
      <c r="BC23" s="13">
        <f t="array" ref="BC23">INDEX(BB:BB,MIN(IF(ISNUMBER(BB23:BB219),ROW(BB23:BB219),"")))</f>
        <v>14.8</v>
      </c>
      <c r="BD23" s="13">
        <f>IF('Données projet'!$A$88&gt;35,BD22+BC23-BL22,IF(A23&lt;'Données projet'!$A$88,$BA$205^A23,IF(A23='Données projet'!$A$88,'Données projet'!$B$88,BD22+BC23-BL22)))</f>
        <v>117.99999999999999</v>
      </c>
      <c r="BE23" s="14">
        <f>BD23*VLOOKUP('Données projet'!$B$11,Paramètres!$A$1:$I$88,3,0)*VLOOKUP('Données projet'!$B$11,Paramètres!$A$1:$I$88,5,0)</f>
        <v>93.880799999999994</v>
      </c>
      <c r="BF23" s="14">
        <f t="shared" si="37"/>
        <v>25.498868498718462</v>
      </c>
      <c r="BG23" s="22">
        <f t="shared" si="7"/>
        <v>207.91958930193462</v>
      </c>
      <c r="BH23" s="59">
        <f t="shared" si="8"/>
        <v>489.03070041304579</v>
      </c>
      <c r="BI23" s="59">
        <f ca="1">AVERAGE(OFFSET($BH$3,0,0,'Données projet'!$E$11+1,1))-AVERAGE(OFFSET($H$3,0,0,'Données projet'!$E$11+1,1))</f>
        <v>504.15006129790828</v>
      </c>
      <c r="BJ23" s="59">
        <f t="shared" si="38"/>
        <v>374.39334457402742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15.7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118</v>
      </c>
      <c r="BW23" s="13">
        <f>VLOOKUP(A23,'Données projet'!$A$113:$I$133,9,0)</f>
        <v>14.8</v>
      </c>
      <c r="BX23" s="13">
        <f t="array" ref="BX23">INDEX(BW:BW,MIN(IF(ISNUMBER(BW23:BW219),ROW(BW23:BW219),"")))</f>
        <v>14.8</v>
      </c>
      <c r="BY23" s="13">
        <f>IF('Données projet'!$A$114&gt;35,BY22+BX23-CG22,IF(A23&lt;'Données projet'!$A$114,$BV$205^A23,IF(A23='Données projet'!$A$114,'Données projet'!$B$114,BY22+BX23-CG22)))</f>
        <v>117.99999999999999</v>
      </c>
      <c r="BZ23" s="14">
        <f>BY23*VLOOKUP('Données projet'!$B$12,Paramètres!$A$1:$I$88,3,0)*VLOOKUP('Données projet'!$B$12,Paramètres!$A$1:$I$88,5,0)</f>
        <v>79.154399999999995</v>
      </c>
      <c r="CA23" s="14">
        <f t="shared" si="39"/>
        <v>21.930302840093336</v>
      </c>
      <c r="CB23" s="22">
        <f t="shared" si="10"/>
        <v>176.05585744649588</v>
      </c>
      <c r="CC23" s="59">
        <f t="shared" si="11"/>
        <v>457.16696855760699</v>
      </c>
      <c r="CD23" s="59">
        <f ca="1">AVERAGE(OFFSET($CC$3,0,0,'Données projet'!$E$12+1,1))-AVERAGE(OFFSET($H$3,0,0,'Données projet'!$E$12+1,1))</f>
        <v>387.15063677712425</v>
      </c>
      <c r="CE23" s="59">
        <f t="shared" si="40"/>
        <v>313.19155394370705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15.7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0</v>
      </c>
      <c r="CO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3</v>
      </c>
      <c r="CT23" s="13">
        <f>IF('Données projet'!$A$140&gt;35,CT22+CS23-DB22,IF(A23&lt;'Données projet'!$A$140,$CQ$205^A23,IF(A23='Données projet'!$A$140,'Données projet'!$B$140,CT22+CS23-DB22)))</f>
        <v>60</v>
      </c>
      <c r="CU23" s="18">
        <f>CT23*VLOOKUP('Données projet'!$B$13,Paramètres!$A$1:$I$88,3,0)*VLOOKUP('Données projet'!$B$13,Paramètres!$A$1:$I$88,5,0)</f>
        <v>58.032000000000004</v>
      </c>
      <c r="CV23" s="14">
        <f t="shared" si="41"/>
        <v>16.669735221992795</v>
      </c>
      <c r="CW23" s="22">
        <f t="shared" si="13"/>
        <v>130.10552217830414</v>
      </c>
      <c r="CX23" s="59">
        <f t="shared" si="14"/>
        <v>411.21663328941531</v>
      </c>
      <c r="CY23" s="59">
        <f ca="1">AVERAGE(OFFSET($CX$3,0,0,'Données projet'!$E$13+1,1))-AVERAGE(OFFSET($H$3,0,0,'Données projet'!$E$13+1,1))</f>
        <v>306.00894145276209</v>
      </c>
      <c r="CZ23" s="59">
        <f t="shared" si="42"/>
        <v>168.74705421228828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projet'!$B$13,Paramètres!$A$1:$I$88,3,0)*0.475*44/12</f>
        <v>0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0</v>
      </c>
      <c r="DI23" s="24">
        <f t="shared" si="15"/>
        <v>0</v>
      </c>
      <c r="DJ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118</v>
      </c>
      <c r="DM23" s="13">
        <f>VLOOKUP(A23,'Données projet'!$A$165:$I$185,9,0)</f>
        <v>14.8</v>
      </c>
      <c r="DN23" s="13">
        <f t="array" ref="DN23">INDEX(DM:DM,MIN(IF(ISNUMBER(DM23:DM219),ROW(DM23:DM219),"")))</f>
        <v>14.8</v>
      </c>
      <c r="DO23" s="13">
        <f>IF('Données projet'!$A$166&gt;35,DO22+DN23-DW22,IF(A23&lt;'Données projet'!$A$166,$DL$205^A23,IF(A23='Données projet'!$A$166,'Données projet'!$B$166,DO22+DN23-DW22)))</f>
        <v>117.99999999999999</v>
      </c>
      <c r="DP23" s="18">
        <f>DO23*VLOOKUP('Données projet'!$B$14,Paramètres!$A$1:$I$88,3,0)*VLOOKUP('Données projet'!$B$14,Paramètres!$A$1:$I$88,5,0)</f>
        <v>92.039999999999992</v>
      </c>
      <c r="DQ23" s="14">
        <f t="shared" si="43"/>
        <v>25.056580235859606</v>
      </c>
      <c r="DR23" s="22">
        <f t="shared" si="16"/>
        <v>203.94321057745546</v>
      </c>
      <c r="DS23" s="59">
        <f t="shared" si="17"/>
        <v>485.05432168856657</v>
      </c>
      <c r="DT23" s="59">
        <f ca="1">AVERAGE(OFFSET($DS$3,0,0,'Données projet'!$E$14+1,1))-AVERAGE(OFFSET($H$3,0,0,'Données projet'!$E$14+1,1))</f>
        <v>458.14328535055694</v>
      </c>
      <c r="DU23" s="59">
        <f t="shared" si="44"/>
        <v>366.75500153675739</v>
      </c>
      <c r="DV23" s="16">
        <f>IF(ISNA(VLOOKUP(A23,'Données projet'!$A$165:$I$185,3,0)),0,VLOOKUP(A23,'Données projet'!$A$165:$I$185,3,0))</f>
        <v>2</v>
      </c>
      <c r="DW23" s="16">
        <f>IF(ISNA(VLOOKUP(A23,'Données projet'!$A$165:$I$185,4,0)),0,VLOOKUP(A23,'Données projet'!$A$165:$I$185,4,0))</f>
        <v>15.7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projet'!$B$14,Paramètres!$A$1:$I$88,3,0)*0.475*44/12</f>
        <v>0</v>
      </c>
      <c r="EB23" s="23">
        <f>EXP(-LN(2)/25)*EB22+(1-EXP(-LN(2)/25))/(LN(2)/25)*Calculateur!DW23*Calculateur!DY23*VLOOKUP('Données projet'!$B$14,Paramètres!$A$1:$I$88,3,0)*0.475*44/12</f>
        <v>0</v>
      </c>
      <c r="EC23" s="23">
        <f>EXP(-LN(2)/2)*EC22+(1-EXP(-LN(2)/2))/(LN(2)/2)*DW23*DZ23*VLOOKUP('Données projet'!$B$14,Paramètres!$A$1:$I$88,3,0)*0.475*44/12</f>
        <v>0</v>
      </c>
      <c r="ED23" s="24">
        <f t="shared" si="18"/>
        <v>0</v>
      </c>
      <c r="EE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3.1</v>
      </c>
      <c r="EJ23" s="13">
        <f>IF('Données projet'!$A$192&gt;35,EJ22+EI23-ER22,IF(A23&lt;'Données projet'!$A$192,$EG$205^A23,IF(A23='Données projet'!$A$192,'Données projet'!$B$192,EJ22+EI23-ER22)))</f>
        <v>20.526833787405319</v>
      </c>
      <c r="EK23" s="18">
        <f>EJ23*VLOOKUP('Données projet'!$B$15,Paramètres!$A$1:$I$88,3,0)*VLOOKUP('Données projet'!$B$15,Paramètres!$A$1:$I$88,5,0)</f>
        <v>17.612023389593766</v>
      </c>
      <c r="EL23" s="14">
        <f t="shared" si="45"/>
        <v>5.8123147100572847</v>
      </c>
      <c r="EM23" s="22">
        <f t="shared" si="19"/>
        <v>40.797388856892248</v>
      </c>
      <c r="EN23" s="59">
        <f t="shared" si="20"/>
        <v>321.90849996800341</v>
      </c>
      <c r="EO23" s="59">
        <f ca="1">AVERAGE(OFFSET($EN$3,0,0,'Données projet'!$E$15+1,1))-AVERAGE(OFFSET($H$3,0,0,'Données projet'!$E$15+1,1))</f>
        <v>462.99360395552145</v>
      </c>
      <c r="EP23" s="59">
        <f t="shared" si="46"/>
        <v>153.03880717786046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projet'!$B$15,Paramètres!$A$1:$I$88,3,0)*0.475*44/12</f>
        <v>0</v>
      </c>
      <c r="EW23" s="23">
        <f>EXP(-LN(2)/25)*EW22+(1-EXP(-LN(2)/25))/(LN(2)/25)*Calculateur!ER23*Calculateur!ET23*VLOOKUP('Données projet'!$B$15,Paramètres!$A$1:$I$88,3,0)*0.475*44/12</f>
        <v>0</v>
      </c>
      <c r="EX23" s="23">
        <f>EXP(-LN(2)/2)*EX22+(1-EXP(-LN(2)/2))/(LN(2)/2)*ER23*EU23*VLOOKUP('Données projet'!$B$15,Paramètres!$A$1:$I$88,3,0)*0.475*44/12</f>
        <v>0</v>
      </c>
      <c r="EY23" s="24">
        <f t="shared" si="21"/>
        <v>0</v>
      </c>
      <c r="EZ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77</v>
      </c>
      <c r="FC23" s="13">
        <f>VLOOKUP(A23,'Données projet'!$A$217:$I$237,9,0)</f>
        <v>11.4</v>
      </c>
      <c r="FD23" s="13">
        <f t="array" ref="FD23">INDEX(FC:FC,MIN(IF(ISNUMBER(FC23:FC219),ROW(FC23:FC219),"")))</f>
        <v>11.4</v>
      </c>
      <c r="FE23" s="13">
        <f>IF('Données projet'!$A$218&gt;35,FE22+FD23-FM22,IF(A23&lt;'Données projet'!$A$218,$FB$205^A23,IF(A23='Données projet'!$A$218,'Données projet'!$B$218,FE22+FD23-FM22)))</f>
        <v>77</v>
      </c>
      <c r="FF23" s="18">
        <f>FE23*VLOOKUP('Données projet'!$B$16,Paramètres!$A$1:$I$88,3,0)*VLOOKUP('Données projet'!$B$16,Paramètres!$A$1:$I$88,5,0)</f>
        <v>67.267200000000003</v>
      </c>
      <c r="FG23" s="14">
        <f t="shared" si="47"/>
        <v>18.993242158132926</v>
      </c>
      <c r="FH23" s="22">
        <f t="shared" si="22"/>
        <v>150.23693675874819</v>
      </c>
      <c r="FI23" s="59">
        <f t="shared" si="23"/>
        <v>431.34804786985933</v>
      </c>
      <c r="FJ23" s="59">
        <f ca="1">AVERAGE(OFFSET($FI$3,0,0,'Données projet'!$E$16+1,1))-AVERAGE(OFFSET($H$3,0,0,'Données projet'!$E$16+1,1))</f>
        <v>427.76895185088944</v>
      </c>
      <c r="FK23" s="59">
        <f t="shared" si="48"/>
        <v>308.32543361559135</v>
      </c>
      <c r="FL23" s="16">
        <f>IF(ISNA(VLOOKUP(A23,'Données projet'!$A$217:$I$237,3,0)),0,VLOOKUP(A23,'Données projet'!$A$217:$I$237,3,0))</f>
        <v>2</v>
      </c>
      <c r="FM23" s="16">
        <f>IF(ISNA(VLOOKUP(A23,'Données projet'!$A$217:$I$237,4,0)),0,VLOOKUP(A23,'Données projet'!$A$217:$I$237,4,0))</f>
        <v>6.5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projet'!$B$16,Paramètres!$A$1:$I$88,3,0)*0.475*44/12</f>
        <v>0</v>
      </c>
      <c r="FR23" s="23">
        <f>EXP(-LN(2)/25)*FR22+(1-EXP(-LN(2)/25))/(LN(2)/25)*Calculateur!FM23*Calculateur!FO23*VLOOKUP('Données projet'!$B$16,Paramètres!$A$1:$I$88,3,0)*0.475*44/12</f>
        <v>0</v>
      </c>
      <c r="FS23" s="23">
        <f>EXP(-LN(2)/2)*FS22+(1-EXP(-LN(2)/2))/(LN(2)/2)*FM23*FP23*VLOOKUP('Données projet'!$B$16,Paramètres!$A$1:$I$88,3,0)*0.475*44/12</f>
        <v>0</v>
      </c>
      <c r="FT23" s="24">
        <f t="shared" si="24"/>
        <v>0</v>
      </c>
      <c r="FU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165</v>
      </c>
      <c r="FX23" s="13">
        <f>VLOOKUP(A23,'Données projet'!$A$243:$I$263,9,0)</f>
        <v>16</v>
      </c>
      <c r="FY23" s="13">
        <f t="array" ref="FY23">INDEX(FX:FX,MIN(IF(ISNUMBER(FX23:FX219),ROW(FX23:FX219),"")))</f>
        <v>16</v>
      </c>
      <c r="FZ23" s="13">
        <f>IF('Données projet'!$A$244&gt;35,FZ22+FY23-GH22,IF(A23&lt;'Données projet'!$A$244,$FW$205^A23,IF(A23='Données projet'!$A$244,'Données projet'!$B$244,FZ22+FY23-GH22)))</f>
        <v>165</v>
      </c>
      <c r="GA23" s="18">
        <f>FZ23*VLOOKUP('Données projet'!$B$17,Paramètres!$A$1:$I$88,3,0)*VLOOKUP('Données projet'!$B$17,Paramètres!$A$1:$I$88,5,0)</f>
        <v>102.96000000000001</v>
      </c>
      <c r="GB23" s="14">
        <f t="shared" si="49"/>
        <v>27.665975080374633</v>
      </c>
      <c r="GC23" s="22">
        <f t="shared" si="25"/>
        <v>227.50690659831915</v>
      </c>
      <c r="GD23" s="59">
        <f t="shared" si="26"/>
        <v>508.61801770943032</v>
      </c>
      <c r="GE23" s="59">
        <f ca="1">AVERAGE(OFFSET($GD$3,0,0,'Données projet'!$E$17+1,1))-AVERAGE(OFFSET($H$3,0,0,'Données projet'!$E$17+1,1))</f>
        <v>247.85542034088905</v>
      </c>
      <c r="GF23" s="59">
        <f t="shared" si="50"/>
        <v>299.52241743660352</v>
      </c>
      <c r="GG23" s="16">
        <f>IF(ISNA(VLOOKUP(A23,'Données projet'!$A$243:$I$263,3,0)),0,VLOOKUP(A23,'Données projet'!$A$243:$I$263,3,0))</f>
        <v>3</v>
      </c>
      <c r="GH23" s="16">
        <f>IF(ISNA(VLOOKUP(A23,'Données projet'!$A$243:$I$263,4,0)),0,VLOOKUP(A23,'Données projet'!$A$243:$I$263,4,0))</f>
        <v>39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0.33600000000000002</v>
      </c>
      <c r="GK23" s="17">
        <f>IF(ISNA(VLOOKUP(A23,'Données projet'!$A$243:$I$263,7,0)),0%,VLOOKUP(A23,'Données projet'!$A$243:$I$263,7,0))</f>
        <v>0.44</v>
      </c>
      <c r="GL23" s="23">
        <f>EXP(-LN(2)/35)*GL22+(1-EXP(-LN(2)/35))/(LN(2)/35)*GH23*GI23*VLOOKUP('Données projet'!$B$17,Paramètres!$A$1:$I$88,3,0)*0.475*44/12</f>
        <v>0</v>
      </c>
      <c r="GM23" s="23">
        <f>EXP(-LN(2)/25)*GM22+(1-EXP(-LN(2)/25))/(LN(2)/25)*Calculateur!GH23*Calculateur!GJ23*VLOOKUP('Données projet'!$B$17,Paramètres!$A$1:$I$88,3,0)*0.475*44/12</f>
        <v>19.486781686242214</v>
      </c>
      <c r="GN23" s="23">
        <f>EXP(-LN(2)/2)*GN22+(1-EXP(-LN(2)/2))/(LN(2)/2)*GH23*GK23*VLOOKUP('Données projet'!$B$17,Paramètres!$A$1:$I$88,3,0)*0.475*44/12</f>
        <v>14.102099482831363</v>
      </c>
      <c r="GO23" s="23">
        <f t="shared" si="27"/>
        <v>33.588881169073574</v>
      </c>
      <c r="GP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3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6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</v>
      </c>
      <c r="N24" s="14">
        <f>IF('Données projet'!$A$36&gt;35,N23+M24-V23,IF(A24&lt;'Données projet'!$A$36,$K$205^A24,IF(A24='Données projet'!$A$36,'Données projet'!$B$36,N23+M24-V23)))</f>
        <v>63</v>
      </c>
      <c r="O24" s="14">
        <f>N24*VLOOKUP('Données projet'!$B$9,Paramètres!$A$1:$I$88,3,0)*VLOOKUP('Données projet'!$B$9,Paramètres!$A$1:$I$88,5,0)</f>
        <v>57.002400000000002</v>
      </c>
      <c r="P24" s="14">
        <f t="shared" si="33"/>
        <v>16.4081359066458</v>
      </c>
      <c r="Q24" s="22">
        <f t="shared" si="2"/>
        <v>127.85668337074144</v>
      </c>
      <c r="R24" s="59">
        <f t="shared" si="0"/>
        <v>410.19001670407476</v>
      </c>
      <c r="S24" s="59">
        <f ca="1">AVERAGE(OFFSET($R$3,0,0,'Données projet'!$E$9+1,1))-AVERAGE(OFFSET($H$3,0,0,'Données projet'!$E$9+1,1))</f>
        <v>247.57967230773539</v>
      </c>
      <c r="T24" s="59">
        <f t="shared" si="34"/>
        <v>156.58857589533295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15.14</v>
      </c>
      <c r="AI24" s="14">
        <f>IF('Données projet'!$A$62&gt;35,AI23+AH24-AQ23,IF(A24&lt;'Données projet'!$A$62,$AF$205^A24,IF(A24='Données projet'!$A$62,'Données projet'!$B$62,AI23+AH24-AQ23)))</f>
        <v>117.43999999999998</v>
      </c>
      <c r="AJ24" s="14">
        <f>AI24*VLOOKUP('Données projet'!$B$10,Paramètres!$A$1:$I$88,3,0)*VLOOKUP('Données projet'!$B$10,Paramètres!$A$1:$I$88,5,0)</f>
        <v>93.435263999999989</v>
      </c>
      <c r="AK24" s="14">
        <f t="shared" si="35"/>
        <v>25.391913081668967</v>
      </c>
      <c r="AL24" s="22">
        <f t="shared" si="4"/>
        <v>206.95733341724011</v>
      </c>
      <c r="AM24" s="59">
        <f t="shared" si="5"/>
        <v>489.29066675057345</v>
      </c>
      <c r="AN24" s="59">
        <f ca="1">AVERAGE(OFFSET($AM$3,0,0,'Données projet'!$E$10+1,1))-AVERAGE(OFFSET($H$3,0,0,'Données projet'!$E$10+1,1))</f>
        <v>504.15006129790828</v>
      </c>
      <c r="AO24" s="59">
        <f t="shared" si="36"/>
        <v>374.39334457402742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15.14</v>
      </c>
      <c r="BD24" s="13">
        <f>IF('Données projet'!$A$88&gt;35,BD23+BC24-BL23,IF(A24&lt;'Données projet'!$A$88,$BA$205^A24,IF(A24='Données projet'!$A$88,'Données projet'!$B$88,BD23+BC24-BL23)))</f>
        <v>117.43999999999998</v>
      </c>
      <c r="BE24" s="14">
        <f>BD24*VLOOKUP('Données projet'!$B$11,Paramètres!$A$1:$I$88,3,0)*VLOOKUP('Données projet'!$B$11,Paramètres!$A$1:$I$88,5,0)</f>
        <v>93.435263999999989</v>
      </c>
      <c r="BF24" s="14">
        <f t="shared" si="37"/>
        <v>25.391913081668967</v>
      </c>
      <c r="BG24" s="22">
        <f t="shared" si="7"/>
        <v>206.95733341724011</v>
      </c>
      <c r="BH24" s="59">
        <f t="shared" si="8"/>
        <v>489.29066675057345</v>
      </c>
      <c r="BI24" s="59">
        <f ca="1">AVERAGE(OFFSET($BH$3,0,0,'Données projet'!$E$11+1,1))-AVERAGE(OFFSET($H$3,0,0,'Données projet'!$E$11+1,1))</f>
        <v>504.15006129790828</v>
      </c>
      <c r="BJ24" s="59">
        <f t="shared" si="38"/>
        <v>374.39334457402742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15.14</v>
      </c>
      <c r="BY24" s="13">
        <f>IF('Données projet'!$A$114&gt;35,BY23+BX24-CG23,IF(A24&lt;'Données projet'!$A$114,$BV$205^A24,IF(A24='Données projet'!$A$114,'Données projet'!$B$114,BY23+BX24-CG23)))</f>
        <v>117.43999999999998</v>
      </c>
      <c r="BZ24" s="14">
        <f>BY24*VLOOKUP('Données projet'!$B$12,Paramètres!$A$1:$I$88,3,0)*VLOOKUP('Données projet'!$B$12,Paramètres!$A$1:$I$88,5,0)</f>
        <v>78.778751999999997</v>
      </c>
      <c r="CA24" s="14">
        <f t="shared" si="39"/>
        <v>21.838315829516709</v>
      </c>
      <c r="CB24" s="22">
        <f t="shared" si="10"/>
        <v>175.24139313640828</v>
      </c>
      <c r="CC24" s="59">
        <f t="shared" si="11"/>
        <v>457.57472646974156</v>
      </c>
      <c r="CD24" s="59">
        <f ca="1">AVERAGE(OFFSET($CC$3,0,0,'Données projet'!$E$12+1,1))-AVERAGE(OFFSET($H$3,0,0,'Données projet'!$E$12+1,1))</f>
        <v>387.15063677712425</v>
      </c>
      <c r="CE24" s="59">
        <f t="shared" si="40"/>
        <v>313.19155394370705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0</v>
      </c>
      <c r="CO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3</v>
      </c>
      <c r="CT24" s="13">
        <f>IF('Données projet'!$A$140&gt;35,CT23+CS24-DB23,IF(A24&lt;'Données projet'!$A$140,$CQ$205^A24,IF(A24='Données projet'!$A$140,'Données projet'!$B$140,CT23+CS24-DB23)))</f>
        <v>63</v>
      </c>
      <c r="CU24" s="18">
        <f>CT24*VLOOKUP('Données projet'!$B$13,Paramètres!$A$1:$I$88,3,0)*VLOOKUP('Données projet'!$B$13,Paramètres!$A$1:$I$88,5,0)</f>
        <v>60.933600000000006</v>
      </c>
      <c r="CV24" s="14">
        <f t="shared" si="41"/>
        <v>17.404099852856145</v>
      </c>
      <c r="CW24" s="22">
        <f t="shared" si="13"/>
        <v>136.4381605770578</v>
      </c>
      <c r="CX24" s="59">
        <f t="shared" si="14"/>
        <v>418.77149391039109</v>
      </c>
      <c r="CY24" s="59">
        <f ca="1">AVERAGE(OFFSET($CX$3,0,0,'Données projet'!$E$13+1,1))-AVERAGE(OFFSET($H$3,0,0,'Données projet'!$E$13+1,1))</f>
        <v>306.00894145276209</v>
      </c>
      <c r="CZ24" s="59">
        <f t="shared" si="42"/>
        <v>168.74705421228828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0</v>
      </c>
      <c r="DG24" s="23">
        <f>EXP(-LN(2)/25)*DG23+(1-EXP(-LN(2)/25))/(LN(2)/25)*Calculateur!DB24*Calculateur!DD24*VLOOKUP('Données projet'!$B$13,Paramètres!$A$1:$I$88,3,0)*0.475*44/12</f>
        <v>0</v>
      </c>
      <c r="DH24" s="23">
        <f>EXP(-LN(2)/2)*DH23+(1-EXP(-LN(2)/2))/(LN(2)/2)*DB24*DE24*VLOOKUP('Données projet'!$B$13,Paramètres!$A$1:$I$88,3,0)*0.475*44/12</f>
        <v>0</v>
      </c>
      <c r="DI24" s="24">
        <f t="shared" si="15"/>
        <v>0</v>
      </c>
      <c r="DJ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15.14</v>
      </c>
      <c r="DO24" s="13">
        <f>IF('Données projet'!$A$166&gt;35,DO23+DN24-DW23,IF(A24&lt;'Données projet'!$A$166,$DL$205^A24,IF(A24='Données projet'!$A$166,'Données projet'!$B$166,DO23+DN24-DW23)))</f>
        <v>117.43999999999998</v>
      </c>
      <c r="DP24" s="18">
        <f>DO24*VLOOKUP('Données projet'!$B$14,Paramètres!$A$1:$I$88,3,0)*VLOOKUP('Données projet'!$B$14,Paramètres!$A$1:$I$88,5,0)</f>
        <v>91.603199999999987</v>
      </c>
      <c r="DQ24" s="14">
        <f t="shared" si="43"/>
        <v>24.95148000409462</v>
      </c>
      <c r="DR24" s="22">
        <f t="shared" si="16"/>
        <v>202.99940100713141</v>
      </c>
      <c r="DS24" s="59">
        <f t="shared" si="17"/>
        <v>485.33273434046475</v>
      </c>
      <c r="DT24" s="59">
        <f ca="1">AVERAGE(OFFSET($DS$3,0,0,'Données projet'!$E$14+1,1))-AVERAGE(OFFSET($H$3,0,0,'Données projet'!$E$14+1,1))</f>
        <v>458.14328535055694</v>
      </c>
      <c r="DU24" s="59">
        <f t="shared" si="44"/>
        <v>366.75500153675739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projet'!$B$14,Paramètres!$A$1:$I$88,3,0)*0.475*44/12</f>
        <v>0</v>
      </c>
      <c r="EB24" s="23">
        <f>EXP(-LN(2)/25)*EB23+(1-EXP(-LN(2)/25))/(LN(2)/25)*Calculateur!DW24*Calculateur!DY24*VLOOKUP('Données projet'!$B$14,Paramètres!$A$1:$I$88,3,0)*0.475*44/12</f>
        <v>0</v>
      </c>
      <c r="EC24" s="23">
        <f>EXP(-LN(2)/2)*EC23+(1-EXP(-LN(2)/2))/(LN(2)/2)*DW24*DZ24*VLOOKUP('Données projet'!$B$14,Paramètres!$A$1:$I$88,3,0)*0.475*44/12</f>
        <v>0</v>
      </c>
      <c r="ED24" s="24">
        <f t="shared" si="18"/>
        <v>0</v>
      </c>
      <c r="EE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3.1</v>
      </c>
      <c r="EJ24" s="13">
        <f>IF('Données projet'!$A$192&gt;35,EJ23+EI24-ER23,IF(A24&lt;'Données projet'!$A$192,$EG$205^A24,IF(A24='Données projet'!$A$192,'Données projet'!$B$192,EJ23+EI24-ER23)))</f>
        <v>23.874707744105354</v>
      </c>
      <c r="EK24" s="18">
        <f>EJ24*VLOOKUP('Données projet'!$B$15,Paramètres!$A$1:$I$88,3,0)*VLOOKUP('Données projet'!$B$15,Paramètres!$A$1:$I$88,5,0)</f>
        <v>20.484499244442397</v>
      </c>
      <c r="EL24" s="14">
        <f t="shared" si="45"/>
        <v>6.6424379437450636</v>
      </c>
      <c r="EM24" s="22">
        <f t="shared" si="19"/>
        <v>47.246082269426495</v>
      </c>
      <c r="EN24" s="59">
        <f t="shared" si="20"/>
        <v>329.57941560275981</v>
      </c>
      <c r="EO24" s="59">
        <f ca="1">AVERAGE(OFFSET($EN$3,0,0,'Données projet'!$E$15+1,1))-AVERAGE(OFFSET($H$3,0,0,'Données projet'!$E$15+1,1))</f>
        <v>462.99360395552145</v>
      </c>
      <c r="EP24" s="59">
        <f t="shared" si="46"/>
        <v>153.03880717786046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projet'!$B$15,Paramètres!$A$1:$I$88,3,0)*0.475*44/12</f>
        <v>0</v>
      </c>
      <c r="EW24" s="23">
        <f>EXP(-LN(2)/25)*EW23+(1-EXP(-LN(2)/25))/(LN(2)/25)*Calculateur!ER24*Calculateur!ET24*VLOOKUP('Données projet'!$B$15,Paramètres!$A$1:$I$88,3,0)*0.475*44/12</f>
        <v>0</v>
      </c>
      <c r="EX24" s="23">
        <f>EXP(-LN(2)/2)*EX23+(1-EXP(-LN(2)/2))/(LN(2)/2)*ER24*EU24*VLOOKUP('Données projet'!$B$15,Paramètres!$A$1:$I$88,3,0)*0.475*44/12</f>
        <v>0</v>
      </c>
      <c r="EY24" s="24">
        <f t="shared" si="21"/>
        <v>0</v>
      </c>
      <c r="EZ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11.9</v>
      </c>
      <c r="FE24" s="13">
        <f>IF('Données projet'!$A$218&gt;35,FE23+FD24-FM23,IF(A24&lt;'Données projet'!$A$218,$FB$205^A24,IF(A24='Données projet'!$A$218,'Données projet'!$B$218,FE23+FD24-FM23)))</f>
        <v>82.4</v>
      </c>
      <c r="FF24" s="18">
        <f>FE24*VLOOKUP('Données projet'!$B$16,Paramètres!$A$1:$I$88,3,0)*VLOOKUP('Données projet'!$B$16,Paramètres!$A$1:$I$88,5,0)</f>
        <v>71.984640000000013</v>
      </c>
      <c r="FG24" s="14">
        <f t="shared" si="47"/>
        <v>20.165508829748738</v>
      </c>
      <c r="FH24" s="22">
        <f t="shared" si="22"/>
        <v>160.49484254514576</v>
      </c>
      <c r="FI24" s="59">
        <f t="shared" si="23"/>
        <v>442.8281758784791</v>
      </c>
      <c r="FJ24" s="59">
        <f ca="1">AVERAGE(OFFSET($FI$3,0,0,'Données projet'!$E$16+1,1))-AVERAGE(OFFSET($H$3,0,0,'Données projet'!$E$16+1,1))</f>
        <v>427.76895185088944</v>
      </c>
      <c r="FK24" s="59">
        <f t="shared" si="48"/>
        <v>308.32543361559135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projet'!$B$16,Paramètres!$A$1:$I$88,3,0)*0.475*44/12</f>
        <v>0</v>
      </c>
      <c r="FR24" s="23">
        <f>EXP(-LN(2)/25)*FR23+(1-EXP(-LN(2)/25))/(LN(2)/25)*Calculateur!FM24*Calculateur!FO24*VLOOKUP('Données projet'!$B$16,Paramètres!$A$1:$I$88,3,0)*0.475*44/12</f>
        <v>0</v>
      </c>
      <c r="FS24" s="23">
        <f>EXP(-LN(2)/2)*FS23+(1-EXP(-LN(2)/2))/(LN(2)/2)*FM24*FP24*VLOOKUP('Données projet'!$B$16,Paramètres!$A$1:$I$88,3,0)*0.475*44/12</f>
        <v>0</v>
      </c>
      <c r="FT24" s="24">
        <f t="shared" si="24"/>
        <v>0</v>
      </c>
      <c r="FU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15.8</v>
      </c>
      <c r="FZ24" s="13">
        <f>IF('Données projet'!$A$244&gt;35,FZ23+FY24-GH23,IF(A24&lt;'Données projet'!$A$244,$FW$205^A24,IF(A24='Données projet'!$A$244,'Données projet'!$B$244,FZ23+FY24-GH23)))</f>
        <v>141.80000000000001</v>
      </c>
      <c r="GA24" s="18">
        <f>FZ24*VLOOKUP('Données projet'!$B$17,Paramètres!$A$1:$I$88,3,0)*VLOOKUP('Données projet'!$B$17,Paramètres!$A$1:$I$88,5,0)</f>
        <v>88.483200000000011</v>
      </c>
      <c r="GB24" s="14">
        <f t="shared" si="49"/>
        <v>24.199048272330138</v>
      </c>
      <c r="GC24" s="22">
        <f t="shared" si="25"/>
        <v>196.25491574097501</v>
      </c>
      <c r="GD24" s="59">
        <f t="shared" si="26"/>
        <v>478.58824907430835</v>
      </c>
      <c r="GE24" s="59">
        <f ca="1">AVERAGE(OFFSET($GD$3,0,0,'Données projet'!$E$17+1,1))-AVERAGE(OFFSET($H$3,0,0,'Données projet'!$E$17+1,1))</f>
        <v>247.85542034088905</v>
      </c>
      <c r="GF24" s="59">
        <f t="shared" si="50"/>
        <v>299.52241743660352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projet'!$B$17,Paramètres!$A$1:$I$88,3,0)*0.475*44/12</f>
        <v>0</v>
      </c>
      <c r="GM24" s="23">
        <f>EXP(-LN(2)/25)*GM23+(1-EXP(-LN(2)/25))/(LN(2)/25)*Calculateur!GH24*Calculateur!GJ24*VLOOKUP('Données projet'!$B$17,Paramètres!$A$1:$I$88,3,0)*0.475*44/12</f>
        <v>18.953914616266609</v>
      </c>
      <c r="GN24" s="23">
        <f>EXP(-LN(2)/2)*GN23+(1-EXP(-LN(2)/2))/(LN(2)/2)*GH24*GK24*VLOOKUP('Données projet'!$B$17,Paramètres!$A$1:$I$88,3,0)*0.475*44/12</f>
        <v>9.9716901732773628</v>
      </c>
      <c r="GO24" s="23">
        <f t="shared" si="27"/>
        <v>28.925604789543971</v>
      </c>
      <c r="GP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3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6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</v>
      </c>
      <c r="N25" s="14">
        <f>IF('Données projet'!$A$36&gt;35,N24+M25-V24,IF(A25&lt;'Données projet'!$A$36,$K$205^A25,IF(A25='Données projet'!$A$36,'Données projet'!$B$36,N24+M25-V24)))</f>
        <v>66</v>
      </c>
      <c r="O25" s="14">
        <f>N25*VLOOKUP('Données projet'!$B$9,Paramètres!$A$1:$I$88,3,0)*VLOOKUP('Données projet'!$B$9,Paramètres!$A$1:$I$88,5,0)</f>
        <v>59.716799999999992</v>
      </c>
      <c r="P25" s="14">
        <f t="shared" si="33"/>
        <v>17.096647463151516</v>
      </c>
      <c r="Q25" s="22">
        <f t="shared" si="2"/>
        <v>133.78342099832221</v>
      </c>
      <c r="R25" s="59">
        <f t="shared" si="0"/>
        <v>417.33897655387773</v>
      </c>
      <c r="S25" s="59">
        <f ca="1">AVERAGE(OFFSET($R$3,0,0,'Données projet'!$E$9+1,1))-AVERAGE(OFFSET($H$3,0,0,'Données projet'!$E$9+1,1))</f>
        <v>247.57967230773539</v>
      </c>
      <c r="T25" s="59">
        <f t="shared" si="34"/>
        <v>156.58857589533295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15.14</v>
      </c>
      <c r="AI25" s="14">
        <f>IF('Données projet'!$A$62&gt;35,AI24+AH25-AQ24,IF(A25&lt;'Données projet'!$A$62,$AF$205^A25,IF(A25='Données projet'!$A$62,'Données projet'!$B$62,AI24+AH25-AQ24)))</f>
        <v>132.57999999999998</v>
      </c>
      <c r="AJ25" s="14">
        <f>AI25*VLOOKUP('Données projet'!$B$10,Paramètres!$A$1:$I$88,3,0)*VLOOKUP('Données projet'!$B$10,Paramètres!$A$1:$I$88,5,0)</f>
        <v>105.48064799999999</v>
      </c>
      <c r="AK25" s="14">
        <f t="shared" si="35"/>
        <v>28.263604114410313</v>
      </c>
      <c r="AL25" s="22">
        <f t="shared" si="4"/>
        <v>232.93790576593128</v>
      </c>
      <c r="AM25" s="59">
        <f t="shared" si="5"/>
        <v>516.49346132148685</v>
      </c>
      <c r="AN25" s="59">
        <f ca="1">AVERAGE(OFFSET($AM$3,0,0,'Données projet'!$E$10+1,1))-AVERAGE(OFFSET($H$3,0,0,'Données projet'!$E$10+1,1))</f>
        <v>504.15006129790828</v>
      </c>
      <c r="AO25" s="59">
        <f t="shared" si="36"/>
        <v>374.39334457402742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15.14</v>
      </c>
      <c r="BD25" s="13">
        <f>IF('Données projet'!$A$88&gt;35,BD24+BC25-BL24,IF(A25&lt;'Données projet'!$A$88,$BA$205^A25,IF(A25='Données projet'!$A$88,'Données projet'!$B$88,BD24+BC25-BL24)))</f>
        <v>132.57999999999998</v>
      </c>
      <c r="BE25" s="14">
        <f>BD25*VLOOKUP('Données projet'!$B$11,Paramètres!$A$1:$I$88,3,0)*VLOOKUP('Données projet'!$B$11,Paramètres!$A$1:$I$88,5,0)</f>
        <v>105.48064799999999</v>
      </c>
      <c r="BF25" s="14">
        <f t="shared" si="37"/>
        <v>28.263604114410313</v>
      </c>
      <c r="BG25" s="22">
        <f t="shared" si="7"/>
        <v>232.93790576593128</v>
      </c>
      <c r="BH25" s="59">
        <f t="shared" si="8"/>
        <v>516.49346132148685</v>
      </c>
      <c r="BI25" s="59">
        <f ca="1">AVERAGE(OFFSET($BH$3,0,0,'Données projet'!$E$11+1,1))-AVERAGE(OFFSET($H$3,0,0,'Données projet'!$E$11+1,1))</f>
        <v>504.15006129790828</v>
      </c>
      <c r="BJ25" s="59">
        <f t="shared" si="38"/>
        <v>374.39334457402742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15.14</v>
      </c>
      <c r="BY25" s="13">
        <f>IF('Données projet'!$A$114&gt;35,BY24+BX25-CG24,IF(A25&lt;'Données projet'!$A$114,$BV$205^A25,IF(A25='Données projet'!$A$114,'Données projet'!$B$114,BY24+BX25-CG24)))</f>
        <v>132.57999999999998</v>
      </c>
      <c r="BZ25" s="14">
        <f>BY25*VLOOKUP('Données projet'!$B$12,Paramètres!$A$1:$I$88,3,0)*VLOOKUP('Données projet'!$B$12,Paramètres!$A$1:$I$88,5,0)</f>
        <v>88.934663999999998</v>
      </c>
      <c r="CA25" s="14">
        <f t="shared" si="39"/>
        <v>24.308113813468939</v>
      </c>
      <c r="CB25" s="22">
        <f t="shared" si="10"/>
        <v>197.2311713584584</v>
      </c>
      <c r="CC25" s="59">
        <f t="shared" si="11"/>
        <v>480.78672691401391</v>
      </c>
      <c r="CD25" s="59">
        <f ca="1">AVERAGE(OFFSET($CC$3,0,0,'Données projet'!$E$12+1,1))-AVERAGE(OFFSET($H$3,0,0,'Données projet'!$E$12+1,1))</f>
        <v>387.15063677712425</v>
      </c>
      <c r="CE25" s="59">
        <f t="shared" si="40"/>
        <v>313.19155394370705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0</v>
      </c>
      <c r="CO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3</v>
      </c>
      <c r="CT25" s="13">
        <f>IF('Données projet'!$A$140&gt;35,CT24+CS25-DB24,IF(A25&lt;'Données projet'!$A$140,$CQ$205^A25,IF(A25='Données projet'!$A$140,'Données projet'!$B$140,CT24+CS25-DB24)))</f>
        <v>66</v>
      </c>
      <c r="CU25" s="18">
        <f>CT25*VLOOKUP('Données projet'!$B$13,Paramètres!$A$1:$I$88,3,0)*VLOOKUP('Données projet'!$B$13,Paramètres!$A$1:$I$88,5,0)</f>
        <v>63.835200000000007</v>
      </c>
      <c r="CV25" s="14">
        <f t="shared" si="41"/>
        <v>18.134403645282525</v>
      </c>
      <c r="CW25" s="22">
        <f t="shared" si="13"/>
        <v>142.7637263488671</v>
      </c>
      <c r="CX25" s="59">
        <f t="shared" si="14"/>
        <v>426.31928190442261</v>
      </c>
      <c r="CY25" s="59">
        <f ca="1">AVERAGE(OFFSET($CX$3,0,0,'Données projet'!$E$13+1,1))-AVERAGE(OFFSET($H$3,0,0,'Données projet'!$E$13+1,1))</f>
        <v>306.00894145276209</v>
      </c>
      <c r="CZ25" s="59">
        <f t="shared" si="42"/>
        <v>168.74705421228828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0</v>
      </c>
      <c r="DG25" s="23">
        <f>EXP(-LN(2)/25)*DG24+(1-EXP(-LN(2)/25))/(LN(2)/25)*Calculateur!DB25*Calculateur!DD25*VLOOKUP('Données projet'!$B$13,Paramètres!$A$1:$I$88,3,0)*0.475*44/12</f>
        <v>0</v>
      </c>
      <c r="DH25" s="23">
        <f>EXP(-LN(2)/2)*DH24+(1-EXP(-LN(2)/2))/(LN(2)/2)*DB25*DE25*VLOOKUP('Données projet'!$B$13,Paramètres!$A$1:$I$88,3,0)*0.475*44/12</f>
        <v>0</v>
      </c>
      <c r="DI25" s="24">
        <f t="shared" si="15"/>
        <v>0</v>
      </c>
      <c r="DJ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15.14</v>
      </c>
      <c r="DO25" s="13">
        <f>IF('Données projet'!$A$166&gt;35,DO24+DN25-DW24,IF(A25&lt;'Données projet'!$A$166,$DL$205^A25,IF(A25='Données projet'!$A$166,'Données projet'!$B$166,DO24+DN25-DW24)))</f>
        <v>132.57999999999998</v>
      </c>
      <c r="DP25" s="18">
        <f>DO25*VLOOKUP('Données projet'!$B$14,Paramètres!$A$1:$I$88,3,0)*VLOOKUP('Données projet'!$B$14,Paramètres!$A$1:$I$88,5,0)</f>
        <v>103.41239999999999</v>
      </c>
      <c r="DQ25" s="14">
        <f t="shared" si="43"/>
        <v>27.773360385888743</v>
      </c>
      <c r="DR25" s="22">
        <f t="shared" si="16"/>
        <v>228.48186600542286</v>
      </c>
      <c r="DS25" s="59">
        <f t="shared" si="17"/>
        <v>512.03742156097837</v>
      </c>
      <c r="DT25" s="59">
        <f ca="1">AVERAGE(OFFSET($DS$3,0,0,'Données projet'!$E$14+1,1))-AVERAGE(OFFSET($H$3,0,0,'Données projet'!$E$14+1,1))</f>
        <v>458.14328535055694</v>
      </c>
      <c r="DU25" s="59">
        <f t="shared" si="44"/>
        <v>366.75500153675739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projet'!$B$14,Paramètres!$A$1:$I$88,3,0)*0.475*44/12</f>
        <v>0</v>
      </c>
      <c r="EB25" s="23">
        <f>EXP(-LN(2)/25)*EB24+(1-EXP(-LN(2)/25))/(LN(2)/25)*Calculateur!DW25*Calculateur!DY25*VLOOKUP('Données projet'!$B$14,Paramètres!$A$1:$I$88,3,0)*0.475*44/12</f>
        <v>0</v>
      </c>
      <c r="EC25" s="23">
        <f>EXP(-LN(2)/2)*EC24+(1-EXP(-LN(2)/2))/(LN(2)/2)*DW25*DZ25*VLOOKUP('Données projet'!$B$14,Paramètres!$A$1:$I$88,3,0)*0.475*44/12</f>
        <v>0</v>
      </c>
      <c r="ED25" s="24">
        <f t="shared" si="18"/>
        <v>0</v>
      </c>
      <c r="EE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3.1</v>
      </c>
      <c r="EJ25" s="13">
        <f>IF('Données projet'!$A$192&gt;35,EJ24+EI25-ER24,IF(A25&lt;'Données projet'!$A$192,$EG$205^A25,IF(A25='Données projet'!$A$192,'Données projet'!$B$192,EJ24+EI25-ER24)))</f>
        <v>27.768611358668529</v>
      </c>
      <c r="EK25" s="18">
        <f>EJ25*VLOOKUP('Données projet'!$B$15,Paramètres!$A$1:$I$88,3,0)*VLOOKUP('Données projet'!$B$15,Paramètres!$A$1:$I$88,5,0)</f>
        <v>23.8254685457376</v>
      </c>
      <c r="EL25" s="14">
        <f t="shared" si="45"/>
        <v>7.5911205840520077</v>
      </c>
      <c r="EM25" s="22">
        <f t="shared" si="19"/>
        <v>54.717226067716894</v>
      </c>
      <c r="EN25" s="59">
        <f t="shared" si="20"/>
        <v>338.27278162327241</v>
      </c>
      <c r="EO25" s="59">
        <f ca="1">AVERAGE(OFFSET($EN$3,0,0,'Données projet'!$E$15+1,1))-AVERAGE(OFFSET($H$3,0,0,'Données projet'!$E$15+1,1))</f>
        <v>462.99360395552145</v>
      </c>
      <c r="EP25" s="59">
        <f t="shared" si="46"/>
        <v>153.03880717786046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projet'!$B$15,Paramètres!$A$1:$I$88,3,0)*0.475*44/12</f>
        <v>0</v>
      </c>
      <c r="EW25" s="23">
        <f>EXP(-LN(2)/25)*EW24+(1-EXP(-LN(2)/25))/(LN(2)/25)*Calculateur!ER25*Calculateur!ET25*VLOOKUP('Données projet'!$B$15,Paramètres!$A$1:$I$88,3,0)*0.475*44/12</f>
        <v>0</v>
      </c>
      <c r="EX25" s="23">
        <f>EXP(-LN(2)/2)*EX24+(1-EXP(-LN(2)/2))/(LN(2)/2)*ER25*EU25*VLOOKUP('Données projet'!$B$15,Paramètres!$A$1:$I$88,3,0)*0.475*44/12</f>
        <v>0</v>
      </c>
      <c r="EY25" s="24">
        <f t="shared" si="21"/>
        <v>0</v>
      </c>
      <c r="EZ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11.9</v>
      </c>
      <c r="FE25" s="13">
        <f>IF('Données projet'!$A$218&gt;35,FE24+FD25-FM24,IF(A25&lt;'Données projet'!$A$218,$FB$205^A25,IF(A25='Données projet'!$A$218,'Données projet'!$B$218,FE24+FD25-FM24)))</f>
        <v>94.300000000000011</v>
      </c>
      <c r="FF25" s="18">
        <f>FE25*VLOOKUP('Données projet'!$B$16,Paramètres!$A$1:$I$88,3,0)*VLOOKUP('Données projet'!$B$16,Paramètres!$A$1:$I$88,5,0)</f>
        <v>82.38048000000002</v>
      </c>
      <c r="FG25" s="14">
        <f t="shared" si="47"/>
        <v>22.718226877103973</v>
      </c>
      <c r="FH25" s="22">
        <f t="shared" si="22"/>
        <v>183.04691447762278</v>
      </c>
      <c r="FI25" s="59">
        <f t="shared" si="23"/>
        <v>466.60247003317829</v>
      </c>
      <c r="FJ25" s="59">
        <f ca="1">AVERAGE(OFFSET($FI$3,0,0,'Données projet'!$E$16+1,1))-AVERAGE(OFFSET($H$3,0,0,'Données projet'!$E$16+1,1))</f>
        <v>427.76895185088944</v>
      </c>
      <c r="FK25" s="59">
        <f t="shared" si="48"/>
        <v>308.32543361559135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projet'!$B$16,Paramètres!$A$1:$I$88,3,0)*0.475*44/12</f>
        <v>0</v>
      </c>
      <c r="FR25" s="23">
        <f>EXP(-LN(2)/25)*FR24+(1-EXP(-LN(2)/25))/(LN(2)/25)*Calculateur!FM25*Calculateur!FO25*VLOOKUP('Données projet'!$B$16,Paramètres!$A$1:$I$88,3,0)*0.475*44/12</f>
        <v>0</v>
      </c>
      <c r="FS25" s="23">
        <f>EXP(-LN(2)/2)*FS24+(1-EXP(-LN(2)/2))/(LN(2)/2)*FM25*FP25*VLOOKUP('Données projet'!$B$16,Paramètres!$A$1:$I$88,3,0)*0.475*44/12</f>
        <v>0</v>
      </c>
      <c r="FT25" s="24">
        <f t="shared" si="24"/>
        <v>0</v>
      </c>
      <c r="FU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15.8</v>
      </c>
      <c r="FZ25" s="13">
        <f>IF('Données projet'!$A$244&gt;35,FZ24+FY25-GH24,IF(A25&lt;'Données projet'!$A$244,$FW$205^A25,IF(A25='Données projet'!$A$244,'Données projet'!$B$244,FZ24+FY25-GH24)))</f>
        <v>157.60000000000002</v>
      </c>
      <c r="GA25" s="18">
        <f>FZ25*VLOOKUP('Données projet'!$B$17,Paramètres!$A$1:$I$88,3,0)*VLOOKUP('Données projet'!$B$17,Paramètres!$A$1:$I$88,5,0)</f>
        <v>98.342400000000012</v>
      </c>
      <c r="GB25" s="14">
        <f t="shared" si="49"/>
        <v>26.566713865744678</v>
      </c>
      <c r="GC25" s="22">
        <f t="shared" si="25"/>
        <v>217.55003998283863</v>
      </c>
      <c r="GD25" s="59">
        <f t="shared" si="26"/>
        <v>501.10559553839414</v>
      </c>
      <c r="GE25" s="59">
        <f ca="1">AVERAGE(OFFSET($GD$3,0,0,'Données projet'!$E$17+1,1))-AVERAGE(OFFSET($H$3,0,0,'Données projet'!$E$17+1,1))</f>
        <v>247.85542034088905</v>
      </c>
      <c r="GF25" s="59">
        <f t="shared" si="50"/>
        <v>299.52241743660352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projet'!$B$17,Paramètres!$A$1:$I$88,3,0)*0.475*44/12</f>
        <v>0</v>
      </c>
      <c r="GM25" s="23">
        <f>EXP(-LN(2)/25)*GM24+(1-EXP(-LN(2)/25))/(LN(2)/25)*Calculateur!GH25*Calculateur!GJ25*VLOOKUP('Données projet'!$B$17,Paramètres!$A$1:$I$88,3,0)*0.475*44/12</f>
        <v>18.435618824341748</v>
      </c>
      <c r="GN25" s="23">
        <f>EXP(-LN(2)/2)*GN24+(1-EXP(-LN(2)/2))/(LN(2)/2)*GH25*GK25*VLOOKUP('Données projet'!$B$17,Paramètres!$A$1:$I$88,3,0)*0.475*44/12</f>
        <v>7.0510497414156825</v>
      </c>
      <c r="GO25" s="23">
        <f t="shared" si="27"/>
        <v>25.48666856575743</v>
      </c>
      <c r="GP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3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6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</v>
      </c>
      <c r="N26" s="14">
        <f>IF('Données projet'!$A$36&gt;35,N25+M26-V25,IF(A26&lt;'Données projet'!$A$36,$K$205^A26,IF(A26='Données projet'!$A$36,'Données projet'!$B$36,N25+M26-V25)))</f>
        <v>69</v>
      </c>
      <c r="O26" s="14">
        <f>N26*VLOOKUP('Données projet'!$B$9,Paramètres!$A$1:$I$88,3,0)*VLOOKUP('Données projet'!$B$9,Paramètres!$A$1:$I$88,5,0)</f>
        <v>62.431199999999997</v>
      </c>
      <c r="P26" s="14">
        <f t="shared" si="33"/>
        <v>17.781524466058684</v>
      </c>
      <c r="Q26" s="22">
        <f t="shared" si="2"/>
        <v>139.70382844505221</v>
      </c>
      <c r="R26" s="59">
        <f t="shared" si="0"/>
        <v>424.48160622283001</v>
      </c>
      <c r="S26" s="59">
        <f ca="1">AVERAGE(OFFSET($R$3,0,0,'Données projet'!$E$9+1,1))-AVERAGE(OFFSET($H$3,0,0,'Données projet'!$E$9+1,1))</f>
        <v>247.57967230773539</v>
      </c>
      <c r="T26" s="59">
        <f t="shared" si="34"/>
        <v>156.58857589533295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15.14</v>
      </c>
      <c r="AI26" s="14">
        <f>IF('Données projet'!$A$62&gt;35,AI25+AH26-AQ25,IF(A26&lt;'Données projet'!$A$62,$AF$205^A26,IF(A26='Données projet'!$A$62,'Données projet'!$B$62,AI25+AH26-AQ25)))</f>
        <v>147.71999999999997</v>
      </c>
      <c r="AJ26" s="14">
        <f>AI26*VLOOKUP('Données projet'!$B$10,Paramètres!$A$1:$I$88,3,0)*VLOOKUP('Données projet'!$B$10,Paramètres!$A$1:$I$88,5,0)</f>
        <v>117.52603199999997</v>
      </c>
      <c r="AK26" s="14">
        <f t="shared" si="35"/>
        <v>31.097289172444178</v>
      </c>
      <c r="AL26" s="22">
        <f t="shared" si="4"/>
        <v>258.85228437534022</v>
      </c>
      <c r="AM26" s="59">
        <f t="shared" si="5"/>
        <v>543.63006215311793</v>
      </c>
      <c r="AN26" s="59">
        <f ca="1">AVERAGE(OFFSET($AM$3,0,0,'Données projet'!$E$10+1,1))-AVERAGE(OFFSET($H$3,0,0,'Données projet'!$E$10+1,1))</f>
        <v>504.15006129790828</v>
      </c>
      <c r="AO26" s="59">
        <f t="shared" si="36"/>
        <v>374.39334457402742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15.14</v>
      </c>
      <c r="BD26" s="13">
        <f>IF('Données projet'!$A$88&gt;35,BD25+BC26-BL25,IF(A26&lt;'Données projet'!$A$88,$BA$205^A26,IF(A26='Données projet'!$A$88,'Données projet'!$B$88,BD25+BC26-BL25)))</f>
        <v>147.71999999999997</v>
      </c>
      <c r="BE26" s="14">
        <f>BD26*VLOOKUP('Données projet'!$B$11,Paramètres!$A$1:$I$88,3,0)*VLOOKUP('Données projet'!$B$11,Paramètres!$A$1:$I$88,5,0)</f>
        <v>117.52603199999997</v>
      </c>
      <c r="BF26" s="14">
        <f t="shared" si="37"/>
        <v>31.097289172444178</v>
      </c>
      <c r="BG26" s="22">
        <f t="shared" si="7"/>
        <v>258.85228437534022</v>
      </c>
      <c r="BH26" s="59">
        <f t="shared" si="8"/>
        <v>543.63006215311793</v>
      </c>
      <c r="BI26" s="59">
        <f ca="1">AVERAGE(OFFSET($BH$3,0,0,'Données projet'!$E$11+1,1))-AVERAGE(OFFSET($H$3,0,0,'Données projet'!$E$11+1,1))</f>
        <v>504.15006129790828</v>
      </c>
      <c r="BJ26" s="59">
        <f t="shared" si="38"/>
        <v>374.39334457402742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15.14</v>
      </c>
      <c r="BY26" s="13">
        <f>IF('Données projet'!$A$114&gt;35,BY25+BX26-CG25,IF(A26&lt;'Données projet'!$A$114,$BV$205^A26,IF(A26='Données projet'!$A$114,'Données projet'!$B$114,BY25+BX26-CG25)))</f>
        <v>147.71999999999997</v>
      </c>
      <c r="BZ26" s="14">
        <f>BY26*VLOOKUP('Données projet'!$B$12,Paramètres!$A$1:$I$88,3,0)*VLOOKUP('Données projet'!$B$12,Paramètres!$A$1:$I$88,5,0)</f>
        <v>99.090575999999984</v>
      </c>
      <c r="CA26" s="14">
        <f t="shared" si="39"/>
        <v>26.745224757401751</v>
      </c>
      <c r="CB26" s="22">
        <f t="shared" si="10"/>
        <v>219.16401965247465</v>
      </c>
      <c r="CC26" s="59">
        <f t="shared" si="11"/>
        <v>503.94179743025245</v>
      </c>
      <c r="CD26" s="59">
        <f ca="1">AVERAGE(OFFSET($CC$3,0,0,'Données projet'!$E$12+1,1))-AVERAGE(OFFSET($H$3,0,0,'Données projet'!$E$12+1,1))</f>
        <v>387.15063677712425</v>
      </c>
      <c r="CE26" s="59">
        <f t="shared" si="40"/>
        <v>313.19155394370705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0</v>
      </c>
      <c r="CO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3</v>
      </c>
      <c r="CT26" s="13">
        <f>IF('Données projet'!$A$140&gt;35,CT25+CS26-DB25,IF(A26&lt;'Données projet'!$A$140,$CQ$205^A26,IF(A26='Données projet'!$A$140,'Données projet'!$B$140,CT25+CS26-DB25)))</f>
        <v>69</v>
      </c>
      <c r="CU26" s="18">
        <f>CT26*VLOOKUP('Données projet'!$B$13,Paramètres!$A$1:$I$88,3,0)*VLOOKUP('Données projet'!$B$13,Paramètres!$A$1:$I$88,5,0)</f>
        <v>66.736800000000002</v>
      </c>
      <c r="CV26" s="14">
        <f t="shared" si="41"/>
        <v>18.860852268900601</v>
      </c>
      <c r="CW26" s="22">
        <f t="shared" si="13"/>
        <v>149.08257770166853</v>
      </c>
      <c r="CX26" s="59">
        <f t="shared" si="14"/>
        <v>433.8603554794463</v>
      </c>
      <c r="CY26" s="59">
        <f ca="1">AVERAGE(OFFSET($CX$3,0,0,'Données projet'!$E$13+1,1))-AVERAGE(OFFSET($H$3,0,0,'Données projet'!$E$13+1,1))</f>
        <v>306.00894145276209</v>
      </c>
      <c r="CZ26" s="59">
        <f t="shared" si="42"/>
        <v>168.74705421228828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0</v>
      </c>
      <c r="DG26" s="23">
        <f>EXP(-LN(2)/25)*DG25+(1-EXP(-LN(2)/25))/(LN(2)/25)*Calculateur!DB26*Calculateur!DD26*VLOOKUP('Données projet'!$B$13,Paramètres!$A$1:$I$88,3,0)*0.475*44/12</f>
        <v>0</v>
      </c>
      <c r="DH26" s="23">
        <f>EXP(-LN(2)/2)*DH25+(1-EXP(-LN(2)/2))/(LN(2)/2)*DB26*DE26*VLOOKUP('Données projet'!$B$13,Paramètres!$A$1:$I$88,3,0)*0.475*44/12</f>
        <v>0</v>
      </c>
      <c r="DI26" s="24">
        <f t="shared" si="15"/>
        <v>0</v>
      </c>
      <c r="DJ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15.14</v>
      </c>
      <c r="DO26" s="13">
        <f>IF('Données projet'!$A$166&gt;35,DO25+DN26-DW25,IF(A26&lt;'Données projet'!$A$166,$DL$205^A26,IF(A26='Données projet'!$A$166,'Données projet'!$B$166,DO25+DN26-DW25)))</f>
        <v>147.71999999999997</v>
      </c>
      <c r="DP26" s="18">
        <f>DO26*VLOOKUP('Données projet'!$B$14,Paramètres!$A$1:$I$88,3,0)*VLOOKUP('Données projet'!$B$14,Paramètres!$A$1:$I$88,5,0)</f>
        <v>115.22159999999998</v>
      </c>
      <c r="DQ26" s="14">
        <f t="shared" si="43"/>
        <v>30.557894022091091</v>
      </c>
      <c r="DR26" s="22">
        <f t="shared" si="16"/>
        <v>253.89928542180857</v>
      </c>
      <c r="DS26" s="59">
        <f t="shared" si="17"/>
        <v>538.67706319958631</v>
      </c>
      <c r="DT26" s="59">
        <f ca="1">AVERAGE(OFFSET($DS$3,0,0,'Données projet'!$E$14+1,1))-AVERAGE(OFFSET($H$3,0,0,'Données projet'!$E$14+1,1))</f>
        <v>458.14328535055694</v>
      </c>
      <c r="DU26" s="59">
        <f t="shared" si="44"/>
        <v>366.75500153675739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projet'!$B$14,Paramètres!$A$1:$I$88,3,0)*0.475*44/12</f>
        <v>0</v>
      </c>
      <c r="EB26" s="23">
        <f>EXP(-LN(2)/25)*EB25+(1-EXP(-LN(2)/25))/(LN(2)/25)*Calculateur!DW26*Calculateur!DY26*VLOOKUP('Données projet'!$B$14,Paramètres!$A$1:$I$88,3,0)*0.475*44/12</f>
        <v>0</v>
      </c>
      <c r="EC26" s="23">
        <f>EXP(-LN(2)/2)*EC25+(1-EXP(-LN(2)/2))/(LN(2)/2)*DW26*DZ26*VLOOKUP('Données projet'!$B$14,Paramètres!$A$1:$I$88,3,0)*0.475*44/12</f>
        <v>0</v>
      </c>
      <c r="ED26" s="24">
        <f t="shared" si="18"/>
        <v>0</v>
      </c>
      <c r="EE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3.1</v>
      </c>
      <c r="EJ26" s="13">
        <f>IF('Données projet'!$A$192&gt;35,EJ25+EI26-ER25,IF(A26&lt;'Données projet'!$A$192,$EG$205^A26,IF(A26='Données projet'!$A$192,'Données projet'!$B$192,EJ25+EI26-ER25)))</f>
        <v>32.297600668186512</v>
      </c>
      <c r="EK26" s="18">
        <f>EJ26*VLOOKUP('Données projet'!$B$15,Paramètres!$A$1:$I$88,3,0)*VLOOKUP('Données projet'!$B$15,Paramètres!$A$1:$I$88,5,0)</f>
        <v>27.71134137330403</v>
      </c>
      <c r="EL26" s="14">
        <f t="shared" si="45"/>
        <v>8.6752954577289749</v>
      </c>
      <c r="EM26" s="22">
        <f t="shared" si="19"/>
        <v>63.373392480715808</v>
      </c>
      <c r="EN26" s="59">
        <f t="shared" si="20"/>
        <v>348.15117025849361</v>
      </c>
      <c r="EO26" s="59">
        <f ca="1">AVERAGE(OFFSET($EN$3,0,0,'Données projet'!$E$15+1,1))-AVERAGE(OFFSET($H$3,0,0,'Données projet'!$E$15+1,1))</f>
        <v>462.99360395552145</v>
      </c>
      <c r="EP26" s="59">
        <f t="shared" si="46"/>
        <v>153.03880717786046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projet'!$B$15,Paramètres!$A$1:$I$88,3,0)*0.475*44/12</f>
        <v>0</v>
      </c>
      <c r="EW26" s="23">
        <f>EXP(-LN(2)/25)*EW25+(1-EXP(-LN(2)/25))/(LN(2)/25)*Calculateur!ER26*Calculateur!ET26*VLOOKUP('Données projet'!$B$15,Paramètres!$A$1:$I$88,3,0)*0.475*44/12</f>
        <v>0</v>
      </c>
      <c r="EX26" s="23">
        <f>EXP(-LN(2)/2)*EX25+(1-EXP(-LN(2)/2))/(LN(2)/2)*ER26*EU26*VLOOKUP('Données projet'!$B$15,Paramètres!$A$1:$I$88,3,0)*0.475*44/12</f>
        <v>0</v>
      </c>
      <c r="EY26" s="24">
        <f t="shared" si="21"/>
        <v>0</v>
      </c>
      <c r="EZ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11.9</v>
      </c>
      <c r="FE26" s="13">
        <f>IF('Données projet'!$A$218&gt;35,FE25+FD26-FM25,IF(A26&lt;'Données projet'!$A$218,$FB$205^A26,IF(A26='Données projet'!$A$218,'Données projet'!$B$218,FE25+FD26-FM25)))</f>
        <v>106.20000000000002</v>
      </c>
      <c r="FF26" s="18">
        <f>FE26*VLOOKUP('Données projet'!$B$16,Paramètres!$A$1:$I$88,3,0)*VLOOKUP('Données projet'!$B$16,Paramètres!$A$1:$I$88,5,0)</f>
        <v>92.776320000000027</v>
      </c>
      <c r="FG26" s="14">
        <f t="shared" si="47"/>
        <v>25.233617967655977</v>
      </c>
      <c r="FH26" s="22">
        <f t="shared" si="22"/>
        <v>205.53397529366751</v>
      </c>
      <c r="FI26" s="59">
        <f t="shared" si="23"/>
        <v>490.31175307144531</v>
      </c>
      <c r="FJ26" s="59">
        <f ca="1">AVERAGE(OFFSET($FI$3,0,0,'Données projet'!$E$16+1,1))-AVERAGE(OFFSET($H$3,0,0,'Données projet'!$E$16+1,1))</f>
        <v>427.76895185088944</v>
      </c>
      <c r="FK26" s="59">
        <f t="shared" si="48"/>
        <v>308.32543361559135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projet'!$B$16,Paramètres!$A$1:$I$88,3,0)*0.475*44/12</f>
        <v>0</v>
      </c>
      <c r="FR26" s="23">
        <f>EXP(-LN(2)/25)*FR25+(1-EXP(-LN(2)/25))/(LN(2)/25)*Calculateur!FM26*Calculateur!FO26*VLOOKUP('Données projet'!$B$16,Paramètres!$A$1:$I$88,3,0)*0.475*44/12</f>
        <v>0</v>
      </c>
      <c r="FS26" s="23">
        <f>EXP(-LN(2)/2)*FS25+(1-EXP(-LN(2)/2))/(LN(2)/2)*FM26*FP26*VLOOKUP('Données projet'!$B$16,Paramètres!$A$1:$I$88,3,0)*0.475*44/12</f>
        <v>0</v>
      </c>
      <c r="FT26" s="24">
        <f t="shared" si="24"/>
        <v>0</v>
      </c>
      <c r="FU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15.8</v>
      </c>
      <c r="FZ26" s="13">
        <f>IF('Données projet'!$A$244&gt;35,FZ25+FY26-GH25,IF(A26&lt;'Données projet'!$A$244,$FW$205^A26,IF(A26='Données projet'!$A$244,'Données projet'!$B$244,FZ25+FY26-GH25)))</f>
        <v>173.40000000000003</v>
      </c>
      <c r="GA26" s="18">
        <f>FZ26*VLOOKUP('Données projet'!$B$17,Paramètres!$A$1:$I$88,3,0)*VLOOKUP('Données projet'!$B$17,Paramètres!$A$1:$I$88,5,0)</f>
        <v>108.20160000000003</v>
      </c>
      <c r="GB26" s="14">
        <f t="shared" si="49"/>
        <v>28.90686185716126</v>
      </c>
      <c r="GC26" s="22">
        <f t="shared" si="25"/>
        <v>238.79723773455586</v>
      </c>
      <c r="GD26" s="59">
        <f t="shared" si="26"/>
        <v>523.57501551233361</v>
      </c>
      <c r="GE26" s="59">
        <f ca="1">AVERAGE(OFFSET($GD$3,0,0,'Données projet'!$E$17+1,1))-AVERAGE(OFFSET($H$3,0,0,'Données projet'!$E$17+1,1))</f>
        <v>247.85542034088905</v>
      </c>
      <c r="GF26" s="59">
        <f t="shared" si="50"/>
        <v>299.52241743660352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projet'!$B$17,Paramètres!$A$1:$I$88,3,0)*0.475*44/12</f>
        <v>0</v>
      </c>
      <c r="GM26" s="23">
        <f>EXP(-LN(2)/25)*GM25+(1-EXP(-LN(2)/25))/(LN(2)/25)*Calculateur!GH26*Calculateur!GJ26*VLOOKUP('Données projet'!$B$17,Paramètres!$A$1:$I$88,3,0)*0.475*44/12</f>
        <v>17.931495858103066</v>
      </c>
      <c r="GN26" s="23">
        <f>EXP(-LN(2)/2)*GN25+(1-EXP(-LN(2)/2))/(LN(2)/2)*GH26*GK26*VLOOKUP('Données projet'!$B$17,Paramètres!$A$1:$I$88,3,0)*0.475*44/12</f>
        <v>4.9858450866386823</v>
      </c>
      <c r="GO26" s="23">
        <f t="shared" si="27"/>
        <v>22.917340944741749</v>
      </c>
      <c r="GP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3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6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</v>
      </c>
      <c r="N27" s="14">
        <f>IF('Données projet'!$A$36&gt;35,N26+M27-V26,IF(A27&lt;'Données projet'!$A$36,$K$205^A27,IF(A27='Données projet'!$A$36,'Données projet'!$B$36,N26+M27-V26)))</f>
        <v>72</v>
      </c>
      <c r="O27" s="14">
        <f>N27*VLOOKUP('Données projet'!$B$9,Paramètres!$A$1:$I$88,3,0)*VLOOKUP('Données projet'!$B$9,Paramètres!$A$1:$I$88,5,0)</f>
        <v>65.145600000000002</v>
      </c>
      <c r="P27" s="14">
        <f t="shared" si="33"/>
        <v>18.462943001028204</v>
      </c>
      <c r="Q27" s="22">
        <f t="shared" si="2"/>
        <v>145.61821239345747</v>
      </c>
      <c r="R27" s="59">
        <f t="shared" si="0"/>
        <v>431.6182123934575</v>
      </c>
      <c r="S27" s="59">
        <f ca="1">AVERAGE(OFFSET($R$3,0,0,'Données projet'!$E$9+1,1))-AVERAGE(OFFSET($H$3,0,0,'Données projet'!$E$9+1,1))</f>
        <v>247.57967230773539</v>
      </c>
      <c r="T27" s="59">
        <f t="shared" si="34"/>
        <v>156.58857589533295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15.14</v>
      </c>
      <c r="AI27" s="14">
        <f>IF('Données projet'!$A$62&gt;35,AI26+AH27-AQ26,IF(A27&lt;'Données projet'!$A$62,$AF$205^A27,IF(A27='Données projet'!$A$62,'Données projet'!$B$62,AI26+AH27-AQ26)))</f>
        <v>162.85999999999996</v>
      </c>
      <c r="AJ27" s="14">
        <f>AI27*VLOOKUP('Données projet'!$B$10,Paramètres!$A$1:$I$88,3,0)*VLOOKUP('Données projet'!$B$10,Paramètres!$A$1:$I$88,5,0)</f>
        <v>129.57141599999997</v>
      </c>
      <c r="AK27" s="14">
        <f t="shared" si="35"/>
        <v>33.89730712826411</v>
      </c>
      <c r="AL27" s="22">
        <f t="shared" si="4"/>
        <v>284.70802611505997</v>
      </c>
      <c r="AM27" s="59">
        <f t="shared" si="5"/>
        <v>570.70802611505997</v>
      </c>
      <c r="AN27" s="59">
        <f ca="1">AVERAGE(OFFSET($AM$3,0,0,'Données projet'!$E$10+1,1))-AVERAGE(OFFSET($H$3,0,0,'Données projet'!$E$10+1,1))</f>
        <v>504.15006129790828</v>
      </c>
      <c r="AO27" s="59">
        <f t="shared" si="36"/>
        <v>374.39334457402742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15.14</v>
      </c>
      <c r="BD27" s="13">
        <f>IF('Données projet'!$A$88&gt;35,BD26+BC27-BL26,IF(A27&lt;'Données projet'!$A$88,$BA$205^A27,IF(A27='Données projet'!$A$88,'Données projet'!$B$88,BD26+BC27-BL26)))</f>
        <v>162.85999999999996</v>
      </c>
      <c r="BE27" s="14">
        <f>BD27*VLOOKUP('Données projet'!$B$11,Paramètres!$A$1:$I$88,3,0)*VLOOKUP('Données projet'!$B$11,Paramètres!$A$1:$I$88,5,0)</f>
        <v>129.57141599999997</v>
      </c>
      <c r="BF27" s="14">
        <f t="shared" si="37"/>
        <v>33.89730712826411</v>
      </c>
      <c r="BG27" s="22">
        <f t="shared" si="7"/>
        <v>284.70802611505997</v>
      </c>
      <c r="BH27" s="59">
        <f t="shared" si="8"/>
        <v>570.70802611505997</v>
      </c>
      <c r="BI27" s="59">
        <f ca="1">AVERAGE(OFFSET($BH$3,0,0,'Données projet'!$E$11+1,1))-AVERAGE(OFFSET($H$3,0,0,'Données projet'!$E$11+1,1))</f>
        <v>504.15006129790828</v>
      </c>
      <c r="BJ27" s="59">
        <f t="shared" si="38"/>
        <v>374.39334457402742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15.14</v>
      </c>
      <c r="BY27" s="13">
        <f>IF('Données projet'!$A$114&gt;35,BY26+BX27-CG26,IF(A27&lt;'Données projet'!$A$114,$BV$205^A27,IF(A27='Données projet'!$A$114,'Données projet'!$B$114,BY26+BX27-CG26)))</f>
        <v>162.85999999999996</v>
      </c>
      <c r="BZ27" s="14">
        <f>BY27*VLOOKUP('Données projet'!$B$12,Paramètres!$A$1:$I$88,3,0)*VLOOKUP('Données projet'!$B$12,Paramètres!$A$1:$I$88,5,0)</f>
        <v>109.24648799999997</v>
      </c>
      <c r="CA27" s="14">
        <f t="shared" si="39"/>
        <v>29.153380308771272</v>
      </c>
      <c r="CB27" s="22">
        <f t="shared" si="10"/>
        <v>241.0464373044432</v>
      </c>
      <c r="CC27" s="59">
        <f t="shared" si="11"/>
        <v>527.0464373044432</v>
      </c>
      <c r="CD27" s="59">
        <f ca="1">AVERAGE(OFFSET($CC$3,0,0,'Données projet'!$E$12+1,1))-AVERAGE(OFFSET($H$3,0,0,'Données projet'!$E$12+1,1))</f>
        <v>387.15063677712425</v>
      </c>
      <c r="CE27" s="59">
        <f t="shared" si="40"/>
        <v>313.19155394370705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0</v>
      </c>
      <c r="CO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3</v>
      </c>
      <c r="CT27" s="13">
        <f>IF('Données projet'!$A$140&gt;35,CT26+CS27-DB26,IF(A27&lt;'Données projet'!$A$140,$CQ$205^A27,IF(A27='Données projet'!$A$140,'Données projet'!$B$140,CT26+CS27-DB26)))</f>
        <v>72</v>
      </c>
      <c r="CU27" s="18">
        <f>CT27*VLOOKUP('Données projet'!$B$13,Paramètres!$A$1:$I$88,3,0)*VLOOKUP('Données projet'!$B$13,Paramètres!$A$1:$I$88,5,0)</f>
        <v>69.638400000000004</v>
      </c>
      <c r="CV27" s="14">
        <f t="shared" si="41"/>
        <v>19.583632497664617</v>
      </c>
      <c r="CW27" s="22">
        <f t="shared" si="13"/>
        <v>155.39503993343254</v>
      </c>
      <c r="CX27" s="59">
        <f t="shared" si="14"/>
        <v>441.39503993343254</v>
      </c>
      <c r="CY27" s="59">
        <f ca="1">AVERAGE(OFFSET($CX$3,0,0,'Données projet'!$E$13+1,1))-AVERAGE(OFFSET($H$3,0,0,'Données projet'!$E$13+1,1))</f>
        <v>306.00894145276209</v>
      </c>
      <c r="CZ27" s="59">
        <f t="shared" si="42"/>
        <v>168.74705421228828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projet'!$B$13,Paramètres!$A$1:$I$88,3,0)*0.475*44/12</f>
        <v>0</v>
      </c>
      <c r="DG27" s="23">
        <f>EXP(-LN(2)/25)*DG26+(1-EXP(-LN(2)/25))/(LN(2)/25)*Calculateur!DB27*Calculateur!DD27*VLOOKUP('Données projet'!$B$13,Paramètres!$A$1:$I$88,3,0)*0.475*44/12</f>
        <v>0</v>
      </c>
      <c r="DH27" s="23">
        <f>EXP(-LN(2)/2)*DH26+(1-EXP(-LN(2)/2))/(LN(2)/2)*DB27*DE27*VLOOKUP('Données projet'!$B$13,Paramètres!$A$1:$I$88,3,0)*0.475*44/12</f>
        <v>0</v>
      </c>
      <c r="DI27" s="24">
        <f t="shared" si="15"/>
        <v>0</v>
      </c>
      <c r="DJ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15.14</v>
      </c>
      <c r="DO27" s="13">
        <f>IF('Données projet'!$A$166&gt;35,DO26+DN27-DW26,IF(A27&lt;'Données projet'!$A$166,$DL$205^A27,IF(A27='Données projet'!$A$166,'Données projet'!$B$166,DO26+DN27-DW26)))</f>
        <v>162.85999999999996</v>
      </c>
      <c r="DP27" s="18">
        <f>DO27*VLOOKUP('Données projet'!$B$14,Paramètres!$A$1:$I$88,3,0)*VLOOKUP('Données projet'!$B$14,Paramètres!$A$1:$I$88,5,0)</f>
        <v>127.03079999999997</v>
      </c>
      <c r="DQ27" s="14">
        <f t="shared" si="43"/>
        <v>33.309344525684054</v>
      </c>
      <c r="DR27" s="22">
        <f t="shared" si="16"/>
        <v>279.25908504889964</v>
      </c>
      <c r="DS27" s="59">
        <f t="shared" si="17"/>
        <v>565.25908504889958</v>
      </c>
      <c r="DT27" s="59">
        <f ca="1">AVERAGE(OFFSET($DS$3,0,0,'Données projet'!$E$14+1,1))-AVERAGE(OFFSET($H$3,0,0,'Données projet'!$E$14+1,1))</f>
        <v>458.14328535055694</v>
      </c>
      <c r="DU27" s="59">
        <f t="shared" si="44"/>
        <v>366.75500153675739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projet'!$B$14,Paramètres!$A$1:$I$88,3,0)*0.475*44/12</f>
        <v>0</v>
      </c>
      <c r="EB27" s="23">
        <f>EXP(-LN(2)/25)*EB26+(1-EXP(-LN(2)/25))/(LN(2)/25)*Calculateur!DW27*Calculateur!DY27*VLOOKUP('Données projet'!$B$14,Paramètres!$A$1:$I$88,3,0)*0.475*44/12</f>
        <v>0</v>
      </c>
      <c r="EC27" s="23">
        <f>EXP(-LN(2)/2)*EC26+(1-EXP(-LN(2)/2))/(LN(2)/2)*DW27*DZ27*VLOOKUP('Données projet'!$B$14,Paramètres!$A$1:$I$88,3,0)*0.475*44/12</f>
        <v>0</v>
      </c>
      <c r="ED27" s="24">
        <f t="shared" si="18"/>
        <v>0</v>
      </c>
      <c r="EE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3.1</v>
      </c>
      <c r="EJ27" s="13">
        <f>IF('Données projet'!$A$192&gt;35,EJ26+EI27-ER26,IF(A27&lt;'Données projet'!$A$192,$EG$205^A27,IF(A27='Données projet'!$A$192,'Données projet'!$B$192,EJ26+EI27-ER26)))</f>
        <v>37.565256521046969</v>
      </c>
      <c r="EK27" s="18">
        <f>EJ27*VLOOKUP('Données projet'!$B$15,Paramètres!$A$1:$I$88,3,0)*VLOOKUP('Données projet'!$B$15,Paramètres!$A$1:$I$88,5,0)</f>
        <v>32.230990095058303</v>
      </c>
      <c r="EL27" s="14">
        <f t="shared" si="45"/>
        <v>9.9143137624511386</v>
      </c>
      <c r="EM27" s="22">
        <f t="shared" si="19"/>
        <v>73.403070885162279</v>
      </c>
      <c r="EN27" s="59">
        <f t="shared" si="20"/>
        <v>359.40307088516226</v>
      </c>
      <c r="EO27" s="59">
        <f ca="1">AVERAGE(OFFSET($EN$3,0,0,'Données projet'!$E$15+1,1))-AVERAGE(OFFSET($H$3,0,0,'Données projet'!$E$15+1,1))</f>
        <v>462.99360395552145</v>
      </c>
      <c r="EP27" s="59">
        <f t="shared" si="46"/>
        <v>153.03880717786046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projet'!$B$15,Paramètres!$A$1:$I$88,3,0)*0.475*44/12</f>
        <v>0</v>
      </c>
      <c r="EW27" s="23">
        <f>EXP(-LN(2)/25)*EW26+(1-EXP(-LN(2)/25))/(LN(2)/25)*Calculateur!ER27*Calculateur!ET27*VLOOKUP('Données projet'!$B$15,Paramètres!$A$1:$I$88,3,0)*0.475*44/12</f>
        <v>0</v>
      </c>
      <c r="EX27" s="23">
        <f>EXP(-LN(2)/2)*EX26+(1-EXP(-LN(2)/2))/(LN(2)/2)*ER27*EU27*VLOOKUP('Données projet'!$B$15,Paramètres!$A$1:$I$88,3,0)*0.475*44/12</f>
        <v>0</v>
      </c>
      <c r="EY27" s="24">
        <f t="shared" si="21"/>
        <v>0</v>
      </c>
      <c r="EZ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11.9</v>
      </c>
      <c r="FE27" s="13">
        <f>IF('Données projet'!$A$218&gt;35,FE26+FD27-FM26,IF(A27&lt;'Données projet'!$A$218,$FB$205^A27,IF(A27='Données projet'!$A$218,'Données projet'!$B$218,FE26+FD27-FM26)))</f>
        <v>118.10000000000002</v>
      </c>
      <c r="FF27" s="18">
        <f>FE27*VLOOKUP('Données projet'!$B$16,Paramètres!$A$1:$I$88,3,0)*VLOOKUP('Données projet'!$B$16,Paramètres!$A$1:$I$88,5,0)</f>
        <v>103.17216000000005</v>
      </c>
      <c r="FG27" s="14">
        <f t="shared" si="47"/>
        <v>27.716341909967309</v>
      </c>
      <c r="FH27" s="22">
        <f t="shared" si="22"/>
        <v>227.96414082652646</v>
      </c>
      <c r="FI27" s="59">
        <f t="shared" si="23"/>
        <v>513.96414082652643</v>
      </c>
      <c r="FJ27" s="59">
        <f ca="1">AVERAGE(OFFSET($FI$3,0,0,'Données projet'!$E$16+1,1))-AVERAGE(OFFSET($H$3,0,0,'Données projet'!$E$16+1,1))</f>
        <v>427.76895185088944</v>
      </c>
      <c r="FK27" s="59">
        <f t="shared" si="48"/>
        <v>308.32543361559135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projet'!$B$16,Paramètres!$A$1:$I$88,3,0)*0.475*44/12</f>
        <v>0</v>
      </c>
      <c r="FR27" s="23">
        <f>EXP(-LN(2)/25)*FR26+(1-EXP(-LN(2)/25))/(LN(2)/25)*Calculateur!FM27*Calculateur!FO27*VLOOKUP('Données projet'!$B$16,Paramètres!$A$1:$I$88,3,0)*0.475*44/12</f>
        <v>0</v>
      </c>
      <c r="FS27" s="23">
        <f>EXP(-LN(2)/2)*FS26+(1-EXP(-LN(2)/2))/(LN(2)/2)*FM27*FP27*VLOOKUP('Données projet'!$B$16,Paramètres!$A$1:$I$88,3,0)*0.475*44/12</f>
        <v>0</v>
      </c>
      <c r="FT27" s="24">
        <f t="shared" si="24"/>
        <v>0</v>
      </c>
      <c r="FU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15.8</v>
      </c>
      <c r="FZ27" s="13">
        <f>IF('Données projet'!$A$244&gt;35,FZ26+FY27-GH26,IF(A27&lt;'Données projet'!$A$244,$FW$205^A27,IF(A27='Données projet'!$A$244,'Données projet'!$B$244,FZ26+FY27-GH26)))</f>
        <v>189.20000000000005</v>
      </c>
      <c r="GA27" s="18">
        <f>FZ27*VLOOKUP('Données projet'!$B$17,Paramètres!$A$1:$I$88,3,0)*VLOOKUP('Données projet'!$B$17,Paramètres!$A$1:$I$88,5,0)</f>
        <v>118.06080000000003</v>
      </c>
      <c r="GB27" s="14">
        <f t="shared" si="49"/>
        <v>31.222284778272353</v>
      </c>
      <c r="GC27" s="22">
        <f t="shared" si="25"/>
        <v>260.00137265549102</v>
      </c>
      <c r="GD27" s="59">
        <f t="shared" si="26"/>
        <v>546.00137265549097</v>
      </c>
      <c r="GE27" s="59">
        <f ca="1">AVERAGE(OFFSET($GD$3,0,0,'Données projet'!$E$17+1,1))-AVERAGE(OFFSET($H$3,0,0,'Données projet'!$E$17+1,1))</f>
        <v>247.85542034088905</v>
      </c>
      <c r="GF27" s="59">
        <f t="shared" si="50"/>
        <v>299.52241743660352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projet'!$B$17,Paramètres!$A$1:$I$88,3,0)*0.475*44/12</f>
        <v>0</v>
      </c>
      <c r="GM27" s="23">
        <f>EXP(-LN(2)/25)*GM26+(1-EXP(-LN(2)/25))/(LN(2)/25)*Calculateur!GH27*Calculateur!GJ27*VLOOKUP('Données projet'!$B$17,Paramètres!$A$1:$I$88,3,0)*0.475*44/12</f>
        <v>17.441158160886854</v>
      </c>
      <c r="GN27" s="23">
        <f>EXP(-LN(2)/2)*GN26+(1-EXP(-LN(2)/2))/(LN(2)/2)*GH27*GK27*VLOOKUP('Données projet'!$B$17,Paramètres!$A$1:$I$88,3,0)*0.475*44/12</f>
        <v>3.5255248707078422</v>
      </c>
      <c r="GO27" s="23">
        <f t="shared" si="27"/>
        <v>20.966683031594695</v>
      </c>
      <c r="GP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3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6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</v>
      </c>
      <c r="N28" s="14">
        <f>IF('Données projet'!$A$36&gt;35,N27+M28-V27,IF(A28&lt;'Données projet'!$A$36,$K$205^A28,IF(A28='Données projet'!$A$36,'Données projet'!$B$36,N27+M28-V27)))</f>
        <v>75</v>
      </c>
      <c r="O28" s="14">
        <f>N28*VLOOKUP('Données projet'!$B$9,Paramètres!$A$1:$I$88,3,0)*VLOOKUP('Données projet'!$B$9,Paramètres!$A$1:$I$88,5,0)</f>
        <v>67.86</v>
      </c>
      <c r="P28" s="14">
        <f t="shared" si="33"/>
        <v>19.141063649731766</v>
      </c>
      <c r="Q28" s="22">
        <f t="shared" si="2"/>
        <v>151.52685252328283</v>
      </c>
      <c r="R28" s="59">
        <f t="shared" si="0"/>
        <v>438.74907474550503</v>
      </c>
      <c r="S28" s="59">
        <f ca="1">AVERAGE(OFFSET($R$3,0,0,'Données projet'!$E$9+1,1))-AVERAGE(OFFSET($H$3,0,0,'Données projet'!$E$9+1,1))</f>
        <v>247.57967230773539</v>
      </c>
      <c r="T28" s="59">
        <f t="shared" si="34"/>
        <v>156.58857589533295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178</v>
      </c>
      <c r="AG28" s="13">
        <f>VLOOKUP(A28,'Données projet'!$A$61:$I$81,9,0)</f>
        <v>15.14</v>
      </c>
      <c r="AH28" s="13">
        <f t="array" ref="AH28">INDEX(AG:AG,MIN(IF(ISNUMBER(AG28:AG224),ROW(AG28:AG224),"")))</f>
        <v>15.14</v>
      </c>
      <c r="AI28" s="14">
        <f>IF('Données projet'!$A$62&gt;35,AI27+AH28-AQ27,IF(A28&lt;'Données projet'!$A$62,$AF$205^A28,IF(A28='Données projet'!$A$62,'Données projet'!$B$62,AI27+AH28-AQ27)))</f>
        <v>177.99999999999994</v>
      </c>
      <c r="AJ28" s="14">
        <f>AI28*VLOOKUP('Données projet'!$B$10,Paramètres!$A$1:$I$88,3,0)*VLOOKUP('Données projet'!$B$10,Paramètres!$A$1:$I$88,5,0)</f>
        <v>141.61679999999996</v>
      </c>
      <c r="AK28" s="14">
        <f t="shared" si="35"/>
        <v>36.667143788043624</v>
      </c>
      <c r="AL28" s="22">
        <f t="shared" si="4"/>
        <v>310.51120209750923</v>
      </c>
      <c r="AM28" s="59">
        <f t="shared" si="5"/>
        <v>597.73342431973151</v>
      </c>
      <c r="AN28" s="59">
        <f ca="1">AVERAGE(OFFSET($AM$3,0,0,'Données projet'!$E$10+1,1))-AVERAGE(OFFSET($H$3,0,0,'Données projet'!$E$10+1,1))</f>
        <v>504.15006129790828</v>
      </c>
      <c r="AO28" s="59">
        <f t="shared" si="36"/>
        <v>374.39334457402742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21.6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178</v>
      </c>
      <c r="BB28" s="13">
        <f>VLOOKUP(A28,'Données projet'!$A$87:$I$107,9,0)</f>
        <v>15.14</v>
      </c>
      <c r="BC28" s="13">
        <f t="array" ref="BC28">INDEX(BB:BB,MIN(IF(ISNUMBER(BB28:BB224),ROW(BB28:BB224),"")))</f>
        <v>15.14</v>
      </c>
      <c r="BD28" s="13">
        <f>IF('Données projet'!$A$88&gt;35,BD27+BC28-BL27,IF(A28&lt;'Données projet'!$A$88,$BA$205^A28,IF(A28='Données projet'!$A$88,'Données projet'!$B$88,BD27+BC28-BL27)))</f>
        <v>177.99999999999994</v>
      </c>
      <c r="BE28" s="14">
        <f>BD28*VLOOKUP('Données projet'!$B$11,Paramètres!$A$1:$I$88,3,0)*VLOOKUP('Données projet'!$B$11,Paramètres!$A$1:$I$88,5,0)</f>
        <v>141.61679999999996</v>
      </c>
      <c r="BF28" s="14">
        <f t="shared" si="37"/>
        <v>36.667143788043624</v>
      </c>
      <c r="BG28" s="22">
        <f t="shared" si="7"/>
        <v>310.51120209750923</v>
      </c>
      <c r="BH28" s="59">
        <f t="shared" si="8"/>
        <v>597.73342431973151</v>
      </c>
      <c r="BI28" s="59">
        <f ca="1">AVERAGE(OFFSET($BH$3,0,0,'Données projet'!$E$11+1,1))-AVERAGE(OFFSET($H$3,0,0,'Données projet'!$E$11+1,1))</f>
        <v>504.15006129790828</v>
      </c>
      <c r="BJ28" s="59">
        <f t="shared" si="38"/>
        <v>374.39334457402742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21.6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178</v>
      </c>
      <c r="BW28" s="13">
        <f>VLOOKUP(A28,'Données projet'!$A$113:$I$133,9,0)</f>
        <v>15.14</v>
      </c>
      <c r="BX28" s="13">
        <f t="array" ref="BX28">INDEX(BW:BW,MIN(IF(ISNUMBER(BW28:BW224),ROW(BW28:BW224),"")))</f>
        <v>15.14</v>
      </c>
      <c r="BY28" s="13">
        <f>IF('Données projet'!$A$114&gt;35,BY27+BX28-CG27,IF(A28&lt;'Données projet'!$A$114,$BV$205^A28,IF(A28='Données projet'!$A$114,'Données projet'!$B$114,BY27+BX28-CG27)))</f>
        <v>177.99999999999994</v>
      </c>
      <c r="BZ28" s="14">
        <f>BY28*VLOOKUP('Données projet'!$B$12,Paramètres!$A$1:$I$88,3,0)*VLOOKUP('Données projet'!$B$12,Paramètres!$A$1:$I$88,5,0)</f>
        <v>119.40239999999997</v>
      </c>
      <c r="CA28" s="14">
        <f t="shared" si="39"/>
        <v>31.535578435312072</v>
      </c>
      <c r="CB28" s="22">
        <f t="shared" si="10"/>
        <v>262.88364577483509</v>
      </c>
      <c r="CC28" s="59">
        <f t="shared" si="11"/>
        <v>550.10586799705732</v>
      </c>
      <c r="CD28" s="59">
        <f ca="1">AVERAGE(OFFSET($CC$3,0,0,'Données projet'!$E$12+1,1))-AVERAGE(OFFSET($H$3,0,0,'Données projet'!$E$12+1,1))</f>
        <v>387.15063677712425</v>
      </c>
      <c r="CE28" s="59">
        <f t="shared" si="40"/>
        <v>313.19155394370705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21.6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0</v>
      </c>
      <c r="CO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3</v>
      </c>
      <c r="CT28" s="13">
        <f>IF('Données projet'!$A$140&gt;35,CT27+CS28-DB27,IF(A28&lt;'Données projet'!$A$140,$CQ$205^A28,IF(A28='Données projet'!$A$140,'Données projet'!$B$140,CT27+CS28-DB27)))</f>
        <v>75</v>
      </c>
      <c r="CU28" s="18">
        <f>CT28*VLOOKUP('Données projet'!$B$13,Paramètres!$A$1:$I$88,3,0)*VLOOKUP('Données projet'!$B$13,Paramètres!$A$1:$I$88,5,0)</f>
        <v>72.540000000000006</v>
      </c>
      <c r="CV28" s="14">
        <f t="shared" si="41"/>
        <v>20.302914660456786</v>
      </c>
      <c r="CW28" s="22">
        <f t="shared" si="13"/>
        <v>161.70140970029556</v>
      </c>
      <c r="CX28" s="59">
        <f t="shared" si="14"/>
        <v>448.92363192251776</v>
      </c>
      <c r="CY28" s="59">
        <f ca="1">AVERAGE(OFFSET($CX$3,0,0,'Données projet'!$E$13+1,1))-AVERAGE(OFFSET($H$3,0,0,'Données projet'!$E$13+1,1))</f>
        <v>306.00894145276209</v>
      </c>
      <c r="CZ28" s="59">
        <f t="shared" si="42"/>
        <v>168.74705421228828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0</v>
      </c>
      <c r="DG28" s="23">
        <f>EXP(-LN(2)/25)*DG27+(1-EXP(-LN(2)/25))/(LN(2)/25)*Calculateur!DB28*Calculateur!DD28*VLOOKUP('Données projet'!$B$13,Paramètres!$A$1:$I$88,3,0)*0.475*44/12</f>
        <v>0</v>
      </c>
      <c r="DH28" s="23">
        <f>EXP(-LN(2)/2)*DH27+(1-EXP(-LN(2)/2))/(LN(2)/2)*DB28*DE28*VLOOKUP('Données projet'!$B$13,Paramètres!$A$1:$I$88,3,0)*0.475*44/12</f>
        <v>0</v>
      </c>
      <c r="DI28" s="24">
        <f t="shared" si="15"/>
        <v>0</v>
      </c>
      <c r="DJ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178</v>
      </c>
      <c r="DM28" s="13">
        <f>VLOOKUP(A28,'Données projet'!$A$165:$I$185,9,0)</f>
        <v>15.14</v>
      </c>
      <c r="DN28" s="13">
        <f t="array" ref="DN28">INDEX(DM:DM,MIN(IF(ISNUMBER(DM28:DM224),ROW(DM28:DM224),"")))</f>
        <v>15.14</v>
      </c>
      <c r="DO28" s="13">
        <f>IF('Données projet'!$A$166&gt;35,DO27+DN28-DW27,IF(A28&lt;'Données projet'!$A$166,$DL$205^A28,IF(A28='Données projet'!$A$166,'Données projet'!$B$166,DO27+DN28-DW27)))</f>
        <v>177.99999999999994</v>
      </c>
      <c r="DP28" s="18">
        <f>DO28*VLOOKUP('Données projet'!$B$14,Paramètres!$A$1:$I$88,3,0)*VLOOKUP('Données projet'!$B$14,Paramètres!$A$1:$I$88,5,0)</f>
        <v>138.83999999999995</v>
      </c>
      <c r="DQ28" s="14">
        <f t="shared" si="43"/>
        <v>36.031137240112919</v>
      </c>
      <c r="DR28" s="22">
        <f t="shared" si="16"/>
        <v>304.56723069319656</v>
      </c>
      <c r="DS28" s="59">
        <f t="shared" si="17"/>
        <v>591.78945291541879</v>
      </c>
      <c r="DT28" s="59">
        <f ca="1">AVERAGE(OFFSET($DS$3,0,0,'Données projet'!$E$14+1,1))-AVERAGE(OFFSET($H$3,0,0,'Données projet'!$E$14+1,1))</f>
        <v>458.14328535055694</v>
      </c>
      <c r="DU28" s="59">
        <f t="shared" si="44"/>
        <v>366.75500153675739</v>
      </c>
      <c r="DV28" s="16">
        <f>IF(ISNA(VLOOKUP(A28,'Données projet'!$A$165:$I$185,3,0)),0,VLOOKUP(A28,'Données projet'!$A$165:$I$185,3,0))</f>
        <v>3</v>
      </c>
      <c r="DW28" s="16">
        <f>IF(ISNA(VLOOKUP(A28,'Données projet'!$A$165:$I$185,4,0)),0,VLOOKUP(A28,'Données projet'!$A$165:$I$185,4,0))</f>
        <v>21.6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projet'!$B$14,Paramètres!$A$1:$I$88,3,0)*0.475*44/12</f>
        <v>0</v>
      </c>
      <c r="EB28" s="23">
        <f>EXP(-LN(2)/25)*EB27+(1-EXP(-LN(2)/25))/(LN(2)/25)*Calculateur!DW28*Calculateur!DY28*VLOOKUP('Données projet'!$B$14,Paramètres!$A$1:$I$88,3,0)*0.475*44/12</f>
        <v>0</v>
      </c>
      <c r="EC28" s="23">
        <f>EXP(-LN(2)/2)*EC27+(1-EXP(-LN(2)/2))/(LN(2)/2)*DW28*DZ28*VLOOKUP('Données projet'!$B$14,Paramètres!$A$1:$I$88,3,0)*0.475*44/12</f>
        <v>0</v>
      </c>
      <c r="ED28" s="24">
        <f t="shared" si="18"/>
        <v>0</v>
      </c>
      <c r="EE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3.1</v>
      </c>
      <c r="EJ28" s="13">
        <f>IF('Données projet'!$A$192&gt;35,EJ27+EI28-ER27,IF(A28&lt;'Données projet'!$A$192,$EG$205^A28,IF(A28='Données projet'!$A$192,'Données projet'!$B$192,EJ27+EI28-ER27)))</f>
        <v>43.692053536412018</v>
      </c>
      <c r="EK28" s="18">
        <f>EJ28*VLOOKUP('Données projet'!$B$15,Paramètres!$A$1:$I$88,3,0)*VLOOKUP('Données projet'!$B$15,Paramètres!$A$1:$I$88,5,0)</f>
        <v>37.487781934241518</v>
      </c>
      <c r="EL28" s="14">
        <f t="shared" si="45"/>
        <v>11.330290462067959</v>
      </c>
      <c r="EM28" s="22">
        <f t="shared" si="19"/>
        <v>85.024809423572322</v>
      </c>
      <c r="EN28" s="59">
        <f t="shared" si="20"/>
        <v>372.24703164579455</v>
      </c>
      <c r="EO28" s="59">
        <f ca="1">AVERAGE(OFFSET($EN$3,0,0,'Données projet'!$E$15+1,1))-AVERAGE(OFFSET($H$3,0,0,'Données projet'!$E$15+1,1))</f>
        <v>462.99360395552145</v>
      </c>
      <c r="EP28" s="59">
        <f t="shared" si="46"/>
        <v>153.03880717786046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projet'!$B$15,Paramètres!$A$1:$I$88,3,0)*0.475*44/12</f>
        <v>0</v>
      </c>
      <c r="EW28" s="23">
        <f>EXP(-LN(2)/25)*EW27+(1-EXP(-LN(2)/25))/(LN(2)/25)*Calculateur!ER28*Calculateur!ET28*VLOOKUP('Données projet'!$B$15,Paramètres!$A$1:$I$88,3,0)*0.475*44/12</f>
        <v>0</v>
      </c>
      <c r="EX28" s="23">
        <f>EXP(-LN(2)/2)*EX27+(1-EXP(-LN(2)/2))/(LN(2)/2)*ER28*EU28*VLOOKUP('Données projet'!$B$15,Paramètres!$A$1:$I$88,3,0)*0.475*44/12</f>
        <v>0</v>
      </c>
      <c r="EY28" s="24">
        <f t="shared" si="21"/>
        <v>0</v>
      </c>
      <c r="EZ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130</v>
      </c>
      <c r="FC28" s="13">
        <f>VLOOKUP(A28,'Données projet'!$A$217:$I$237,9,0)</f>
        <v>11.9</v>
      </c>
      <c r="FD28" s="13">
        <f t="array" ref="FD28">INDEX(FC:FC,MIN(IF(ISNUMBER(FC28:FC224),ROW(FC28:FC224),"")))</f>
        <v>11.9</v>
      </c>
      <c r="FE28" s="13">
        <f>IF('Données projet'!$A$218&gt;35,FE27+FD28-FM27,IF(A28&lt;'Données projet'!$A$218,$FB$205^A28,IF(A28='Données projet'!$A$218,'Données projet'!$B$218,FE27+FD28-FM27)))</f>
        <v>130.00000000000003</v>
      </c>
      <c r="FF28" s="18">
        <f>FE28*VLOOKUP('Données projet'!$B$16,Paramètres!$A$1:$I$88,3,0)*VLOOKUP('Données projet'!$B$16,Paramètres!$A$1:$I$88,5,0)</f>
        <v>113.56800000000004</v>
      </c>
      <c r="FG28" s="14">
        <f t="shared" si="47"/>
        <v>30.17006506205821</v>
      </c>
      <c r="FH28" s="22">
        <f t="shared" si="22"/>
        <v>250.34379664975143</v>
      </c>
      <c r="FI28" s="59">
        <f t="shared" si="23"/>
        <v>537.56601887197371</v>
      </c>
      <c r="FJ28" s="59">
        <f ca="1">AVERAGE(OFFSET($FI$3,0,0,'Données projet'!$E$16+1,1))-AVERAGE(OFFSET($H$3,0,0,'Données projet'!$E$16+1,1))</f>
        <v>427.76895185088944</v>
      </c>
      <c r="FK28" s="59">
        <f t="shared" si="48"/>
        <v>308.32543361559135</v>
      </c>
      <c r="FL28" s="16">
        <f>IF(ISNA(VLOOKUP(A28,'Données projet'!$A$217:$I$237,3,0)),0,VLOOKUP(A28,'Données projet'!$A$217:$I$237,3,0))</f>
        <v>3</v>
      </c>
      <c r="FM28" s="16">
        <f>IF(ISNA(VLOOKUP(A28,'Données projet'!$A$217:$I$237,4,0)),0,VLOOKUP(A28,'Données projet'!$A$217:$I$237,4,0))</f>
        <v>13.3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projet'!$B$16,Paramètres!$A$1:$I$88,3,0)*0.475*44/12</f>
        <v>0</v>
      </c>
      <c r="FR28" s="23">
        <f>EXP(-LN(2)/25)*FR27+(1-EXP(-LN(2)/25))/(LN(2)/25)*Calculateur!FM28*Calculateur!FO28*VLOOKUP('Données projet'!$B$16,Paramètres!$A$1:$I$88,3,0)*0.475*44/12</f>
        <v>0</v>
      </c>
      <c r="FS28" s="23">
        <f>EXP(-LN(2)/2)*FS27+(1-EXP(-LN(2)/2))/(LN(2)/2)*FM28*FP28*VLOOKUP('Données projet'!$B$16,Paramètres!$A$1:$I$88,3,0)*0.475*44/12</f>
        <v>0</v>
      </c>
      <c r="FT28" s="24">
        <f t="shared" si="24"/>
        <v>0</v>
      </c>
      <c r="FU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205</v>
      </c>
      <c r="FX28" s="13">
        <f>VLOOKUP(A28,'Données projet'!$A$243:$I$263,9,0)</f>
        <v>15.8</v>
      </c>
      <c r="FY28" s="13">
        <f t="array" ref="FY28">INDEX(FX:FX,MIN(IF(ISNUMBER(FX28:FX224),ROW(FX28:FX224),"")))</f>
        <v>15.8</v>
      </c>
      <c r="FZ28" s="13">
        <f>IF('Données projet'!$A$244&gt;35,FZ27+FY28-GH27,IF(A28&lt;'Données projet'!$A$244,$FW$205^A28,IF(A28='Données projet'!$A$244,'Données projet'!$B$244,FZ27+FY28-GH27)))</f>
        <v>205.00000000000006</v>
      </c>
      <c r="GA28" s="18">
        <f>FZ28*VLOOKUP('Données projet'!$B$17,Paramètres!$A$1:$I$88,3,0)*VLOOKUP('Données projet'!$B$17,Paramètres!$A$1:$I$88,5,0)</f>
        <v>127.92000000000003</v>
      </c>
      <c r="GB28" s="14">
        <f t="shared" si="49"/>
        <v>33.515282155238225</v>
      </c>
      <c r="GC28" s="22">
        <f t="shared" si="25"/>
        <v>281.16644975370667</v>
      </c>
      <c r="GD28" s="59">
        <f t="shared" si="26"/>
        <v>568.3886719759289</v>
      </c>
      <c r="GE28" s="59">
        <f ca="1">AVERAGE(OFFSET($GD$3,0,0,'Données projet'!$E$17+1,1))-AVERAGE(OFFSET($H$3,0,0,'Données projet'!$E$17+1,1))</f>
        <v>247.85542034088905</v>
      </c>
      <c r="GF28" s="59">
        <f t="shared" si="50"/>
        <v>299.52241743660352</v>
      </c>
      <c r="GG28" s="16">
        <f>IF(ISNA(VLOOKUP(A28,'Données projet'!$A$243:$I$263,3,0)),0,VLOOKUP(A28,'Données projet'!$A$243:$I$263,3,0))</f>
        <v>4</v>
      </c>
      <c r="GH28" s="16">
        <f>IF(ISNA(VLOOKUP(A28,'Données projet'!$A$243:$I$263,4,0)),0,VLOOKUP(A28,'Données projet'!$A$243:$I$263,4,0))</f>
        <v>41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0.33600000000000002</v>
      </c>
      <c r="GK28" s="17">
        <f>IF(ISNA(VLOOKUP(A28,'Données projet'!$A$243:$I$263,7,0)),0%,VLOOKUP(A28,'Données projet'!$A$243:$I$263,7,0))</f>
        <v>0.44</v>
      </c>
      <c r="GL28" s="23">
        <f>EXP(-LN(2)/35)*GL27+(1-EXP(-LN(2)/35))/(LN(2)/35)*GH28*GI28*VLOOKUP('Données projet'!$B$17,Paramètres!$A$1:$I$88,3,0)*0.475*44/12</f>
        <v>0</v>
      </c>
      <c r="GM28" s="23">
        <f>EXP(-LN(2)/25)*GM27+(1-EXP(-LN(2)/25))/(LN(2)/25)*Calculateur!GH28*Calculateur!GJ28*VLOOKUP('Données projet'!$B$17,Paramètres!$A$1:$I$88,3,0)*0.475*44/12</f>
        <v>28.322774274340397</v>
      </c>
      <c r="GN28" s="23">
        <f>EXP(-LN(2)/2)*GN27+(1-EXP(-LN(2)/2))/(LN(2)/2)*GH28*GK28*VLOOKUP('Données projet'!$B$17,Paramètres!$A$1:$I$88,3,0)*0.475*44/12</f>
        <v>15.238416227282865</v>
      </c>
      <c r="GO28" s="23">
        <f t="shared" si="27"/>
        <v>43.561190501623258</v>
      </c>
      <c r="GP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3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6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</v>
      </c>
      <c r="N29" s="14">
        <f>IF('Données projet'!$A$36&gt;35,N28+M29-V28,IF(A29&lt;'Données projet'!$A$36,$K$205^A29,IF(A29='Données projet'!$A$36,'Données projet'!$B$36,N28+M29-V28)))</f>
        <v>78</v>
      </c>
      <c r="O29" s="14">
        <f>N29*VLOOKUP('Données projet'!$B$9,Paramètres!$A$1:$I$88,3,0)*VLOOKUP('Données projet'!$B$9,Paramètres!$A$1:$I$88,5,0)</f>
        <v>70.574399999999997</v>
      </c>
      <c r="P29" s="14">
        <f t="shared" si="33"/>
        <v>19.816033420152426</v>
      </c>
      <c r="Q29" s="22">
        <f t="shared" si="2"/>
        <v>157.43000487343213</v>
      </c>
      <c r="R29" s="59">
        <f t="shared" si="0"/>
        <v>445.87444931787661</v>
      </c>
      <c r="S29" s="59">
        <f ca="1">AVERAGE(OFFSET($R$3,0,0,'Données projet'!$E$9+1,1))-AVERAGE(OFFSET($H$3,0,0,'Données projet'!$E$9+1,1))</f>
        <v>247.57967230773539</v>
      </c>
      <c r="T29" s="59">
        <f t="shared" si="34"/>
        <v>156.58857589533295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14.719999999999999</v>
      </c>
      <c r="AI29" s="14">
        <f>IF('Données projet'!$A$62&gt;35,AI28+AH29-AQ28,IF(A29&lt;'Données projet'!$A$62,$AF$205^A29,IF(A29='Données projet'!$A$62,'Données projet'!$B$62,AI28+AH29-AQ28)))</f>
        <v>171.11999999999995</v>
      </c>
      <c r="AJ29" s="14">
        <f>AI29*VLOOKUP('Données projet'!$B$10,Paramètres!$A$1:$I$88,3,0)*VLOOKUP('Données projet'!$B$10,Paramètres!$A$1:$I$88,5,0)</f>
        <v>136.14307199999996</v>
      </c>
      <c r="AK29" s="14">
        <f t="shared" si="35"/>
        <v>35.412006016088057</v>
      </c>
      <c r="AL29" s="22">
        <f t="shared" si="4"/>
        <v>298.79176087802</v>
      </c>
      <c r="AM29" s="59">
        <f t="shared" si="5"/>
        <v>587.23620532246446</v>
      </c>
      <c r="AN29" s="59">
        <f ca="1">AVERAGE(OFFSET($AM$3,0,0,'Données projet'!$E$10+1,1))-AVERAGE(OFFSET($H$3,0,0,'Données projet'!$E$10+1,1))</f>
        <v>504.15006129790828</v>
      </c>
      <c r="AO29" s="59">
        <f t="shared" si="36"/>
        <v>374.39334457402742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14.719999999999999</v>
      </c>
      <c r="BD29" s="13">
        <f>IF('Données projet'!$A$88&gt;35,BD28+BC29-BL28,IF(A29&lt;'Données projet'!$A$88,$BA$205^A29,IF(A29='Données projet'!$A$88,'Données projet'!$B$88,BD28+BC29-BL28)))</f>
        <v>171.11999999999995</v>
      </c>
      <c r="BE29" s="14">
        <f>BD29*VLOOKUP('Données projet'!$B$11,Paramètres!$A$1:$I$88,3,0)*VLOOKUP('Données projet'!$B$11,Paramètres!$A$1:$I$88,5,0)</f>
        <v>136.14307199999996</v>
      </c>
      <c r="BF29" s="14">
        <f t="shared" si="37"/>
        <v>35.412006016088057</v>
      </c>
      <c r="BG29" s="22">
        <f t="shared" si="7"/>
        <v>298.79176087802</v>
      </c>
      <c r="BH29" s="59">
        <f t="shared" si="8"/>
        <v>587.23620532246446</v>
      </c>
      <c r="BI29" s="59">
        <f ca="1">AVERAGE(OFFSET($BH$3,0,0,'Données projet'!$E$11+1,1))-AVERAGE(OFFSET($H$3,0,0,'Données projet'!$E$11+1,1))</f>
        <v>504.15006129790828</v>
      </c>
      <c r="BJ29" s="59">
        <f t="shared" si="38"/>
        <v>374.39334457402742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14.719999999999999</v>
      </c>
      <c r="BY29" s="13">
        <f>IF('Données projet'!$A$114&gt;35,BY28+BX29-CG28,IF(A29&lt;'Données projet'!$A$114,$BV$205^A29,IF(A29='Données projet'!$A$114,'Données projet'!$B$114,BY28+BX29-CG28)))</f>
        <v>171.11999999999995</v>
      </c>
      <c r="BZ29" s="14">
        <f>BY29*VLOOKUP('Données projet'!$B$12,Paramètres!$A$1:$I$88,3,0)*VLOOKUP('Données projet'!$B$12,Paramètres!$A$1:$I$88,5,0)</f>
        <v>114.78729599999997</v>
      </c>
      <c r="CA29" s="14">
        <f t="shared" si="39"/>
        <v>30.456097145920356</v>
      </c>
      <c r="CB29" s="22">
        <f t="shared" si="10"/>
        <v>252.96557639581121</v>
      </c>
      <c r="CC29" s="59">
        <f t="shared" si="11"/>
        <v>541.4100208402557</v>
      </c>
      <c r="CD29" s="59">
        <f ca="1">AVERAGE(OFFSET($CC$3,0,0,'Données projet'!$E$12+1,1))-AVERAGE(OFFSET($H$3,0,0,'Données projet'!$E$12+1,1))</f>
        <v>387.15063677712425</v>
      </c>
      <c r="CE29" s="59">
        <f t="shared" si="40"/>
        <v>313.19155394370705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0</v>
      </c>
      <c r="CO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3</v>
      </c>
      <c r="CT29" s="13">
        <f>IF('Données projet'!$A$140&gt;35,CT28+CS29-DB28,IF(A29&lt;'Données projet'!$A$140,$CQ$205^A29,IF(A29='Données projet'!$A$140,'Données projet'!$B$140,CT28+CS29-DB28)))</f>
        <v>78</v>
      </c>
      <c r="CU29" s="18">
        <f>CT29*VLOOKUP('Données projet'!$B$13,Paramètres!$A$1:$I$88,3,0)*VLOOKUP('Données projet'!$B$13,Paramètres!$A$1:$I$88,5,0)</f>
        <v>75.441600000000008</v>
      </c>
      <c r="CV29" s="14">
        <f t="shared" si="41"/>
        <v>21.018854688556068</v>
      </c>
      <c r="CW29" s="22">
        <f t="shared" si="13"/>
        <v>168.00195858256848</v>
      </c>
      <c r="CX29" s="59">
        <f t="shared" si="14"/>
        <v>456.44640302701293</v>
      </c>
      <c r="CY29" s="59">
        <f ca="1">AVERAGE(OFFSET($CX$3,0,0,'Données projet'!$E$13+1,1))-AVERAGE(OFFSET($H$3,0,0,'Données projet'!$E$13+1,1))</f>
        <v>306.00894145276209</v>
      </c>
      <c r="CZ29" s="59">
        <f t="shared" si="42"/>
        <v>168.74705421228828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0</v>
      </c>
      <c r="DG29" s="23">
        <f>EXP(-LN(2)/25)*DG28+(1-EXP(-LN(2)/25))/(LN(2)/25)*Calculateur!DB29*Calculateur!DD29*VLOOKUP('Données projet'!$B$13,Paramètres!$A$1:$I$88,3,0)*0.475*44/12</f>
        <v>0</v>
      </c>
      <c r="DH29" s="23">
        <f>EXP(-LN(2)/2)*DH28+(1-EXP(-LN(2)/2))/(LN(2)/2)*DB29*DE29*VLOOKUP('Données projet'!$B$13,Paramètres!$A$1:$I$88,3,0)*0.475*44/12</f>
        <v>0</v>
      </c>
      <c r="DI29" s="24">
        <f t="shared" si="15"/>
        <v>0</v>
      </c>
      <c r="DJ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14.719999999999999</v>
      </c>
      <c r="DO29" s="13">
        <f>IF('Données projet'!$A$166&gt;35,DO28+DN29-DW28,IF(A29&lt;'Données projet'!$A$166,$DL$205^A29,IF(A29='Données projet'!$A$166,'Données projet'!$B$166,DO28+DN29-DW28)))</f>
        <v>171.11999999999995</v>
      </c>
      <c r="DP29" s="18">
        <f>DO29*VLOOKUP('Données projet'!$B$14,Paramètres!$A$1:$I$88,3,0)*VLOOKUP('Données projet'!$B$14,Paramètres!$A$1:$I$88,5,0)</f>
        <v>133.47359999999998</v>
      </c>
      <c r="DQ29" s="14">
        <f t="shared" si="43"/>
        <v>34.797770344180101</v>
      </c>
      <c r="DR29" s="22">
        <f t="shared" si="16"/>
        <v>293.07263668278028</v>
      </c>
      <c r="DS29" s="59">
        <f t="shared" si="17"/>
        <v>581.51708112722474</v>
      </c>
      <c r="DT29" s="59">
        <f ca="1">AVERAGE(OFFSET($DS$3,0,0,'Données projet'!$E$14+1,1))-AVERAGE(OFFSET($H$3,0,0,'Données projet'!$E$14+1,1))</f>
        <v>458.14328535055694</v>
      </c>
      <c r="DU29" s="59">
        <f t="shared" si="44"/>
        <v>366.75500153675739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projet'!$B$14,Paramètres!$A$1:$I$88,3,0)*0.475*44/12</f>
        <v>0</v>
      </c>
      <c r="EB29" s="23">
        <f>EXP(-LN(2)/25)*EB28+(1-EXP(-LN(2)/25))/(LN(2)/25)*Calculateur!DW29*Calculateur!DY29*VLOOKUP('Données projet'!$B$14,Paramètres!$A$1:$I$88,3,0)*0.475*44/12</f>
        <v>0</v>
      </c>
      <c r="EC29" s="23">
        <f>EXP(-LN(2)/2)*EC28+(1-EXP(-LN(2)/2))/(LN(2)/2)*DW29*DZ29*VLOOKUP('Données projet'!$B$14,Paramètres!$A$1:$I$88,3,0)*0.475*44/12</f>
        <v>0</v>
      </c>
      <c r="ED29" s="24">
        <f t="shared" si="18"/>
        <v>0</v>
      </c>
      <c r="EE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3.1</v>
      </c>
      <c r="EJ29" s="13">
        <f>IF('Données projet'!$A$192&gt;35,EJ28+EI29-ER28,IF(A29&lt;'Données projet'!$A$192,$EG$205^A29,IF(A29='Données projet'!$A$192,'Données projet'!$B$192,EJ28+EI29-ER28)))</f>
        <v>50.818115434913288</v>
      </c>
      <c r="EK29" s="18">
        <f>EJ29*VLOOKUP('Données projet'!$B$15,Paramètres!$A$1:$I$88,3,0)*VLOOKUP('Données projet'!$B$15,Paramètres!$A$1:$I$88,5,0)</f>
        <v>43.601943043155607</v>
      </c>
      <c r="EL29" s="14">
        <f t="shared" si="45"/>
        <v>12.948499011704623</v>
      </c>
      <c r="EM29" s="22">
        <f t="shared" si="19"/>
        <v>98.4920199122149</v>
      </c>
      <c r="EN29" s="59">
        <f t="shared" si="20"/>
        <v>386.93646435665937</v>
      </c>
      <c r="EO29" s="59">
        <f ca="1">AVERAGE(OFFSET($EN$3,0,0,'Données projet'!$E$15+1,1))-AVERAGE(OFFSET($H$3,0,0,'Données projet'!$E$15+1,1))</f>
        <v>462.99360395552145</v>
      </c>
      <c r="EP29" s="59">
        <f t="shared" si="46"/>
        <v>153.03880717786046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projet'!$B$15,Paramètres!$A$1:$I$88,3,0)*0.475*44/12</f>
        <v>0</v>
      </c>
      <c r="EW29" s="23">
        <f>EXP(-LN(2)/25)*EW28+(1-EXP(-LN(2)/25))/(LN(2)/25)*Calculateur!ER29*Calculateur!ET29*VLOOKUP('Données projet'!$B$15,Paramètres!$A$1:$I$88,3,0)*0.475*44/12</f>
        <v>0</v>
      </c>
      <c r="EX29" s="23">
        <f>EXP(-LN(2)/2)*EX28+(1-EXP(-LN(2)/2))/(LN(2)/2)*ER29*EU29*VLOOKUP('Données projet'!$B$15,Paramètres!$A$1:$I$88,3,0)*0.475*44/12</f>
        <v>0</v>
      </c>
      <c r="EY29" s="24">
        <f t="shared" si="21"/>
        <v>0</v>
      </c>
      <c r="EZ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11.459999999999999</v>
      </c>
      <c r="FE29" s="13">
        <f>IF('Données projet'!$A$218&gt;35,FE28+FD29-FM28,IF(A29&lt;'Données projet'!$A$218,$FB$205^A29,IF(A29='Données projet'!$A$218,'Données projet'!$B$218,FE28+FD29-FM28)))</f>
        <v>128.16000000000003</v>
      </c>
      <c r="FF29" s="18">
        <f>FE29*VLOOKUP('Données projet'!$B$16,Paramètres!$A$1:$I$88,3,0)*VLOOKUP('Données projet'!$B$16,Paramètres!$A$1:$I$88,5,0)</f>
        <v>111.96057600000005</v>
      </c>
      <c r="FG29" s="14">
        <f t="shared" si="47"/>
        <v>29.792435551142741</v>
      </c>
      <c r="FH29" s="22">
        <f t="shared" si="22"/>
        <v>246.8864951182403</v>
      </c>
      <c r="FI29" s="59">
        <f t="shared" si="23"/>
        <v>535.33093956268476</v>
      </c>
      <c r="FJ29" s="59">
        <f ca="1">AVERAGE(OFFSET($FI$3,0,0,'Données projet'!$E$16+1,1))-AVERAGE(OFFSET($H$3,0,0,'Données projet'!$E$16+1,1))</f>
        <v>427.76895185088944</v>
      </c>
      <c r="FK29" s="59">
        <f t="shared" si="48"/>
        <v>308.32543361559135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projet'!$B$16,Paramètres!$A$1:$I$88,3,0)*0.475*44/12</f>
        <v>0</v>
      </c>
      <c r="FR29" s="23">
        <f>EXP(-LN(2)/25)*FR28+(1-EXP(-LN(2)/25))/(LN(2)/25)*Calculateur!FM29*Calculateur!FO29*VLOOKUP('Données projet'!$B$16,Paramètres!$A$1:$I$88,3,0)*0.475*44/12</f>
        <v>0</v>
      </c>
      <c r="FS29" s="23">
        <f>EXP(-LN(2)/2)*FS28+(1-EXP(-LN(2)/2))/(LN(2)/2)*FM29*FP29*VLOOKUP('Données projet'!$B$16,Paramètres!$A$1:$I$88,3,0)*0.475*44/12</f>
        <v>0</v>
      </c>
      <c r="FT29" s="24">
        <f t="shared" si="24"/>
        <v>0</v>
      </c>
      <c r="FU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14.6</v>
      </c>
      <c r="FZ29" s="13">
        <f>IF('Données projet'!$A$244&gt;35,FZ28+FY29-GH28,IF(A29&lt;'Données projet'!$A$244,$FW$205^A29,IF(A29='Données projet'!$A$244,'Données projet'!$B$244,FZ28+FY29-GH28)))</f>
        <v>178.60000000000005</v>
      </c>
      <c r="GA29" s="18">
        <f>FZ29*VLOOKUP('Données projet'!$B$17,Paramètres!$A$1:$I$88,3,0)*VLOOKUP('Données projet'!$B$17,Paramètres!$A$1:$I$88,5,0)</f>
        <v>111.44640000000004</v>
      </c>
      <c r="GB29" s="14">
        <f t="shared" si="49"/>
        <v>29.671508167859187</v>
      </c>
      <c r="GC29" s="22">
        <f t="shared" si="25"/>
        <v>245.78035672568819</v>
      </c>
      <c r="GD29" s="59">
        <f t="shared" si="26"/>
        <v>534.22480117013265</v>
      </c>
      <c r="GE29" s="59">
        <f ca="1">AVERAGE(OFFSET($GD$3,0,0,'Données projet'!$E$17+1,1))-AVERAGE(OFFSET($H$3,0,0,'Données projet'!$E$17+1,1))</f>
        <v>247.85542034088905</v>
      </c>
      <c r="GF29" s="59">
        <f t="shared" si="50"/>
        <v>299.52241743660352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projet'!$B$17,Paramètres!$A$1:$I$88,3,0)*0.475*44/12</f>
        <v>0</v>
      </c>
      <c r="GM29" s="23">
        <f>EXP(-LN(2)/25)*GM28+(1-EXP(-LN(2)/25))/(LN(2)/25)*Calculateur!GH29*Calculateur!GJ29*VLOOKUP('Données projet'!$B$17,Paramètres!$A$1:$I$88,3,0)*0.475*44/12</f>
        <v>27.548286522378593</v>
      </c>
      <c r="GN29" s="23">
        <f>EXP(-LN(2)/2)*GN28+(1-EXP(-LN(2)/2))/(LN(2)/2)*GH29*GK29*VLOOKUP('Données projet'!$B$17,Paramètres!$A$1:$I$88,3,0)*0.475*44/12</f>
        <v>10.77518744885484</v>
      </c>
      <c r="GO29" s="23">
        <f t="shared" si="27"/>
        <v>38.323473971233433</v>
      </c>
      <c r="GP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3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6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</v>
      </c>
      <c r="N30" s="14">
        <f>IF('Données projet'!$A$36&gt;35,N29+M30-V29,IF(A30&lt;'Données projet'!$A$36,$K$205^A30,IF(A30='Données projet'!$A$36,'Données projet'!$B$36,N29+M30-V29)))</f>
        <v>81</v>
      </c>
      <c r="O30" s="14">
        <f>N30*VLOOKUP('Données projet'!$B$9,Paramètres!$A$1:$I$88,3,0)*VLOOKUP('Données projet'!$B$9,Paramètres!$A$1:$I$88,5,0)</f>
        <v>73.288799999999995</v>
      </c>
      <c r="P30" s="14">
        <f t="shared" si="33"/>
        <v>20.487987371563225</v>
      </c>
      <c r="Q30" s="22">
        <f t="shared" si="2"/>
        <v>163.32790467213928</v>
      </c>
      <c r="R30" s="59">
        <f t="shared" si="0"/>
        <v>452.99457133880594</v>
      </c>
      <c r="S30" s="59">
        <f ca="1">AVERAGE(OFFSET($R$3,0,0,'Données projet'!$E$9+1,1))-AVERAGE(OFFSET($H$3,0,0,'Données projet'!$E$9+1,1))</f>
        <v>247.57967230773539</v>
      </c>
      <c r="T30" s="59">
        <f t="shared" si="34"/>
        <v>156.58857589533295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14.719999999999999</v>
      </c>
      <c r="AI30" s="14">
        <f>IF('Données projet'!$A$62&gt;35,AI29+AH30-AQ29,IF(A30&lt;'Données projet'!$A$62,$AF$205^A30,IF(A30='Données projet'!$A$62,'Données projet'!$B$62,AI29+AH30-AQ29)))</f>
        <v>185.83999999999995</v>
      </c>
      <c r="AJ30" s="14">
        <f>AI30*VLOOKUP('Données projet'!$B$10,Paramètres!$A$1:$I$88,3,0)*VLOOKUP('Données projet'!$B$10,Paramètres!$A$1:$I$88,5,0)</f>
        <v>147.85430399999996</v>
      </c>
      <c r="AK30" s="14">
        <f t="shared" si="35"/>
        <v>38.090560371914002</v>
      </c>
      <c r="AL30" s="22">
        <f t="shared" si="4"/>
        <v>323.85397211441682</v>
      </c>
      <c r="AM30" s="59">
        <f t="shared" si="5"/>
        <v>613.52063878108356</v>
      </c>
      <c r="AN30" s="59">
        <f ca="1">AVERAGE(OFFSET($AM$3,0,0,'Données projet'!$E$10+1,1))-AVERAGE(OFFSET($H$3,0,0,'Données projet'!$E$10+1,1))</f>
        <v>504.15006129790828</v>
      </c>
      <c r="AO30" s="59">
        <f t="shared" si="36"/>
        <v>374.39334457402742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14.719999999999999</v>
      </c>
      <c r="BD30" s="13">
        <f>IF('Données projet'!$A$88&gt;35,BD29+BC30-BL29,IF(A30&lt;'Données projet'!$A$88,$BA$205^A30,IF(A30='Données projet'!$A$88,'Données projet'!$B$88,BD29+BC30-BL29)))</f>
        <v>185.83999999999995</v>
      </c>
      <c r="BE30" s="14">
        <f>BD30*VLOOKUP('Données projet'!$B$11,Paramètres!$A$1:$I$88,3,0)*VLOOKUP('Données projet'!$B$11,Paramètres!$A$1:$I$88,5,0)</f>
        <v>147.85430399999996</v>
      </c>
      <c r="BF30" s="14">
        <f t="shared" si="37"/>
        <v>38.090560371914002</v>
      </c>
      <c r="BG30" s="22">
        <f t="shared" si="7"/>
        <v>323.85397211441682</v>
      </c>
      <c r="BH30" s="59">
        <f t="shared" si="8"/>
        <v>613.52063878108356</v>
      </c>
      <c r="BI30" s="59">
        <f ca="1">AVERAGE(OFFSET($BH$3,0,0,'Données projet'!$E$11+1,1))-AVERAGE(OFFSET($H$3,0,0,'Données projet'!$E$11+1,1))</f>
        <v>504.15006129790828</v>
      </c>
      <c r="BJ30" s="59">
        <f t="shared" si="38"/>
        <v>374.39334457402742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14.719999999999999</v>
      </c>
      <c r="BY30" s="13">
        <f>IF('Données projet'!$A$114&gt;35,BY29+BX30-CG29,IF(A30&lt;'Données projet'!$A$114,$BV$205^A30,IF(A30='Données projet'!$A$114,'Données projet'!$B$114,BY29+BX30-CG29)))</f>
        <v>185.83999999999995</v>
      </c>
      <c r="BZ30" s="14">
        <f>BY30*VLOOKUP('Données projet'!$B$12,Paramètres!$A$1:$I$88,3,0)*VLOOKUP('Données projet'!$B$12,Paramètres!$A$1:$I$88,5,0)</f>
        <v>124.66147199999997</v>
      </c>
      <c r="CA30" s="14">
        <f t="shared" si="39"/>
        <v>32.759787923409839</v>
      </c>
      <c r="CB30" s="22">
        <f t="shared" si="10"/>
        <v>274.17536103327205</v>
      </c>
      <c r="CC30" s="59">
        <f t="shared" si="11"/>
        <v>563.84202769993874</v>
      </c>
      <c r="CD30" s="59">
        <f ca="1">AVERAGE(OFFSET($CC$3,0,0,'Données projet'!$E$12+1,1))-AVERAGE(OFFSET($H$3,0,0,'Données projet'!$E$12+1,1))</f>
        <v>387.15063677712425</v>
      </c>
      <c r="CE30" s="59">
        <f t="shared" si="40"/>
        <v>313.19155394370705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0</v>
      </c>
      <c r="CO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3</v>
      </c>
      <c r="CT30" s="13">
        <f>IF('Données projet'!$A$140&gt;35,CT29+CS30-DB29,IF(A30&lt;'Données projet'!$A$140,$CQ$205^A30,IF(A30='Données projet'!$A$140,'Données projet'!$B$140,CT29+CS30-DB29)))</f>
        <v>81</v>
      </c>
      <c r="CU30" s="18">
        <f>CT30*VLOOKUP('Données projet'!$B$13,Paramètres!$A$1:$I$88,3,0)*VLOOKUP('Données projet'!$B$13,Paramètres!$A$1:$I$88,5,0)</f>
        <v>78.343199999999996</v>
      </c>
      <c r="CV30" s="14">
        <f t="shared" si="41"/>
        <v>21.731595839251796</v>
      </c>
      <c r="CW30" s="22">
        <f t="shared" si="13"/>
        <v>174.29693608669686</v>
      </c>
      <c r="CX30" s="59">
        <f t="shared" si="14"/>
        <v>463.96360275336355</v>
      </c>
      <c r="CY30" s="59">
        <f ca="1">AVERAGE(OFFSET($CX$3,0,0,'Données projet'!$E$13+1,1))-AVERAGE(OFFSET($H$3,0,0,'Données projet'!$E$13+1,1))</f>
        <v>306.00894145276209</v>
      </c>
      <c r="CZ30" s="59">
        <f t="shared" si="42"/>
        <v>168.74705421228828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0</v>
      </c>
      <c r="DG30" s="23">
        <f>EXP(-LN(2)/25)*DG29+(1-EXP(-LN(2)/25))/(LN(2)/25)*Calculateur!DB30*Calculateur!DD30*VLOOKUP('Données projet'!$B$13,Paramètres!$A$1:$I$88,3,0)*0.475*44/12</f>
        <v>0</v>
      </c>
      <c r="DH30" s="23">
        <f>EXP(-LN(2)/2)*DH29+(1-EXP(-LN(2)/2))/(LN(2)/2)*DB30*DE30*VLOOKUP('Données projet'!$B$13,Paramètres!$A$1:$I$88,3,0)*0.475*44/12</f>
        <v>0</v>
      </c>
      <c r="DI30" s="24">
        <f t="shared" si="15"/>
        <v>0</v>
      </c>
      <c r="DJ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14.719999999999999</v>
      </c>
      <c r="DO30" s="13">
        <f>IF('Données projet'!$A$166&gt;35,DO29+DN30-DW29,IF(A30&lt;'Données projet'!$A$166,$DL$205^A30,IF(A30='Données projet'!$A$166,'Données projet'!$B$166,DO29+DN30-DW29)))</f>
        <v>185.83999999999995</v>
      </c>
      <c r="DP30" s="18">
        <f>DO30*VLOOKUP('Données projet'!$B$14,Paramètres!$A$1:$I$88,3,0)*VLOOKUP('Données projet'!$B$14,Paramètres!$A$1:$I$88,5,0)</f>
        <v>144.95519999999996</v>
      </c>
      <c r="DQ30" s="14">
        <f t="shared" si="43"/>
        <v>37.429864083407708</v>
      </c>
      <c r="DR30" s="22">
        <f t="shared" si="16"/>
        <v>317.65398661193501</v>
      </c>
      <c r="DS30" s="59">
        <f t="shared" si="17"/>
        <v>607.32065327860164</v>
      </c>
      <c r="DT30" s="59">
        <f ca="1">AVERAGE(OFFSET($DS$3,0,0,'Données projet'!$E$14+1,1))-AVERAGE(OFFSET($H$3,0,0,'Données projet'!$E$14+1,1))</f>
        <v>458.14328535055694</v>
      </c>
      <c r="DU30" s="59">
        <f t="shared" si="44"/>
        <v>366.75500153675739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projet'!$B$14,Paramètres!$A$1:$I$88,3,0)*0.475*44/12</f>
        <v>0</v>
      </c>
      <c r="EB30" s="23">
        <f>EXP(-LN(2)/25)*EB29+(1-EXP(-LN(2)/25))/(LN(2)/25)*Calculateur!DW30*Calculateur!DY30*VLOOKUP('Données projet'!$B$14,Paramètres!$A$1:$I$88,3,0)*0.475*44/12</f>
        <v>0</v>
      </c>
      <c r="EC30" s="23">
        <f>EXP(-LN(2)/2)*EC29+(1-EXP(-LN(2)/2))/(LN(2)/2)*DW30*DZ30*VLOOKUP('Données projet'!$B$14,Paramètres!$A$1:$I$88,3,0)*0.475*44/12</f>
        <v>0</v>
      </c>
      <c r="ED30" s="24">
        <f t="shared" si="18"/>
        <v>0</v>
      </c>
      <c r="EE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3.1</v>
      </c>
      <c r="EJ30" s="13">
        <f>IF('Données projet'!$A$192&gt;35,EJ29+EI30-ER29,IF(A30&lt;'Données projet'!$A$192,$EG$205^A30,IF(A30='Données projet'!$A$192,'Données projet'!$B$192,EJ29+EI30-ER29)))</f>
        <v>59.106419756718196</v>
      </c>
      <c r="EK30" s="18">
        <f>EJ30*VLOOKUP('Données projet'!$B$15,Paramètres!$A$1:$I$88,3,0)*VLOOKUP('Données projet'!$B$15,Paramètres!$A$1:$I$88,5,0)</f>
        <v>50.713308151264215</v>
      </c>
      <c r="EL30" s="14">
        <f t="shared" si="45"/>
        <v>14.797822458076181</v>
      </c>
      <c r="EM30" s="22">
        <f t="shared" si="19"/>
        <v>114.09855247793452</v>
      </c>
      <c r="EN30" s="59">
        <f t="shared" si="20"/>
        <v>403.76521914460119</v>
      </c>
      <c r="EO30" s="59">
        <f ca="1">AVERAGE(OFFSET($EN$3,0,0,'Données projet'!$E$15+1,1))-AVERAGE(OFFSET($H$3,0,0,'Données projet'!$E$15+1,1))</f>
        <v>462.99360395552145</v>
      </c>
      <c r="EP30" s="59">
        <f t="shared" si="46"/>
        <v>153.03880717786046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projet'!$B$15,Paramètres!$A$1:$I$88,3,0)*0.475*44/12</f>
        <v>0</v>
      </c>
      <c r="EW30" s="23">
        <f>EXP(-LN(2)/25)*EW29+(1-EXP(-LN(2)/25))/(LN(2)/25)*Calculateur!ER30*Calculateur!ET30*VLOOKUP('Données projet'!$B$15,Paramètres!$A$1:$I$88,3,0)*0.475*44/12</f>
        <v>0</v>
      </c>
      <c r="EX30" s="23">
        <f>EXP(-LN(2)/2)*EX29+(1-EXP(-LN(2)/2))/(LN(2)/2)*ER30*EU30*VLOOKUP('Données projet'!$B$15,Paramètres!$A$1:$I$88,3,0)*0.475*44/12</f>
        <v>0</v>
      </c>
      <c r="EY30" s="24">
        <f t="shared" si="21"/>
        <v>0</v>
      </c>
      <c r="EZ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11.459999999999999</v>
      </c>
      <c r="FE30" s="13">
        <f>IF('Données projet'!$A$218&gt;35,FE29+FD30-FM29,IF(A30&lt;'Données projet'!$A$218,$FB$205^A30,IF(A30='Données projet'!$A$218,'Données projet'!$B$218,FE29+FD30-FM29)))</f>
        <v>139.62000000000003</v>
      </c>
      <c r="FF30" s="18">
        <f>FE30*VLOOKUP('Données projet'!$B$16,Paramètres!$A$1:$I$88,3,0)*VLOOKUP('Données projet'!$B$16,Paramètres!$A$1:$I$88,5,0)</f>
        <v>121.97203200000006</v>
      </c>
      <c r="FG30" s="14">
        <f t="shared" si="47"/>
        <v>32.134506133917633</v>
      </c>
      <c r="FH30" s="22">
        <f t="shared" si="22"/>
        <v>268.40222058323997</v>
      </c>
      <c r="FI30" s="59">
        <f t="shared" si="23"/>
        <v>558.06888724990665</v>
      </c>
      <c r="FJ30" s="59">
        <f ca="1">AVERAGE(OFFSET($FI$3,0,0,'Données projet'!$E$16+1,1))-AVERAGE(OFFSET($H$3,0,0,'Données projet'!$E$16+1,1))</f>
        <v>427.76895185088944</v>
      </c>
      <c r="FK30" s="59">
        <f t="shared" si="48"/>
        <v>308.32543361559135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projet'!$B$16,Paramètres!$A$1:$I$88,3,0)*0.475*44/12</f>
        <v>0</v>
      </c>
      <c r="FR30" s="23">
        <f>EXP(-LN(2)/25)*FR29+(1-EXP(-LN(2)/25))/(LN(2)/25)*Calculateur!FM30*Calculateur!FO30*VLOOKUP('Données projet'!$B$16,Paramètres!$A$1:$I$88,3,0)*0.475*44/12</f>
        <v>0</v>
      </c>
      <c r="FS30" s="23">
        <f>EXP(-LN(2)/2)*FS29+(1-EXP(-LN(2)/2))/(LN(2)/2)*FM30*FP30*VLOOKUP('Données projet'!$B$16,Paramètres!$A$1:$I$88,3,0)*0.475*44/12</f>
        <v>0</v>
      </c>
      <c r="FT30" s="24">
        <f t="shared" si="24"/>
        <v>0</v>
      </c>
      <c r="FU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14.6</v>
      </c>
      <c r="FZ30" s="13">
        <f>IF('Données projet'!$A$244&gt;35,FZ29+FY30-GH29,IF(A30&lt;'Données projet'!$A$244,$FW$205^A30,IF(A30='Données projet'!$A$244,'Données projet'!$B$244,FZ29+FY30-GH29)))</f>
        <v>193.20000000000005</v>
      </c>
      <c r="GA30" s="18">
        <f>FZ30*VLOOKUP('Données projet'!$B$17,Paramètres!$A$1:$I$88,3,0)*VLOOKUP('Données projet'!$B$17,Paramètres!$A$1:$I$88,5,0)</f>
        <v>120.55680000000002</v>
      </c>
      <c r="GB30" s="14">
        <f t="shared" si="49"/>
        <v>31.804828741198779</v>
      </c>
      <c r="GC30" s="22">
        <f t="shared" si="25"/>
        <v>265.36317005758792</v>
      </c>
      <c r="GD30" s="59">
        <f t="shared" si="26"/>
        <v>555.02983672425466</v>
      </c>
      <c r="GE30" s="59">
        <f ca="1">AVERAGE(OFFSET($GD$3,0,0,'Données projet'!$E$17+1,1))-AVERAGE(OFFSET($H$3,0,0,'Données projet'!$E$17+1,1))</f>
        <v>247.85542034088905</v>
      </c>
      <c r="GF30" s="59">
        <f t="shared" si="50"/>
        <v>299.52241743660352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projet'!$B$17,Paramètres!$A$1:$I$88,3,0)*0.475*44/12</f>
        <v>0</v>
      </c>
      <c r="GM30" s="23">
        <f>EXP(-LN(2)/25)*GM29+(1-EXP(-LN(2)/25))/(LN(2)/25)*Calculateur!GH30*Calculateur!GJ30*VLOOKUP('Données projet'!$B$17,Paramètres!$A$1:$I$88,3,0)*0.475*44/12</f>
        <v>26.794977178722725</v>
      </c>
      <c r="GN30" s="23">
        <f>EXP(-LN(2)/2)*GN29+(1-EXP(-LN(2)/2))/(LN(2)/2)*GH30*GK30*VLOOKUP('Données projet'!$B$17,Paramètres!$A$1:$I$88,3,0)*0.475*44/12</f>
        <v>7.6192081136414336</v>
      </c>
      <c r="GO30" s="23">
        <f t="shared" si="27"/>
        <v>34.414185292364159</v>
      </c>
      <c r="GP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3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6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projet'!$B$9,Paramètres!$A$1:$I$88,3,0)*VLOOKUP('Données projet'!$B$9,Paramètres!$A$1:$I$88,5,0)</f>
        <v>76.003200000000007</v>
      </c>
      <c r="P31" s="14">
        <f t="shared" si="33"/>
        <v>21.157049992000456</v>
      </c>
      <c r="Q31" s="22">
        <f t="shared" si="2"/>
        <v>169.22076873606747</v>
      </c>
      <c r="R31" s="59">
        <f t="shared" si="0"/>
        <v>460.1096576249563</v>
      </c>
      <c r="S31" s="59">
        <f ca="1">AVERAGE(OFFSET($R$3,0,0,'Données projet'!$E$9+1,1))-AVERAGE(OFFSET($H$3,0,0,'Données projet'!$E$9+1,1))</f>
        <v>247.57967230773539</v>
      </c>
      <c r="T31" s="59">
        <f t="shared" si="34"/>
        <v>156.58857589533295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14.719999999999999</v>
      </c>
      <c r="AI31" s="14">
        <f>IF('Données projet'!$A$62&gt;35,AI30+AH31-AQ30,IF(A31&lt;'Données projet'!$A$62,$AF$205^A31,IF(A31='Données projet'!$A$62,'Données projet'!$B$62,AI30+AH31-AQ30)))</f>
        <v>200.55999999999995</v>
      </c>
      <c r="AJ31" s="14">
        <f>AI31*VLOOKUP('Données projet'!$B$10,Paramètres!$A$1:$I$88,3,0)*VLOOKUP('Données projet'!$B$10,Paramètres!$A$1:$I$88,5,0)</f>
        <v>159.56553599999995</v>
      </c>
      <c r="AK31" s="14">
        <f t="shared" si="35"/>
        <v>40.744505336393267</v>
      </c>
      <c r="AL31" s="22">
        <f t="shared" si="4"/>
        <v>348.8733219942182</v>
      </c>
      <c r="AM31" s="59">
        <f t="shared" si="5"/>
        <v>639.76221088310706</v>
      </c>
      <c r="AN31" s="59">
        <f ca="1">AVERAGE(OFFSET($AM$3,0,0,'Données projet'!$E$10+1,1))-AVERAGE(OFFSET($H$3,0,0,'Données projet'!$E$10+1,1))</f>
        <v>504.15006129790828</v>
      </c>
      <c r="AO31" s="59">
        <f t="shared" si="36"/>
        <v>374.39334457402742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14.719999999999999</v>
      </c>
      <c r="BD31" s="13">
        <f>IF('Données projet'!$A$88&gt;35,BD30+BC31-BL30,IF(A31&lt;'Données projet'!$A$88,$BA$205^A31,IF(A31='Données projet'!$A$88,'Données projet'!$B$88,BD30+BC31-BL30)))</f>
        <v>200.55999999999995</v>
      </c>
      <c r="BE31" s="14">
        <f>BD31*VLOOKUP('Données projet'!$B$11,Paramètres!$A$1:$I$88,3,0)*VLOOKUP('Données projet'!$B$11,Paramètres!$A$1:$I$88,5,0)</f>
        <v>159.56553599999995</v>
      </c>
      <c r="BF31" s="14">
        <f t="shared" si="37"/>
        <v>40.744505336393267</v>
      </c>
      <c r="BG31" s="22">
        <f t="shared" si="7"/>
        <v>348.8733219942182</v>
      </c>
      <c r="BH31" s="59">
        <f t="shared" si="8"/>
        <v>639.76221088310706</v>
      </c>
      <c r="BI31" s="59">
        <f ca="1">AVERAGE(OFFSET($BH$3,0,0,'Données projet'!$E$11+1,1))-AVERAGE(OFFSET($H$3,0,0,'Données projet'!$E$11+1,1))</f>
        <v>504.15006129790828</v>
      </c>
      <c r="BJ31" s="59">
        <f t="shared" si="38"/>
        <v>374.39334457402742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14.719999999999999</v>
      </c>
      <c r="BY31" s="13">
        <f>IF('Données projet'!$A$114&gt;35,BY30+BX31-CG30,IF(A31&lt;'Données projet'!$A$114,$BV$205^A31,IF(A31='Données projet'!$A$114,'Données projet'!$B$114,BY30+BX31-CG30)))</f>
        <v>200.55999999999995</v>
      </c>
      <c r="BZ31" s="14">
        <f>BY31*VLOOKUP('Données projet'!$B$12,Paramètres!$A$1:$I$88,3,0)*VLOOKUP('Données projet'!$B$12,Paramètres!$A$1:$I$88,5,0)</f>
        <v>134.53564799999998</v>
      </c>
      <c r="CA31" s="14">
        <f t="shared" si="39"/>
        <v>35.042313392918238</v>
      </c>
      <c r="CB31" s="22">
        <f t="shared" si="10"/>
        <v>295.34828275933256</v>
      </c>
      <c r="CC31" s="59">
        <f t="shared" si="11"/>
        <v>586.23717164822142</v>
      </c>
      <c r="CD31" s="59">
        <f ca="1">AVERAGE(OFFSET($CC$3,0,0,'Données projet'!$E$12+1,1))-AVERAGE(OFFSET($H$3,0,0,'Données projet'!$E$12+1,1))</f>
        <v>387.15063677712425</v>
      </c>
      <c r="CE31" s="59">
        <f t="shared" si="40"/>
        <v>313.19155394370705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0</v>
      </c>
      <c r="CO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3</v>
      </c>
      <c r="CT31" s="13">
        <f>IF('Données projet'!$A$140&gt;35,CT30+CS31-DB30,IF(A31&lt;'Données projet'!$A$140,$CQ$205^A31,IF(A31='Données projet'!$A$140,'Données projet'!$B$140,CT30+CS31-DB30)))</f>
        <v>84</v>
      </c>
      <c r="CU31" s="18">
        <f>CT31*VLOOKUP('Données projet'!$B$13,Paramètres!$A$1:$I$88,3,0)*VLOOKUP('Données projet'!$B$13,Paramètres!$A$1:$I$88,5,0)</f>
        <v>81.244799999999998</v>
      </c>
      <c r="CV31" s="14">
        <f t="shared" si="41"/>
        <v>22.441270156928962</v>
      </c>
      <c r="CW31" s="22">
        <f t="shared" si="13"/>
        <v>180.58657218998462</v>
      </c>
      <c r="CX31" s="59">
        <f t="shared" si="14"/>
        <v>471.47546107887348</v>
      </c>
      <c r="CY31" s="59">
        <f ca="1">AVERAGE(OFFSET($CX$3,0,0,'Données projet'!$E$13+1,1))-AVERAGE(OFFSET($H$3,0,0,'Données projet'!$E$13+1,1))</f>
        <v>306.00894145276209</v>
      </c>
      <c r="CZ31" s="59">
        <f t="shared" si="42"/>
        <v>168.74705421228828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projet'!$B$13,Paramètres!$A$1:$I$88,3,0)*0.475*44/12</f>
        <v>0</v>
      </c>
      <c r="DG31" s="23">
        <f>EXP(-LN(2)/25)*DG30+(1-EXP(-LN(2)/25))/(LN(2)/25)*Calculateur!DB31*Calculateur!DD31*VLOOKUP('Données projet'!$B$13,Paramètres!$A$1:$I$88,3,0)*0.475*44/12</f>
        <v>0</v>
      </c>
      <c r="DH31" s="23">
        <f>EXP(-LN(2)/2)*DH30+(1-EXP(-LN(2)/2))/(LN(2)/2)*DB31*DE31*VLOOKUP('Données projet'!$B$13,Paramètres!$A$1:$I$88,3,0)*0.475*44/12</f>
        <v>0</v>
      </c>
      <c r="DI31" s="24">
        <f t="shared" si="15"/>
        <v>0</v>
      </c>
      <c r="DJ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14.719999999999999</v>
      </c>
      <c r="DO31" s="13">
        <f>IF('Données projet'!$A$166&gt;35,DO30+DN31-DW30,IF(A31&lt;'Données projet'!$A$166,$DL$205^A31,IF(A31='Données projet'!$A$166,'Données projet'!$B$166,DO30+DN31-DW30)))</f>
        <v>200.55999999999995</v>
      </c>
      <c r="DP31" s="18">
        <f>DO31*VLOOKUP('Données projet'!$B$14,Paramètres!$A$1:$I$88,3,0)*VLOOKUP('Données projet'!$B$14,Paramètres!$A$1:$I$88,5,0)</f>
        <v>156.43679999999998</v>
      </c>
      <c r="DQ31" s="14">
        <f t="shared" si="43"/>
        <v>40.037775291207829</v>
      </c>
      <c r="DR31" s="22">
        <f t="shared" si="16"/>
        <v>342.19321863218693</v>
      </c>
      <c r="DS31" s="59">
        <f t="shared" si="17"/>
        <v>633.08210752107584</v>
      </c>
      <c r="DT31" s="59">
        <f ca="1">AVERAGE(OFFSET($DS$3,0,0,'Données projet'!$E$14+1,1))-AVERAGE(OFFSET($H$3,0,0,'Données projet'!$E$14+1,1))</f>
        <v>458.14328535055694</v>
      </c>
      <c r="DU31" s="59">
        <f t="shared" si="44"/>
        <v>366.75500153675739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projet'!$B$14,Paramètres!$A$1:$I$88,3,0)*0.475*44/12</f>
        <v>0</v>
      </c>
      <c r="EB31" s="23">
        <f>EXP(-LN(2)/25)*EB30+(1-EXP(-LN(2)/25))/(LN(2)/25)*Calculateur!DW31*Calculateur!DY31*VLOOKUP('Données projet'!$B$14,Paramètres!$A$1:$I$88,3,0)*0.475*44/12</f>
        <v>0</v>
      </c>
      <c r="EC31" s="23">
        <f>EXP(-LN(2)/2)*EC30+(1-EXP(-LN(2)/2))/(LN(2)/2)*DW31*DZ31*VLOOKUP('Données projet'!$B$14,Paramètres!$A$1:$I$88,3,0)*0.475*44/12</f>
        <v>0</v>
      </c>
      <c r="ED31" s="24">
        <f t="shared" si="18"/>
        <v>0</v>
      </c>
      <c r="EE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3.1</v>
      </c>
      <c r="EJ31" s="13">
        <f>IF('Données projet'!$A$192&gt;35,EJ30+EI31-ER30,IF(A31&lt;'Données projet'!$A$192,$EG$205^A31,IF(A31='Données projet'!$A$192,'Données projet'!$B$192,EJ30+EI31-ER30)))</f>
        <v>68.746525260895439</v>
      </c>
      <c r="EK31" s="18">
        <f>EJ31*VLOOKUP('Données projet'!$B$15,Paramètres!$A$1:$I$88,3,0)*VLOOKUP('Données projet'!$B$15,Paramètres!$A$1:$I$88,5,0)</f>
        <v>58.984518673848292</v>
      </c>
      <c r="EL31" s="14">
        <f t="shared" si="45"/>
        <v>16.911268966604066</v>
      </c>
      <c r="EM31" s="22">
        <f t="shared" si="19"/>
        <v>132.18516347378787</v>
      </c>
      <c r="EN31" s="59">
        <f t="shared" si="20"/>
        <v>423.07405236267675</v>
      </c>
      <c r="EO31" s="59">
        <f ca="1">AVERAGE(OFFSET($EN$3,0,0,'Données projet'!$E$15+1,1))-AVERAGE(OFFSET($H$3,0,0,'Données projet'!$E$15+1,1))</f>
        <v>462.99360395552145</v>
      </c>
      <c r="EP31" s="59">
        <f t="shared" si="46"/>
        <v>153.03880717786046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projet'!$B$15,Paramètres!$A$1:$I$88,3,0)*0.475*44/12</f>
        <v>0</v>
      </c>
      <c r="EW31" s="23">
        <f>EXP(-LN(2)/25)*EW30+(1-EXP(-LN(2)/25))/(LN(2)/25)*Calculateur!ER31*Calculateur!ET31*VLOOKUP('Données projet'!$B$15,Paramètres!$A$1:$I$88,3,0)*0.475*44/12</f>
        <v>0</v>
      </c>
      <c r="EX31" s="23">
        <f>EXP(-LN(2)/2)*EX30+(1-EXP(-LN(2)/2))/(LN(2)/2)*ER31*EU31*VLOOKUP('Données projet'!$B$15,Paramètres!$A$1:$I$88,3,0)*0.475*44/12</f>
        <v>0</v>
      </c>
      <c r="EY31" s="24">
        <f t="shared" si="21"/>
        <v>0</v>
      </c>
      <c r="EZ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11.459999999999999</v>
      </c>
      <c r="FE31" s="13">
        <f>IF('Données projet'!$A$218&gt;35,FE30+FD31-FM30,IF(A31&lt;'Données projet'!$A$218,$FB$205^A31,IF(A31='Données projet'!$A$218,'Données projet'!$B$218,FE30+FD31-FM30)))</f>
        <v>151.08000000000004</v>
      </c>
      <c r="FF31" s="18">
        <f>FE31*VLOOKUP('Données projet'!$B$16,Paramètres!$A$1:$I$88,3,0)*VLOOKUP('Données projet'!$B$16,Paramètres!$A$1:$I$88,5,0)</f>
        <v>131.98348800000005</v>
      </c>
      <c r="FG31" s="14">
        <f t="shared" si="47"/>
        <v>34.454280475035318</v>
      </c>
      <c r="FH31" s="22">
        <f t="shared" si="22"/>
        <v>289.87911342735327</v>
      </c>
      <c r="FI31" s="59">
        <f t="shared" si="23"/>
        <v>580.76800231624213</v>
      </c>
      <c r="FJ31" s="59">
        <f ca="1">AVERAGE(OFFSET($FI$3,0,0,'Données projet'!$E$16+1,1))-AVERAGE(OFFSET($H$3,0,0,'Données projet'!$E$16+1,1))</f>
        <v>427.76895185088944</v>
      </c>
      <c r="FK31" s="59">
        <f t="shared" si="48"/>
        <v>308.32543361559135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projet'!$B$16,Paramètres!$A$1:$I$88,3,0)*0.475*44/12</f>
        <v>0</v>
      </c>
      <c r="FR31" s="23">
        <f>EXP(-LN(2)/25)*FR30+(1-EXP(-LN(2)/25))/(LN(2)/25)*Calculateur!FM31*Calculateur!FO31*VLOOKUP('Données projet'!$B$16,Paramètres!$A$1:$I$88,3,0)*0.475*44/12</f>
        <v>0</v>
      </c>
      <c r="FS31" s="23">
        <f>EXP(-LN(2)/2)*FS30+(1-EXP(-LN(2)/2))/(LN(2)/2)*FM31*FP31*VLOOKUP('Données projet'!$B$16,Paramètres!$A$1:$I$88,3,0)*0.475*44/12</f>
        <v>0</v>
      </c>
      <c r="FT31" s="24">
        <f t="shared" si="24"/>
        <v>0</v>
      </c>
      <c r="FU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14.6</v>
      </c>
      <c r="FZ31" s="13">
        <f>IF('Données projet'!$A$244&gt;35,FZ30+FY31-GH30,IF(A31&lt;'Données projet'!$A$244,$FW$205^A31,IF(A31='Données projet'!$A$244,'Données projet'!$B$244,FZ30+FY31-GH30)))</f>
        <v>207.80000000000004</v>
      </c>
      <c r="GA31" s="18">
        <f>FZ31*VLOOKUP('Données projet'!$B$17,Paramètres!$A$1:$I$88,3,0)*VLOOKUP('Données projet'!$B$17,Paramètres!$A$1:$I$88,5,0)</f>
        <v>129.66720000000004</v>
      </c>
      <c r="GB31" s="14">
        <f t="shared" si="49"/>
        <v>33.919447555137488</v>
      </c>
      <c r="GC31" s="22">
        <f t="shared" si="25"/>
        <v>284.91341115853118</v>
      </c>
      <c r="GD31" s="59">
        <f t="shared" si="26"/>
        <v>575.80230004741998</v>
      </c>
      <c r="GE31" s="59">
        <f ca="1">AVERAGE(OFFSET($GD$3,0,0,'Données projet'!$E$17+1,1))-AVERAGE(OFFSET($H$3,0,0,'Données projet'!$E$17+1,1))</f>
        <v>247.85542034088905</v>
      </c>
      <c r="GF31" s="59">
        <f t="shared" si="50"/>
        <v>299.52241743660352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projet'!$B$17,Paramètres!$A$1:$I$88,3,0)*0.475*44/12</f>
        <v>0</v>
      </c>
      <c r="GM31" s="23">
        <f>EXP(-LN(2)/25)*GM30+(1-EXP(-LN(2)/25))/(LN(2)/25)*Calculateur!GH31*Calculateur!GJ31*VLOOKUP('Données projet'!$B$17,Paramètres!$A$1:$I$88,3,0)*0.475*44/12</f>
        <v>26.062267118683941</v>
      </c>
      <c r="GN31" s="23">
        <f>EXP(-LN(2)/2)*GN30+(1-EXP(-LN(2)/2))/(LN(2)/2)*GH31*GK31*VLOOKUP('Données projet'!$B$17,Paramètres!$A$1:$I$88,3,0)*0.475*44/12</f>
        <v>5.387593724427421</v>
      </c>
      <c r="GO31" s="23">
        <f t="shared" si="27"/>
        <v>31.449860843111363</v>
      </c>
      <c r="GP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3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6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</v>
      </c>
      <c r="N32" s="14">
        <f>IF('Données projet'!$A$36&gt;35,N31+M32-V31,IF(A32&lt;'Données projet'!$A$36,$K$205^A32,IF(A32='Données projet'!$A$36,'Données projet'!$B$36,N31+M32-V31)))</f>
        <v>87</v>
      </c>
      <c r="O32" s="14">
        <f>N32*VLOOKUP('Données projet'!$B$9,Paramètres!$A$1:$I$88,3,0)*VLOOKUP('Données projet'!$B$9,Paramètres!$A$1:$I$88,5,0)</f>
        <v>78.71759999999999</v>
      </c>
      <c r="P32" s="14">
        <f t="shared" si="33"/>
        <v>21.823336373425391</v>
      </c>
      <c r="Q32" s="22">
        <f t="shared" si="2"/>
        <v>175.1087975170492</v>
      </c>
      <c r="R32" s="59">
        <f t="shared" si="0"/>
        <v>467.21990862816034</v>
      </c>
      <c r="S32" s="59">
        <f ca="1">AVERAGE(OFFSET($R$3,0,0,'Données projet'!$E$9+1,1))-AVERAGE(OFFSET($H$3,0,0,'Données projet'!$E$9+1,1))</f>
        <v>247.57967230773539</v>
      </c>
      <c r="T32" s="59">
        <f t="shared" si="34"/>
        <v>156.58857589533295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14.719999999999999</v>
      </c>
      <c r="AI32" s="14">
        <f>IF('Données projet'!$A$62&gt;35,AI31+AH32-AQ31,IF(A32&lt;'Données projet'!$A$62,$AF$205^A32,IF(A32='Données projet'!$A$62,'Données projet'!$B$62,AI31+AH32-AQ31)))</f>
        <v>215.27999999999994</v>
      </c>
      <c r="AJ32" s="14">
        <f>AI32*VLOOKUP('Données projet'!$B$10,Paramètres!$A$1:$I$88,3,0)*VLOOKUP('Données projet'!$B$10,Paramètres!$A$1:$I$88,5,0)</f>
        <v>171.27676799999995</v>
      </c>
      <c r="AK32" s="14">
        <f t="shared" si="35"/>
        <v>43.375852500941818</v>
      </c>
      <c r="AL32" s="22">
        <f t="shared" si="4"/>
        <v>373.85331403914023</v>
      </c>
      <c r="AM32" s="59">
        <f t="shared" si="5"/>
        <v>665.96442515025137</v>
      </c>
      <c r="AN32" s="59">
        <f ca="1">AVERAGE(OFFSET($AM$3,0,0,'Données projet'!$E$10+1,1))-AVERAGE(OFFSET($H$3,0,0,'Données projet'!$E$10+1,1))</f>
        <v>504.15006129790828</v>
      </c>
      <c r="AO32" s="59">
        <f t="shared" si="36"/>
        <v>374.39334457402742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14.719999999999999</v>
      </c>
      <c r="BD32" s="13">
        <f>IF('Données projet'!$A$88&gt;35,BD31+BC32-BL31,IF(A32&lt;'Données projet'!$A$88,$BA$205^A32,IF(A32='Données projet'!$A$88,'Données projet'!$B$88,BD31+BC32-BL31)))</f>
        <v>215.27999999999994</v>
      </c>
      <c r="BE32" s="14">
        <f>BD32*VLOOKUP('Données projet'!$B$11,Paramètres!$A$1:$I$88,3,0)*VLOOKUP('Données projet'!$B$11,Paramètres!$A$1:$I$88,5,0)</f>
        <v>171.27676799999995</v>
      </c>
      <c r="BF32" s="14">
        <f t="shared" si="37"/>
        <v>43.375852500941818</v>
      </c>
      <c r="BG32" s="22">
        <f t="shared" si="7"/>
        <v>373.85331403914023</v>
      </c>
      <c r="BH32" s="59">
        <f t="shared" si="8"/>
        <v>665.96442515025137</v>
      </c>
      <c r="BI32" s="59">
        <f ca="1">AVERAGE(OFFSET($BH$3,0,0,'Données projet'!$E$11+1,1))-AVERAGE(OFFSET($H$3,0,0,'Données projet'!$E$11+1,1))</f>
        <v>504.15006129790828</v>
      </c>
      <c r="BJ32" s="59">
        <f t="shared" si="38"/>
        <v>374.39334457402742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14.719999999999999</v>
      </c>
      <c r="BY32" s="13">
        <f>IF('Données projet'!$A$114&gt;35,BY31+BX32-CG31,IF(A32&lt;'Données projet'!$A$114,$BV$205^A32,IF(A32='Données projet'!$A$114,'Données projet'!$B$114,BY31+BX32-CG31)))</f>
        <v>215.27999999999994</v>
      </c>
      <c r="BZ32" s="14">
        <f>BY32*VLOOKUP('Données projet'!$B$12,Paramètres!$A$1:$I$88,3,0)*VLOOKUP('Données projet'!$B$12,Paramètres!$A$1:$I$88,5,0)</f>
        <v>144.40982399999996</v>
      </c>
      <c r="CA32" s="14">
        <f t="shared" si="39"/>
        <v>37.305403623720863</v>
      </c>
      <c r="CB32" s="22">
        <f t="shared" si="10"/>
        <v>316.48735477798039</v>
      </c>
      <c r="CC32" s="59">
        <f t="shared" si="11"/>
        <v>608.59846588909159</v>
      </c>
      <c r="CD32" s="59">
        <f ca="1">AVERAGE(OFFSET($CC$3,0,0,'Données projet'!$E$12+1,1))-AVERAGE(OFFSET($H$3,0,0,'Données projet'!$E$12+1,1))</f>
        <v>387.15063677712425</v>
      </c>
      <c r="CE32" s="59">
        <f t="shared" si="40"/>
        <v>313.19155394370705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0</v>
      </c>
      <c r="CO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3</v>
      </c>
      <c r="CT32" s="13">
        <f>IF('Données projet'!$A$140&gt;35,CT31+CS32-DB31,IF(A32&lt;'Données projet'!$A$140,$CQ$205^A32,IF(A32='Données projet'!$A$140,'Données projet'!$B$140,CT31+CS32-DB31)))</f>
        <v>87</v>
      </c>
      <c r="CU32" s="18">
        <f>CT32*VLOOKUP('Données projet'!$B$13,Paramètres!$A$1:$I$88,3,0)*VLOOKUP('Données projet'!$B$13,Paramètres!$A$1:$I$88,5,0)</f>
        <v>84.1464</v>
      </c>
      <c r="CV32" s="14">
        <f t="shared" si="41"/>
        <v>23.14799971956144</v>
      </c>
      <c r="CW32" s="22">
        <f t="shared" si="13"/>
        <v>186.87107951156952</v>
      </c>
      <c r="CX32" s="59">
        <f t="shared" si="14"/>
        <v>478.98219062268066</v>
      </c>
      <c r="CY32" s="59">
        <f ca="1">AVERAGE(OFFSET($CX$3,0,0,'Données projet'!$E$13+1,1))-AVERAGE(OFFSET($H$3,0,0,'Données projet'!$E$13+1,1))</f>
        <v>306.00894145276209</v>
      </c>
      <c r="CZ32" s="59">
        <f t="shared" si="42"/>
        <v>168.74705421228828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0</v>
      </c>
      <c r="DG32" s="23">
        <f>EXP(-LN(2)/25)*DG31+(1-EXP(-LN(2)/25))/(LN(2)/25)*Calculateur!DB32*Calculateur!DD32*VLOOKUP('Données projet'!$B$13,Paramètres!$A$1:$I$88,3,0)*0.475*44/12</f>
        <v>0</v>
      </c>
      <c r="DH32" s="23">
        <f>EXP(-LN(2)/2)*DH31+(1-EXP(-LN(2)/2))/(LN(2)/2)*DB32*DE32*VLOOKUP('Données projet'!$B$13,Paramètres!$A$1:$I$88,3,0)*0.475*44/12</f>
        <v>0</v>
      </c>
      <c r="DI32" s="24">
        <f t="shared" si="15"/>
        <v>0</v>
      </c>
      <c r="DJ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14.719999999999999</v>
      </c>
      <c r="DO32" s="13">
        <f>IF('Données projet'!$A$166&gt;35,DO31+DN32-DW31,IF(A32&lt;'Données projet'!$A$166,$DL$205^A32,IF(A32='Données projet'!$A$166,'Données projet'!$B$166,DO31+DN32-DW31)))</f>
        <v>215.27999999999994</v>
      </c>
      <c r="DP32" s="18">
        <f>DO32*VLOOKUP('Données projet'!$B$14,Paramètres!$A$1:$I$88,3,0)*VLOOKUP('Données projet'!$B$14,Paramètres!$A$1:$I$88,5,0)</f>
        <v>167.91839999999996</v>
      </c>
      <c r="DQ32" s="14">
        <f t="shared" si="43"/>
        <v>42.623480667123864</v>
      </c>
      <c r="DR32" s="22">
        <f t="shared" si="16"/>
        <v>366.69377549524057</v>
      </c>
      <c r="DS32" s="59">
        <f t="shared" si="17"/>
        <v>658.80488660635172</v>
      </c>
      <c r="DT32" s="59">
        <f ca="1">AVERAGE(OFFSET($DS$3,0,0,'Données projet'!$E$14+1,1))-AVERAGE(OFFSET($H$3,0,0,'Données projet'!$E$14+1,1))</f>
        <v>458.14328535055694</v>
      </c>
      <c r="DU32" s="59">
        <f t="shared" si="44"/>
        <v>366.75500153675739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projet'!$B$14,Paramètres!$A$1:$I$88,3,0)*0.475*44/12</f>
        <v>0</v>
      </c>
      <c r="EB32" s="23">
        <f>EXP(-LN(2)/25)*EB31+(1-EXP(-LN(2)/25))/(LN(2)/25)*Calculateur!DW32*Calculateur!DY32*VLOOKUP('Données projet'!$B$14,Paramètres!$A$1:$I$88,3,0)*0.475*44/12</f>
        <v>0</v>
      </c>
      <c r="EC32" s="23">
        <f>EXP(-LN(2)/2)*EC31+(1-EXP(-LN(2)/2))/(LN(2)/2)*DW32*DZ32*VLOOKUP('Données projet'!$B$14,Paramètres!$A$1:$I$88,3,0)*0.475*44/12</f>
        <v>0</v>
      </c>
      <c r="ED32" s="24">
        <f t="shared" si="18"/>
        <v>0</v>
      </c>
      <c r="EE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3.1</v>
      </c>
      <c r="EJ32" s="13">
        <f>IF('Données projet'!$A$192&gt;35,EJ31+EI32-ER31,IF(A32&lt;'Données projet'!$A$192,$EG$205^A32,IF(A32='Données projet'!$A$192,'Données projet'!$B$192,EJ31+EI32-ER31)))</f>
        <v>79.958907254059397</v>
      </c>
      <c r="EK32" s="18">
        <f>EJ32*VLOOKUP('Données projet'!$B$15,Paramètres!$A$1:$I$88,3,0)*VLOOKUP('Données projet'!$B$15,Paramètres!$A$1:$I$88,5,0)</f>
        <v>68.60474242398297</v>
      </c>
      <c r="EL32" s="14">
        <f t="shared" si="45"/>
        <v>19.326560976864609</v>
      </c>
      <c r="EM32" s="22">
        <f t="shared" si="19"/>
        <v>153.14702008980953</v>
      </c>
      <c r="EN32" s="59">
        <f t="shared" si="20"/>
        <v>445.25813120092067</v>
      </c>
      <c r="EO32" s="59">
        <f ca="1">AVERAGE(OFFSET($EN$3,0,0,'Données projet'!$E$15+1,1))-AVERAGE(OFFSET($H$3,0,0,'Données projet'!$E$15+1,1))</f>
        <v>462.99360395552145</v>
      </c>
      <c r="EP32" s="59">
        <f t="shared" si="46"/>
        <v>153.03880717786046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projet'!$B$15,Paramètres!$A$1:$I$88,3,0)*0.475*44/12</f>
        <v>0</v>
      </c>
      <c r="EW32" s="23">
        <f>EXP(-LN(2)/25)*EW31+(1-EXP(-LN(2)/25))/(LN(2)/25)*Calculateur!ER32*Calculateur!ET32*VLOOKUP('Données projet'!$B$15,Paramètres!$A$1:$I$88,3,0)*0.475*44/12</f>
        <v>0</v>
      </c>
      <c r="EX32" s="23">
        <f>EXP(-LN(2)/2)*EX31+(1-EXP(-LN(2)/2))/(LN(2)/2)*ER32*EU32*VLOOKUP('Données projet'!$B$15,Paramètres!$A$1:$I$88,3,0)*0.475*44/12</f>
        <v>0</v>
      </c>
      <c r="EY32" s="24">
        <f t="shared" si="21"/>
        <v>0</v>
      </c>
      <c r="EZ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11.459999999999999</v>
      </c>
      <c r="FE32" s="13">
        <f>IF('Données projet'!$A$218&gt;35,FE31+FD32-FM31,IF(A32&lt;'Données projet'!$A$218,$FB$205^A32,IF(A32='Données projet'!$A$218,'Données projet'!$B$218,FE31+FD32-FM31)))</f>
        <v>162.54000000000005</v>
      </c>
      <c r="FF32" s="18">
        <f>FE32*VLOOKUP('Données projet'!$B$16,Paramètres!$A$1:$I$88,3,0)*VLOOKUP('Données projet'!$B$16,Paramètres!$A$1:$I$88,5,0)</f>
        <v>141.99494400000006</v>
      </c>
      <c r="FG32" s="14">
        <f t="shared" si="47"/>
        <v>36.753642132642319</v>
      </c>
      <c r="FH32" s="22">
        <f t="shared" si="22"/>
        <v>311.32045418101876</v>
      </c>
      <c r="FI32" s="59">
        <f t="shared" si="23"/>
        <v>603.4315652921299</v>
      </c>
      <c r="FJ32" s="59">
        <f ca="1">AVERAGE(OFFSET($FI$3,0,0,'Données projet'!$E$16+1,1))-AVERAGE(OFFSET($H$3,0,0,'Données projet'!$E$16+1,1))</f>
        <v>427.76895185088944</v>
      </c>
      <c r="FK32" s="59">
        <f t="shared" si="48"/>
        <v>308.32543361559135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projet'!$B$16,Paramètres!$A$1:$I$88,3,0)*0.475*44/12</f>
        <v>0</v>
      </c>
      <c r="FR32" s="23">
        <f>EXP(-LN(2)/25)*FR31+(1-EXP(-LN(2)/25))/(LN(2)/25)*Calculateur!FM32*Calculateur!FO32*VLOOKUP('Données projet'!$B$16,Paramètres!$A$1:$I$88,3,0)*0.475*44/12</f>
        <v>0</v>
      </c>
      <c r="FS32" s="23">
        <f>EXP(-LN(2)/2)*FS31+(1-EXP(-LN(2)/2))/(LN(2)/2)*FM32*FP32*VLOOKUP('Données projet'!$B$16,Paramètres!$A$1:$I$88,3,0)*0.475*44/12</f>
        <v>0</v>
      </c>
      <c r="FT32" s="24">
        <f t="shared" si="24"/>
        <v>0</v>
      </c>
      <c r="FU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14.6</v>
      </c>
      <c r="FZ32" s="13">
        <f>IF('Données projet'!$A$244&gt;35,FZ31+FY32-GH31,IF(A32&lt;'Données projet'!$A$244,$FW$205^A32,IF(A32='Données projet'!$A$244,'Données projet'!$B$244,FZ31+FY32-GH31)))</f>
        <v>222.40000000000003</v>
      </c>
      <c r="GA32" s="18">
        <f>FZ32*VLOOKUP('Données projet'!$B$17,Paramètres!$A$1:$I$88,3,0)*VLOOKUP('Données projet'!$B$17,Paramètres!$A$1:$I$88,5,0)</f>
        <v>138.77760000000001</v>
      </c>
      <c r="GB32" s="14">
        <f t="shared" si="49"/>
        <v>36.016828050999372</v>
      </c>
      <c r="GC32" s="22">
        <f t="shared" si="25"/>
        <v>304.43362885549055</v>
      </c>
      <c r="GD32" s="59">
        <f t="shared" si="26"/>
        <v>596.5447399666017</v>
      </c>
      <c r="GE32" s="59">
        <f ca="1">AVERAGE(OFFSET($GD$3,0,0,'Données projet'!$E$17+1,1))-AVERAGE(OFFSET($H$3,0,0,'Données projet'!$E$17+1,1))</f>
        <v>247.85542034088905</v>
      </c>
      <c r="GF32" s="59">
        <f t="shared" si="50"/>
        <v>299.52241743660352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projet'!$B$17,Paramètres!$A$1:$I$88,3,0)*0.475*44/12</f>
        <v>0</v>
      </c>
      <c r="GM32" s="23">
        <f>EXP(-LN(2)/25)*GM31+(1-EXP(-LN(2)/25))/(LN(2)/25)*Calculateur!GH32*Calculateur!GJ32*VLOOKUP('Données projet'!$B$17,Paramètres!$A$1:$I$88,3,0)*0.475*44/12</f>
        <v>25.349593053768466</v>
      </c>
      <c r="GN32" s="23">
        <f>EXP(-LN(2)/2)*GN31+(1-EXP(-LN(2)/2))/(LN(2)/2)*GH32*GK32*VLOOKUP('Données projet'!$B$17,Paramètres!$A$1:$I$88,3,0)*0.475*44/12</f>
        <v>3.8096040568207172</v>
      </c>
      <c r="GO32" s="23">
        <f t="shared" si="27"/>
        <v>29.159197110589183</v>
      </c>
      <c r="GP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3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6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</v>
      </c>
      <c r="N33" s="14">
        <f>IF('Données projet'!$A$36&gt;35,N32+M33-V32,IF(A33&lt;'Données projet'!$A$36,$K$205^A33,IF(A33='Données projet'!$A$36,'Données projet'!$B$36,N32+M33-V32)))</f>
        <v>90</v>
      </c>
      <c r="O33" s="14">
        <f>N33*VLOOKUP('Données projet'!$B$9,Paramètres!$A$1:$I$88,3,0)*VLOOKUP('Données projet'!$B$9,Paramètres!$A$1:$I$88,5,0)</f>
        <v>81.432000000000002</v>
      </c>
      <c r="P33" s="14">
        <f t="shared" si="33"/>
        <v>22.486953220240881</v>
      </c>
      <c r="Q33" s="22">
        <f t="shared" si="2"/>
        <v>180.99217685858619</v>
      </c>
      <c r="R33" s="59">
        <f t="shared" si="0"/>
        <v>474.32551019191953</v>
      </c>
      <c r="S33" s="59">
        <f ca="1">AVERAGE(OFFSET($R$3,0,0,'Données projet'!$E$9+1,1))-AVERAGE(OFFSET($H$3,0,0,'Données projet'!$E$9+1,1))</f>
        <v>247.57967230773539</v>
      </c>
      <c r="T33" s="59">
        <f t="shared" si="34"/>
        <v>156.58857589533295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230</v>
      </c>
      <c r="AG33" s="13">
        <f>VLOOKUP(A33,'Données projet'!$A$61:$I$81,9,0)</f>
        <v>14.719999999999999</v>
      </c>
      <c r="AH33" s="13">
        <f t="array" ref="AH33">INDEX(AG:AG,MIN(IF(ISNUMBER(AG33:AG229),ROW(AG33:AG229),"")))</f>
        <v>14.719999999999999</v>
      </c>
      <c r="AI33" s="14">
        <f>IF('Données projet'!$A$62&gt;35,AI32+AH33-AQ32,IF(A33&lt;'Données projet'!$A$62,$AF$205^A33,IF(A33='Données projet'!$A$62,'Données projet'!$B$62,AI32+AH33-AQ32)))</f>
        <v>229.99999999999994</v>
      </c>
      <c r="AJ33" s="14">
        <f>AI33*VLOOKUP('Données projet'!$B$10,Paramètres!$A$1:$I$88,3,0)*VLOOKUP('Données projet'!$B$10,Paramètres!$A$1:$I$88,5,0)</f>
        <v>182.98799999999997</v>
      </c>
      <c r="AK33" s="14">
        <f t="shared" si="35"/>
        <v>45.986322796524831</v>
      </c>
      <c r="AL33" s="22">
        <f t="shared" si="4"/>
        <v>398.79694553728069</v>
      </c>
      <c r="AM33" s="59">
        <f t="shared" si="5"/>
        <v>692.13027887061401</v>
      </c>
      <c r="AN33" s="59">
        <f ca="1">AVERAGE(OFFSET($AM$3,0,0,'Données projet'!$E$10+1,1))-AVERAGE(OFFSET($H$3,0,0,'Données projet'!$E$10+1,1))</f>
        <v>504.15006129790828</v>
      </c>
      <c r="AO33" s="59">
        <f t="shared" si="36"/>
        <v>374.39334457402742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23.2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230</v>
      </c>
      <c r="BB33" s="13">
        <f>VLOOKUP(A33,'Données projet'!$A$87:$I$107,9,0)</f>
        <v>14.719999999999999</v>
      </c>
      <c r="BC33" s="13">
        <f t="array" ref="BC33">INDEX(BB:BB,MIN(IF(ISNUMBER(BB33:BB229),ROW(BB33:BB229),"")))</f>
        <v>14.719999999999999</v>
      </c>
      <c r="BD33" s="13">
        <f>IF('Données projet'!$A$88&gt;35,BD32+BC33-BL32,IF(A33&lt;'Données projet'!$A$88,$BA$205^A33,IF(A33='Données projet'!$A$88,'Données projet'!$B$88,BD32+BC33-BL32)))</f>
        <v>229.99999999999994</v>
      </c>
      <c r="BE33" s="14">
        <f>BD33*VLOOKUP('Données projet'!$B$11,Paramètres!$A$1:$I$88,3,0)*VLOOKUP('Données projet'!$B$11,Paramètres!$A$1:$I$88,5,0)</f>
        <v>182.98799999999997</v>
      </c>
      <c r="BF33" s="14">
        <f t="shared" si="37"/>
        <v>45.986322796524831</v>
      </c>
      <c r="BG33" s="22">
        <f t="shared" si="7"/>
        <v>398.79694553728069</v>
      </c>
      <c r="BH33" s="59">
        <f t="shared" si="8"/>
        <v>692.13027887061401</v>
      </c>
      <c r="BI33" s="59">
        <f ca="1">AVERAGE(OFFSET($BH$3,0,0,'Données projet'!$E$11+1,1))-AVERAGE(OFFSET($H$3,0,0,'Données projet'!$E$11+1,1))</f>
        <v>504.15006129790828</v>
      </c>
      <c r="BJ33" s="59">
        <f t="shared" si="38"/>
        <v>374.39334457402742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23.2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230</v>
      </c>
      <c r="BW33" s="13">
        <f>VLOOKUP(A33,'Données projet'!$A$113:$I$133,9,0)</f>
        <v>14.719999999999999</v>
      </c>
      <c r="BX33" s="13">
        <f t="array" ref="BX33">INDEX(BW:BW,MIN(IF(ISNUMBER(BW33:BW229),ROW(BW33:BW229),"")))</f>
        <v>14.719999999999999</v>
      </c>
      <c r="BY33" s="13">
        <f>IF('Données projet'!$A$114&gt;35,BY32+BX33-CG32,IF(A33&lt;'Données projet'!$A$114,$BV$205^A33,IF(A33='Données projet'!$A$114,'Données projet'!$B$114,BY32+BX33-CG32)))</f>
        <v>229.99999999999994</v>
      </c>
      <c r="BZ33" s="14">
        <f>BY33*VLOOKUP('Données projet'!$B$12,Paramètres!$A$1:$I$88,3,0)*VLOOKUP('Données projet'!$B$12,Paramètres!$A$1:$I$88,5,0)</f>
        <v>154.28399999999996</v>
      </c>
      <c r="CA33" s="14">
        <f t="shared" si="39"/>
        <v>39.550538702560999</v>
      </c>
      <c r="CB33" s="22">
        <f t="shared" si="10"/>
        <v>337.59515490696032</v>
      </c>
      <c r="CC33" s="59">
        <f t="shared" si="11"/>
        <v>630.92848824029363</v>
      </c>
      <c r="CD33" s="59">
        <f ca="1">AVERAGE(OFFSET($CC$3,0,0,'Données projet'!$E$12+1,1))-AVERAGE(OFFSET($H$3,0,0,'Données projet'!$E$12+1,1))</f>
        <v>387.15063677712425</v>
      </c>
      <c r="CE33" s="59">
        <f t="shared" si="40"/>
        <v>313.19155394370705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23.2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0</v>
      </c>
      <c r="CL33" s="23">
        <f>EXP(-LN(2)/25)*CL32+(1-EXP(-LN(2)/25))/(LN(2)/25)*Calculateur!CG33*Calculateur!CI33*VLOOKUP('Données projet'!$B$12,Paramètres!$A$1:$I$88,3,0)*0.475*44/12</f>
        <v>0</v>
      </c>
      <c r="CM33" s="23">
        <f>EXP(-LN(2)/2)*CM32+(1-EXP(-LN(2)/2))/(LN(2)/2)*CG33*CJ33*VLOOKUP('Données projet'!$B$12,Paramètres!$A$1:$I$88,3,0)*0.475*44/12</f>
        <v>0</v>
      </c>
      <c r="CN33" s="24">
        <f t="shared" si="12"/>
        <v>0</v>
      </c>
      <c r="CO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3</v>
      </c>
      <c r="CT33" s="13">
        <f>IF('Données projet'!$A$140&gt;35,CT32+CS33-DB32,IF(A33&lt;'Données projet'!$A$140,$CQ$205^A33,IF(A33='Données projet'!$A$140,'Données projet'!$B$140,CT32+CS33-DB32)))</f>
        <v>90</v>
      </c>
      <c r="CU33" s="18">
        <f>CT33*VLOOKUP('Données projet'!$B$13,Paramètres!$A$1:$I$88,3,0)*VLOOKUP('Données projet'!$B$13,Paramètres!$A$1:$I$88,5,0)</f>
        <v>87.048000000000002</v>
      </c>
      <c r="CV33" s="14">
        <f t="shared" si="41"/>
        <v>23.851897708444891</v>
      </c>
      <c r="CW33" s="22">
        <f t="shared" si="13"/>
        <v>193.15065517554152</v>
      </c>
      <c r="CX33" s="59">
        <f t="shared" si="14"/>
        <v>486.48398850887486</v>
      </c>
      <c r="CY33" s="59">
        <f ca="1">AVERAGE(OFFSET($CX$3,0,0,'Données projet'!$E$13+1,1))-AVERAGE(OFFSET($H$3,0,0,'Données projet'!$E$13+1,1))</f>
        <v>306.00894145276209</v>
      </c>
      <c r="CZ33" s="59">
        <f t="shared" si="42"/>
        <v>168.74705421228828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0</v>
      </c>
      <c r="DG33" s="23">
        <f>EXP(-LN(2)/25)*DG32+(1-EXP(-LN(2)/25))/(LN(2)/25)*Calculateur!DB33*Calculateur!DD33*VLOOKUP('Données projet'!$B$13,Paramètres!$A$1:$I$88,3,0)*0.475*44/12</f>
        <v>0</v>
      </c>
      <c r="DH33" s="23">
        <f>EXP(-LN(2)/2)*DH32+(1-EXP(-LN(2)/2))/(LN(2)/2)*DB33*DE33*VLOOKUP('Données projet'!$B$13,Paramètres!$A$1:$I$88,3,0)*0.475*44/12</f>
        <v>0</v>
      </c>
      <c r="DI33" s="24">
        <f t="shared" si="15"/>
        <v>0</v>
      </c>
      <c r="DJ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230</v>
      </c>
      <c r="DM33" s="13">
        <f>VLOOKUP(A33,'Données projet'!$A$165:$I$185,9,0)</f>
        <v>14.719999999999999</v>
      </c>
      <c r="DN33" s="13">
        <f t="array" ref="DN33">INDEX(DM:DM,MIN(IF(ISNUMBER(DM33:DM229),ROW(DM33:DM229),"")))</f>
        <v>14.719999999999999</v>
      </c>
      <c r="DO33" s="13">
        <f>IF('Données projet'!$A$166&gt;35,DO32+DN33-DW32,IF(A33&lt;'Données projet'!$A$166,$DL$205^A33,IF(A33='Données projet'!$A$166,'Données projet'!$B$166,DO32+DN33-DW32)))</f>
        <v>229.99999999999994</v>
      </c>
      <c r="DP33" s="18">
        <f>DO33*VLOOKUP('Données projet'!$B$14,Paramètres!$A$1:$I$88,3,0)*VLOOKUP('Données projet'!$B$14,Paramètres!$A$1:$I$88,5,0)</f>
        <v>179.39999999999995</v>
      </c>
      <c r="DQ33" s="14">
        <f t="shared" si="43"/>
        <v>45.188671291872232</v>
      </c>
      <c r="DR33" s="22">
        <f t="shared" si="16"/>
        <v>391.15860250001066</v>
      </c>
      <c r="DS33" s="59">
        <f t="shared" si="17"/>
        <v>684.49193583334397</v>
      </c>
      <c r="DT33" s="59">
        <f ca="1">AVERAGE(OFFSET($DS$3,0,0,'Données projet'!$E$14+1,1))-AVERAGE(OFFSET($H$3,0,0,'Données projet'!$E$14+1,1))</f>
        <v>458.14328535055694</v>
      </c>
      <c r="DU33" s="59">
        <f t="shared" si="44"/>
        <v>366.75500153675739</v>
      </c>
      <c r="DV33" s="16">
        <f>IF(ISNA(VLOOKUP(A33,'Données projet'!$A$165:$I$185,3,0)),0,VLOOKUP(A33,'Données projet'!$A$165:$I$185,3,0))</f>
        <v>4</v>
      </c>
      <c r="DW33" s="16">
        <f>IF(ISNA(VLOOKUP(A33,'Données projet'!$A$165:$I$185,4,0)),0,VLOOKUP(A33,'Données projet'!$A$165:$I$185,4,0))</f>
        <v>23.2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projet'!$B$14,Paramètres!$A$1:$I$88,3,0)*0.475*44/12</f>
        <v>0</v>
      </c>
      <c r="EB33" s="23">
        <f>EXP(-LN(2)/25)*EB32+(1-EXP(-LN(2)/25))/(LN(2)/25)*Calculateur!DW33*Calculateur!DY33*VLOOKUP('Données projet'!$B$14,Paramètres!$A$1:$I$88,3,0)*0.475*44/12</f>
        <v>0</v>
      </c>
      <c r="EC33" s="23">
        <f>EXP(-LN(2)/2)*EC32+(1-EXP(-LN(2)/2))/(LN(2)/2)*DW33*DZ33*VLOOKUP('Données projet'!$B$14,Paramètres!$A$1:$I$88,3,0)*0.475*44/12</f>
        <v>0</v>
      </c>
      <c r="ED33" s="24">
        <f t="shared" si="18"/>
        <v>0</v>
      </c>
      <c r="EE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93</v>
      </c>
      <c r="EH33" s="13">
        <f>VLOOKUP(A33,'Données projet'!$A$191:$I$211,9,0)</f>
        <v>3.1</v>
      </c>
      <c r="EI33" s="13">
        <f t="array" ref="EI33">INDEX(EH:EH,MIN(IF(ISNUMBER(EH33:EH229),ROW(EH33:EH229),"")))</f>
        <v>3.1</v>
      </c>
      <c r="EJ33" s="13">
        <f>IF('Données projet'!$A$192&gt;35,EJ32+EI33-ER32,IF(A33&lt;'Données projet'!$A$192,$EG$205^A33,IF(A33='Données projet'!$A$192,'Données projet'!$B$192,EJ32+EI33-ER32)))</f>
        <v>93</v>
      </c>
      <c r="EK33" s="18">
        <f>EJ33*VLOOKUP('Données projet'!$B$15,Paramètres!$A$1:$I$88,3,0)*VLOOKUP('Données projet'!$B$15,Paramètres!$A$1:$I$88,5,0)</f>
        <v>79.794000000000011</v>
      </c>
      <c r="EL33" s="14">
        <f t="shared" si="45"/>
        <v>22.086808502074891</v>
      </c>
      <c r="EM33" s="22">
        <f t="shared" si="19"/>
        <v>177.44240814111376</v>
      </c>
      <c r="EN33" s="59">
        <f t="shared" si="20"/>
        <v>470.77574147444705</v>
      </c>
      <c r="EO33" s="59">
        <f ca="1">AVERAGE(OFFSET($EN$3,0,0,'Données projet'!$E$15+1,1))-AVERAGE(OFFSET($H$3,0,0,'Données projet'!$E$15+1,1))</f>
        <v>462.99360395552145</v>
      </c>
      <c r="EP33" s="59">
        <f t="shared" si="46"/>
        <v>153.03880717786046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projet'!$B$15,Paramètres!$A$1:$I$88,3,0)*0.475*44/12</f>
        <v>0</v>
      </c>
      <c r="EW33" s="23">
        <f>EXP(-LN(2)/25)*EW32+(1-EXP(-LN(2)/25))/(LN(2)/25)*Calculateur!ER33*Calculateur!ET33*VLOOKUP('Données projet'!$B$15,Paramètres!$A$1:$I$88,3,0)*0.475*44/12</f>
        <v>0</v>
      </c>
      <c r="EX33" s="23">
        <f>EXP(-LN(2)/2)*EX32+(1-EXP(-LN(2)/2))/(LN(2)/2)*ER33*EU33*VLOOKUP('Données projet'!$B$15,Paramètres!$A$1:$I$88,3,0)*0.475*44/12</f>
        <v>0</v>
      </c>
      <c r="EY33" s="24">
        <f t="shared" si="21"/>
        <v>0</v>
      </c>
      <c r="EZ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174</v>
      </c>
      <c r="FC33" s="13">
        <f>VLOOKUP(A33,'Données projet'!$A$217:$I$237,9,0)</f>
        <v>11.459999999999999</v>
      </c>
      <c r="FD33" s="13">
        <f t="array" ref="FD33">INDEX(FC:FC,MIN(IF(ISNUMBER(FC33:FC229),ROW(FC33:FC229),"")))</f>
        <v>11.459999999999999</v>
      </c>
      <c r="FE33" s="13">
        <f>IF('Données projet'!$A$218&gt;35,FE32+FD33-FM32,IF(A33&lt;'Données projet'!$A$218,$FB$205^A33,IF(A33='Données projet'!$A$218,'Données projet'!$B$218,FE32+FD33-FM32)))</f>
        <v>174.00000000000006</v>
      </c>
      <c r="FF33" s="18">
        <f>FE33*VLOOKUP('Données projet'!$B$16,Paramètres!$A$1:$I$88,3,0)*VLOOKUP('Données projet'!$B$16,Paramètres!$A$1:$I$88,5,0)</f>
        <v>152.00640000000007</v>
      </c>
      <c r="FG33" s="14">
        <f t="shared" si="47"/>
        <v>39.034194016561486</v>
      </c>
      <c r="FH33" s="22">
        <f t="shared" si="22"/>
        <v>332.72903457884468</v>
      </c>
      <c r="FI33" s="59">
        <f t="shared" si="23"/>
        <v>626.06236791217793</v>
      </c>
      <c r="FJ33" s="59">
        <f ca="1">AVERAGE(OFFSET($FI$3,0,0,'Données projet'!$E$16+1,1))-AVERAGE(OFFSET($H$3,0,0,'Données projet'!$E$16+1,1))</f>
        <v>427.76895185088944</v>
      </c>
      <c r="FK33" s="59">
        <f t="shared" si="48"/>
        <v>308.32543361559135</v>
      </c>
      <c r="FL33" s="16">
        <f>IF(ISNA(VLOOKUP(A33,'Données projet'!$A$217:$I$237,3,0)),0,VLOOKUP(A33,'Données projet'!$A$217:$I$237,3,0))</f>
        <v>4</v>
      </c>
      <c r="FM33" s="16">
        <f>IF(ISNA(VLOOKUP(A33,'Données projet'!$A$217:$I$237,4,0)),0,VLOOKUP(A33,'Données projet'!$A$217:$I$237,4,0))</f>
        <v>15.7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projet'!$B$16,Paramètres!$A$1:$I$88,3,0)*0.475*44/12</f>
        <v>0</v>
      </c>
      <c r="FR33" s="23">
        <f>EXP(-LN(2)/25)*FR32+(1-EXP(-LN(2)/25))/(LN(2)/25)*Calculateur!FM33*Calculateur!FO33*VLOOKUP('Données projet'!$B$16,Paramètres!$A$1:$I$88,3,0)*0.475*44/12</f>
        <v>0</v>
      </c>
      <c r="FS33" s="23">
        <f>EXP(-LN(2)/2)*FS32+(1-EXP(-LN(2)/2))/(LN(2)/2)*FM33*FP33*VLOOKUP('Données projet'!$B$16,Paramètres!$A$1:$I$88,3,0)*0.475*44/12</f>
        <v>0</v>
      </c>
      <c r="FT33" s="24">
        <f t="shared" si="24"/>
        <v>0</v>
      </c>
      <c r="FU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237</v>
      </c>
      <c r="FX33" s="13">
        <f>VLOOKUP(A33,'Données projet'!$A$243:$I$263,9,0)</f>
        <v>14.6</v>
      </c>
      <c r="FY33" s="13">
        <f t="array" ref="FY33">INDEX(FX:FX,MIN(IF(ISNUMBER(FX33:FX229),ROW(FX33:FX229),"")))</f>
        <v>14.6</v>
      </c>
      <c r="FZ33" s="13">
        <f>IF('Données projet'!$A$244&gt;35,FZ32+FY33-GH32,IF(A33&lt;'Données projet'!$A$244,$FW$205^A33,IF(A33='Données projet'!$A$244,'Données projet'!$B$244,FZ32+FY33-GH32)))</f>
        <v>237.00000000000003</v>
      </c>
      <c r="GA33" s="18">
        <f>FZ33*VLOOKUP('Données projet'!$B$17,Paramètres!$A$1:$I$88,3,0)*VLOOKUP('Données projet'!$B$17,Paramètres!$A$1:$I$88,5,0)</f>
        <v>147.88800000000001</v>
      </c>
      <c r="GB33" s="14">
        <f t="shared" si="49"/>
        <v>38.098230660204834</v>
      </c>
      <c r="GC33" s="22">
        <f t="shared" si="25"/>
        <v>323.92601839985679</v>
      </c>
      <c r="GD33" s="59">
        <f t="shared" si="26"/>
        <v>617.2593517331901</v>
      </c>
      <c r="GE33" s="59">
        <f ca="1">AVERAGE(OFFSET($GD$3,0,0,'Données projet'!$E$17+1,1))-AVERAGE(OFFSET($H$3,0,0,'Données projet'!$E$17+1,1))</f>
        <v>247.85542034088905</v>
      </c>
      <c r="GF33" s="59">
        <f t="shared" si="50"/>
        <v>299.52241743660352</v>
      </c>
      <c r="GG33" s="16">
        <f>IF(ISNA(VLOOKUP(A33,'Données projet'!$A$243:$I$263,3,0)),0,VLOOKUP(A33,'Données projet'!$A$243:$I$263,3,0))</f>
        <v>5</v>
      </c>
      <c r="GH33" s="16">
        <f>IF(ISNA(VLOOKUP(A33,'Données projet'!$A$243:$I$263,4,0)),0,VLOOKUP(A33,'Données projet'!$A$243:$I$263,4,0))</f>
        <v>40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0.33600000000000002</v>
      </c>
      <c r="GK33" s="17">
        <f>IF(ISNA(VLOOKUP(A33,'Données projet'!$A$243:$I$263,7,0)),0%,VLOOKUP(A33,'Données projet'!$A$243:$I$263,7,0))</f>
        <v>0.44</v>
      </c>
      <c r="GL33" s="23">
        <f>EXP(-LN(2)/35)*GL32+(1-EXP(-LN(2)/35))/(LN(2)/35)*GH33*GI33*VLOOKUP('Données projet'!$B$17,Paramètres!$A$1:$I$88,3,0)*0.475*44/12</f>
        <v>0</v>
      </c>
      <c r="GM33" s="23">
        <f>EXP(-LN(2)/25)*GM32+(1-EXP(-LN(2)/25))/(LN(2)/25)*Calculateur!GH33*Calculateur!GJ33*VLOOKUP('Données projet'!$B$17,Paramètres!$A$1:$I$88,3,0)*0.475*44/12</f>
        <v>35.737914904054193</v>
      </c>
      <c r="GN33" s="23">
        <f>EXP(-LN(2)/2)*GN32+(1-EXP(-LN(2)/2))/(LN(2)/2)*GH33*GK33*VLOOKUP('Données projet'!$B$17,Paramètres!$A$1:$I$88,3,0)*0.475*44/12</f>
        <v>15.128424846568368</v>
      </c>
      <c r="GO33" s="23">
        <f t="shared" si="27"/>
        <v>50.866339750622558</v>
      </c>
      <c r="GP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3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6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</v>
      </c>
      <c r="N34" s="14">
        <f>IF('Données projet'!$A$36&gt;35,N33+M34-V33,IF(A34&lt;'Données projet'!$A$36,$K$205^A34,IF(A34='Données projet'!$A$36,'Données projet'!$B$36,N33+M34-V33)))</f>
        <v>93</v>
      </c>
      <c r="O34" s="14">
        <f>N34*VLOOKUP('Données projet'!$B$9,Paramètres!$A$1:$I$88,3,0)*VLOOKUP('Données projet'!$B$9,Paramètres!$A$1:$I$88,5,0)</f>
        <v>84.1464</v>
      </c>
      <c r="P34" s="14">
        <f t="shared" si="33"/>
        <v>23.14799971956144</v>
      </c>
      <c r="Q34" s="22">
        <f t="shared" si="2"/>
        <v>186.87107951156952</v>
      </c>
      <c r="R34" s="59">
        <f t="shared" si="0"/>
        <v>480.20441284490283</v>
      </c>
      <c r="S34" s="59">
        <f ca="1">AVERAGE(OFFSET($R$3,0,0,'Données projet'!$E$9+1,1))-AVERAGE(OFFSET($H$3,0,0,'Données projet'!$E$9+1,1))</f>
        <v>247.57967230773539</v>
      </c>
      <c r="T34" s="59">
        <f t="shared" si="34"/>
        <v>156.58857589533295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13.839999999999998</v>
      </c>
      <c r="AI34" s="14">
        <f>IF('Données projet'!$A$62&gt;35,AI33+AH34-AQ33,IF(A34&lt;'Données projet'!$A$62,$AF$205^A34,IF(A34='Données projet'!$A$62,'Données projet'!$B$62,AI33+AH34-AQ33)))</f>
        <v>220.63999999999996</v>
      </c>
      <c r="AJ34" s="14">
        <f>AI34*VLOOKUP('Données projet'!$B$10,Paramètres!$A$1:$I$88,3,0)*VLOOKUP('Données projet'!$B$10,Paramètres!$A$1:$I$88,5,0)</f>
        <v>175.54118399999999</v>
      </c>
      <c r="AK34" s="14">
        <f t="shared" si="35"/>
        <v>44.32873823968815</v>
      </c>
      <c r="AL34" s="22">
        <f t="shared" si="4"/>
        <v>382.94011456745687</v>
      </c>
      <c r="AM34" s="59">
        <f t="shared" si="5"/>
        <v>676.27344790079019</v>
      </c>
      <c r="AN34" s="59">
        <f ca="1">AVERAGE(OFFSET($AM$3,0,0,'Données projet'!$E$10+1,1))-AVERAGE(OFFSET($H$3,0,0,'Données projet'!$E$10+1,1))</f>
        <v>504.15006129790828</v>
      </c>
      <c r="AO34" s="59">
        <f t="shared" si="36"/>
        <v>374.39334457402742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13.839999999999998</v>
      </c>
      <c r="BD34" s="13">
        <f>IF('Données projet'!$A$88&gt;35,BD33+BC34-BL33,IF(A34&lt;'Données projet'!$A$88,$BA$205^A34,IF(A34='Données projet'!$A$88,'Données projet'!$B$88,BD33+BC34-BL33)))</f>
        <v>220.63999999999996</v>
      </c>
      <c r="BE34" s="14">
        <f>BD34*VLOOKUP('Données projet'!$B$11,Paramètres!$A$1:$I$88,3,0)*VLOOKUP('Données projet'!$B$11,Paramètres!$A$1:$I$88,5,0)</f>
        <v>175.54118399999999</v>
      </c>
      <c r="BF34" s="14">
        <f t="shared" si="37"/>
        <v>44.32873823968815</v>
      </c>
      <c r="BG34" s="22">
        <f t="shared" si="7"/>
        <v>382.94011456745687</v>
      </c>
      <c r="BH34" s="59">
        <f t="shared" si="8"/>
        <v>676.27344790079019</v>
      </c>
      <c r="BI34" s="59">
        <f ca="1">AVERAGE(OFFSET($BH$3,0,0,'Données projet'!$E$11+1,1))-AVERAGE(OFFSET($H$3,0,0,'Données projet'!$E$11+1,1))</f>
        <v>504.15006129790828</v>
      </c>
      <c r="BJ34" s="59">
        <f t="shared" si="38"/>
        <v>374.39334457402742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13.839999999999998</v>
      </c>
      <c r="BY34" s="13">
        <f>IF('Données projet'!$A$114&gt;35,BY33+BX34-CG33,IF(A34&lt;'Données projet'!$A$114,$BV$205^A34,IF(A34='Données projet'!$A$114,'Données projet'!$B$114,BY33+BX34-CG33)))</f>
        <v>220.63999999999996</v>
      </c>
      <c r="BZ34" s="14">
        <f>BY34*VLOOKUP('Données projet'!$B$12,Paramètres!$A$1:$I$88,3,0)*VLOOKUP('Données projet'!$B$12,Paramètres!$A$1:$I$88,5,0)</f>
        <v>148.00531199999998</v>
      </c>
      <c r="CA34" s="14">
        <f t="shared" si="39"/>
        <v>38.124933040242396</v>
      </c>
      <c r="CB34" s="22">
        <f t="shared" si="10"/>
        <v>324.17684344508876</v>
      </c>
      <c r="CC34" s="59">
        <f t="shared" si="11"/>
        <v>617.51017677842208</v>
      </c>
      <c r="CD34" s="59">
        <f ca="1">AVERAGE(OFFSET($CC$3,0,0,'Données projet'!$E$12+1,1))-AVERAGE(OFFSET($H$3,0,0,'Données projet'!$E$12+1,1))</f>
        <v>387.15063677712425</v>
      </c>
      <c r="CE34" s="59">
        <f t="shared" si="40"/>
        <v>313.19155394370705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0</v>
      </c>
      <c r="CL34" s="23">
        <f>EXP(-LN(2)/25)*CL33+(1-EXP(-LN(2)/25))/(LN(2)/25)*Calculateur!CG34*Calculateur!CI34*VLOOKUP('Données projet'!$B$12,Paramètres!$A$1:$I$88,3,0)*0.475*44/12</f>
        <v>0</v>
      </c>
      <c r="CM34" s="23">
        <f>EXP(-LN(2)/2)*CM33+(1-EXP(-LN(2)/2))/(LN(2)/2)*CG34*CJ34*VLOOKUP('Données projet'!$B$12,Paramètres!$A$1:$I$88,3,0)*0.475*44/12</f>
        <v>0</v>
      </c>
      <c r="CN34" s="24">
        <f t="shared" si="12"/>
        <v>0</v>
      </c>
      <c r="CO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3</v>
      </c>
      <c r="CT34" s="13">
        <f>IF('Données projet'!$A$140&gt;35,CT33+CS34-DB33,IF(A34&lt;'Données projet'!$A$140,$CQ$205^A34,IF(A34='Données projet'!$A$140,'Données projet'!$B$140,CT33+CS34-DB33)))</f>
        <v>93</v>
      </c>
      <c r="CU34" s="18">
        <f>CT34*VLOOKUP('Données projet'!$B$13,Paramètres!$A$1:$I$88,3,0)*VLOOKUP('Données projet'!$B$13,Paramètres!$A$1:$I$88,5,0)</f>
        <v>89.949600000000004</v>
      </c>
      <c r="CV34" s="14">
        <f t="shared" si="41"/>
        <v>24.553069331291823</v>
      </c>
      <c r="CW34" s="22">
        <f t="shared" si="13"/>
        <v>199.42548241866658</v>
      </c>
      <c r="CX34" s="59">
        <f t="shared" si="14"/>
        <v>492.75881575199992</v>
      </c>
      <c r="CY34" s="59">
        <f ca="1">AVERAGE(OFFSET($CX$3,0,0,'Données projet'!$E$13+1,1))-AVERAGE(OFFSET($H$3,0,0,'Données projet'!$E$13+1,1))</f>
        <v>306.00894145276209</v>
      </c>
      <c r="CZ34" s="59">
        <f t="shared" si="42"/>
        <v>168.74705421228828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0</v>
      </c>
      <c r="DG34" s="23">
        <f>EXP(-LN(2)/25)*DG33+(1-EXP(-LN(2)/25))/(LN(2)/25)*Calculateur!DB34*Calculateur!DD34*VLOOKUP('Données projet'!$B$13,Paramètres!$A$1:$I$88,3,0)*0.475*44/12</f>
        <v>0</v>
      </c>
      <c r="DH34" s="23">
        <f>EXP(-LN(2)/2)*DH33+(1-EXP(-LN(2)/2))/(LN(2)/2)*DB34*DE34*VLOOKUP('Données projet'!$B$13,Paramètres!$A$1:$I$88,3,0)*0.475*44/12</f>
        <v>0</v>
      </c>
      <c r="DI34" s="24">
        <f t="shared" si="15"/>
        <v>0</v>
      </c>
      <c r="DJ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13.839999999999998</v>
      </c>
      <c r="DO34" s="13">
        <f>IF('Données projet'!$A$166&gt;35,DO33+DN34-DW33,IF(A34&lt;'Données projet'!$A$166,$DL$205^A34,IF(A34='Données projet'!$A$166,'Données projet'!$B$166,DO33+DN34-DW33)))</f>
        <v>220.63999999999996</v>
      </c>
      <c r="DP34" s="18">
        <f>DO34*VLOOKUP('Données projet'!$B$14,Paramètres!$A$1:$I$88,3,0)*VLOOKUP('Données projet'!$B$14,Paramètres!$A$1:$I$88,5,0)</f>
        <v>172.09919999999997</v>
      </c>
      <c r="DQ34" s="14">
        <f t="shared" si="43"/>
        <v>43.559838214506954</v>
      </c>
      <c r="DR34" s="22">
        <f t="shared" si="16"/>
        <v>375.60615822359955</v>
      </c>
      <c r="DS34" s="59">
        <f t="shared" si="17"/>
        <v>668.93949155693281</v>
      </c>
      <c r="DT34" s="59">
        <f ca="1">AVERAGE(OFFSET($DS$3,0,0,'Données projet'!$E$14+1,1))-AVERAGE(OFFSET($H$3,0,0,'Données projet'!$E$14+1,1))</f>
        <v>458.14328535055694</v>
      </c>
      <c r="DU34" s="59">
        <f t="shared" si="44"/>
        <v>366.75500153675739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projet'!$B$14,Paramètres!$A$1:$I$88,3,0)*0.475*44/12</f>
        <v>0</v>
      </c>
      <c r="EB34" s="23">
        <f>EXP(-LN(2)/25)*EB33+(1-EXP(-LN(2)/25))/(LN(2)/25)*Calculateur!DW34*Calculateur!DY34*VLOOKUP('Données projet'!$B$14,Paramètres!$A$1:$I$88,3,0)*0.475*44/12</f>
        <v>0</v>
      </c>
      <c r="EC34" s="23">
        <f>EXP(-LN(2)/2)*EC33+(1-EXP(-LN(2)/2))/(LN(2)/2)*DW34*DZ34*VLOOKUP('Données projet'!$B$14,Paramètres!$A$1:$I$88,3,0)*0.475*44/12</f>
        <v>0</v>
      </c>
      <c r="ED34" s="24">
        <f t="shared" si="18"/>
        <v>0</v>
      </c>
      <c r="EE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14.4</v>
      </c>
      <c r="EJ34" s="13">
        <f>IF('Données projet'!$A$192&gt;35,EJ33+EI34-ER33,IF(A34&lt;'Données projet'!$A$192,$EG$205^A34,IF(A34='Données projet'!$A$192,'Données projet'!$B$192,EJ33+EI34-ER33)))</f>
        <v>107.4</v>
      </c>
      <c r="EK34" s="18">
        <f>EJ34*VLOOKUP('Données projet'!$B$15,Paramètres!$A$1:$I$88,3,0)*VLOOKUP('Données projet'!$B$15,Paramètres!$A$1:$I$88,5,0)</f>
        <v>92.149200000000022</v>
      </c>
      <c r="EL34" s="14">
        <f t="shared" si="45"/>
        <v>25.082846212689983</v>
      </c>
      <c r="EM34" s="22">
        <f t="shared" si="19"/>
        <v>204.17914715376841</v>
      </c>
      <c r="EN34" s="59">
        <f t="shared" si="20"/>
        <v>497.5124804871017</v>
      </c>
      <c r="EO34" s="59">
        <f ca="1">AVERAGE(OFFSET($EN$3,0,0,'Données projet'!$E$15+1,1))-AVERAGE(OFFSET($H$3,0,0,'Données projet'!$E$15+1,1))</f>
        <v>462.99360395552145</v>
      </c>
      <c r="EP34" s="59">
        <f t="shared" si="46"/>
        <v>153.03880717786046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projet'!$B$15,Paramètres!$A$1:$I$88,3,0)*0.475*44/12</f>
        <v>0</v>
      </c>
      <c r="EW34" s="23">
        <f>EXP(-LN(2)/25)*EW33+(1-EXP(-LN(2)/25))/(LN(2)/25)*Calculateur!ER34*Calculateur!ET34*VLOOKUP('Données projet'!$B$15,Paramètres!$A$1:$I$88,3,0)*0.475*44/12</f>
        <v>0</v>
      </c>
      <c r="EX34" s="23">
        <f>EXP(-LN(2)/2)*EX33+(1-EXP(-LN(2)/2))/(LN(2)/2)*ER34*EU34*VLOOKUP('Données projet'!$B$15,Paramètres!$A$1:$I$88,3,0)*0.475*44/12</f>
        <v>0</v>
      </c>
      <c r="EY34" s="24">
        <f t="shared" si="21"/>
        <v>0</v>
      </c>
      <c r="EZ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10.739999999999998</v>
      </c>
      <c r="FE34" s="13">
        <f>IF('Données projet'!$A$218&gt;35,FE33+FD34-FM33,IF(A34&lt;'Données projet'!$A$218,$FB$205^A34,IF(A34='Données projet'!$A$218,'Données projet'!$B$218,FE33+FD34-FM33)))</f>
        <v>169.04000000000008</v>
      </c>
      <c r="FF34" s="18">
        <f>FE34*VLOOKUP('Données projet'!$B$16,Paramètres!$A$1:$I$88,3,0)*VLOOKUP('Données projet'!$B$16,Paramètres!$A$1:$I$88,5,0)</f>
        <v>147.67334400000007</v>
      </c>
      <c r="FG34" s="14">
        <f t="shared" si="47"/>
        <v>38.049364601057071</v>
      </c>
      <c r="FH34" s="22">
        <f t="shared" si="22"/>
        <v>323.46705081350785</v>
      </c>
      <c r="FI34" s="59">
        <f t="shared" si="23"/>
        <v>616.80038414684122</v>
      </c>
      <c r="FJ34" s="59">
        <f ca="1">AVERAGE(OFFSET($FI$3,0,0,'Données projet'!$E$16+1,1))-AVERAGE(OFFSET($H$3,0,0,'Données projet'!$E$16+1,1))</f>
        <v>427.76895185088944</v>
      </c>
      <c r="FK34" s="59">
        <f t="shared" si="48"/>
        <v>308.32543361559135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projet'!$B$16,Paramètres!$A$1:$I$88,3,0)*0.475*44/12</f>
        <v>0</v>
      </c>
      <c r="FR34" s="23">
        <f>EXP(-LN(2)/25)*FR33+(1-EXP(-LN(2)/25))/(LN(2)/25)*Calculateur!FM34*Calculateur!FO34*VLOOKUP('Données projet'!$B$16,Paramètres!$A$1:$I$88,3,0)*0.475*44/12</f>
        <v>0</v>
      </c>
      <c r="FS34" s="23">
        <f>EXP(-LN(2)/2)*FS33+(1-EXP(-LN(2)/2))/(LN(2)/2)*FM34*FP34*VLOOKUP('Données projet'!$B$16,Paramètres!$A$1:$I$88,3,0)*0.475*44/12</f>
        <v>0</v>
      </c>
      <c r="FT34" s="24">
        <f t="shared" si="24"/>
        <v>0</v>
      </c>
      <c r="FU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13.6</v>
      </c>
      <c r="FZ34" s="13">
        <f>IF('Données projet'!$A$244&gt;35,FZ33+FY34-GH33,IF(A34&lt;'Données projet'!$A$244,$FW$205^A34,IF(A34='Données projet'!$A$244,'Données projet'!$B$244,FZ33+FY34-GH33)))</f>
        <v>210.60000000000002</v>
      </c>
      <c r="GA34" s="18">
        <f>FZ34*VLOOKUP('Données projet'!$B$17,Paramètres!$A$1:$I$88,3,0)*VLOOKUP('Données projet'!$B$17,Paramètres!$A$1:$I$88,5,0)</f>
        <v>131.41440000000003</v>
      </c>
      <c r="GB34" s="14">
        <f t="shared" si="49"/>
        <v>34.32297952601067</v>
      </c>
      <c r="GC34" s="22">
        <f t="shared" si="25"/>
        <v>288.65926934113526</v>
      </c>
      <c r="GD34" s="59">
        <f t="shared" si="26"/>
        <v>581.99260267446857</v>
      </c>
      <c r="GE34" s="59">
        <f ca="1">AVERAGE(OFFSET($GD$3,0,0,'Données projet'!$E$17+1,1))-AVERAGE(OFFSET($H$3,0,0,'Données projet'!$E$17+1,1))</f>
        <v>247.85542034088905</v>
      </c>
      <c r="GF34" s="59">
        <f t="shared" si="50"/>
        <v>299.52241743660352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projet'!$B$17,Paramètres!$A$1:$I$88,3,0)*0.475*44/12</f>
        <v>0</v>
      </c>
      <c r="GM34" s="23">
        <f>EXP(-LN(2)/25)*GM33+(1-EXP(-LN(2)/25))/(LN(2)/25)*Calculateur!GH34*Calculateur!GJ34*VLOOKUP('Données projet'!$B$17,Paramètres!$A$1:$I$88,3,0)*0.475*44/12</f>
        <v>34.760659741627563</v>
      </c>
      <c r="GN34" s="23">
        <f>EXP(-LN(2)/2)*GN33+(1-EXP(-LN(2)/2))/(LN(2)/2)*GH34*GK34*VLOOKUP('Données projet'!$B$17,Paramètres!$A$1:$I$88,3,0)*0.475*44/12</f>
        <v>10.697411797679548</v>
      </c>
      <c r="GO34" s="23">
        <f t="shared" si="27"/>
        <v>45.458071539307113</v>
      </c>
      <c r="GP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3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6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</v>
      </c>
      <c r="N35" s="14">
        <f>IF('Données projet'!$A$36&gt;35,N34+M35-V34,IF(A35&lt;'Données projet'!$A$36,$K$205^A35,IF(A35='Données projet'!$A$36,'Données projet'!$B$36,N34+M35-V34)))</f>
        <v>96</v>
      </c>
      <c r="O35" s="14">
        <f>N35*VLOOKUP('Données projet'!$B$9,Paramètres!$A$1:$I$88,3,0)*VLOOKUP('Données projet'!$B$9,Paramètres!$A$1:$I$88,5,0)</f>
        <v>86.860799999999998</v>
      </c>
      <c r="P35" s="14">
        <f t="shared" si="33"/>
        <v>23.806568296036275</v>
      </c>
      <c r="Q35" s="22">
        <f t="shared" ref="Q35:Q66" si="53">(O35+P35)*0.475*44/12</f>
        <v>192.74566644892982</v>
      </c>
      <c r="R35" s="59">
        <f t="shared" si="0"/>
        <v>486.07899978226317</v>
      </c>
      <c r="S35" s="59">
        <f ca="1">AVERAGE(OFFSET($R$3,0,0,'Données projet'!$E$9+1,1))-AVERAGE(OFFSET($H$3,0,0,'Données projet'!$E$9+1,1))</f>
        <v>247.57967230773539</v>
      </c>
      <c r="T35" s="59">
        <f t="shared" si="34"/>
        <v>156.58857589533295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13.839999999999998</v>
      </c>
      <c r="AI35" s="14">
        <f>IF('Données projet'!$A$62&gt;35,AI34+AH35-AQ34,IF(A35&lt;'Données projet'!$A$62,$AF$205^A35,IF(A35='Données projet'!$A$62,'Données projet'!$B$62,AI34+AH35-AQ34)))</f>
        <v>234.47999999999996</v>
      </c>
      <c r="AJ35" s="14">
        <f>AI35*VLOOKUP('Données projet'!$B$10,Paramètres!$A$1:$I$88,3,0)*VLOOKUP('Données projet'!$B$10,Paramètres!$A$1:$I$88,5,0)</f>
        <v>186.55228799999998</v>
      </c>
      <c r="AK35" s="14">
        <f t="shared" si="35"/>
        <v>46.776902197561313</v>
      </c>
      <c r="AL35" s="22">
        <f t="shared" si="4"/>
        <v>406.38167292741917</v>
      </c>
      <c r="AM35" s="59">
        <f t="shared" si="5"/>
        <v>699.71500626075249</v>
      </c>
      <c r="AN35" s="59">
        <f ca="1">AVERAGE(OFFSET($AM$3,0,0,'Données projet'!$E$10+1,1))-AVERAGE(OFFSET($H$3,0,0,'Données projet'!$E$10+1,1))</f>
        <v>504.15006129790828</v>
      </c>
      <c r="AO35" s="59">
        <f t="shared" si="36"/>
        <v>374.39334457402742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13.839999999999998</v>
      </c>
      <c r="BD35" s="13">
        <f>IF('Données projet'!$A$88&gt;35,BD34+BC35-BL34,IF(A35&lt;'Données projet'!$A$88,$BA$205^A35,IF(A35='Données projet'!$A$88,'Données projet'!$B$88,BD34+BC35-BL34)))</f>
        <v>234.47999999999996</v>
      </c>
      <c r="BE35" s="14">
        <f>BD35*VLOOKUP('Données projet'!$B$11,Paramètres!$A$1:$I$88,3,0)*VLOOKUP('Données projet'!$B$11,Paramètres!$A$1:$I$88,5,0)</f>
        <v>186.55228799999998</v>
      </c>
      <c r="BF35" s="14">
        <f t="shared" si="37"/>
        <v>46.776902197561313</v>
      </c>
      <c r="BG35" s="22">
        <f t="shared" si="7"/>
        <v>406.38167292741917</v>
      </c>
      <c r="BH35" s="59">
        <f t="shared" si="8"/>
        <v>699.71500626075249</v>
      </c>
      <c r="BI35" s="59">
        <f ca="1">AVERAGE(OFFSET($BH$3,0,0,'Données projet'!$E$11+1,1))-AVERAGE(OFFSET($H$3,0,0,'Données projet'!$E$11+1,1))</f>
        <v>504.15006129790828</v>
      </c>
      <c r="BJ35" s="59">
        <f t="shared" si="38"/>
        <v>374.39334457402742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13.839999999999998</v>
      </c>
      <c r="BY35" s="13">
        <f>IF('Données projet'!$A$114&gt;35,BY34+BX35-CG34,IF(A35&lt;'Données projet'!$A$114,$BV$205^A35,IF(A35='Données projet'!$A$114,'Données projet'!$B$114,BY34+BX35-CG34)))</f>
        <v>234.47999999999996</v>
      </c>
      <c r="BZ35" s="14">
        <f>BY35*VLOOKUP('Données projet'!$B$12,Paramètres!$A$1:$I$88,3,0)*VLOOKUP('Données projet'!$B$12,Paramètres!$A$1:$I$88,5,0)</f>
        <v>157.28918399999998</v>
      </c>
      <c r="CA35" s="14">
        <f t="shared" si="39"/>
        <v>40.230476547047743</v>
      </c>
      <c r="CB35" s="22">
        <f t="shared" si="10"/>
        <v>344.01340878610813</v>
      </c>
      <c r="CC35" s="59">
        <f t="shared" si="11"/>
        <v>637.34674211944139</v>
      </c>
      <c r="CD35" s="59">
        <f ca="1">AVERAGE(OFFSET($CC$3,0,0,'Données projet'!$E$12+1,1))-AVERAGE(OFFSET($H$3,0,0,'Données projet'!$E$12+1,1))</f>
        <v>387.15063677712425</v>
      </c>
      <c r="CE35" s="59">
        <f t="shared" si="40"/>
        <v>313.19155394370705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0</v>
      </c>
      <c r="CL35" s="23">
        <f>EXP(-LN(2)/25)*CL34+(1-EXP(-LN(2)/25))/(LN(2)/25)*Calculateur!CG35*Calculateur!CI35*VLOOKUP('Données projet'!$B$12,Paramètres!$A$1:$I$88,3,0)*0.475*44/12</f>
        <v>0</v>
      </c>
      <c r="CM35" s="23">
        <f>EXP(-LN(2)/2)*CM34+(1-EXP(-LN(2)/2))/(LN(2)/2)*CG35*CJ35*VLOOKUP('Données projet'!$B$12,Paramètres!$A$1:$I$88,3,0)*0.475*44/12</f>
        <v>0</v>
      </c>
      <c r="CN35" s="24">
        <f t="shared" si="12"/>
        <v>0</v>
      </c>
      <c r="CO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3</v>
      </c>
      <c r="CT35" s="13">
        <f>IF('Données projet'!$A$140&gt;35,CT34+CS35-DB34,IF(A35&lt;'Données projet'!$A$140,$CQ$205^A35,IF(A35='Données projet'!$A$140,'Données projet'!$B$140,CT34+CS35-DB34)))</f>
        <v>96</v>
      </c>
      <c r="CU35" s="18">
        <f>CT35*VLOOKUP('Données projet'!$B$13,Paramètres!$A$1:$I$88,3,0)*VLOOKUP('Données projet'!$B$13,Paramètres!$A$1:$I$88,5,0)</f>
        <v>92.851199999999992</v>
      </c>
      <c r="CV35" s="14">
        <f t="shared" si="41"/>
        <v>25.251612622871896</v>
      </c>
      <c r="CW35" s="22">
        <f t="shared" si="13"/>
        <v>205.69573198483519</v>
      </c>
      <c r="CX35" s="59">
        <f t="shared" si="14"/>
        <v>499.02906531816848</v>
      </c>
      <c r="CY35" s="59">
        <f ca="1">AVERAGE(OFFSET($CX$3,0,0,'Données projet'!$E$13+1,1))-AVERAGE(OFFSET($H$3,0,0,'Données projet'!$E$13+1,1))</f>
        <v>306.00894145276209</v>
      </c>
      <c r="CZ35" s="59">
        <f t="shared" si="42"/>
        <v>168.74705421228828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0</v>
      </c>
      <c r="DG35" s="23">
        <f>EXP(-LN(2)/25)*DG34+(1-EXP(-LN(2)/25))/(LN(2)/25)*Calculateur!DB35*Calculateur!DD35*VLOOKUP('Données projet'!$B$13,Paramètres!$A$1:$I$88,3,0)*0.475*44/12</f>
        <v>0</v>
      </c>
      <c r="DH35" s="23">
        <f>EXP(-LN(2)/2)*DH34+(1-EXP(-LN(2)/2))/(LN(2)/2)*DB35*DE35*VLOOKUP('Données projet'!$B$13,Paramètres!$A$1:$I$88,3,0)*0.475*44/12</f>
        <v>0</v>
      </c>
      <c r="DI35" s="24">
        <f t="shared" si="15"/>
        <v>0</v>
      </c>
      <c r="DJ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13.839999999999998</v>
      </c>
      <c r="DO35" s="13">
        <f>IF('Données projet'!$A$166&gt;35,DO34+DN35-DW34,IF(A35&lt;'Données projet'!$A$166,$DL$205^A35,IF(A35='Données projet'!$A$166,'Données projet'!$B$166,DO34+DN35-DW34)))</f>
        <v>234.47999999999996</v>
      </c>
      <c r="DP35" s="18">
        <f>DO35*VLOOKUP('Données projet'!$B$14,Paramètres!$A$1:$I$88,3,0)*VLOOKUP('Données projet'!$B$14,Paramètres!$A$1:$I$88,5,0)</f>
        <v>182.89439999999996</v>
      </c>
      <c r="DQ35" s="14">
        <f t="shared" si="43"/>
        <v>45.965537771099889</v>
      </c>
      <c r="DR35" s="22">
        <f t="shared" si="16"/>
        <v>398.59772495133228</v>
      </c>
      <c r="DS35" s="59">
        <f t="shared" si="17"/>
        <v>691.9310582846656</v>
      </c>
      <c r="DT35" s="59">
        <f ca="1">AVERAGE(OFFSET($DS$3,0,0,'Données projet'!$E$14+1,1))-AVERAGE(OFFSET($H$3,0,0,'Données projet'!$E$14+1,1))</f>
        <v>458.14328535055694</v>
      </c>
      <c r="DU35" s="59">
        <f t="shared" si="44"/>
        <v>366.75500153675739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projet'!$B$14,Paramètres!$A$1:$I$88,3,0)*0.475*44/12</f>
        <v>0</v>
      </c>
      <c r="EB35" s="23">
        <f>EXP(-LN(2)/25)*EB34+(1-EXP(-LN(2)/25))/(LN(2)/25)*Calculateur!DW35*Calculateur!DY35*VLOOKUP('Données projet'!$B$14,Paramètres!$A$1:$I$88,3,0)*0.475*44/12</f>
        <v>0</v>
      </c>
      <c r="EC35" s="23">
        <f>EXP(-LN(2)/2)*EC34+(1-EXP(-LN(2)/2))/(LN(2)/2)*DW35*DZ35*VLOOKUP('Données projet'!$B$14,Paramètres!$A$1:$I$88,3,0)*0.475*44/12</f>
        <v>0</v>
      </c>
      <c r="ED35" s="24">
        <f t="shared" si="18"/>
        <v>0</v>
      </c>
      <c r="EE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14.4</v>
      </c>
      <c r="EJ35" s="13">
        <f>IF('Données projet'!$A$192&gt;35,EJ34+EI35-ER34,IF(A35&lt;'Données projet'!$A$192,$EG$205^A35,IF(A35='Données projet'!$A$192,'Données projet'!$B$192,EJ34+EI35-ER34)))</f>
        <v>121.80000000000001</v>
      </c>
      <c r="EK35" s="18">
        <f>EJ35*VLOOKUP('Données projet'!$B$15,Paramètres!$A$1:$I$88,3,0)*VLOOKUP('Données projet'!$B$15,Paramètres!$A$1:$I$88,5,0)</f>
        <v>104.50440000000002</v>
      </c>
      <c r="EL35" s="14">
        <f t="shared" si="45"/>
        <v>28.032341571066443</v>
      </c>
      <c r="EM35" s="22">
        <f t="shared" si="19"/>
        <v>230.83482490294077</v>
      </c>
      <c r="EN35" s="59">
        <f t="shared" si="20"/>
        <v>524.16815823627405</v>
      </c>
      <c r="EO35" s="59">
        <f ca="1">AVERAGE(OFFSET($EN$3,0,0,'Données projet'!$E$15+1,1))-AVERAGE(OFFSET($H$3,0,0,'Données projet'!$E$15+1,1))</f>
        <v>462.99360395552145</v>
      </c>
      <c r="EP35" s="59">
        <f t="shared" si="46"/>
        <v>153.03880717786046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projet'!$B$15,Paramètres!$A$1:$I$88,3,0)*0.475*44/12</f>
        <v>0</v>
      </c>
      <c r="EW35" s="23">
        <f>EXP(-LN(2)/25)*EW34+(1-EXP(-LN(2)/25))/(LN(2)/25)*Calculateur!ER35*Calculateur!ET35*VLOOKUP('Données projet'!$B$15,Paramètres!$A$1:$I$88,3,0)*0.475*44/12</f>
        <v>0</v>
      </c>
      <c r="EX35" s="23">
        <f>EXP(-LN(2)/2)*EX34+(1-EXP(-LN(2)/2))/(LN(2)/2)*ER35*EU35*VLOOKUP('Données projet'!$B$15,Paramètres!$A$1:$I$88,3,0)*0.475*44/12</f>
        <v>0</v>
      </c>
      <c r="EY35" s="24">
        <f t="shared" si="21"/>
        <v>0</v>
      </c>
      <c r="EZ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10.739999999999998</v>
      </c>
      <c r="FE35" s="13">
        <f>IF('Données projet'!$A$218&gt;35,FE34+FD35-FM34,IF(A35&lt;'Données projet'!$A$218,$FB$205^A35,IF(A35='Données projet'!$A$218,'Données projet'!$B$218,FE34+FD35-FM34)))</f>
        <v>179.78000000000009</v>
      </c>
      <c r="FF35" s="18">
        <f>FE35*VLOOKUP('Données projet'!$B$16,Paramètres!$A$1:$I$88,3,0)*VLOOKUP('Données projet'!$B$16,Paramètres!$A$1:$I$88,5,0)</f>
        <v>157.0558080000001</v>
      </c>
      <c r="FG35" s="14">
        <f t="shared" si="47"/>
        <v>40.177728578482096</v>
      </c>
      <c r="FH35" s="22">
        <f t="shared" si="22"/>
        <v>343.51507620752312</v>
      </c>
      <c r="FI35" s="59">
        <f t="shared" si="23"/>
        <v>636.84840954085644</v>
      </c>
      <c r="FJ35" s="59">
        <f ca="1">AVERAGE(OFFSET($FI$3,0,0,'Données projet'!$E$16+1,1))-AVERAGE(OFFSET($H$3,0,0,'Données projet'!$E$16+1,1))</f>
        <v>427.76895185088944</v>
      </c>
      <c r="FK35" s="59">
        <f t="shared" si="48"/>
        <v>308.32543361559135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projet'!$B$16,Paramètres!$A$1:$I$88,3,0)*0.475*44/12</f>
        <v>0</v>
      </c>
      <c r="FR35" s="23">
        <f>EXP(-LN(2)/25)*FR34+(1-EXP(-LN(2)/25))/(LN(2)/25)*Calculateur!FM35*Calculateur!FO35*VLOOKUP('Données projet'!$B$16,Paramètres!$A$1:$I$88,3,0)*0.475*44/12</f>
        <v>0</v>
      </c>
      <c r="FS35" s="23">
        <f>EXP(-LN(2)/2)*FS34+(1-EXP(-LN(2)/2))/(LN(2)/2)*FM35*FP35*VLOOKUP('Données projet'!$B$16,Paramètres!$A$1:$I$88,3,0)*0.475*44/12</f>
        <v>0</v>
      </c>
      <c r="FT35" s="24">
        <f t="shared" si="24"/>
        <v>0</v>
      </c>
      <c r="FU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13.6</v>
      </c>
      <c r="FZ35" s="13">
        <f>IF('Données projet'!$A$244&gt;35,FZ34+FY35-GH34,IF(A35&lt;'Données projet'!$A$244,$FW$205^A35,IF(A35='Données projet'!$A$244,'Données projet'!$B$244,FZ34+FY35-GH34)))</f>
        <v>224.20000000000002</v>
      </c>
      <c r="GA35" s="18">
        <f>FZ35*VLOOKUP('Données projet'!$B$17,Paramètres!$A$1:$I$88,3,0)*VLOOKUP('Données projet'!$B$17,Paramètres!$A$1:$I$88,5,0)</f>
        <v>139.9008</v>
      </c>
      <c r="GB35" s="14">
        <f t="shared" si="49"/>
        <v>36.27427923060646</v>
      </c>
      <c r="GC35" s="22">
        <f t="shared" si="25"/>
        <v>306.83826299330622</v>
      </c>
      <c r="GD35" s="59">
        <f t="shared" si="26"/>
        <v>600.17159632663947</v>
      </c>
      <c r="GE35" s="59">
        <f ca="1">AVERAGE(OFFSET($GD$3,0,0,'Données projet'!$E$17+1,1))-AVERAGE(OFFSET($H$3,0,0,'Données projet'!$E$17+1,1))</f>
        <v>247.85542034088905</v>
      </c>
      <c r="GF35" s="59">
        <f t="shared" si="50"/>
        <v>299.52241743660352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projet'!$B$17,Paramètres!$A$1:$I$88,3,0)*0.475*44/12</f>
        <v>0</v>
      </c>
      <c r="GM35" s="23">
        <f>EXP(-LN(2)/25)*GM34+(1-EXP(-LN(2)/25))/(LN(2)/25)*Calculateur!GH35*Calculateur!GJ35*VLOOKUP('Données projet'!$B$17,Paramètres!$A$1:$I$88,3,0)*0.475*44/12</f>
        <v>33.810127673009106</v>
      </c>
      <c r="GN35" s="23">
        <f>EXP(-LN(2)/2)*GN34+(1-EXP(-LN(2)/2))/(LN(2)/2)*GH35*GK35*VLOOKUP('Données projet'!$B$17,Paramètres!$A$1:$I$88,3,0)*0.475*44/12</f>
        <v>7.564212423284185</v>
      </c>
      <c r="GO35" s="23">
        <f t="shared" si="27"/>
        <v>41.374340096293288</v>
      </c>
      <c r="GP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3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6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</v>
      </c>
      <c r="N36" s="14">
        <f>IF('Données projet'!$A$36&gt;35,N35+M36-V35,IF(A36&lt;'Données projet'!$A$36,$K$205^A36,IF(A36='Données projet'!$A$36,'Données projet'!$B$36,N35+M36-V35)))</f>
        <v>99</v>
      </c>
      <c r="O36" s="14">
        <f>N36*VLOOKUP('Données projet'!$B$9,Paramètres!$A$1:$I$88,3,0)*VLOOKUP('Données projet'!$B$9,Paramètres!$A$1:$I$88,5,0)</f>
        <v>89.575199999999995</v>
      </c>
      <c r="P36" s="14">
        <f t="shared" si="33"/>
        <v>24.462745269668691</v>
      </c>
      <c r="Q36" s="22">
        <f t="shared" si="53"/>
        <v>198.6160880113396</v>
      </c>
      <c r="R36" s="59">
        <f t="shared" si="0"/>
        <v>491.94942134467294</v>
      </c>
      <c r="S36" s="59">
        <f ca="1">AVERAGE(OFFSET($R$3,0,0,'Données projet'!$E$9+1,1))-AVERAGE(OFFSET($H$3,0,0,'Données projet'!$E$9+1,1))</f>
        <v>247.57967230773539</v>
      </c>
      <c r="T36" s="59">
        <f t="shared" si="34"/>
        <v>156.58857589533295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13.839999999999998</v>
      </c>
      <c r="AI36" s="14">
        <f>IF('Données projet'!$A$62&gt;35,AI35+AH36-AQ35,IF(A36&lt;'Données projet'!$A$62,$AF$205^A36,IF(A36='Données projet'!$A$62,'Données projet'!$B$62,AI35+AH36-AQ35)))</f>
        <v>248.31999999999996</v>
      </c>
      <c r="AJ36" s="14">
        <f>AI36*VLOOKUP('Données projet'!$B$10,Paramètres!$A$1:$I$88,3,0)*VLOOKUP('Données projet'!$B$10,Paramètres!$A$1:$I$88,5,0)</f>
        <v>197.56339199999996</v>
      </c>
      <c r="AK36" s="14">
        <f t="shared" si="35"/>
        <v>49.208293610512094</v>
      </c>
      <c r="AL36" s="22">
        <f t="shared" si="4"/>
        <v>429.79401910497518</v>
      </c>
      <c r="AM36" s="59">
        <f t="shared" si="5"/>
        <v>723.12735243830844</v>
      </c>
      <c r="AN36" s="59">
        <f ca="1">AVERAGE(OFFSET($AM$3,0,0,'Données projet'!$E$10+1,1))-AVERAGE(OFFSET($H$3,0,0,'Données projet'!$E$10+1,1))</f>
        <v>504.15006129790828</v>
      </c>
      <c r="AO36" s="59">
        <f t="shared" si="36"/>
        <v>374.39334457402742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13.839999999999998</v>
      </c>
      <c r="BD36" s="13">
        <f>IF('Données projet'!$A$88&gt;35,BD35+BC36-BL35,IF(A36&lt;'Données projet'!$A$88,$BA$205^A36,IF(A36='Données projet'!$A$88,'Données projet'!$B$88,BD35+BC36-BL35)))</f>
        <v>248.31999999999996</v>
      </c>
      <c r="BE36" s="14">
        <f>BD36*VLOOKUP('Données projet'!$B$11,Paramètres!$A$1:$I$88,3,0)*VLOOKUP('Données projet'!$B$11,Paramètres!$A$1:$I$88,5,0)</f>
        <v>197.56339199999996</v>
      </c>
      <c r="BF36" s="14">
        <f t="shared" si="37"/>
        <v>49.208293610512094</v>
      </c>
      <c r="BG36" s="22">
        <f t="shared" si="7"/>
        <v>429.79401910497518</v>
      </c>
      <c r="BH36" s="59">
        <f t="shared" si="8"/>
        <v>723.12735243830844</v>
      </c>
      <c r="BI36" s="59">
        <f ca="1">AVERAGE(OFFSET($BH$3,0,0,'Données projet'!$E$11+1,1))-AVERAGE(OFFSET($H$3,0,0,'Données projet'!$E$11+1,1))</f>
        <v>504.15006129790828</v>
      </c>
      <c r="BJ36" s="59">
        <f t="shared" si="38"/>
        <v>374.39334457402742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13.839999999999998</v>
      </c>
      <c r="BY36" s="13">
        <f>IF('Données projet'!$A$114&gt;35,BY35+BX36-CG35,IF(A36&lt;'Données projet'!$A$114,$BV$205^A36,IF(A36='Données projet'!$A$114,'Données projet'!$B$114,BY35+BX36-CG35)))</f>
        <v>248.31999999999996</v>
      </c>
      <c r="BZ36" s="14">
        <f>BY36*VLOOKUP('Données projet'!$B$12,Paramètres!$A$1:$I$88,3,0)*VLOOKUP('Données projet'!$B$12,Paramètres!$A$1:$I$88,5,0)</f>
        <v>166.57305599999998</v>
      </c>
      <c r="CA36" s="14">
        <f t="shared" si="39"/>
        <v>42.32159482594286</v>
      </c>
      <c r="CB36" s="22">
        <f t="shared" si="10"/>
        <v>363.82485018851708</v>
      </c>
      <c r="CC36" s="59">
        <f t="shared" si="11"/>
        <v>657.15818352185033</v>
      </c>
      <c r="CD36" s="59">
        <f ca="1">AVERAGE(OFFSET($CC$3,0,0,'Données projet'!$E$12+1,1))-AVERAGE(OFFSET($H$3,0,0,'Données projet'!$E$12+1,1))</f>
        <v>387.15063677712425</v>
      </c>
      <c r="CE36" s="59">
        <f t="shared" si="40"/>
        <v>313.19155394370705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0</v>
      </c>
      <c r="CL36" s="23">
        <f>EXP(-LN(2)/25)*CL35+(1-EXP(-LN(2)/25))/(LN(2)/25)*Calculateur!CG36*Calculateur!CI36*VLOOKUP('Données projet'!$B$12,Paramètres!$A$1:$I$88,3,0)*0.475*44/12</f>
        <v>0</v>
      </c>
      <c r="CM36" s="23">
        <f>EXP(-LN(2)/2)*CM35+(1-EXP(-LN(2)/2))/(LN(2)/2)*CG36*CJ36*VLOOKUP('Données projet'!$B$12,Paramètres!$A$1:$I$88,3,0)*0.475*44/12</f>
        <v>0</v>
      </c>
      <c r="CN36" s="24">
        <f t="shared" si="12"/>
        <v>0</v>
      </c>
      <c r="CO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3</v>
      </c>
      <c r="CT36" s="13">
        <f>IF('Données projet'!$A$140&gt;35,CT35+CS36-DB35,IF(A36&lt;'Données projet'!$A$140,$CQ$205^A36,IF(A36='Données projet'!$A$140,'Données projet'!$B$140,CT35+CS36-DB35)))</f>
        <v>99</v>
      </c>
      <c r="CU36" s="18">
        <f>CT36*VLOOKUP('Données projet'!$B$13,Paramètres!$A$1:$I$88,3,0)*VLOOKUP('Données projet'!$B$13,Paramètres!$A$1:$I$88,5,0)</f>
        <v>95.752800000000008</v>
      </c>
      <c r="CV36" s="14">
        <f t="shared" si="41"/>
        <v>25.94761914276048</v>
      </c>
      <c r="CW36" s="22">
        <f t="shared" si="13"/>
        <v>211.96156334030786</v>
      </c>
      <c r="CX36" s="59">
        <f t="shared" si="14"/>
        <v>505.29489667364118</v>
      </c>
      <c r="CY36" s="59">
        <f ca="1">AVERAGE(OFFSET($CX$3,0,0,'Données projet'!$E$13+1,1))-AVERAGE(OFFSET($H$3,0,0,'Données projet'!$E$13+1,1))</f>
        <v>306.00894145276209</v>
      </c>
      <c r="CZ36" s="59">
        <f t="shared" si="42"/>
        <v>168.74705421228828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0</v>
      </c>
      <c r="DG36" s="23">
        <f>EXP(-LN(2)/25)*DG35+(1-EXP(-LN(2)/25))/(LN(2)/25)*Calculateur!DB36*Calculateur!DD36*VLOOKUP('Données projet'!$B$13,Paramètres!$A$1:$I$88,3,0)*0.475*44/12</f>
        <v>0</v>
      </c>
      <c r="DH36" s="23">
        <f>EXP(-LN(2)/2)*DH35+(1-EXP(-LN(2)/2))/(LN(2)/2)*DB36*DE36*VLOOKUP('Données projet'!$B$13,Paramètres!$A$1:$I$88,3,0)*0.475*44/12</f>
        <v>0</v>
      </c>
      <c r="DI36" s="24">
        <f t="shared" si="15"/>
        <v>0</v>
      </c>
      <c r="DJ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13.839999999999998</v>
      </c>
      <c r="DO36" s="13">
        <f>IF('Données projet'!$A$166&gt;35,DO35+DN36-DW35,IF(A36&lt;'Données projet'!$A$166,$DL$205^A36,IF(A36='Données projet'!$A$166,'Données projet'!$B$166,DO35+DN36-DW35)))</f>
        <v>248.31999999999996</v>
      </c>
      <c r="DP36" s="18">
        <f>DO36*VLOOKUP('Données projet'!$B$14,Paramètres!$A$1:$I$88,3,0)*VLOOKUP('Données projet'!$B$14,Paramètres!$A$1:$I$88,5,0)</f>
        <v>193.68959999999998</v>
      </c>
      <c r="DQ36" s="14">
        <f t="shared" si="43"/>
        <v>48.35475570939559</v>
      </c>
      <c r="DR36" s="22">
        <f t="shared" si="16"/>
        <v>421.56058619386391</v>
      </c>
      <c r="DS36" s="59">
        <f t="shared" si="17"/>
        <v>714.89391952719723</v>
      </c>
      <c r="DT36" s="59">
        <f ca="1">AVERAGE(OFFSET($DS$3,0,0,'Données projet'!$E$14+1,1))-AVERAGE(OFFSET($H$3,0,0,'Données projet'!$E$14+1,1))</f>
        <v>458.14328535055694</v>
      </c>
      <c r="DU36" s="59">
        <f t="shared" si="44"/>
        <v>366.75500153675739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projet'!$B$14,Paramètres!$A$1:$I$88,3,0)*0.475*44/12</f>
        <v>0</v>
      </c>
      <c r="EB36" s="23">
        <f>EXP(-LN(2)/25)*EB35+(1-EXP(-LN(2)/25))/(LN(2)/25)*Calculateur!DW36*Calculateur!DY36*VLOOKUP('Données projet'!$B$14,Paramètres!$A$1:$I$88,3,0)*0.475*44/12</f>
        <v>0</v>
      </c>
      <c r="EC36" s="23">
        <f>EXP(-LN(2)/2)*EC35+(1-EXP(-LN(2)/2))/(LN(2)/2)*DW36*DZ36*VLOOKUP('Données projet'!$B$14,Paramètres!$A$1:$I$88,3,0)*0.475*44/12</f>
        <v>0</v>
      </c>
      <c r="ED36" s="24">
        <f t="shared" si="18"/>
        <v>0</v>
      </c>
      <c r="EE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14.4</v>
      </c>
      <c r="EJ36" s="13">
        <f>IF('Données projet'!$A$192&gt;35,EJ35+EI36-ER35,IF(A36&lt;'Données projet'!$A$192,$EG$205^A36,IF(A36='Données projet'!$A$192,'Données projet'!$B$192,EJ35+EI36-ER35)))</f>
        <v>136.20000000000002</v>
      </c>
      <c r="EK36" s="18">
        <f>EJ36*VLOOKUP('Données projet'!$B$15,Paramètres!$A$1:$I$88,3,0)*VLOOKUP('Données projet'!$B$15,Paramètres!$A$1:$I$88,5,0)</f>
        <v>116.85960000000001</v>
      </c>
      <c r="EL36" s="14">
        <f t="shared" si="45"/>
        <v>30.941425962812342</v>
      </c>
      <c r="EM36" s="22">
        <f t="shared" si="19"/>
        <v>257.42012021856482</v>
      </c>
      <c r="EN36" s="59">
        <f t="shared" si="20"/>
        <v>550.75345355189813</v>
      </c>
      <c r="EO36" s="59">
        <f ca="1">AVERAGE(OFFSET($EN$3,0,0,'Données projet'!$E$15+1,1))-AVERAGE(OFFSET($H$3,0,0,'Données projet'!$E$15+1,1))</f>
        <v>462.99360395552145</v>
      </c>
      <c r="EP36" s="59">
        <f t="shared" si="46"/>
        <v>153.03880717786046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projet'!$B$15,Paramètres!$A$1:$I$88,3,0)*0.475*44/12</f>
        <v>0</v>
      </c>
      <c r="EW36" s="23">
        <f>EXP(-LN(2)/25)*EW35+(1-EXP(-LN(2)/25))/(LN(2)/25)*Calculateur!ER36*Calculateur!ET36*VLOOKUP('Données projet'!$B$15,Paramètres!$A$1:$I$88,3,0)*0.475*44/12</f>
        <v>0</v>
      </c>
      <c r="EX36" s="23">
        <f>EXP(-LN(2)/2)*EX35+(1-EXP(-LN(2)/2))/(LN(2)/2)*ER36*EU36*VLOOKUP('Données projet'!$B$15,Paramètres!$A$1:$I$88,3,0)*0.475*44/12</f>
        <v>0</v>
      </c>
      <c r="EY36" s="24">
        <f t="shared" si="21"/>
        <v>0</v>
      </c>
      <c r="EZ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10.739999999999998</v>
      </c>
      <c r="FE36" s="13">
        <f>IF('Données projet'!$A$218&gt;35,FE35+FD36-FM35,IF(A36&lt;'Données projet'!$A$218,$FB$205^A36,IF(A36='Données projet'!$A$218,'Données projet'!$B$218,FE35+FD36-FM35)))</f>
        <v>190.5200000000001</v>
      </c>
      <c r="FF36" s="18">
        <f>FE36*VLOOKUP('Données projet'!$B$16,Paramètres!$A$1:$I$88,3,0)*VLOOKUP('Données projet'!$B$16,Paramètres!$A$1:$I$88,5,0)</f>
        <v>166.4382720000001</v>
      </c>
      <c r="FG36" s="14">
        <f t="shared" si="47"/>
        <v>42.291334627098401</v>
      </c>
      <c r="FH36" s="22">
        <f t="shared" si="22"/>
        <v>363.53739820886318</v>
      </c>
      <c r="FI36" s="59">
        <f t="shared" si="23"/>
        <v>656.87073154219649</v>
      </c>
      <c r="FJ36" s="59">
        <f ca="1">AVERAGE(OFFSET($FI$3,0,0,'Données projet'!$E$16+1,1))-AVERAGE(OFFSET($H$3,0,0,'Données projet'!$E$16+1,1))</f>
        <v>427.76895185088944</v>
      </c>
      <c r="FK36" s="59">
        <f t="shared" si="48"/>
        <v>308.32543361559135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projet'!$B$16,Paramètres!$A$1:$I$88,3,0)*0.475*44/12</f>
        <v>0</v>
      </c>
      <c r="FR36" s="23">
        <f>EXP(-LN(2)/25)*FR35+(1-EXP(-LN(2)/25))/(LN(2)/25)*Calculateur!FM36*Calculateur!FO36*VLOOKUP('Données projet'!$B$16,Paramètres!$A$1:$I$88,3,0)*0.475*44/12</f>
        <v>0</v>
      </c>
      <c r="FS36" s="23">
        <f>EXP(-LN(2)/2)*FS35+(1-EXP(-LN(2)/2))/(LN(2)/2)*FM36*FP36*VLOOKUP('Données projet'!$B$16,Paramètres!$A$1:$I$88,3,0)*0.475*44/12</f>
        <v>0</v>
      </c>
      <c r="FT36" s="24">
        <f t="shared" si="24"/>
        <v>0</v>
      </c>
      <c r="FU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13.6</v>
      </c>
      <c r="FZ36" s="13">
        <f>IF('Données projet'!$A$244&gt;35,FZ35+FY36-GH35,IF(A36&lt;'Données projet'!$A$244,$FW$205^A36,IF(A36='Données projet'!$A$244,'Données projet'!$B$244,FZ35+FY36-GH35)))</f>
        <v>237.8</v>
      </c>
      <c r="GA36" s="18">
        <f>FZ36*VLOOKUP('Données projet'!$B$17,Paramètres!$A$1:$I$88,3,0)*VLOOKUP('Données projet'!$B$17,Paramètres!$A$1:$I$88,5,0)</f>
        <v>148.38720000000001</v>
      </c>
      <c r="GB36" s="14">
        <f t="shared" si="49"/>
        <v>38.211840758090553</v>
      </c>
      <c r="GC36" s="22">
        <f t="shared" si="25"/>
        <v>324.99332932034099</v>
      </c>
      <c r="GD36" s="59">
        <f t="shared" si="26"/>
        <v>618.32666265367425</v>
      </c>
      <c r="GE36" s="59">
        <f ca="1">AVERAGE(OFFSET($GD$3,0,0,'Données projet'!$E$17+1,1))-AVERAGE(OFFSET($H$3,0,0,'Données projet'!$E$17+1,1))</f>
        <v>247.85542034088905</v>
      </c>
      <c r="GF36" s="59">
        <f t="shared" si="50"/>
        <v>299.52241743660352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projet'!$B$17,Paramètres!$A$1:$I$88,3,0)*0.475*44/12</f>
        <v>0</v>
      </c>
      <c r="GM36" s="23">
        <f>EXP(-LN(2)/25)*GM35+(1-EXP(-LN(2)/25))/(LN(2)/25)*Calculateur!GH36*Calculateur!GJ36*VLOOKUP('Données projet'!$B$17,Paramètres!$A$1:$I$88,3,0)*0.475*44/12</f>
        <v>32.885587953793333</v>
      </c>
      <c r="GN36" s="23">
        <f>EXP(-LN(2)/2)*GN35+(1-EXP(-LN(2)/2))/(LN(2)/2)*GH36*GK36*VLOOKUP('Données projet'!$B$17,Paramètres!$A$1:$I$88,3,0)*0.475*44/12</f>
        <v>5.3487058988397749</v>
      </c>
      <c r="GO36" s="23">
        <f t="shared" si="27"/>
        <v>38.234293852633108</v>
      </c>
      <c r="GP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3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6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</v>
      </c>
      <c r="N37" s="14">
        <f>IF('Données projet'!$A$36&gt;35,N36+M37-V36,IF(A37&lt;'Données projet'!$A$36,$K$205^A37,IF(A37='Données projet'!$A$36,'Données projet'!$B$36,N36+M37-V36)))</f>
        <v>102</v>
      </c>
      <c r="O37" s="14">
        <f>N37*VLOOKUP('Données projet'!$B$9,Paramètres!$A$1:$I$88,3,0)*VLOOKUP('Données projet'!$B$9,Paramètres!$A$1:$I$88,5,0)</f>
        <v>92.289599999999993</v>
      </c>
      <c r="P37" s="14">
        <f t="shared" si="33"/>
        <v>25.116611431659546</v>
      </c>
      <c r="Q37" s="22">
        <f t="shared" si="53"/>
        <v>204.48248491014036</v>
      </c>
      <c r="R37" s="59">
        <f t="shared" si="0"/>
        <v>497.8158182434737</v>
      </c>
      <c r="S37" s="59">
        <f ca="1">AVERAGE(OFFSET($R$3,0,0,'Données projet'!$E$9+1,1))-AVERAGE(OFFSET($H$3,0,0,'Données projet'!$E$9+1,1))</f>
        <v>247.57967230773539</v>
      </c>
      <c r="T37" s="59">
        <f t="shared" si="34"/>
        <v>156.58857589533295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13.839999999999998</v>
      </c>
      <c r="AI37" s="14">
        <f>IF('Données projet'!$A$62&gt;35,AI36+AH37-AQ36,IF(A37&lt;'Données projet'!$A$62,$AF$205^A37,IF(A37='Données projet'!$A$62,'Données projet'!$B$62,AI36+AH37-AQ36)))</f>
        <v>262.15999999999997</v>
      </c>
      <c r="AJ37" s="14">
        <f>AI37*VLOOKUP('Données projet'!$B$10,Paramètres!$A$1:$I$88,3,0)*VLOOKUP('Données projet'!$B$10,Paramètres!$A$1:$I$88,5,0)</f>
        <v>208.57449599999998</v>
      </c>
      <c r="AK37" s="14">
        <f t="shared" si="35"/>
        <v>51.623953830029656</v>
      </c>
      <c r="AL37" s="22">
        <f t="shared" si="4"/>
        <v>453.17896678730159</v>
      </c>
      <c r="AM37" s="59">
        <f t="shared" si="5"/>
        <v>746.5123001206349</v>
      </c>
      <c r="AN37" s="59">
        <f ca="1">AVERAGE(OFFSET($AM$3,0,0,'Données projet'!$E$10+1,1))-AVERAGE(OFFSET($H$3,0,0,'Données projet'!$E$10+1,1))</f>
        <v>504.15006129790828</v>
      </c>
      <c r="AO37" s="59">
        <f t="shared" si="36"/>
        <v>374.39334457402742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13.839999999999998</v>
      </c>
      <c r="BD37" s="13">
        <f>IF('Données projet'!$A$88&gt;35,BD36+BC37-BL36,IF(A37&lt;'Données projet'!$A$88,$BA$205^A37,IF(A37='Données projet'!$A$88,'Données projet'!$B$88,BD36+BC37-BL36)))</f>
        <v>262.15999999999997</v>
      </c>
      <c r="BE37" s="14">
        <f>BD37*VLOOKUP('Données projet'!$B$11,Paramètres!$A$1:$I$88,3,0)*VLOOKUP('Données projet'!$B$11,Paramètres!$A$1:$I$88,5,0)</f>
        <v>208.57449599999998</v>
      </c>
      <c r="BF37" s="14">
        <f t="shared" si="37"/>
        <v>51.623953830029656</v>
      </c>
      <c r="BG37" s="22">
        <f t="shared" si="7"/>
        <v>453.17896678730159</v>
      </c>
      <c r="BH37" s="59">
        <f t="shared" si="8"/>
        <v>746.5123001206349</v>
      </c>
      <c r="BI37" s="59">
        <f ca="1">AVERAGE(OFFSET($BH$3,0,0,'Données projet'!$E$11+1,1))-AVERAGE(OFFSET($H$3,0,0,'Données projet'!$E$11+1,1))</f>
        <v>504.15006129790828</v>
      </c>
      <c r="BJ37" s="59">
        <f t="shared" si="38"/>
        <v>374.39334457402742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13.839999999999998</v>
      </c>
      <c r="BY37" s="13">
        <f>IF('Données projet'!$A$114&gt;35,BY36+BX37-CG36,IF(A37&lt;'Données projet'!$A$114,$BV$205^A37,IF(A37='Données projet'!$A$114,'Données projet'!$B$114,BY36+BX37-CG36)))</f>
        <v>262.15999999999997</v>
      </c>
      <c r="BZ37" s="14">
        <f>BY37*VLOOKUP('Données projet'!$B$12,Paramètres!$A$1:$I$88,3,0)*VLOOKUP('Données projet'!$B$12,Paramètres!$A$1:$I$88,5,0)</f>
        <v>175.85692799999998</v>
      </c>
      <c r="CA37" s="14">
        <f t="shared" si="39"/>
        <v>44.399183491316307</v>
      </c>
      <c r="CB37" s="22">
        <f t="shared" si="10"/>
        <v>383.61272751404255</v>
      </c>
      <c r="CC37" s="59">
        <f t="shared" si="11"/>
        <v>676.94606084737586</v>
      </c>
      <c r="CD37" s="59">
        <f ca="1">AVERAGE(OFFSET($CC$3,0,0,'Données projet'!$E$12+1,1))-AVERAGE(OFFSET($H$3,0,0,'Données projet'!$E$12+1,1))</f>
        <v>387.15063677712425</v>
      </c>
      <c r="CE37" s="59">
        <f t="shared" si="40"/>
        <v>313.19155394370705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0</v>
      </c>
      <c r="CL37" s="23">
        <f>EXP(-LN(2)/25)*CL36+(1-EXP(-LN(2)/25))/(LN(2)/25)*Calculateur!CG37*Calculateur!CI37*VLOOKUP('Données projet'!$B$12,Paramètres!$A$1:$I$88,3,0)*0.475*44/12</f>
        <v>0</v>
      </c>
      <c r="CM37" s="23">
        <f>EXP(-LN(2)/2)*CM36+(1-EXP(-LN(2)/2))/(LN(2)/2)*CG37*CJ37*VLOOKUP('Données projet'!$B$12,Paramètres!$A$1:$I$88,3,0)*0.475*44/12</f>
        <v>0</v>
      </c>
      <c r="CN37" s="24">
        <f t="shared" si="12"/>
        <v>0</v>
      </c>
      <c r="CO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3</v>
      </c>
      <c r="CT37" s="13">
        <f>IF('Données projet'!$A$140&gt;35,CT36+CS37-DB36,IF(A37&lt;'Données projet'!$A$140,$CQ$205^A37,IF(A37='Données projet'!$A$140,'Données projet'!$B$140,CT36+CS37-DB36)))</f>
        <v>102</v>
      </c>
      <c r="CU37" s="18">
        <f>CT37*VLOOKUP('Données projet'!$B$13,Paramètres!$A$1:$I$88,3,0)*VLOOKUP('Données projet'!$B$13,Paramètres!$A$1:$I$88,5,0)</f>
        <v>98.65440000000001</v>
      </c>
      <c r="CV37" s="14">
        <f t="shared" si="41"/>
        <v>26.641174586135573</v>
      </c>
      <c r="CW37" s="22">
        <f t="shared" si="13"/>
        <v>218.22312573751947</v>
      </c>
      <c r="CX37" s="59">
        <f t="shared" si="14"/>
        <v>511.55645907085278</v>
      </c>
      <c r="CY37" s="59">
        <f ca="1">AVERAGE(OFFSET($CX$3,0,0,'Données projet'!$E$13+1,1))-AVERAGE(OFFSET($H$3,0,0,'Données projet'!$E$13+1,1))</f>
        <v>306.00894145276209</v>
      </c>
      <c r="CZ37" s="59">
        <f t="shared" si="42"/>
        <v>168.74705421228828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projet'!$B$13,Paramètres!$A$1:$I$88,3,0)*0.475*44/12</f>
        <v>0</v>
      </c>
      <c r="DG37" s="23">
        <f>EXP(-LN(2)/25)*DG36+(1-EXP(-LN(2)/25))/(LN(2)/25)*Calculateur!DB37*Calculateur!DD37*VLOOKUP('Données projet'!$B$13,Paramètres!$A$1:$I$88,3,0)*0.475*44/12</f>
        <v>0</v>
      </c>
      <c r="DH37" s="23">
        <f>EXP(-LN(2)/2)*DH36+(1-EXP(-LN(2)/2))/(LN(2)/2)*DB37*DE37*VLOOKUP('Données projet'!$B$13,Paramètres!$A$1:$I$88,3,0)*0.475*44/12</f>
        <v>0</v>
      </c>
      <c r="DI37" s="24">
        <f t="shared" si="15"/>
        <v>0</v>
      </c>
      <c r="DJ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13.839999999999998</v>
      </c>
      <c r="DO37" s="13">
        <f>IF('Données projet'!$A$166&gt;35,DO36+DN37-DW36,IF(A37&lt;'Données projet'!$A$166,$DL$205^A37,IF(A37='Données projet'!$A$166,'Données projet'!$B$166,DO36+DN37-DW36)))</f>
        <v>262.15999999999997</v>
      </c>
      <c r="DP37" s="18">
        <f>DO37*VLOOKUP('Données projet'!$B$14,Paramètres!$A$1:$I$88,3,0)*VLOOKUP('Données projet'!$B$14,Paramètres!$A$1:$I$88,5,0)</f>
        <v>204.48479999999998</v>
      </c>
      <c r="DQ37" s="14">
        <f t="shared" si="43"/>
        <v>50.728515318217369</v>
      </c>
      <c r="DR37" s="22">
        <f t="shared" si="16"/>
        <v>444.49652417922852</v>
      </c>
      <c r="DS37" s="59">
        <f t="shared" si="17"/>
        <v>737.82985751256183</v>
      </c>
      <c r="DT37" s="59">
        <f ca="1">AVERAGE(OFFSET($DS$3,0,0,'Données projet'!$E$14+1,1))-AVERAGE(OFFSET($H$3,0,0,'Données projet'!$E$14+1,1))</f>
        <v>458.14328535055694</v>
      </c>
      <c r="DU37" s="59">
        <f t="shared" si="44"/>
        <v>366.75500153675739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projet'!$B$14,Paramètres!$A$1:$I$88,3,0)*0.475*44/12</f>
        <v>0</v>
      </c>
      <c r="EB37" s="23">
        <f>EXP(-LN(2)/25)*EB36+(1-EXP(-LN(2)/25))/(LN(2)/25)*Calculateur!DW37*Calculateur!DY37*VLOOKUP('Données projet'!$B$14,Paramètres!$A$1:$I$88,3,0)*0.475*44/12</f>
        <v>0</v>
      </c>
      <c r="EC37" s="23">
        <f>EXP(-LN(2)/2)*EC36+(1-EXP(-LN(2)/2))/(LN(2)/2)*DW37*DZ37*VLOOKUP('Données projet'!$B$14,Paramètres!$A$1:$I$88,3,0)*0.475*44/12</f>
        <v>0</v>
      </c>
      <c r="ED37" s="24">
        <f t="shared" si="18"/>
        <v>0</v>
      </c>
      <c r="EE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14.4</v>
      </c>
      <c r="EJ37" s="13">
        <f>IF('Données projet'!$A$192&gt;35,EJ36+EI37-ER36,IF(A37&lt;'Données projet'!$A$192,$EG$205^A37,IF(A37='Données projet'!$A$192,'Données projet'!$B$192,EJ36+EI37-ER36)))</f>
        <v>150.60000000000002</v>
      </c>
      <c r="EK37" s="18">
        <f>EJ37*VLOOKUP('Données projet'!$B$15,Paramètres!$A$1:$I$88,3,0)*VLOOKUP('Données projet'!$B$15,Paramètres!$A$1:$I$88,5,0)</f>
        <v>129.21480000000003</v>
      </c>
      <c r="EL37" s="14">
        <f t="shared" si="45"/>
        <v>33.814858742503446</v>
      </c>
      <c r="EM37" s="22">
        <f t="shared" si="19"/>
        <v>283.94332230986021</v>
      </c>
      <c r="EN37" s="59">
        <f t="shared" si="20"/>
        <v>577.27665564319352</v>
      </c>
      <c r="EO37" s="59">
        <f ca="1">AVERAGE(OFFSET($EN$3,0,0,'Données projet'!$E$15+1,1))-AVERAGE(OFFSET($H$3,0,0,'Données projet'!$E$15+1,1))</f>
        <v>462.99360395552145</v>
      </c>
      <c r="EP37" s="59">
        <f t="shared" si="46"/>
        <v>153.03880717786046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projet'!$B$15,Paramètres!$A$1:$I$88,3,0)*0.475*44/12</f>
        <v>0</v>
      </c>
      <c r="EW37" s="23">
        <f>EXP(-LN(2)/25)*EW36+(1-EXP(-LN(2)/25))/(LN(2)/25)*Calculateur!ER37*Calculateur!ET37*VLOOKUP('Données projet'!$B$15,Paramètres!$A$1:$I$88,3,0)*0.475*44/12</f>
        <v>0</v>
      </c>
      <c r="EX37" s="23">
        <f>EXP(-LN(2)/2)*EX36+(1-EXP(-LN(2)/2))/(LN(2)/2)*ER37*EU37*VLOOKUP('Données projet'!$B$15,Paramètres!$A$1:$I$88,3,0)*0.475*44/12</f>
        <v>0</v>
      </c>
      <c r="EY37" s="24">
        <f t="shared" si="21"/>
        <v>0</v>
      </c>
      <c r="EZ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10.739999999999998</v>
      </c>
      <c r="FE37" s="13">
        <f>IF('Données projet'!$A$218&gt;35,FE36+FD37-FM36,IF(A37&lt;'Données projet'!$A$218,$FB$205^A37,IF(A37='Données projet'!$A$218,'Données projet'!$B$218,FE36+FD37-FM36)))</f>
        <v>201.2600000000001</v>
      </c>
      <c r="FF37" s="18">
        <f>FE37*VLOOKUP('Données projet'!$B$16,Paramètres!$A$1:$I$88,3,0)*VLOOKUP('Données projet'!$B$16,Paramètres!$A$1:$I$88,5,0)</f>
        <v>175.82073600000012</v>
      </c>
      <c r="FG37" s="14">
        <f t="shared" si="47"/>
        <v>44.391109486691875</v>
      </c>
      <c r="FH37" s="22">
        <f t="shared" si="22"/>
        <v>383.53563088932191</v>
      </c>
      <c r="FI37" s="59">
        <f t="shared" si="23"/>
        <v>676.86896422265522</v>
      </c>
      <c r="FJ37" s="59">
        <f ca="1">AVERAGE(OFFSET($FI$3,0,0,'Données projet'!$E$16+1,1))-AVERAGE(OFFSET($H$3,0,0,'Données projet'!$E$16+1,1))</f>
        <v>427.76895185088944</v>
      </c>
      <c r="FK37" s="59">
        <f t="shared" si="48"/>
        <v>308.32543361559135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projet'!$B$16,Paramètres!$A$1:$I$88,3,0)*0.475*44/12</f>
        <v>0</v>
      </c>
      <c r="FR37" s="23">
        <f>EXP(-LN(2)/25)*FR36+(1-EXP(-LN(2)/25))/(LN(2)/25)*Calculateur!FM37*Calculateur!FO37*VLOOKUP('Données projet'!$B$16,Paramètres!$A$1:$I$88,3,0)*0.475*44/12</f>
        <v>0</v>
      </c>
      <c r="FS37" s="23">
        <f>EXP(-LN(2)/2)*FS36+(1-EXP(-LN(2)/2))/(LN(2)/2)*FM37*FP37*VLOOKUP('Données projet'!$B$16,Paramètres!$A$1:$I$88,3,0)*0.475*44/12</f>
        <v>0</v>
      </c>
      <c r="FT37" s="24">
        <f t="shared" si="24"/>
        <v>0</v>
      </c>
      <c r="FU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13.6</v>
      </c>
      <c r="FZ37" s="13">
        <f>IF('Données projet'!$A$244&gt;35,FZ36+FY37-GH36,IF(A37&lt;'Données projet'!$A$244,$FW$205^A37,IF(A37='Données projet'!$A$244,'Données projet'!$B$244,FZ36+FY37-GH36)))</f>
        <v>251.4</v>
      </c>
      <c r="GA37" s="18">
        <f>FZ37*VLOOKUP('Données projet'!$B$17,Paramètres!$A$1:$I$88,3,0)*VLOOKUP('Données projet'!$B$17,Paramètres!$A$1:$I$88,5,0)</f>
        <v>156.87360000000001</v>
      </c>
      <c r="GB37" s="14">
        <f t="shared" si="49"/>
        <v>40.136539330490663</v>
      </c>
      <c r="GC37" s="22">
        <f t="shared" si="25"/>
        <v>343.12599266727125</v>
      </c>
      <c r="GD37" s="59">
        <f t="shared" si="26"/>
        <v>636.45932600060451</v>
      </c>
      <c r="GE37" s="59">
        <f ca="1">AVERAGE(OFFSET($GD$3,0,0,'Données projet'!$E$17+1,1))-AVERAGE(OFFSET($H$3,0,0,'Données projet'!$E$17+1,1))</f>
        <v>247.85542034088905</v>
      </c>
      <c r="GF37" s="59">
        <f t="shared" si="50"/>
        <v>299.52241743660352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projet'!$B$17,Paramètres!$A$1:$I$88,3,0)*0.475*44/12</f>
        <v>0</v>
      </c>
      <c r="GM37" s="23">
        <f>EXP(-LN(2)/25)*GM36+(1-EXP(-LN(2)/25))/(LN(2)/25)*Calculateur!GH37*Calculateur!GJ37*VLOOKUP('Données projet'!$B$17,Paramètres!$A$1:$I$88,3,0)*0.475*44/12</f>
        <v>31.986329821818945</v>
      </c>
      <c r="GN37" s="23">
        <f>EXP(-LN(2)/2)*GN36+(1-EXP(-LN(2)/2))/(LN(2)/2)*GH37*GK37*VLOOKUP('Données projet'!$B$17,Paramètres!$A$1:$I$88,3,0)*0.475*44/12</f>
        <v>3.7821062116420929</v>
      </c>
      <c r="GO37" s="23">
        <f t="shared" si="27"/>
        <v>35.768436033461036</v>
      </c>
      <c r="GP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3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6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</v>
      </c>
      <c r="N38" s="14">
        <f>IF('Données projet'!$A$36&gt;35,N37+M38-V37,IF(A38&lt;'Données projet'!$A$36,$K$205^A38,IF(A38='Données projet'!$A$36,'Données projet'!$B$36,N37+M38-V37)))</f>
        <v>105</v>
      </c>
      <c r="O38" s="14">
        <f>N38*VLOOKUP('Données projet'!$B$9,Paramètres!$A$1:$I$88,3,0)*VLOOKUP('Données projet'!$B$9,Paramètres!$A$1:$I$88,5,0)</f>
        <v>95.004000000000005</v>
      </c>
      <c r="P38" s="14">
        <f t="shared" si="33"/>
        <v>25.768242550600785</v>
      </c>
      <c r="Q38" s="22">
        <f t="shared" si="53"/>
        <v>210.34498910896306</v>
      </c>
      <c r="R38" s="59">
        <f t="shared" si="0"/>
        <v>503.67832244229635</v>
      </c>
      <c r="S38" s="59">
        <f ca="1">AVERAGE(OFFSET($R$3,0,0,'Données projet'!$E$9+1,1))-AVERAGE(OFFSET($H$3,0,0,'Données projet'!$E$9+1,1))</f>
        <v>247.57967230773539</v>
      </c>
      <c r="T38" s="59">
        <f t="shared" si="34"/>
        <v>156.58857589533295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276</v>
      </c>
      <c r="AG38" s="13">
        <f>VLOOKUP(A38,'Données projet'!$A$61:$I$81,9,0)</f>
        <v>13.839999999999998</v>
      </c>
      <c r="AH38" s="13">
        <f t="array" ref="AH38">INDEX(AG:AG,MIN(IF(ISNUMBER(AG38:AG234),ROW(AG38:AG234),"")))</f>
        <v>13.839999999999998</v>
      </c>
      <c r="AI38" s="14">
        <f>IF('Données projet'!$A$62&gt;35,AI37+AH38-AQ37,IF(A38&lt;'Données projet'!$A$62,$AF$205^A38,IF(A38='Données projet'!$A$62,'Données projet'!$B$62,AI37+AH38-AQ37)))</f>
        <v>275.99999999999994</v>
      </c>
      <c r="AJ38" s="14">
        <f>AI38*VLOOKUP('Données projet'!$B$10,Paramètres!$A$1:$I$88,3,0)*VLOOKUP('Données projet'!$B$10,Paramètres!$A$1:$I$88,5,0)</f>
        <v>219.58559999999994</v>
      </c>
      <c r="AK38" s="14">
        <f t="shared" si="35"/>
        <v>54.024808047218549</v>
      </c>
      <c r="AL38" s="22">
        <f t="shared" si="4"/>
        <v>476.53812734890556</v>
      </c>
      <c r="AM38" s="59">
        <f t="shared" si="5"/>
        <v>769.87146068223888</v>
      </c>
      <c r="AN38" s="59">
        <f ca="1">AVERAGE(OFFSET($AM$3,0,0,'Données projet'!$E$10+1,1))-AVERAGE(OFFSET($H$3,0,0,'Données projet'!$E$10+1,1))</f>
        <v>504.15006129790828</v>
      </c>
      <c r="AO38" s="59">
        <f t="shared" si="36"/>
        <v>374.39334457402742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22.9</v>
      </c>
      <c r="AR38" s="17">
        <f>IF(ISNA(VLOOKUP(A38,'Données projet'!$A$61:$I$81,5,0)),0%,VLOOKUP(A38,'Données projet'!$A$61:$I$81,5,0)*VLOOKUP('Données projet'!$B$10,Paramètres!$A$1:$I$88,7,0))</f>
        <v>0.10600000000000001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2.1349279967058021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2.1349279967058021</v>
      </c>
      <c r="AY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276</v>
      </c>
      <c r="BB38" s="13">
        <f>VLOOKUP(A38,'Données projet'!$A$87:$I$107,9,0)</f>
        <v>13.839999999999998</v>
      </c>
      <c r="BC38" s="13">
        <f t="array" ref="BC38">INDEX(BB:BB,MIN(IF(ISNUMBER(BB38:BB234),ROW(BB38:BB234),"")))</f>
        <v>13.839999999999998</v>
      </c>
      <c r="BD38" s="13">
        <f>IF('Données projet'!$A$88&gt;35,BD37+BC38-BL37,IF(A38&lt;'Données projet'!$A$88,$BA$205^A38,IF(A38='Données projet'!$A$88,'Données projet'!$B$88,BD37+BC38-BL37)))</f>
        <v>275.99999999999994</v>
      </c>
      <c r="BE38" s="14">
        <f>BD38*VLOOKUP('Données projet'!$B$11,Paramètres!$A$1:$I$88,3,0)*VLOOKUP('Données projet'!$B$11,Paramètres!$A$1:$I$88,5,0)</f>
        <v>219.58559999999994</v>
      </c>
      <c r="BF38" s="14">
        <f t="shared" si="37"/>
        <v>54.024808047218549</v>
      </c>
      <c r="BG38" s="22">
        <f t="shared" si="7"/>
        <v>476.53812734890556</v>
      </c>
      <c r="BH38" s="59">
        <f t="shared" si="8"/>
        <v>769.87146068223888</v>
      </c>
      <c r="BI38" s="59">
        <f ca="1">AVERAGE(OFFSET($BH$3,0,0,'Données projet'!$E$11+1,1))-AVERAGE(OFFSET($H$3,0,0,'Données projet'!$E$11+1,1))</f>
        <v>504.15006129790828</v>
      </c>
      <c r="BJ38" s="59">
        <f t="shared" si="38"/>
        <v>374.39334457402742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22.9</v>
      </c>
      <c r="BM38" s="17">
        <f>IF(ISNA(VLOOKUP(A38,'Données projet'!$A$87:$I$107,5,0)),0%,VLOOKUP(A38,'Données projet'!$A$87:$I$107,5,0)*VLOOKUP('Données projet'!$B$11,Paramètres!$A$1:$I$88,7,0))</f>
        <v>0.10600000000000001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2.1349279967058021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2.1349279967058021</v>
      </c>
      <c r="BT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276</v>
      </c>
      <c r="BW38" s="13">
        <f>VLOOKUP(A38,'Données projet'!$A$113:$I$133,9,0)</f>
        <v>13.839999999999998</v>
      </c>
      <c r="BX38" s="13">
        <f t="array" ref="BX38">INDEX(BW:BW,MIN(IF(ISNUMBER(BW38:BW234),ROW(BW38:BW234),"")))</f>
        <v>13.839999999999998</v>
      </c>
      <c r="BY38" s="13">
        <f>IF('Données projet'!$A$114&gt;35,BY37+BX38-CG37,IF(A38&lt;'Données projet'!$A$114,$BV$205^A38,IF(A38='Données projet'!$A$114,'Données projet'!$B$114,BY37+BX38-CG37)))</f>
        <v>275.99999999999994</v>
      </c>
      <c r="BZ38" s="14">
        <f>BY38*VLOOKUP('Données projet'!$B$12,Paramètres!$A$1:$I$88,3,0)*VLOOKUP('Données projet'!$B$12,Paramètres!$A$1:$I$88,5,0)</f>
        <v>185.14079999999998</v>
      </c>
      <c r="CA38" s="14">
        <f t="shared" si="39"/>
        <v>46.464038253813506</v>
      </c>
      <c r="CB38" s="22">
        <f t="shared" si="10"/>
        <v>403.3784266253918</v>
      </c>
      <c r="CC38" s="59">
        <f t="shared" si="11"/>
        <v>696.71175995872511</v>
      </c>
      <c r="CD38" s="59">
        <f ca="1">AVERAGE(OFFSET($CC$3,0,0,'Données projet'!$E$12+1,1))-AVERAGE(OFFSET($H$3,0,0,'Données projet'!$E$12+1,1))</f>
        <v>387.15063677712425</v>
      </c>
      <c r="CE38" s="59">
        <f t="shared" si="40"/>
        <v>313.19155394370705</v>
      </c>
      <c r="CF38" s="16">
        <f>IF(ISNA(VLOOKUP(A38,'Données projet'!$A$113:$I$133,3,0)),0,VLOOKUP(A38,'Données projet'!$A$113:$I$133,3,0))</f>
        <v>5</v>
      </c>
      <c r="CG38" s="16">
        <f>IF(ISNA(VLOOKUP(A38,'Données projet'!$A$113:$I$133,4,0)),0,VLOOKUP(A38,'Données projet'!$A$113:$I$133,4,0))</f>
        <v>22.9</v>
      </c>
      <c r="CH38" s="17">
        <f>IF(ISNA(VLOOKUP(A38,'Données projet'!$A$113:$I$133,5,0)),0%,VLOOKUP(A38,'Données projet'!$A$113:$I$133,5,0)*VLOOKUP('Données projet'!$B$12,Paramètres!$A$1:$I$88,7,0))</f>
        <v>0.10600000000000001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1.8000373305558723</v>
      </c>
      <c r="CL38" s="23">
        <f>EXP(-LN(2)/25)*CL37+(1-EXP(-LN(2)/25))/(LN(2)/25)*Calculateur!CG38*Calculateur!CI38*VLOOKUP('Données projet'!$B$12,Paramètres!$A$1:$I$88,3,0)*0.475*44/12</f>
        <v>0</v>
      </c>
      <c r="CM38" s="23">
        <f>EXP(-LN(2)/2)*CM37+(1-EXP(-LN(2)/2))/(LN(2)/2)*CG38*CJ38*VLOOKUP('Données projet'!$B$12,Paramètres!$A$1:$I$88,3,0)*0.475*44/12</f>
        <v>0</v>
      </c>
      <c r="CN38" s="24">
        <f t="shared" si="12"/>
        <v>1.8000373305558723</v>
      </c>
      <c r="CO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3</v>
      </c>
      <c r="CT38" s="13">
        <f>IF('Données projet'!$A$140&gt;35,CT37+CS38-DB37,IF(A38&lt;'Données projet'!$A$140,$CQ$205^A38,IF(A38='Données projet'!$A$140,'Données projet'!$B$140,CT37+CS38-DB37)))</f>
        <v>105</v>
      </c>
      <c r="CU38" s="18">
        <f>CT38*VLOOKUP('Données projet'!$B$13,Paramètres!$A$1:$I$88,3,0)*VLOOKUP('Données projet'!$B$13,Paramètres!$A$1:$I$88,5,0)</f>
        <v>101.556</v>
      </c>
      <c r="CV38" s="14">
        <f t="shared" si="41"/>
        <v>27.332359320696909</v>
      </c>
      <c r="CW38" s="22">
        <f t="shared" si="13"/>
        <v>224.48055915021379</v>
      </c>
      <c r="CX38" s="59">
        <f t="shared" si="14"/>
        <v>517.81389248354708</v>
      </c>
      <c r="CY38" s="59">
        <f ca="1">AVERAGE(OFFSET($CX$3,0,0,'Données projet'!$E$13+1,1))-AVERAGE(OFFSET($H$3,0,0,'Données projet'!$E$13+1,1))</f>
        <v>306.00894145276209</v>
      </c>
      <c r="CZ38" s="59">
        <f t="shared" si="42"/>
        <v>168.74705421228828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0</v>
      </c>
      <c r="DG38" s="23">
        <f>EXP(-LN(2)/25)*DG37+(1-EXP(-LN(2)/25))/(LN(2)/25)*Calculateur!DB38*Calculateur!DD38*VLOOKUP('Données projet'!$B$13,Paramètres!$A$1:$I$88,3,0)*0.475*44/12</f>
        <v>0</v>
      </c>
      <c r="DH38" s="23">
        <f>EXP(-LN(2)/2)*DH37+(1-EXP(-LN(2)/2))/(LN(2)/2)*DB38*DE38*VLOOKUP('Données projet'!$B$13,Paramètres!$A$1:$I$88,3,0)*0.475*44/12</f>
        <v>0</v>
      </c>
      <c r="DI38" s="24">
        <f t="shared" si="15"/>
        <v>0</v>
      </c>
      <c r="DJ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276</v>
      </c>
      <c r="DM38" s="13">
        <f>VLOOKUP(A38,'Données projet'!$A$165:$I$185,9,0)</f>
        <v>13.839999999999998</v>
      </c>
      <c r="DN38" s="13">
        <f t="array" ref="DN38">INDEX(DM:DM,MIN(IF(ISNUMBER(DM38:DM234),ROW(DM38:DM234),"")))</f>
        <v>13.839999999999998</v>
      </c>
      <c r="DO38" s="13">
        <f>IF('Données projet'!$A$166&gt;35,DO37+DN38-DW37,IF(A38&lt;'Données projet'!$A$166,$DL$205^A38,IF(A38='Données projet'!$A$166,'Données projet'!$B$166,DO37+DN38-DW37)))</f>
        <v>275.99999999999994</v>
      </c>
      <c r="DP38" s="18">
        <f>DO38*VLOOKUP('Données projet'!$B$14,Paramètres!$A$1:$I$88,3,0)*VLOOKUP('Données projet'!$B$14,Paramètres!$A$1:$I$88,5,0)</f>
        <v>215.27999999999997</v>
      </c>
      <c r="DQ38" s="14">
        <f t="shared" si="43"/>
        <v>53.087725740853138</v>
      </c>
      <c r="DR38" s="22">
        <f t="shared" si="16"/>
        <v>467.40712233198587</v>
      </c>
      <c r="DS38" s="59">
        <f t="shared" si="17"/>
        <v>760.74045566531913</v>
      </c>
      <c r="DT38" s="59">
        <f ca="1">AVERAGE(OFFSET($DS$3,0,0,'Données projet'!$E$14+1,1))-AVERAGE(OFFSET($H$3,0,0,'Données projet'!$E$14+1,1))</f>
        <v>458.14328535055694</v>
      </c>
      <c r="DU38" s="59">
        <f t="shared" si="44"/>
        <v>366.75500153675739</v>
      </c>
      <c r="DV38" s="16">
        <f>IF(ISNA(VLOOKUP(A38,'Données projet'!$A$165:$I$185,3,0)),0,VLOOKUP(A38,'Données projet'!$A$165:$I$185,3,0))</f>
        <v>5</v>
      </c>
      <c r="DW38" s="16">
        <f>IF(ISNA(VLOOKUP(A38,'Données projet'!$A$165:$I$185,4,0)),0,VLOOKUP(A38,'Données projet'!$A$165:$I$185,4,0))</f>
        <v>22.9</v>
      </c>
      <c r="DX38" s="17">
        <f>IF(ISNA(VLOOKUP(A38,'Données projet'!$A$165:$I$185,5,0)),0%,VLOOKUP(A38,'Données projet'!$A$165:$I$185,5,0)*VLOOKUP('Données projet'!$B$14,Paramètres!$A$1:$I$88,7,0))</f>
        <v>8.6000000000000007E-2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projet'!$B$14,Paramètres!$A$1:$I$88,3,0)*0.475*44/12</f>
        <v>1.6981484250527095</v>
      </c>
      <c r="EB38" s="23">
        <f>EXP(-LN(2)/25)*EB37+(1-EXP(-LN(2)/25))/(LN(2)/25)*Calculateur!DW38*Calculateur!DY38*VLOOKUP('Données projet'!$B$14,Paramètres!$A$1:$I$88,3,0)*0.475*44/12</f>
        <v>0</v>
      </c>
      <c r="EC38" s="23">
        <f>EXP(-LN(2)/2)*EC37+(1-EXP(-LN(2)/2))/(LN(2)/2)*DW38*DZ38*VLOOKUP('Données projet'!$B$14,Paramètres!$A$1:$I$88,3,0)*0.475*44/12</f>
        <v>0</v>
      </c>
      <c r="ED38" s="24">
        <f t="shared" si="18"/>
        <v>1.6981484250527095</v>
      </c>
      <c r="EE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14.4</v>
      </c>
      <c r="EJ38" s="13">
        <f>IF('Données projet'!$A$192&gt;35,EJ37+EI38-ER37,IF(A38&lt;'Données projet'!$A$192,$EG$205^A38,IF(A38='Données projet'!$A$192,'Données projet'!$B$192,EJ37+EI38-ER37)))</f>
        <v>165.00000000000003</v>
      </c>
      <c r="EK38" s="18">
        <f>EJ38*VLOOKUP('Données projet'!$B$15,Paramètres!$A$1:$I$88,3,0)*VLOOKUP('Données projet'!$B$15,Paramètres!$A$1:$I$88,5,0)</f>
        <v>141.57000000000005</v>
      </c>
      <c r="EL38" s="14">
        <f t="shared" si="45"/>
        <v>36.656436679164102</v>
      </c>
      <c r="EM38" s="22">
        <f t="shared" si="19"/>
        <v>310.41104388287755</v>
      </c>
      <c r="EN38" s="59">
        <f t="shared" si="20"/>
        <v>603.74437721621086</v>
      </c>
      <c r="EO38" s="59">
        <f ca="1">AVERAGE(OFFSET($EN$3,0,0,'Données projet'!$E$15+1,1))-AVERAGE(OFFSET($H$3,0,0,'Données projet'!$E$15+1,1))</f>
        <v>462.99360395552145</v>
      </c>
      <c r="EP38" s="59">
        <f t="shared" si="46"/>
        <v>153.03880717786046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projet'!$B$15,Paramètres!$A$1:$I$88,3,0)*0.475*44/12</f>
        <v>0</v>
      </c>
      <c r="EW38" s="23">
        <f>EXP(-LN(2)/25)*EW37+(1-EXP(-LN(2)/25))/(LN(2)/25)*Calculateur!ER38*Calculateur!ET38*VLOOKUP('Données projet'!$B$15,Paramètres!$A$1:$I$88,3,0)*0.475*44/12</f>
        <v>0</v>
      </c>
      <c r="EX38" s="23">
        <f>EXP(-LN(2)/2)*EX37+(1-EXP(-LN(2)/2))/(LN(2)/2)*ER38*EU38*VLOOKUP('Données projet'!$B$15,Paramètres!$A$1:$I$88,3,0)*0.475*44/12</f>
        <v>0</v>
      </c>
      <c r="EY38" s="24">
        <f t="shared" si="21"/>
        <v>0</v>
      </c>
      <c r="EZ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212</v>
      </c>
      <c r="FC38" s="13">
        <f>VLOOKUP(A38,'Données projet'!$A$217:$I$237,9,0)</f>
        <v>10.739999999999998</v>
      </c>
      <c r="FD38" s="13">
        <f t="array" ref="FD38">INDEX(FC:FC,MIN(IF(ISNUMBER(FC38:FC234),ROW(FC38:FC234),"")))</f>
        <v>10.739999999999998</v>
      </c>
      <c r="FE38" s="13">
        <f>IF('Données projet'!$A$218&gt;35,FE37+FD38-FM37,IF(A38&lt;'Données projet'!$A$218,$FB$205^A38,IF(A38='Données projet'!$A$218,'Données projet'!$B$218,FE37+FD38-FM37)))</f>
        <v>212.00000000000011</v>
      </c>
      <c r="FF38" s="18">
        <f>FE38*VLOOKUP('Données projet'!$B$16,Paramètres!$A$1:$I$88,3,0)*VLOOKUP('Données projet'!$B$16,Paramètres!$A$1:$I$88,5,0)</f>
        <v>185.20320000000012</v>
      </c>
      <c r="FG38" s="14">
        <f t="shared" si="47"/>
        <v>46.477875402099386</v>
      </c>
      <c r="FH38" s="22">
        <f t="shared" si="22"/>
        <v>403.51120632532326</v>
      </c>
      <c r="FI38" s="59">
        <f t="shared" si="23"/>
        <v>696.84453965865657</v>
      </c>
      <c r="FJ38" s="59">
        <f ca="1">AVERAGE(OFFSET($FI$3,0,0,'Données projet'!$E$16+1,1))-AVERAGE(OFFSET($H$3,0,0,'Données projet'!$E$16+1,1))</f>
        <v>427.76895185088944</v>
      </c>
      <c r="FK38" s="59">
        <f t="shared" si="48"/>
        <v>308.32543361559135</v>
      </c>
      <c r="FL38" s="16">
        <f>IF(ISNA(VLOOKUP(A38,'Données projet'!$A$217:$I$237,3,0)),0,VLOOKUP(A38,'Données projet'!$A$217:$I$237,3,0))</f>
        <v>5</v>
      </c>
      <c r="FM38" s="16">
        <f>IF(ISNA(VLOOKUP(A38,'Données projet'!$A$217:$I$237,4,0)),0,VLOOKUP(A38,'Données projet'!$A$217:$I$237,4,0))</f>
        <v>16.3</v>
      </c>
      <c r="FN38" s="17">
        <f>IF(ISNA(VLOOKUP(A38,'Données projet'!$A$217:$I$237,5,0)),0%,VLOOKUP(A38,'Données projet'!$A$217:$I$237,5,0)*VLOOKUP('Données projet'!$B$16,Paramètres!$A$1:$I$88,7,0))</f>
        <v>0.10600000000000001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projet'!$B$16,Paramètres!$A$1:$I$88,3,0)*0.475*44/12</f>
        <v>1.668603712126943</v>
      </c>
      <c r="FR38" s="23">
        <f>EXP(-LN(2)/25)*FR37+(1-EXP(-LN(2)/25))/(LN(2)/25)*Calculateur!FM38*Calculateur!FO38*VLOOKUP('Données projet'!$B$16,Paramètres!$A$1:$I$88,3,0)*0.475*44/12</f>
        <v>0</v>
      </c>
      <c r="FS38" s="23">
        <f>EXP(-LN(2)/2)*FS37+(1-EXP(-LN(2)/2))/(LN(2)/2)*FM38*FP38*VLOOKUP('Données projet'!$B$16,Paramètres!$A$1:$I$88,3,0)*0.475*44/12</f>
        <v>0</v>
      </c>
      <c r="FT38" s="24">
        <f t="shared" si="24"/>
        <v>1.668603712126943</v>
      </c>
      <c r="FU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265</v>
      </c>
      <c r="FX38" s="13">
        <f>VLOOKUP(A38,'Données projet'!$A$243:$I$263,9,0)</f>
        <v>13.6</v>
      </c>
      <c r="FY38" s="13">
        <f t="array" ref="FY38">INDEX(FX:FX,MIN(IF(ISNUMBER(FX38:FX234),ROW(FX38:FX234),"")))</f>
        <v>13.6</v>
      </c>
      <c r="FZ38" s="13">
        <f>IF('Données projet'!$A$244&gt;35,FZ37+FY38-GH37,IF(A38&lt;'Données projet'!$A$244,$FW$205^A38,IF(A38='Données projet'!$A$244,'Données projet'!$B$244,FZ37+FY38-GH37)))</f>
        <v>265</v>
      </c>
      <c r="GA38" s="18">
        <f>FZ38*VLOOKUP('Données projet'!$B$17,Paramètres!$A$1:$I$88,3,0)*VLOOKUP('Données projet'!$B$17,Paramètres!$A$1:$I$88,5,0)</f>
        <v>165.35999999999999</v>
      </c>
      <c r="GB38" s="14">
        <f t="shared" si="49"/>
        <v>42.04915012784209</v>
      </c>
      <c r="GC38" s="22">
        <f t="shared" si="25"/>
        <v>361.2376031393249</v>
      </c>
      <c r="GD38" s="59">
        <f t="shared" si="26"/>
        <v>654.57093647265822</v>
      </c>
      <c r="GE38" s="59">
        <f ca="1">AVERAGE(OFFSET($GD$3,0,0,'Données projet'!$E$17+1,1))-AVERAGE(OFFSET($H$3,0,0,'Données projet'!$E$17+1,1))</f>
        <v>247.85542034088905</v>
      </c>
      <c r="GF38" s="59">
        <f t="shared" si="50"/>
        <v>299.52241743660352</v>
      </c>
      <c r="GG38" s="16">
        <f>IF(ISNA(VLOOKUP(A38,'Données projet'!$A$243:$I$263,3,0)),0,VLOOKUP(A38,'Données projet'!$A$243:$I$263,3,0))</f>
        <v>6</v>
      </c>
      <c r="GH38" s="16">
        <f>IF(ISNA(VLOOKUP(A38,'Données projet'!$A$243:$I$263,4,0)),0,VLOOKUP(A38,'Données projet'!$A$243:$I$263,4,0))</f>
        <v>38</v>
      </c>
      <c r="GI38" s="17">
        <f>IF(ISNA(VLOOKUP(A38,'Données projet'!$A$243:$I$263,5,0)),0%,VLOOKUP(A38,'Données projet'!$A$243:$I$263,5,0)*VLOOKUP('Données projet'!$B$17,Paramètres!$A$1:$I$88,7,0))</f>
        <v>0.12</v>
      </c>
      <c r="GJ38" s="17">
        <f>IF(ISNA(VLOOKUP(A38,'Données projet'!$A$243:$I$263,6,0)),0%,VLOOKUP(A38,'Données projet'!$A$243:$I$263,6,0)*VLOOKUP('Données projet'!$B$17,Paramètres!$A$1:$I$88,7,0))</f>
        <v>0.26880000000000004</v>
      </c>
      <c r="GK38" s="17">
        <f>IF(ISNA(VLOOKUP(A38,'Données projet'!$A$243:$I$263,7,0)),0%,VLOOKUP(A38,'Données projet'!$A$243:$I$263,7,0))</f>
        <v>0.35200000000000004</v>
      </c>
      <c r="GL38" s="23">
        <f>EXP(-LN(2)/35)*GL37+(1-EXP(-LN(2)/35))/(LN(2)/35)*GH38*GI38*VLOOKUP('Données projet'!$B$17,Paramètres!$A$1:$I$88,3,0)*0.475*44/12</f>
        <v>3.7746595640858849</v>
      </c>
      <c r="GM38" s="23">
        <f>EXP(-LN(2)/25)*GM37+(1-EXP(-LN(2)/25))/(LN(2)/25)*Calculateur!GH38*Calculateur!GJ38*VLOOKUP('Données projet'!$B$17,Paramètres!$A$1:$I$88,3,0)*0.475*44/12</f>
        <v>39.533607882871145</v>
      </c>
      <c r="GN38" s="23">
        <f>EXP(-LN(2)/2)*GN37+(1-EXP(-LN(2)/2))/(LN(2)/2)*GH38*GK38*VLOOKUP('Données projet'!$B$17,Paramètres!$A$1:$I$88,3,0)*0.475*44/12</f>
        <v>12.124670217529429</v>
      </c>
      <c r="GO38" s="23">
        <f t="shared" si="27"/>
        <v>55.43293766448646</v>
      </c>
      <c r="GP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3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6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</v>
      </c>
      <c r="N39" s="14">
        <f>IF('Données projet'!$A$36&gt;35,N38+M39-V38,IF(A39&lt;'Données projet'!$A$36,$K$205^A39,IF(A39='Données projet'!$A$36,'Données projet'!$B$36,N38+M39-V38)))</f>
        <v>108</v>
      </c>
      <c r="O39" s="14">
        <f>N39*VLOOKUP('Données projet'!$B$9,Paramètres!$A$1:$I$88,3,0)*VLOOKUP('Données projet'!$B$9,Paramètres!$A$1:$I$88,5,0)</f>
        <v>97.718399999999988</v>
      </c>
      <c r="P39" s="14">
        <f t="shared" si="33"/>
        <v>26.417709819192194</v>
      </c>
      <c r="Q39" s="22">
        <f t="shared" si="53"/>
        <v>216.20372460175972</v>
      </c>
      <c r="R39" s="59">
        <f t="shared" si="0"/>
        <v>509.537057935093</v>
      </c>
      <c r="S39" s="59">
        <f ca="1">AVERAGE(OFFSET($R$3,0,0,'Données projet'!$E$9+1,1))-AVERAGE(OFFSET($H$3,0,0,'Données projet'!$E$9+1,1))</f>
        <v>247.57967230773539</v>
      </c>
      <c r="T39" s="59">
        <f t="shared" si="34"/>
        <v>156.58857589533295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12.98</v>
      </c>
      <c r="AI39" s="14">
        <f>IF('Données projet'!$A$62&gt;35,AI38+AH39-AQ38,IF(A39&lt;'Données projet'!$A$62,$AF$205^A39,IF(A39='Données projet'!$A$62,'Données projet'!$B$62,AI38+AH39-AQ38)))</f>
        <v>266.08</v>
      </c>
      <c r="AJ39" s="14">
        <f>AI39*VLOOKUP('Données projet'!$B$10,Paramètres!$A$1:$I$88,3,0)*VLOOKUP('Données projet'!$B$10,Paramètres!$A$1:$I$88,5,0)</f>
        <v>211.69324799999998</v>
      </c>
      <c r="AK39" s="14">
        <f t="shared" si="35"/>
        <v>52.305429867997113</v>
      </c>
      <c r="AL39" s="22">
        <f t="shared" si="4"/>
        <v>459.7976972867616</v>
      </c>
      <c r="AM39" s="59">
        <f t="shared" si="5"/>
        <v>753.13103062009486</v>
      </c>
      <c r="AN39" s="59">
        <f ca="1">AVERAGE(OFFSET($AM$3,0,0,'Données projet'!$E$10+1,1))-AVERAGE(OFFSET($H$3,0,0,'Données projet'!$E$10+1,1))</f>
        <v>504.15006129790828</v>
      </c>
      <c r="AO39" s="59">
        <f t="shared" si="36"/>
        <v>374.39334457402742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2.0930633608678999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2.0930633608678999</v>
      </c>
      <c r="AY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12.98</v>
      </c>
      <c r="BD39" s="13">
        <f>IF('Données projet'!$A$88&gt;35,BD38+BC39-BL38,IF(A39&lt;'Données projet'!$A$88,$BA$205^A39,IF(A39='Données projet'!$A$88,'Données projet'!$B$88,BD38+BC39-BL38)))</f>
        <v>266.08</v>
      </c>
      <c r="BE39" s="14">
        <f>BD39*VLOOKUP('Données projet'!$B$11,Paramètres!$A$1:$I$88,3,0)*VLOOKUP('Données projet'!$B$11,Paramètres!$A$1:$I$88,5,0)</f>
        <v>211.69324799999998</v>
      </c>
      <c r="BF39" s="14">
        <f t="shared" si="37"/>
        <v>52.305429867997113</v>
      </c>
      <c r="BG39" s="22">
        <f t="shared" si="7"/>
        <v>459.7976972867616</v>
      </c>
      <c r="BH39" s="59">
        <f t="shared" si="8"/>
        <v>753.13103062009486</v>
      </c>
      <c r="BI39" s="59">
        <f ca="1">AVERAGE(OFFSET($BH$3,0,0,'Données projet'!$E$11+1,1))-AVERAGE(OFFSET($H$3,0,0,'Données projet'!$E$11+1,1))</f>
        <v>504.15006129790828</v>
      </c>
      <c r="BJ39" s="59">
        <f t="shared" si="38"/>
        <v>374.39334457402742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2.0930633608678999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2.0930633608678999</v>
      </c>
      <c r="BT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12.98</v>
      </c>
      <c r="BY39" s="13">
        <f>IF('Données projet'!$A$114&gt;35,BY38+BX39-CG38,IF(A39&lt;'Données projet'!$A$114,$BV$205^A39,IF(A39='Données projet'!$A$114,'Données projet'!$B$114,BY38+BX39-CG38)))</f>
        <v>266.08</v>
      </c>
      <c r="BZ39" s="14">
        <f>BY39*VLOOKUP('Données projet'!$B$12,Paramètres!$A$1:$I$88,3,0)*VLOOKUP('Données projet'!$B$12,Paramètres!$A$1:$I$88,5,0)</f>
        <v>178.48646399999998</v>
      </c>
      <c r="CA39" s="14">
        <f t="shared" si="39"/>
        <v>44.98528698416915</v>
      </c>
      <c r="CB39" s="22">
        <f t="shared" si="10"/>
        <v>389.21329963076124</v>
      </c>
      <c r="CC39" s="59">
        <f t="shared" si="11"/>
        <v>682.54663296409456</v>
      </c>
      <c r="CD39" s="59">
        <f ca="1">AVERAGE(OFFSET($CC$3,0,0,'Données projet'!$E$12+1,1))-AVERAGE(OFFSET($H$3,0,0,'Données projet'!$E$12+1,1))</f>
        <v>387.15063677712425</v>
      </c>
      <c r="CE39" s="59">
        <f t="shared" si="40"/>
        <v>313.19155394370705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1.7647396964180333</v>
      </c>
      <c r="CL39" s="23">
        <f>EXP(-LN(2)/25)*CL38+(1-EXP(-LN(2)/25))/(LN(2)/25)*Calculateur!CG39*Calculateur!CI39*VLOOKUP('Données projet'!$B$12,Paramètres!$A$1:$I$88,3,0)*0.475*44/12</f>
        <v>0</v>
      </c>
      <c r="CM39" s="23">
        <f>EXP(-LN(2)/2)*CM38+(1-EXP(-LN(2)/2))/(LN(2)/2)*CG39*CJ39*VLOOKUP('Données projet'!$B$12,Paramètres!$A$1:$I$88,3,0)*0.475*44/12</f>
        <v>0</v>
      </c>
      <c r="CN39" s="24">
        <f t="shared" si="12"/>
        <v>1.7647396964180333</v>
      </c>
      <c r="CO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3</v>
      </c>
      <c r="CT39" s="13">
        <f>IF('Données projet'!$A$140&gt;35,CT38+CS39-DB38,IF(A39&lt;'Données projet'!$A$140,$CQ$205^A39,IF(A39='Données projet'!$A$140,'Données projet'!$B$140,CT38+CS39-DB38)))</f>
        <v>108</v>
      </c>
      <c r="CU39" s="18">
        <f>CT39*VLOOKUP('Données projet'!$B$13,Paramètres!$A$1:$I$88,3,0)*VLOOKUP('Données projet'!$B$13,Paramètres!$A$1:$I$88,5,0)</f>
        <v>104.4576</v>
      </c>
      <c r="CV39" s="14">
        <f t="shared" si="41"/>
        <v>28.021248860498272</v>
      </c>
      <c r="CW39" s="22">
        <f t="shared" si="13"/>
        <v>230.73399509870114</v>
      </c>
      <c r="CX39" s="59">
        <f t="shared" si="14"/>
        <v>524.0673284320344</v>
      </c>
      <c r="CY39" s="59">
        <f ca="1">AVERAGE(OFFSET($CX$3,0,0,'Données projet'!$E$13+1,1))-AVERAGE(OFFSET($H$3,0,0,'Données projet'!$E$13+1,1))</f>
        <v>306.00894145276209</v>
      </c>
      <c r="CZ39" s="59">
        <f t="shared" si="42"/>
        <v>168.74705421228828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0</v>
      </c>
      <c r="DG39" s="23">
        <f>EXP(-LN(2)/25)*DG38+(1-EXP(-LN(2)/25))/(LN(2)/25)*Calculateur!DB39*Calculateur!DD39*VLOOKUP('Données projet'!$B$13,Paramètres!$A$1:$I$88,3,0)*0.475*44/12</f>
        <v>0</v>
      </c>
      <c r="DH39" s="23">
        <f>EXP(-LN(2)/2)*DH38+(1-EXP(-LN(2)/2))/(LN(2)/2)*DB39*DE39*VLOOKUP('Données projet'!$B$13,Paramètres!$A$1:$I$88,3,0)*0.475*44/12</f>
        <v>0</v>
      </c>
      <c r="DI39" s="24">
        <f t="shared" si="15"/>
        <v>0</v>
      </c>
      <c r="DJ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12.98</v>
      </c>
      <c r="DO39" s="13">
        <f>IF('Données projet'!$A$166&gt;35,DO38+DN39-DW38,IF(A39&lt;'Données projet'!$A$166,$DL$205^A39,IF(A39='Données projet'!$A$166,'Données projet'!$B$166,DO38+DN39-DW38)))</f>
        <v>266.08</v>
      </c>
      <c r="DP39" s="18">
        <f>DO39*VLOOKUP('Données projet'!$B$14,Paramètres!$A$1:$I$88,3,0)*VLOOKUP('Données projet'!$B$14,Paramètres!$A$1:$I$88,5,0)</f>
        <v>207.54239999999999</v>
      </c>
      <c r="DQ39" s="14">
        <f t="shared" si="43"/>
        <v>51.398170876659371</v>
      </c>
      <c r="DR39" s="22">
        <f t="shared" si="16"/>
        <v>450.98816094351508</v>
      </c>
      <c r="DS39" s="59">
        <f t="shared" si="17"/>
        <v>744.3214942768484</v>
      </c>
      <c r="DT39" s="59">
        <f ca="1">AVERAGE(OFFSET($DS$3,0,0,'Données projet'!$E$14+1,1))-AVERAGE(OFFSET($H$3,0,0,'Données projet'!$E$14+1,1))</f>
        <v>458.14328535055694</v>
      </c>
      <c r="DU39" s="59">
        <f t="shared" si="44"/>
        <v>366.75500153675739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projet'!$B$14,Paramètres!$A$1:$I$88,3,0)*0.475*44/12</f>
        <v>1.6648487702056916</v>
      </c>
      <c r="EB39" s="23">
        <f>EXP(-LN(2)/25)*EB38+(1-EXP(-LN(2)/25))/(LN(2)/25)*Calculateur!DW39*Calculateur!DY39*VLOOKUP('Données projet'!$B$14,Paramètres!$A$1:$I$88,3,0)*0.475*44/12</f>
        <v>0</v>
      </c>
      <c r="EC39" s="23">
        <f>EXP(-LN(2)/2)*EC38+(1-EXP(-LN(2)/2))/(LN(2)/2)*DW39*DZ39*VLOOKUP('Données projet'!$B$14,Paramètres!$A$1:$I$88,3,0)*0.475*44/12</f>
        <v>0</v>
      </c>
      <c r="ED39" s="24">
        <f t="shared" si="18"/>
        <v>1.6648487702056916</v>
      </c>
      <c r="EE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14.4</v>
      </c>
      <c r="EJ39" s="13">
        <f>IF('Données projet'!$A$192&gt;35,EJ38+EI39-ER38,IF(A39&lt;'Données projet'!$A$192,$EG$205^A39,IF(A39='Données projet'!$A$192,'Données projet'!$B$192,EJ38+EI39-ER38)))</f>
        <v>179.40000000000003</v>
      </c>
      <c r="EK39" s="18">
        <f>EJ39*VLOOKUP('Données projet'!$B$15,Paramètres!$A$1:$I$88,3,0)*VLOOKUP('Données projet'!$B$15,Paramètres!$A$1:$I$88,5,0)</f>
        <v>153.92520000000005</v>
      </c>
      <c r="EL39" s="14">
        <f t="shared" si="45"/>
        <v>39.469255934857685</v>
      </c>
      <c r="EM39" s="22">
        <f t="shared" si="19"/>
        <v>336.82867741987718</v>
      </c>
      <c r="EN39" s="59">
        <f t="shared" si="20"/>
        <v>630.16201075321055</v>
      </c>
      <c r="EO39" s="59">
        <f ca="1">AVERAGE(OFFSET($EN$3,0,0,'Données projet'!$E$15+1,1))-AVERAGE(OFFSET($H$3,0,0,'Données projet'!$E$15+1,1))</f>
        <v>462.99360395552145</v>
      </c>
      <c r="EP39" s="59">
        <f t="shared" si="46"/>
        <v>153.03880717786046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projet'!$B$15,Paramètres!$A$1:$I$88,3,0)*0.475*44/12</f>
        <v>0</v>
      </c>
      <c r="EW39" s="23">
        <f>EXP(-LN(2)/25)*EW38+(1-EXP(-LN(2)/25))/(LN(2)/25)*Calculateur!ER39*Calculateur!ET39*VLOOKUP('Données projet'!$B$15,Paramètres!$A$1:$I$88,3,0)*0.475*44/12</f>
        <v>0</v>
      </c>
      <c r="EX39" s="23">
        <f>EXP(-LN(2)/2)*EX38+(1-EXP(-LN(2)/2))/(LN(2)/2)*ER39*EU39*VLOOKUP('Données projet'!$B$15,Paramètres!$A$1:$I$88,3,0)*0.475*44/12</f>
        <v>0</v>
      </c>
      <c r="EY39" s="24">
        <f t="shared" si="21"/>
        <v>0</v>
      </c>
      <c r="EZ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10.060000000000002</v>
      </c>
      <c r="FE39" s="13">
        <f>IF('Données projet'!$A$218&gt;35,FE38+FD39-FM38,IF(A39&lt;'Données projet'!$A$218,$FB$205^A39,IF(A39='Données projet'!$A$218,'Données projet'!$B$218,FE38+FD39-FM38)))</f>
        <v>205.7600000000001</v>
      </c>
      <c r="FF39" s="18">
        <f>FE39*VLOOKUP('Données projet'!$B$16,Paramètres!$A$1:$I$88,3,0)*VLOOKUP('Données projet'!$B$16,Paramètres!$A$1:$I$88,5,0)</f>
        <v>179.75193600000011</v>
      </c>
      <c r="FG39" s="14">
        <f t="shared" si="47"/>
        <v>45.2669920679825</v>
      </c>
      <c r="FH39" s="22">
        <f t="shared" si="22"/>
        <v>391.90796638506964</v>
      </c>
      <c r="FI39" s="59">
        <f t="shared" si="23"/>
        <v>685.24129971840296</v>
      </c>
      <c r="FJ39" s="59">
        <f ca="1">AVERAGE(OFFSET($FI$3,0,0,'Données projet'!$E$16+1,1))-AVERAGE(OFFSET($H$3,0,0,'Données projet'!$E$16+1,1))</f>
        <v>427.76895185088944</v>
      </c>
      <c r="FK39" s="59">
        <f t="shared" si="48"/>
        <v>308.32543361559135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projet'!$B$16,Paramètres!$A$1:$I$88,3,0)*0.475*44/12</f>
        <v>1.6358834110799039</v>
      </c>
      <c r="FR39" s="23">
        <f>EXP(-LN(2)/25)*FR38+(1-EXP(-LN(2)/25))/(LN(2)/25)*Calculateur!FM39*Calculateur!FO39*VLOOKUP('Données projet'!$B$16,Paramètres!$A$1:$I$88,3,0)*0.475*44/12</f>
        <v>0</v>
      </c>
      <c r="FS39" s="23">
        <f>EXP(-LN(2)/2)*FS38+(1-EXP(-LN(2)/2))/(LN(2)/2)*FM39*FP39*VLOOKUP('Données projet'!$B$16,Paramètres!$A$1:$I$88,3,0)*0.475*44/12</f>
        <v>0</v>
      </c>
      <c r="FT39" s="24">
        <f t="shared" si="24"/>
        <v>1.6358834110799039</v>
      </c>
      <c r="FU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11.6</v>
      </c>
      <c r="FZ39" s="13">
        <f>IF('Données projet'!$A$244&gt;35,FZ38+FY39-GH38,IF(A39&lt;'Données projet'!$A$244,$FW$205^A39,IF(A39='Données projet'!$A$244,'Données projet'!$B$244,FZ38+FY39-GH38)))</f>
        <v>238.60000000000002</v>
      </c>
      <c r="GA39" s="18">
        <f>FZ39*VLOOKUP('Données projet'!$B$17,Paramètres!$A$1:$I$88,3,0)*VLOOKUP('Données projet'!$B$17,Paramètres!$A$1:$I$88,5,0)</f>
        <v>148.88640000000001</v>
      </c>
      <c r="GB39" s="14">
        <f t="shared" si="49"/>
        <v>38.325406376067519</v>
      </c>
      <c r="GC39" s="22">
        <f t="shared" si="25"/>
        <v>326.06056277165095</v>
      </c>
      <c r="GD39" s="59">
        <f t="shared" si="26"/>
        <v>619.39389610498426</v>
      </c>
      <c r="GE39" s="59">
        <f ca="1">AVERAGE(OFFSET($GD$3,0,0,'Données projet'!$E$17+1,1))-AVERAGE(OFFSET($H$3,0,0,'Données projet'!$E$17+1,1))</f>
        <v>247.85542034088905</v>
      </c>
      <c r="GF39" s="59">
        <f t="shared" si="50"/>
        <v>299.52241743660352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projet'!$B$17,Paramètres!$A$1:$I$88,3,0)*0.475*44/12</f>
        <v>3.70064079234916</v>
      </c>
      <c r="GM39" s="23">
        <f>EXP(-LN(2)/25)*GM38+(1-EXP(-LN(2)/25))/(LN(2)/25)*Calculateur!GH39*Calculateur!GJ39*VLOOKUP('Données projet'!$B$17,Paramètres!$A$1:$I$88,3,0)*0.475*44/12</f>
        <v>38.452559296331948</v>
      </c>
      <c r="GN39" s="23">
        <f>EXP(-LN(2)/2)*GN38+(1-EXP(-LN(2)/2))/(LN(2)/2)*GH39*GK39*VLOOKUP('Données projet'!$B$17,Paramètres!$A$1:$I$88,3,0)*0.475*44/12</f>
        <v>8.5734365304656315</v>
      </c>
      <c r="GO39" s="23">
        <f t="shared" si="27"/>
        <v>50.726636619146745</v>
      </c>
      <c r="GP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3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6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</v>
      </c>
      <c r="N40" s="14">
        <f>IF('Données projet'!$A$36&gt;35,N39+M40-V39,IF(A40&lt;'Données projet'!$A$36,$K$205^A40,IF(A40='Données projet'!$A$36,'Données projet'!$B$36,N39+M40-V39)))</f>
        <v>111</v>
      </c>
      <c r="O40" s="14">
        <f>N40*VLOOKUP('Données projet'!$B$9,Paramètres!$A$1:$I$88,3,0)*VLOOKUP('Données projet'!$B$9,Paramètres!$A$1:$I$88,5,0)</f>
        <v>100.4328</v>
      </c>
      <c r="P40" s="14">
        <f t="shared" si="33"/>
        <v>27.065080249927675</v>
      </c>
      <c r="Q40" s="22">
        <f t="shared" si="53"/>
        <v>222.0588081019574</v>
      </c>
      <c r="R40" s="59">
        <f t="shared" si="0"/>
        <v>515.39214143529068</v>
      </c>
      <c r="S40" s="59">
        <f ca="1">AVERAGE(OFFSET($R$3,0,0,'Données projet'!$E$9+1,1))-AVERAGE(OFFSET($H$3,0,0,'Données projet'!$E$9+1,1))</f>
        <v>247.57967230773539</v>
      </c>
      <c r="T40" s="59">
        <f t="shared" si="34"/>
        <v>156.58857589533295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12.98</v>
      </c>
      <c r="AI40" s="14">
        <f>IF('Données projet'!$A$62&gt;35,AI39+AH40-AQ39,IF(A40&lt;'Données projet'!$A$62,$AF$205^A40,IF(A40='Données projet'!$A$62,'Données projet'!$B$62,AI39+AH40-AQ39)))</f>
        <v>279.06</v>
      </c>
      <c r="AJ40" s="14">
        <f>AI40*VLOOKUP('Données projet'!$B$10,Paramètres!$A$1:$I$88,3,0)*VLOOKUP('Données projet'!$B$10,Paramètres!$A$1:$I$88,5,0)</f>
        <v>222.02013600000004</v>
      </c>
      <c r="AK40" s="14">
        <f t="shared" si="35"/>
        <v>54.553718452032832</v>
      </c>
      <c r="AL40" s="22">
        <f t="shared" si="4"/>
        <v>481.69946317062391</v>
      </c>
      <c r="AM40" s="59">
        <f t="shared" si="5"/>
        <v>775.03279650395723</v>
      </c>
      <c r="AN40" s="59">
        <f ca="1">AVERAGE(OFFSET($AM$3,0,0,'Données projet'!$E$10+1,1))-AVERAGE(OFFSET($H$3,0,0,'Données projet'!$E$10+1,1))</f>
        <v>504.15006129790828</v>
      </c>
      <c r="AO40" s="59">
        <f t="shared" si="36"/>
        <v>374.39334457402742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2.0520196650038725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2.0520196650038725</v>
      </c>
      <c r="AY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12.98</v>
      </c>
      <c r="BD40" s="13">
        <f>IF('Données projet'!$A$88&gt;35,BD39+BC40-BL39,IF(A40&lt;'Données projet'!$A$88,$BA$205^A40,IF(A40='Données projet'!$A$88,'Données projet'!$B$88,BD39+BC40-BL39)))</f>
        <v>279.06</v>
      </c>
      <c r="BE40" s="14">
        <f>BD40*VLOOKUP('Données projet'!$B$11,Paramètres!$A$1:$I$88,3,0)*VLOOKUP('Données projet'!$B$11,Paramètres!$A$1:$I$88,5,0)</f>
        <v>222.02013600000004</v>
      </c>
      <c r="BF40" s="14">
        <f t="shared" si="37"/>
        <v>54.553718452032832</v>
      </c>
      <c r="BG40" s="22">
        <f t="shared" si="7"/>
        <v>481.69946317062391</v>
      </c>
      <c r="BH40" s="59">
        <f t="shared" si="8"/>
        <v>775.03279650395723</v>
      </c>
      <c r="BI40" s="59">
        <f ca="1">AVERAGE(OFFSET($BH$3,0,0,'Données projet'!$E$11+1,1))-AVERAGE(OFFSET($H$3,0,0,'Données projet'!$E$11+1,1))</f>
        <v>504.15006129790828</v>
      </c>
      <c r="BJ40" s="59">
        <f t="shared" si="38"/>
        <v>374.39334457402742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2.0520196650038725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2.0520196650038725</v>
      </c>
      <c r="BT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12.98</v>
      </c>
      <c r="BY40" s="13">
        <f>IF('Données projet'!$A$114&gt;35,BY39+BX40-CG39,IF(A40&lt;'Données projet'!$A$114,$BV$205^A40,IF(A40='Données projet'!$A$114,'Données projet'!$B$114,BY39+BX40-CG39)))</f>
        <v>279.06</v>
      </c>
      <c r="BZ40" s="14">
        <f>BY40*VLOOKUP('Données projet'!$B$12,Paramètres!$A$1:$I$88,3,0)*VLOOKUP('Données projet'!$B$12,Paramètres!$A$1:$I$88,5,0)</f>
        <v>187.19344800000002</v>
      </c>
      <c r="CA40" s="14">
        <f t="shared" si="39"/>
        <v>46.918927667962826</v>
      </c>
      <c r="CB40" s="22">
        <f t="shared" si="10"/>
        <v>407.74572095503527</v>
      </c>
      <c r="CC40" s="59">
        <f t="shared" si="11"/>
        <v>701.07905428836852</v>
      </c>
      <c r="CD40" s="59">
        <f ca="1">AVERAGE(OFFSET($CC$3,0,0,'Données projet'!$E$12+1,1))-AVERAGE(OFFSET($H$3,0,0,'Données projet'!$E$12+1,1))</f>
        <v>387.15063677712425</v>
      </c>
      <c r="CE40" s="59">
        <f t="shared" si="40"/>
        <v>313.19155394370705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1.7301342273562064</v>
      </c>
      <c r="CL40" s="23">
        <f>EXP(-LN(2)/25)*CL39+(1-EXP(-LN(2)/25))/(LN(2)/25)*Calculateur!CG40*Calculateur!CI40*VLOOKUP('Données projet'!$B$12,Paramètres!$A$1:$I$88,3,0)*0.475*44/12</f>
        <v>0</v>
      </c>
      <c r="CM40" s="23">
        <f>EXP(-LN(2)/2)*CM39+(1-EXP(-LN(2)/2))/(LN(2)/2)*CG40*CJ40*VLOOKUP('Données projet'!$B$12,Paramètres!$A$1:$I$88,3,0)*0.475*44/12</f>
        <v>0</v>
      </c>
      <c r="CN40" s="24">
        <f t="shared" si="12"/>
        <v>1.7301342273562064</v>
      </c>
      <c r="CO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3</v>
      </c>
      <c r="CT40" s="13">
        <f>IF('Données projet'!$A$140&gt;35,CT39+CS40-DB39,IF(A40&lt;'Données projet'!$A$140,$CQ$205^A40,IF(A40='Données projet'!$A$140,'Données projet'!$B$140,CT39+CS40-DB39)))</f>
        <v>111</v>
      </c>
      <c r="CU40" s="18">
        <f>CT40*VLOOKUP('Données projet'!$B$13,Paramètres!$A$1:$I$88,3,0)*VLOOKUP('Données projet'!$B$13,Paramètres!$A$1:$I$88,5,0)</f>
        <v>107.35919999999999</v>
      </c>
      <c r="CV40" s="14">
        <f t="shared" si="41"/>
        <v>28.707914285651373</v>
      </c>
      <c r="CW40" s="22">
        <f t="shared" si="13"/>
        <v>236.98355738084277</v>
      </c>
      <c r="CX40" s="59">
        <f t="shared" si="14"/>
        <v>530.31689071417611</v>
      </c>
      <c r="CY40" s="59">
        <f ca="1">AVERAGE(OFFSET($CX$3,0,0,'Données projet'!$E$13+1,1))-AVERAGE(OFFSET($H$3,0,0,'Données projet'!$E$13+1,1))</f>
        <v>306.00894145276209</v>
      </c>
      <c r="CZ40" s="59">
        <f t="shared" si="42"/>
        <v>168.74705421228828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0</v>
      </c>
      <c r="DG40" s="23">
        <f>EXP(-LN(2)/25)*DG39+(1-EXP(-LN(2)/25))/(LN(2)/25)*Calculateur!DB40*Calculateur!DD40*VLOOKUP('Données projet'!$B$13,Paramètres!$A$1:$I$88,3,0)*0.475*44/12</f>
        <v>0</v>
      </c>
      <c r="DH40" s="23">
        <f>EXP(-LN(2)/2)*DH39+(1-EXP(-LN(2)/2))/(LN(2)/2)*DB40*DE40*VLOOKUP('Données projet'!$B$13,Paramètres!$A$1:$I$88,3,0)*0.475*44/12</f>
        <v>0</v>
      </c>
      <c r="DI40" s="24">
        <f t="shared" si="15"/>
        <v>0</v>
      </c>
      <c r="DJ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12.98</v>
      </c>
      <c r="DO40" s="13">
        <f>IF('Données projet'!$A$166&gt;35,DO39+DN40-DW39,IF(A40&lt;'Données projet'!$A$166,$DL$205^A40,IF(A40='Données projet'!$A$166,'Données projet'!$B$166,DO39+DN40-DW39)))</f>
        <v>279.06</v>
      </c>
      <c r="DP40" s="18">
        <f>DO40*VLOOKUP('Données projet'!$B$14,Paramètres!$A$1:$I$88,3,0)*VLOOKUP('Données projet'!$B$14,Paramètres!$A$1:$I$88,5,0)</f>
        <v>217.66680000000002</v>
      </c>
      <c r="DQ40" s="14">
        <f t="shared" si="43"/>
        <v>53.607461979207251</v>
      </c>
      <c r="DR40" s="22">
        <f t="shared" si="16"/>
        <v>472.46933961378596</v>
      </c>
      <c r="DS40" s="59">
        <f t="shared" si="17"/>
        <v>765.80267294711928</v>
      </c>
      <c r="DT40" s="59">
        <f ca="1">AVERAGE(OFFSET($DS$3,0,0,'Données projet'!$E$14+1,1))-AVERAGE(OFFSET($H$3,0,0,'Données projet'!$E$14+1,1))</f>
        <v>458.14328535055694</v>
      </c>
      <c r="DU40" s="59">
        <f t="shared" si="44"/>
        <v>366.75500153675739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projet'!$B$14,Paramètres!$A$1:$I$88,3,0)*0.475*44/12</f>
        <v>1.6322021012794397</v>
      </c>
      <c r="EB40" s="23">
        <f>EXP(-LN(2)/25)*EB39+(1-EXP(-LN(2)/25))/(LN(2)/25)*Calculateur!DW40*Calculateur!DY40*VLOOKUP('Données projet'!$B$14,Paramètres!$A$1:$I$88,3,0)*0.475*44/12</f>
        <v>0</v>
      </c>
      <c r="EC40" s="23">
        <f>EXP(-LN(2)/2)*EC39+(1-EXP(-LN(2)/2))/(LN(2)/2)*DW40*DZ40*VLOOKUP('Données projet'!$B$14,Paramètres!$A$1:$I$88,3,0)*0.475*44/12</f>
        <v>0</v>
      </c>
      <c r="ED40" s="24">
        <f t="shared" si="18"/>
        <v>1.6322021012794397</v>
      </c>
      <c r="EE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14.4</v>
      </c>
      <c r="EJ40" s="13">
        <f>IF('Données projet'!$A$192&gt;35,EJ39+EI40-ER39,IF(A40&lt;'Données projet'!$A$192,$EG$205^A40,IF(A40='Données projet'!$A$192,'Données projet'!$B$192,EJ39+EI40-ER39)))</f>
        <v>193.80000000000004</v>
      </c>
      <c r="EK40" s="18">
        <f>EJ40*VLOOKUP('Données projet'!$B$15,Paramètres!$A$1:$I$88,3,0)*VLOOKUP('Données projet'!$B$15,Paramètres!$A$1:$I$88,5,0)</f>
        <v>166.28040000000004</v>
      </c>
      <c r="EL40" s="14">
        <f t="shared" si="45"/>
        <v>42.255887340755905</v>
      </c>
      <c r="EM40" s="22">
        <f t="shared" si="19"/>
        <v>363.2007004518166</v>
      </c>
      <c r="EN40" s="59">
        <f t="shared" si="20"/>
        <v>656.53403378514986</v>
      </c>
      <c r="EO40" s="59">
        <f ca="1">AVERAGE(OFFSET($EN$3,0,0,'Données projet'!$E$15+1,1))-AVERAGE(OFFSET($H$3,0,0,'Données projet'!$E$15+1,1))</f>
        <v>462.99360395552145</v>
      </c>
      <c r="EP40" s="59">
        <f t="shared" si="46"/>
        <v>153.03880717786046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projet'!$B$15,Paramètres!$A$1:$I$88,3,0)*0.475*44/12</f>
        <v>0</v>
      </c>
      <c r="EW40" s="23">
        <f>EXP(-LN(2)/25)*EW39+(1-EXP(-LN(2)/25))/(LN(2)/25)*Calculateur!ER40*Calculateur!ET40*VLOOKUP('Données projet'!$B$15,Paramètres!$A$1:$I$88,3,0)*0.475*44/12</f>
        <v>0</v>
      </c>
      <c r="EX40" s="23">
        <f>EXP(-LN(2)/2)*EX39+(1-EXP(-LN(2)/2))/(LN(2)/2)*ER40*EU40*VLOOKUP('Données projet'!$B$15,Paramètres!$A$1:$I$88,3,0)*0.475*44/12</f>
        <v>0</v>
      </c>
      <c r="EY40" s="24">
        <f t="shared" si="21"/>
        <v>0</v>
      </c>
      <c r="EZ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10.060000000000002</v>
      </c>
      <c r="FE40" s="13">
        <f>IF('Données projet'!$A$218&gt;35,FE39+FD40-FM39,IF(A40&lt;'Données projet'!$A$218,$FB$205^A40,IF(A40='Données projet'!$A$218,'Données projet'!$B$218,FE39+FD40-FM39)))</f>
        <v>215.82000000000011</v>
      </c>
      <c r="FF40" s="18">
        <f>FE40*VLOOKUP('Données projet'!$B$16,Paramètres!$A$1:$I$88,3,0)*VLOOKUP('Données projet'!$B$16,Paramètres!$A$1:$I$88,5,0)</f>
        <v>188.54035200000013</v>
      </c>
      <c r="FG40" s="14">
        <f t="shared" si="47"/>
        <v>47.217100701872631</v>
      </c>
      <c r="FH40" s="22">
        <f t="shared" si="22"/>
        <v>410.61089678909502</v>
      </c>
      <c r="FI40" s="59">
        <f t="shared" si="23"/>
        <v>703.94423012242828</v>
      </c>
      <c r="FJ40" s="59">
        <f ca="1">AVERAGE(OFFSET($FI$3,0,0,'Données projet'!$E$16+1,1))-AVERAGE(OFFSET($H$3,0,0,'Données projet'!$E$16+1,1))</f>
        <v>427.76895185088944</v>
      </c>
      <c r="FK40" s="59">
        <f t="shared" si="48"/>
        <v>308.32543361559135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projet'!$B$16,Paramètres!$A$1:$I$88,3,0)*0.475*44/12</f>
        <v>1.6038047351789841</v>
      </c>
      <c r="FR40" s="23">
        <f>EXP(-LN(2)/25)*FR39+(1-EXP(-LN(2)/25))/(LN(2)/25)*Calculateur!FM40*Calculateur!FO40*VLOOKUP('Données projet'!$B$16,Paramètres!$A$1:$I$88,3,0)*0.475*44/12</f>
        <v>0</v>
      </c>
      <c r="FS40" s="23">
        <f>EXP(-LN(2)/2)*FS39+(1-EXP(-LN(2)/2))/(LN(2)/2)*FM40*FP40*VLOOKUP('Données projet'!$B$16,Paramètres!$A$1:$I$88,3,0)*0.475*44/12</f>
        <v>0</v>
      </c>
      <c r="FT40" s="24">
        <f t="shared" si="24"/>
        <v>1.6038047351789841</v>
      </c>
      <c r="FU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11.6</v>
      </c>
      <c r="FZ40" s="13">
        <f>IF('Données projet'!$A$244&gt;35,FZ39+FY40-GH39,IF(A40&lt;'Données projet'!$A$244,$FW$205^A40,IF(A40='Données projet'!$A$244,'Données projet'!$B$244,FZ39+FY40-GH39)))</f>
        <v>250.20000000000002</v>
      </c>
      <c r="GA40" s="18">
        <f>FZ40*VLOOKUP('Données projet'!$B$17,Paramètres!$A$1:$I$88,3,0)*VLOOKUP('Données projet'!$B$17,Paramètres!$A$1:$I$88,5,0)</f>
        <v>156.12480000000002</v>
      </c>
      <c r="GB40" s="14">
        <f t="shared" si="49"/>
        <v>39.967209898852225</v>
      </c>
      <c r="GC40" s="22">
        <f t="shared" si="25"/>
        <v>341.52691724050095</v>
      </c>
      <c r="GD40" s="59">
        <f t="shared" si="26"/>
        <v>634.86025057383426</v>
      </c>
      <c r="GE40" s="59">
        <f ca="1">AVERAGE(OFFSET($GD$3,0,0,'Données projet'!$E$17+1,1))-AVERAGE(OFFSET($H$3,0,0,'Données projet'!$E$17+1,1))</f>
        <v>247.85542034088905</v>
      </c>
      <c r="GF40" s="59">
        <f t="shared" si="50"/>
        <v>299.52241743660352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projet'!$B$17,Paramètres!$A$1:$I$88,3,0)*0.475*44/12</f>
        <v>3.6280734835791995</v>
      </c>
      <c r="GM40" s="23">
        <f>EXP(-LN(2)/25)*GM39+(1-EXP(-LN(2)/25))/(LN(2)/25)*Calculateur!GH40*Calculateur!GJ40*VLOOKUP('Données projet'!$B$17,Paramètres!$A$1:$I$88,3,0)*0.475*44/12</f>
        <v>37.401072040241544</v>
      </c>
      <c r="GN40" s="23">
        <f>EXP(-LN(2)/2)*GN39+(1-EXP(-LN(2)/2))/(LN(2)/2)*GH40*GK40*VLOOKUP('Données projet'!$B$17,Paramètres!$A$1:$I$88,3,0)*0.475*44/12</f>
        <v>6.0623351087647146</v>
      </c>
      <c r="GO40" s="23">
        <f t="shared" si="27"/>
        <v>47.091480632585458</v>
      </c>
      <c r="GP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3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6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</v>
      </c>
      <c r="N41" s="14">
        <f>IF('Données projet'!$A$36&gt;35,N40+M41-V40,IF(A41&lt;'Données projet'!$A$36,$K$205^A41,IF(A41='Données projet'!$A$36,'Données projet'!$B$36,N40+M41-V40)))</f>
        <v>114</v>
      </c>
      <c r="O41" s="14">
        <f>N41*VLOOKUP('Données projet'!$B$9,Paramètres!$A$1:$I$88,3,0)*VLOOKUP('Données projet'!$B$9,Paramètres!$A$1:$I$88,5,0)</f>
        <v>103.14719999999998</v>
      </c>
      <c r="P41" s="14">
        <f t="shared" si="33"/>
        <v>27.710417026801451</v>
      </c>
      <c r="Q41" s="22">
        <f t="shared" si="53"/>
        <v>227.91034965501251</v>
      </c>
      <c r="R41" s="59">
        <f t="shared" si="0"/>
        <v>521.24368298834588</v>
      </c>
      <c r="S41" s="59">
        <f ca="1">AVERAGE(OFFSET($R$3,0,0,'Données projet'!$E$9+1,1))-AVERAGE(OFFSET($H$3,0,0,'Données projet'!$E$9+1,1))</f>
        <v>247.57967230773539</v>
      </c>
      <c r="T41" s="59">
        <f t="shared" si="34"/>
        <v>156.58857589533295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12.98</v>
      </c>
      <c r="AI41" s="14">
        <f>IF('Données projet'!$A$62&gt;35,AI40+AH41-AQ40,IF(A41&lt;'Données projet'!$A$62,$AF$205^A41,IF(A41='Données projet'!$A$62,'Données projet'!$B$62,AI40+AH41-AQ40)))</f>
        <v>292.04000000000002</v>
      </c>
      <c r="AJ41" s="14">
        <f>AI41*VLOOKUP('Données projet'!$B$10,Paramètres!$A$1:$I$88,3,0)*VLOOKUP('Données projet'!$B$10,Paramètres!$A$1:$I$88,5,0)</f>
        <v>232.34702400000003</v>
      </c>
      <c r="AK41" s="14">
        <f t="shared" si="35"/>
        <v>56.789862738953104</v>
      </c>
      <c r="AL41" s="22">
        <f t="shared" si="4"/>
        <v>503.58007773701001</v>
      </c>
      <c r="AM41" s="59">
        <f t="shared" si="5"/>
        <v>796.91341107034327</v>
      </c>
      <c r="AN41" s="59">
        <f ca="1">AVERAGE(OFFSET($AM$3,0,0,'Données projet'!$E$10+1,1))-AVERAGE(OFFSET($H$3,0,0,'Données projet'!$E$10+1,1))</f>
        <v>504.15006129790828</v>
      </c>
      <c r="AO41" s="59">
        <f t="shared" si="36"/>
        <v>374.39334457402742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2.011780810981556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2.011780810981556</v>
      </c>
      <c r="AY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12.98</v>
      </c>
      <c r="BD41" s="13">
        <f>IF('Données projet'!$A$88&gt;35,BD40+BC41-BL40,IF(A41&lt;'Données projet'!$A$88,$BA$205^A41,IF(A41='Données projet'!$A$88,'Données projet'!$B$88,BD40+BC41-BL40)))</f>
        <v>292.04000000000002</v>
      </c>
      <c r="BE41" s="14">
        <f>BD41*VLOOKUP('Données projet'!$B$11,Paramètres!$A$1:$I$88,3,0)*VLOOKUP('Données projet'!$B$11,Paramètres!$A$1:$I$88,5,0)</f>
        <v>232.34702400000003</v>
      </c>
      <c r="BF41" s="14">
        <f t="shared" si="37"/>
        <v>56.789862738953104</v>
      </c>
      <c r="BG41" s="22">
        <f t="shared" si="7"/>
        <v>503.58007773701001</v>
      </c>
      <c r="BH41" s="59">
        <f t="shared" si="8"/>
        <v>796.91341107034327</v>
      </c>
      <c r="BI41" s="59">
        <f ca="1">AVERAGE(OFFSET($BH$3,0,0,'Données projet'!$E$11+1,1))-AVERAGE(OFFSET($H$3,0,0,'Données projet'!$E$11+1,1))</f>
        <v>504.15006129790828</v>
      </c>
      <c r="BJ41" s="59">
        <f t="shared" si="38"/>
        <v>374.39334457402742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2.011780810981556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2.011780810981556</v>
      </c>
      <c r="BT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12.98</v>
      </c>
      <c r="BY41" s="13">
        <f>IF('Données projet'!$A$114&gt;35,BY40+BX41-CG40,IF(A41&lt;'Données projet'!$A$114,$BV$205^A41,IF(A41='Données projet'!$A$114,'Données projet'!$B$114,BY40+BX41-CG40)))</f>
        <v>292.04000000000002</v>
      </c>
      <c r="BZ41" s="14">
        <f>BY41*VLOOKUP('Données projet'!$B$12,Paramètres!$A$1:$I$88,3,0)*VLOOKUP('Données projet'!$B$12,Paramètres!$A$1:$I$88,5,0)</f>
        <v>195.90043200000002</v>
      </c>
      <c r="CA41" s="14">
        <f t="shared" si="39"/>
        <v>48.842123648551912</v>
      </c>
      <c r="CB41" s="22">
        <f t="shared" si="10"/>
        <v>426.25995108789454</v>
      </c>
      <c r="CC41" s="59">
        <f t="shared" si="11"/>
        <v>719.59328442122785</v>
      </c>
      <c r="CD41" s="59">
        <f ca="1">AVERAGE(OFFSET($CC$3,0,0,'Données projet'!$E$12+1,1))-AVERAGE(OFFSET($H$3,0,0,'Données projet'!$E$12+1,1))</f>
        <v>387.15063677712425</v>
      </c>
      <c r="CE41" s="59">
        <f t="shared" si="40"/>
        <v>313.19155394370705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1.6962073504354298</v>
      </c>
      <c r="CL41" s="23">
        <f>EXP(-LN(2)/25)*CL40+(1-EXP(-LN(2)/25))/(LN(2)/25)*Calculateur!CG41*Calculateur!CI41*VLOOKUP('Données projet'!$B$12,Paramètres!$A$1:$I$88,3,0)*0.475*44/12</f>
        <v>0</v>
      </c>
      <c r="CM41" s="23">
        <f>EXP(-LN(2)/2)*CM40+(1-EXP(-LN(2)/2))/(LN(2)/2)*CG41*CJ41*VLOOKUP('Données projet'!$B$12,Paramètres!$A$1:$I$88,3,0)*0.475*44/12</f>
        <v>0</v>
      </c>
      <c r="CN41" s="24">
        <f t="shared" si="12"/>
        <v>1.6962073504354298</v>
      </c>
      <c r="CO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3</v>
      </c>
      <c r="CT41" s="13">
        <f>IF('Données projet'!$A$140&gt;35,CT40+CS41-DB40,IF(A41&lt;'Données projet'!$A$140,$CQ$205^A41,IF(A41='Données projet'!$A$140,'Données projet'!$B$140,CT40+CS41-DB40)))</f>
        <v>114</v>
      </c>
      <c r="CU41" s="18">
        <f>CT41*VLOOKUP('Données projet'!$B$13,Paramètres!$A$1:$I$88,3,0)*VLOOKUP('Données projet'!$B$13,Paramètres!$A$1:$I$88,5,0)</f>
        <v>110.26079999999999</v>
      </c>
      <c r="CV41" s="14">
        <f t="shared" si="41"/>
        <v>29.392422615380774</v>
      </c>
      <c r="CW41" s="22">
        <f t="shared" si="13"/>
        <v>243.22936272178819</v>
      </c>
      <c r="CX41" s="59">
        <f t="shared" si="14"/>
        <v>536.56269605512148</v>
      </c>
      <c r="CY41" s="59">
        <f ca="1">AVERAGE(OFFSET($CX$3,0,0,'Données projet'!$E$13+1,1))-AVERAGE(OFFSET($H$3,0,0,'Données projet'!$E$13+1,1))</f>
        <v>306.00894145276209</v>
      </c>
      <c r="CZ41" s="59">
        <f t="shared" si="42"/>
        <v>168.74705421228828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0</v>
      </c>
      <c r="DG41" s="23">
        <f>EXP(-LN(2)/25)*DG40+(1-EXP(-LN(2)/25))/(LN(2)/25)*Calculateur!DB41*Calculateur!DD41*VLOOKUP('Données projet'!$B$13,Paramètres!$A$1:$I$88,3,0)*0.475*44/12</f>
        <v>0</v>
      </c>
      <c r="DH41" s="23">
        <f>EXP(-LN(2)/2)*DH40+(1-EXP(-LN(2)/2))/(LN(2)/2)*DB41*DE41*VLOOKUP('Données projet'!$B$13,Paramètres!$A$1:$I$88,3,0)*0.475*44/12</f>
        <v>0</v>
      </c>
      <c r="DI41" s="24">
        <f t="shared" si="15"/>
        <v>0</v>
      </c>
      <c r="DJ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12.98</v>
      </c>
      <c r="DO41" s="13">
        <f>IF('Données projet'!$A$166&gt;35,DO40+DN41-DW40,IF(A41&lt;'Données projet'!$A$166,$DL$205^A41,IF(A41='Données projet'!$A$166,'Données projet'!$B$166,DO40+DN41-DW40)))</f>
        <v>292.04000000000002</v>
      </c>
      <c r="DP41" s="18">
        <f>DO41*VLOOKUP('Données projet'!$B$14,Paramètres!$A$1:$I$88,3,0)*VLOOKUP('Données projet'!$B$14,Paramètres!$A$1:$I$88,5,0)</f>
        <v>227.79120000000003</v>
      </c>
      <c r="DQ41" s="14">
        <f t="shared" si="43"/>
        <v>55.80481943242102</v>
      </c>
      <c r="DR41" s="22">
        <f t="shared" si="16"/>
        <v>493.92973384479984</v>
      </c>
      <c r="DS41" s="59">
        <f t="shared" si="17"/>
        <v>787.26306717813316</v>
      </c>
      <c r="DT41" s="59">
        <f ca="1">AVERAGE(OFFSET($DS$3,0,0,'Données projet'!$E$14+1,1))-AVERAGE(OFFSET($H$3,0,0,'Données projet'!$E$14+1,1))</f>
        <v>458.14328535055694</v>
      </c>
      <c r="DU41" s="59">
        <f t="shared" si="44"/>
        <v>366.75500153675739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projet'!$B$14,Paramètres!$A$1:$I$88,3,0)*0.475*44/12</f>
        <v>1.6001956136183297</v>
      </c>
      <c r="EB41" s="23">
        <f>EXP(-LN(2)/25)*EB40+(1-EXP(-LN(2)/25))/(LN(2)/25)*Calculateur!DW41*Calculateur!DY41*VLOOKUP('Données projet'!$B$14,Paramètres!$A$1:$I$88,3,0)*0.475*44/12</f>
        <v>0</v>
      </c>
      <c r="EC41" s="23">
        <f>EXP(-LN(2)/2)*EC40+(1-EXP(-LN(2)/2))/(LN(2)/2)*DW41*DZ41*VLOOKUP('Données projet'!$B$14,Paramètres!$A$1:$I$88,3,0)*0.475*44/12</f>
        <v>0</v>
      </c>
      <c r="ED41" s="24">
        <f t="shared" si="18"/>
        <v>1.6001956136183297</v>
      </c>
      <c r="EE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14.4</v>
      </c>
      <c r="EJ41" s="13">
        <f>IF('Données projet'!$A$192&gt;35,EJ40+EI41-ER40,IF(A41&lt;'Données projet'!$A$192,$EG$205^A41,IF(A41='Données projet'!$A$192,'Données projet'!$B$192,EJ40+EI41-ER40)))</f>
        <v>208.20000000000005</v>
      </c>
      <c r="EK41" s="18">
        <f>EJ41*VLOOKUP('Données projet'!$B$15,Paramètres!$A$1:$I$88,3,0)*VLOOKUP('Données projet'!$B$15,Paramètres!$A$1:$I$88,5,0)</f>
        <v>178.63560000000007</v>
      </c>
      <c r="EL41" s="14">
        <f t="shared" si="45"/>
        <v>45.018498010270193</v>
      </c>
      <c r="EM41" s="22">
        <f t="shared" si="19"/>
        <v>389.53088736788737</v>
      </c>
      <c r="EN41" s="59">
        <f t="shared" si="20"/>
        <v>682.86422070122069</v>
      </c>
      <c r="EO41" s="59">
        <f ca="1">AVERAGE(OFFSET($EN$3,0,0,'Données projet'!$E$15+1,1))-AVERAGE(OFFSET($H$3,0,0,'Données projet'!$E$15+1,1))</f>
        <v>462.99360395552145</v>
      </c>
      <c r="EP41" s="59">
        <f t="shared" si="46"/>
        <v>153.03880717786046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projet'!$B$15,Paramètres!$A$1:$I$88,3,0)*0.475*44/12</f>
        <v>0</v>
      </c>
      <c r="EW41" s="23">
        <f>EXP(-LN(2)/25)*EW40+(1-EXP(-LN(2)/25))/(LN(2)/25)*Calculateur!ER41*Calculateur!ET41*VLOOKUP('Données projet'!$B$15,Paramètres!$A$1:$I$88,3,0)*0.475*44/12</f>
        <v>0</v>
      </c>
      <c r="EX41" s="23">
        <f>EXP(-LN(2)/2)*EX40+(1-EXP(-LN(2)/2))/(LN(2)/2)*ER41*EU41*VLOOKUP('Données projet'!$B$15,Paramètres!$A$1:$I$88,3,0)*0.475*44/12</f>
        <v>0</v>
      </c>
      <c r="EY41" s="24">
        <f t="shared" si="21"/>
        <v>0</v>
      </c>
      <c r="EZ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10.060000000000002</v>
      </c>
      <c r="FE41" s="13">
        <f>IF('Données projet'!$A$218&gt;35,FE40+FD41-FM40,IF(A41&lt;'Données projet'!$A$218,$FB$205^A41,IF(A41='Données projet'!$A$218,'Données projet'!$B$218,FE40+FD41-FM40)))</f>
        <v>225.88000000000011</v>
      </c>
      <c r="FF41" s="18">
        <f>FE41*VLOOKUP('Données projet'!$B$16,Paramètres!$A$1:$I$88,3,0)*VLOOKUP('Données projet'!$B$16,Paramètres!$A$1:$I$88,5,0)</f>
        <v>197.32876800000011</v>
      </c>
      <c r="FG41" s="14">
        <f t="shared" si="47"/>
        <v>49.156653162336816</v>
      </c>
      <c r="FH41" s="22">
        <f t="shared" si="22"/>
        <v>429.29544185773676</v>
      </c>
      <c r="FI41" s="59">
        <f t="shared" si="23"/>
        <v>722.62877519107008</v>
      </c>
      <c r="FJ41" s="59">
        <f ca="1">AVERAGE(OFFSET($FI$3,0,0,'Données projet'!$E$16+1,1))-AVERAGE(OFFSET($H$3,0,0,'Données projet'!$E$16+1,1))</f>
        <v>427.76895185088944</v>
      </c>
      <c r="FK41" s="59">
        <f t="shared" si="48"/>
        <v>308.32543361559135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projet'!$B$16,Paramètres!$A$1:$I$88,3,0)*0.475*44/12</f>
        <v>1.5723551025464211</v>
      </c>
      <c r="FR41" s="23">
        <f>EXP(-LN(2)/25)*FR40+(1-EXP(-LN(2)/25))/(LN(2)/25)*Calculateur!FM41*Calculateur!FO41*VLOOKUP('Données projet'!$B$16,Paramètres!$A$1:$I$88,3,0)*0.475*44/12</f>
        <v>0</v>
      </c>
      <c r="FS41" s="23">
        <f>EXP(-LN(2)/2)*FS40+(1-EXP(-LN(2)/2))/(LN(2)/2)*FM41*FP41*VLOOKUP('Données projet'!$B$16,Paramètres!$A$1:$I$88,3,0)*0.475*44/12</f>
        <v>0</v>
      </c>
      <c r="FT41" s="24">
        <f t="shared" si="24"/>
        <v>1.5723551025464211</v>
      </c>
      <c r="FU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11.6</v>
      </c>
      <c r="FZ41" s="13">
        <f>IF('Données projet'!$A$244&gt;35,FZ40+FY41-GH40,IF(A41&lt;'Données projet'!$A$244,$FW$205^A41,IF(A41='Données projet'!$A$244,'Données projet'!$B$244,FZ40+FY41-GH40)))</f>
        <v>261.8</v>
      </c>
      <c r="GA41" s="18">
        <f>FZ41*VLOOKUP('Données projet'!$B$17,Paramètres!$A$1:$I$88,3,0)*VLOOKUP('Données projet'!$B$17,Paramètres!$A$1:$I$88,5,0)</f>
        <v>163.36320000000001</v>
      </c>
      <c r="GB41" s="14">
        <f t="shared" si="49"/>
        <v>41.600173715581626</v>
      </c>
      <c r="GC41" s="22">
        <f t="shared" si="25"/>
        <v>356.97787588797132</v>
      </c>
      <c r="GD41" s="59">
        <f t="shared" si="26"/>
        <v>650.31120922130458</v>
      </c>
      <c r="GE41" s="59">
        <f ca="1">AVERAGE(OFFSET($GD$3,0,0,'Données projet'!$E$17+1,1))-AVERAGE(OFFSET($H$3,0,0,'Données projet'!$E$17+1,1))</f>
        <v>247.85542034088905</v>
      </c>
      <c r="GF41" s="59">
        <f t="shared" si="50"/>
        <v>299.52241743660352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projet'!$B$17,Paramètres!$A$1:$I$88,3,0)*0.475*44/12</f>
        <v>3.5569291754725301</v>
      </c>
      <c r="GM41" s="23">
        <f>EXP(-LN(2)/25)*GM40+(1-EXP(-LN(2)/25))/(LN(2)/25)*Calculateur!GH41*Calculateur!GJ41*VLOOKUP('Données projet'!$B$17,Paramètres!$A$1:$I$88,3,0)*0.475*44/12</f>
        <v>36.378337758464241</v>
      </c>
      <c r="GN41" s="23">
        <f>EXP(-LN(2)/2)*GN40+(1-EXP(-LN(2)/2))/(LN(2)/2)*GH41*GK41*VLOOKUP('Données projet'!$B$17,Paramètres!$A$1:$I$88,3,0)*0.475*44/12</f>
        <v>4.2867182652328157</v>
      </c>
      <c r="GO41" s="23">
        <f t="shared" si="27"/>
        <v>44.221985199169588</v>
      </c>
      <c r="GP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3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6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</v>
      </c>
      <c r="N42" s="14">
        <f>IF('Données projet'!$A$36&gt;35,N41+M42-V41,IF(A42&lt;'Données projet'!$A$36,$K$205^A42,IF(A42='Données projet'!$A$36,'Données projet'!$B$36,N41+M42-V41)))</f>
        <v>117</v>
      </c>
      <c r="O42" s="14">
        <f>N42*VLOOKUP('Données projet'!$B$9,Paramètres!$A$1:$I$88,3,0)*VLOOKUP('Données projet'!$B$9,Paramètres!$A$1:$I$88,5,0)</f>
        <v>105.8616</v>
      </c>
      <c r="P42" s="14">
        <f t="shared" si="33"/>
        <v>28.353779818951288</v>
      </c>
      <c r="Q42" s="22">
        <f t="shared" si="53"/>
        <v>233.75845318467347</v>
      </c>
      <c r="R42" s="59">
        <f t="shared" si="0"/>
        <v>527.09178651800676</v>
      </c>
      <c r="S42" s="59">
        <f ca="1">AVERAGE(OFFSET($R$3,0,0,'Données projet'!$E$9+1,1))-AVERAGE(OFFSET($H$3,0,0,'Données projet'!$E$9+1,1))</f>
        <v>247.57967230773539</v>
      </c>
      <c r="T42" s="59">
        <f t="shared" si="34"/>
        <v>156.58857589533295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12.98</v>
      </c>
      <c r="AI42" s="14">
        <f>IF('Données projet'!$A$62&gt;35,AI41+AH42-AQ41,IF(A42&lt;'Données projet'!$A$62,$AF$205^A42,IF(A42='Données projet'!$A$62,'Données projet'!$B$62,AI41+AH42-AQ41)))</f>
        <v>305.02000000000004</v>
      </c>
      <c r="AJ42" s="14">
        <f>AI42*VLOOKUP('Données projet'!$B$10,Paramètres!$A$1:$I$88,3,0)*VLOOKUP('Données projet'!$B$10,Paramètres!$A$1:$I$88,5,0)</f>
        <v>242.67391200000003</v>
      </c>
      <c r="AK42" s="14">
        <f t="shared" si="35"/>
        <v>59.014464170783548</v>
      </c>
      <c r="AL42" s="22">
        <f t="shared" si="4"/>
        <v>525.44058849744806</v>
      </c>
      <c r="AM42" s="59">
        <f t="shared" si="5"/>
        <v>818.77392183078132</v>
      </c>
      <c r="AN42" s="59">
        <f ca="1">AVERAGE(OFFSET($AM$3,0,0,'Données projet'!$E$10+1,1))-AVERAGE(OFFSET($H$3,0,0,'Données projet'!$E$10+1,1))</f>
        <v>504.15006129790828</v>
      </c>
      <c r="AO42" s="59">
        <f t="shared" si="36"/>
        <v>374.39334457402742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1.9723310163433398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1.9723310163433398</v>
      </c>
      <c r="AY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12.98</v>
      </c>
      <c r="BD42" s="13">
        <f>IF('Données projet'!$A$88&gt;35,BD41+BC42-BL41,IF(A42&lt;'Données projet'!$A$88,$BA$205^A42,IF(A42='Données projet'!$A$88,'Données projet'!$B$88,BD41+BC42-BL41)))</f>
        <v>305.02000000000004</v>
      </c>
      <c r="BE42" s="14">
        <f>BD42*VLOOKUP('Données projet'!$B$11,Paramètres!$A$1:$I$88,3,0)*VLOOKUP('Données projet'!$B$11,Paramètres!$A$1:$I$88,5,0)</f>
        <v>242.67391200000003</v>
      </c>
      <c r="BF42" s="14">
        <f t="shared" si="37"/>
        <v>59.014464170783548</v>
      </c>
      <c r="BG42" s="22">
        <f t="shared" si="7"/>
        <v>525.44058849744806</v>
      </c>
      <c r="BH42" s="59">
        <f t="shared" si="8"/>
        <v>818.77392183078132</v>
      </c>
      <c r="BI42" s="59">
        <f ca="1">AVERAGE(OFFSET($BH$3,0,0,'Données projet'!$E$11+1,1))-AVERAGE(OFFSET($H$3,0,0,'Données projet'!$E$11+1,1))</f>
        <v>504.15006129790828</v>
      </c>
      <c r="BJ42" s="59">
        <f t="shared" si="38"/>
        <v>374.39334457402742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1.9723310163433398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1.9723310163433398</v>
      </c>
      <c r="BT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12.98</v>
      </c>
      <c r="BY42" s="13">
        <f>IF('Données projet'!$A$114&gt;35,BY41+BX42-CG41,IF(A42&lt;'Données projet'!$A$114,$BV$205^A42,IF(A42='Données projet'!$A$114,'Données projet'!$B$114,BY41+BX42-CG41)))</f>
        <v>305.02000000000004</v>
      </c>
      <c r="BZ42" s="14">
        <f>BY42*VLOOKUP('Données projet'!$B$12,Paramètres!$A$1:$I$88,3,0)*VLOOKUP('Données projet'!$B$12,Paramètres!$A$1:$I$88,5,0)</f>
        <v>204.60741600000003</v>
      </c>
      <c r="CA42" s="14">
        <f t="shared" si="39"/>
        <v>50.755392196173929</v>
      </c>
      <c r="CB42" s="22">
        <f t="shared" si="10"/>
        <v>444.75689094166961</v>
      </c>
      <c r="CC42" s="59">
        <f t="shared" si="11"/>
        <v>738.09022427500292</v>
      </c>
      <c r="CD42" s="59">
        <f ca="1">AVERAGE(OFFSET($CC$3,0,0,'Données projet'!$E$12+1,1))-AVERAGE(OFFSET($H$3,0,0,'Données projet'!$E$12+1,1))</f>
        <v>387.15063677712425</v>
      </c>
      <c r="CE42" s="59">
        <f t="shared" si="40"/>
        <v>313.19155394370705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1.6629457588777181</v>
      </c>
      <c r="CL42" s="23">
        <f>EXP(-LN(2)/25)*CL41+(1-EXP(-LN(2)/25))/(LN(2)/25)*Calculateur!CG42*Calculateur!CI42*VLOOKUP('Données projet'!$B$12,Paramètres!$A$1:$I$88,3,0)*0.475*44/12</f>
        <v>0</v>
      </c>
      <c r="CM42" s="23">
        <f>EXP(-LN(2)/2)*CM41+(1-EXP(-LN(2)/2))/(LN(2)/2)*CG42*CJ42*VLOOKUP('Données projet'!$B$12,Paramètres!$A$1:$I$88,3,0)*0.475*44/12</f>
        <v>0</v>
      </c>
      <c r="CN42" s="24">
        <f t="shared" si="12"/>
        <v>1.6629457588777181</v>
      </c>
      <c r="CO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3</v>
      </c>
      <c r="CT42" s="13">
        <f>IF('Données projet'!$A$140&gt;35,CT41+CS42-DB41,IF(A42&lt;'Données projet'!$A$140,$CQ$205^A42,IF(A42='Données projet'!$A$140,'Données projet'!$B$140,CT41+CS42-DB41)))</f>
        <v>117</v>
      </c>
      <c r="CU42" s="18">
        <f>CT42*VLOOKUP('Données projet'!$B$13,Paramètres!$A$1:$I$88,3,0)*VLOOKUP('Données projet'!$B$13,Paramètres!$A$1:$I$88,5,0)</f>
        <v>113.16240000000002</v>
      </c>
      <c r="CV42" s="14">
        <f t="shared" si="41"/>
        <v>30.074837140704965</v>
      </c>
      <c r="CW42" s="22">
        <f t="shared" si="13"/>
        <v>249.47152135339448</v>
      </c>
      <c r="CX42" s="59">
        <f t="shared" si="14"/>
        <v>542.80485468672782</v>
      </c>
      <c r="CY42" s="59">
        <f ca="1">AVERAGE(OFFSET($CX$3,0,0,'Données projet'!$E$13+1,1))-AVERAGE(OFFSET($H$3,0,0,'Données projet'!$E$13+1,1))</f>
        <v>306.00894145276209</v>
      </c>
      <c r="CZ42" s="59">
        <f t="shared" si="42"/>
        <v>168.74705421228828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0</v>
      </c>
      <c r="DG42" s="23">
        <f>EXP(-LN(2)/25)*DG41+(1-EXP(-LN(2)/25))/(LN(2)/25)*Calculateur!DB42*Calculateur!DD42*VLOOKUP('Données projet'!$B$13,Paramètres!$A$1:$I$88,3,0)*0.475*44/12</f>
        <v>0</v>
      </c>
      <c r="DH42" s="23">
        <f>EXP(-LN(2)/2)*DH41+(1-EXP(-LN(2)/2))/(LN(2)/2)*DB42*DE42*VLOOKUP('Données projet'!$B$13,Paramètres!$A$1:$I$88,3,0)*0.475*44/12</f>
        <v>0</v>
      </c>
      <c r="DI42" s="24">
        <f t="shared" si="15"/>
        <v>0</v>
      </c>
      <c r="DJ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12.98</v>
      </c>
      <c r="DO42" s="13">
        <f>IF('Données projet'!$A$166&gt;35,DO41+DN42-DW41,IF(A42&lt;'Données projet'!$A$166,$DL$205^A42,IF(A42='Données projet'!$A$166,'Données projet'!$B$166,DO41+DN42-DW41)))</f>
        <v>305.02000000000004</v>
      </c>
      <c r="DP42" s="18">
        <f>DO42*VLOOKUP('Données projet'!$B$14,Paramètres!$A$1:$I$88,3,0)*VLOOKUP('Données projet'!$B$14,Paramètres!$A$1:$I$88,5,0)</f>
        <v>237.91560000000004</v>
      </c>
      <c r="DQ42" s="14">
        <f t="shared" si="43"/>
        <v>57.990834246069284</v>
      </c>
      <c r="DR42" s="22">
        <f t="shared" si="16"/>
        <v>515.3703729785708</v>
      </c>
      <c r="DS42" s="59">
        <f t="shared" si="17"/>
        <v>808.70370631190417</v>
      </c>
      <c r="DT42" s="59">
        <f ca="1">AVERAGE(OFFSET($DS$3,0,0,'Données projet'!$E$14+1,1))-AVERAGE(OFFSET($H$3,0,0,'Données projet'!$E$14+1,1))</f>
        <v>458.14328535055694</v>
      </c>
      <c r="DU42" s="59">
        <f t="shared" si="44"/>
        <v>366.75500153675739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projet'!$B$14,Paramètres!$A$1:$I$88,3,0)*0.475*44/12</f>
        <v>1.5688167536582243</v>
      </c>
      <c r="EB42" s="23">
        <f>EXP(-LN(2)/25)*EB41+(1-EXP(-LN(2)/25))/(LN(2)/25)*Calculateur!DW42*Calculateur!DY42*VLOOKUP('Données projet'!$B$14,Paramètres!$A$1:$I$88,3,0)*0.475*44/12</f>
        <v>0</v>
      </c>
      <c r="EC42" s="23">
        <f>EXP(-LN(2)/2)*EC41+(1-EXP(-LN(2)/2))/(LN(2)/2)*DW42*DZ42*VLOOKUP('Données projet'!$B$14,Paramètres!$A$1:$I$88,3,0)*0.475*44/12</f>
        <v>0</v>
      </c>
      <c r="ED42" s="24">
        <f t="shared" si="18"/>
        <v>1.5688167536582243</v>
      </c>
      <c r="EE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14.4</v>
      </c>
      <c r="EJ42" s="13">
        <f>IF('Données projet'!$A$192&gt;35,EJ41+EI42-ER41,IF(A42&lt;'Données projet'!$A$192,$EG$205^A42,IF(A42='Données projet'!$A$192,'Données projet'!$B$192,EJ41+EI42-ER41)))</f>
        <v>222.60000000000005</v>
      </c>
      <c r="EK42" s="18">
        <f>EJ42*VLOOKUP('Données projet'!$B$15,Paramètres!$A$1:$I$88,3,0)*VLOOKUP('Données projet'!$B$15,Paramètres!$A$1:$I$88,5,0)</f>
        <v>190.99080000000006</v>
      </c>
      <c r="EL42" s="14">
        <f t="shared" si="45"/>
        <v>47.75893831057796</v>
      </c>
      <c r="EM42" s="22">
        <f t="shared" si="19"/>
        <v>415.82246089092337</v>
      </c>
      <c r="EN42" s="59">
        <f t="shared" si="20"/>
        <v>709.15579422425662</v>
      </c>
      <c r="EO42" s="59">
        <f ca="1">AVERAGE(OFFSET($EN$3,0,0,'Données projet'!$E$15+1,1))-AVERAGE(OFFSET($H$3,0,0,'Données projet'!$E$15+1,1))</f>
        <v>462.99360395552145</v>
      </c>
      <c r="EP42" s="59">
        <f t="shared" si="46"/>
        <v>153.03880717786046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projet'!$B$15,Paramètres!$A$1:$I$88,3,0)*0.475*44/12</f>
        <v>0</v>
      </c>
      <c r="EW42" s="23">
        <f>EXP(-LN(2)/25)*EW41+(1-EXP(-LN(2)/25))/(LN(2)/25)*Calculateur!ER42*Calculateur!ET42*VLOOKUP('Données projet'!$B$15,Paramètres!$A$1:$I$88,3,0)*0.475*44/12</f>
        <v>0</v>
      </c>
      <c r="EX42" s="23">
        <f>EXP(-LN(2)/2)*EX41+(1-EXP(-LN(2)/2))/(LN(2)/2)*ER42*EU42*VLOOKUP('Données projet'!$B$15,Paramètres!$A$1:$I$88,3,0)*0.475*44/12</f>
        <v>0</v>
      </c>
      <c r="EY42" s="24">
        <f t="shared" si="21"/>
        <v>0</v>
      </c>
      <c r="EZ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10.060000000000002</v>
      </c>
      <c r="FE42" s="13">
        <f>IF('Données projet'!$A$218&gt;35,FE41+FD42-FM41,IF(A42&lt;'Données projet'!$A$218,$FB$205^A42,IF(A42='Données projet'!$A$218,'Données projet'!$B$218,FE41+FD42-FM41)))</f>
        <v>235.94000000000011</v>
      </c>
      <c r="FF42" s="18">
        <f>FE42*VLOOKUP('Données projet'!$B$16,Paramètres!$A$1:$I$88,3,0)*VLOOKUP('Données projet'!$B$16,Paramètres!$A$1:$I$88,5,0)</f>
        <v>206.11718400000012</v>
      </c>
      <c r="FG42" s="14">
        <f t="shared" si="47"/>
        <v>51.086173308684948</v>
      </c>
      <c r="FH42" s="22">
        <f t="shared" si="22"/>
        <v>447.96251397929319</v>
      </c>
      <c r="FI42" s="59">
        <f t="shared" si="23"/>
        <v>741.29584731262651</v>
      </c>
      <c r="FJ42" s="59">
        <f ca="1">AVERAGE(OFFSET($FI$3,0,0,'Données projet'!$E$16+1,1))-AVERAGE(OFFSET($H$3,0,0,'Données projet'!$E$16+1,1))</f>
        <v>427.76895185088944</v>
      </c>
      <c r="FK42" s="59">
        <f t="shared" si="48"/>
        <v>308.32543361559135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projet'!$B$16,Paramètres!$A$1:$I$88,3,0)*0.475*44/12</f>
        <v>1.5415221780274009</v>
      </c>
      <c r="FR42" s="23">
        <f>EXP(-LN(2)/25)*FR41+(1-EXP(-LN(2)/25))/(LN(2)/25)*Calculateur!FM42*Calculateur!FO42*VLOOKUP('Données projet'!$B$16,Paramètres!$A$1:$I$88,3,0)*0.475*44/12</f>
        <v>0</v>
      </c>
      <c r="FS42" s="23">
        <f>EXP(-LN(2)/2)*FS41+(1-EXP(-LN(2)/2))/(LN(2)/2)*FM42*FP42*VLOOKUP('Données projet'!$B$16,Paramètres!$A$1:$I$88,3,0)*0.475*44/12</f>
        <v>0</v>
      </c>
      <c r="FT42" s="24">
        <f t="shared" si="24"/>
        <v>1.5415221780274009</v>
      </c>
      <c r="FU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11.6</v>
      </c>
      <c r="FZ42" s="13">
        <f>IF('Données projet'!$A$244&gt;35,FZ41+FY42-GH41,IF(A42&lt;'Données projet'!$A$244,$FW$205^A42,IF(A42='Données projet'!$A$244,'Données projet'!$B$244,FZ41+FY42-GH41)))</f>
        <v>273.40000000000003</v>
      </c>
      <c r="GA42" s="18">
        <f>FZ42*VLOOKUP('Données projet'!$B$17,Paramètres!$A$1:$I$88,3,0)*VLOOKUP('Données projet'!$B$17,Paramètres!$A$1:$I$88,5,0)</f>
        <v>170.60160000000002</v>
      </c>
      <c r="GB42" s="14">
        <f t="shared" si="49"/>
        <v>43.224734258520876</v>
      </c>
      <c r="GC42" s="22">
        <f t="shared" si="25"/>
        <v>372.41419883359049</v>
      </c>
      <c r="GD42" s="59">
        <f t="shared" si="26"/>
        <v>665.74753216692375</v>
      </c>
      <c r="GE42" s="59">
        <f ca="1">AVERAGE(OFFSET($GD$3,0,0,'Données projet'!$E$17+1,1))-AVERAGE(OFFSET($H$3,0,0,'Données projet'!$E$17+1,1))</f>
        <v>247.85542034088905</v>
      </c>
      <c r="GF42" s="59">
        <f t="shared" si="50"/>
        <v>299.52241743660352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projet'!$B$17,Paramètres!$A$1:$I$88,3,0)*0.475*44/12</f>
        <v>3.4871799638540892</v>
      </c>
      <c r="GM42" s="23">
        <f>EXP(-LN(2)/25)*GM41+(1-EXP(-LN(2)/25))/(LN(2)/25)*Calculateur!GH42*Calculateur!GJ42*VLOOKUP('Données projet'!$B$17,Paramètres!$A$1:$I$88,3,0)*0.475*44/12</f>
        <v>35.383570199405398</v>
      </c>
      <c r="GN42" s="23">
        <f>EXP(-LN(2)/2)*GN41+(1-EXP(-LN(2)/2))/(LN(2)/2)*GH42*GK42*VLOOKUP('Données projet'!$B$17,Paramètres!$A$1:$I$88,3,0)*0.475*44/12</f>
        <v>3.0311675543823573</v>
      </c>
      <c r="GO42" s="23">
        <f t="shared" si="27"/>
        <v>41.901917717641844</v>
      </c>
      <c r="GP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3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6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3</v>
      </c>
      <c r="N43" s="14">
        <f>IF('Données projet'!$A$36&gt;35,N42+M43-V42,IF(A43&lt;'Données projet'!$A$36,$K$205^A43,IF(A43='Données projet'!$A$36,'Données projet'!$B$36,N42+M43-V42)))</f>
        <v>120</v>
      </c>
      <c r="O43" s="14">
        <f>N43*VLOOKUP('Données projet'!$B$9,Paramètres!$A$1:$I$88,3,0)*VLOOKUP('Données projet'!$B$9,Paramètres!$A$1:$I$88,5,0)</f>
        <v>108.57599999999999</v>
      </c>
      <c r="P43" s="14">
        <f t="shared" si="33"/>
        <v>28.995225061228002</v>
      </c>
      <c r="Q43" s="22">
        <f t="shared" si="53"/>
        <v>239.60321698163875</v>
      </c>
      <c r="R43" s="59">
        <f t="shared" si="0"/>
        <v>532.93655031497201</v>
      </c>
      <c r="S43" s="59">
        <f ca="1">AVERAGE(OFFSET($R$3,0,0,'Données projet'!$E$9+1,1))-AVERAGE(OFFSET($H$3,0,0,'Données projet'!$E$9+1,1))</f>
        <v>247.57967230773539</v>
      </c>
      <c r="T43" s="59">
        <f t="shared" si="34"/>
        <v>156.58857589533295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318</v>
      </c>
      <c r="AG43" s="13">
        <f>VLOOKUP(A43,'Données projet'!$A$61:$I$81,9,0)</f>
        <v>12.98</v>
      </c>
      <c r="AH43" s="13">
        <f t="array" ref="AH43">INDEX(AG:AG,MIN(IF(ISNUMBER(AG43:AG239),ROW(AG43:AG239),"")))</f>
        <v>12.98</v>
      </c>
      <c r="AI43" s="14">
        <f>IF('Données projet'!$A$62&gt;35,AI42+AH43-AQ42,IF(A43&lt;'Données projet'!$A$62,$AF$205^A43,IF(A43='Données projet'!$A$62,'Données projet'!$B$62,AI42+AH43-AQ42)))</f>
        <v>318.00000000000006</v>
      </c>
      <c r="AJ43" s="14">
        <f>AI43*VLOOKUP('Données projet'!$B$10,Paramètres!$A$1:$I$88,3,0)*VLOOKUP('Données projet'!$B$10,Paramètres!$A$1:$I$88,5,0)</f>
        <v>253.00080000000005</v>
      </c>
      <c r="AK43" s="14">
        <f t="shared" si="35"/>
        <v>61.22807010596874</v>
      </c>
      <c r="AL43" s="22">
        <f t="shared" si="4"/>
        <v>547.28194876789564</v>
      </c>
      <c r="AM43" s="59">
        <f t="shared" si="5"/>
        <v>840.61528210122901</v>
      </c>
      <c r="AN43" s="59">
        <f ca="1">AVERAGE(OFFSET($AM$3,0,0,'Données projet'!$E$10+1,1))-AVERAGE(OFFSET($H$3,0,0,'Données projet'!$E$10+1,1))</f>
        <v>504.15006129790828</v>
      </c>
      <c r="AO43" s="59">
        <f t="shared" si="36"/>
        <v>374.39334457402742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21.8</v>
      </c>
      <c r="AR43" s="17">
        <f>IF(ISNA(VLOOKUP(A43,'Données projet'!$A$61:$I$81,5,0)),0%,VLOOKUP(A43,'Données projet'!$A$61:$I$81,5,0)*VLOOKUP('Données projet'!$B$10,Paramètres!$A$1:$I$88,7,0))</f>
        <v>0.10600000000000001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3.966031678342465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3.966031678342465</v>
      </c>
      <c r="AY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318</v>
      </c>
      <c r="BB43" s="13">
        <f>VLOOKUP(A43,'Données projet'!$A$87:$I$107,9,0)</f>
        <v>12.98</v>
      </c>
      <c r="BC43" s="13">
        <f t="array" ref="BC43">INDEX(BB:BB,MIN(IF(ISNUMBER(BB43:BB239),ROW(BB43:BB239),"")))</f>
        <v>12.98</v>
      </c>
      <c r="BD43" s="13">
        <f>IF('Données projet'!$A$88&gt;35,BD42+BC43-BL42,IF(A43&lt;'Données projet'!$A$88,$BA$205^A43,IF(A43='Données projet'!$A$88,'Données projet'!$B$88,BD42+BC43-BL42)))</f>
        <v>318.00000000000006</v>
      </c>
      <c r="BE43" s="14">
        <f>BD43*VLOOKUP('Données projet'!$B$11,Paramètres!$A$1:$I$88,3,0)*VLOOKUP('Données projet'!$B$11,Paramètres!$A$1:$I$88,5,0)</f>
        <v>253.00080000000005</v>
      </c>
      <c r="BF43" s="14">
        <f t="shared" si="37"/>
        <v>61.22807010596874</v>
      </c>
      <c r="BG43" s="22">
        <f t="shared" si="7"/>
        <v>547.28194876789564</v>
      </c>
      <c r="BH43" s="59">
        <f t="shared" si="8"/>
        <v>840.61528210122901</v>
      </c>
      <c r="BI43" s="59">
        <f ca="1">AVERAGE(OFFSET($BH$3,0,0,'Données projet'!$E$11+1,1))-AVERAGE(OFFSET($H$3,0,0,'Données projet'!$E$11+1,1))</f>
        <v>504.15006129790828</v>
      </c>
      <c r="BJ43" s="59">
        <f t="shared" si="38"/>
        <v>374.39334457402742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21.8</v>
      </c>
      <c r="BM43" s="17">
        <f>IF(ISNA(VLOOKUP(A43,'Données projet'!$A$87:$I$107,5,0)),0%,VLOOKUP(A43,'Données projet'!$A$87:$I$107,5,0)*VLOOKUP('Données projet'!$B$11,Paramètres!$A$1:$I$88,7,0))</f>
        <v>0.10600000000000001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3.966031678342465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3.966031678342465</v>
      </c>
      <c r="BT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318</v>
      </c>
      <c r="BW43" s="13">
        <f>VLOOKUP(A43,'Données projet'!$A$113:$I$133,9,0)</f>
        <v>12.98</v>
      </c>
      <c r="BX43" s="13">
        <f t="array" ref="BX43">INDEX(BW:BW,MIN(IF(ISNUMBER(BW43:BW239),ROW(BW43:BW239),"")))</f>
        <v>12.98</v>
      </c>
      <c r="BY43" s="13">
        <f>IF('Données projet'!$A$114&gt;35,BY42+BX43-CG42,IF(A43&lt;'Données projet'!$A$114,$BV$205^A43,IF(A43='Données projet'!$A$114,'Données projet'!$B$114,BY42+BX43-CG42)))</f>
        <v>318.00000000000006</v>
      </c>
      <c r="BZ43" s="14">
        <f>BY43*VLOOKUP('Données projet'!$B$12,Paramètres!$A$1:$I$88,3,0)*VLOOKUP('Données projet'!$B$12,Paramètres!$A$1:$I$88,5,0)</f>
        <v>213.31440000000003</v>
      </c>
      <c r="CA43" s="14">
        <f t="shared" si="39"/>
        <v>52.659204066480264</v>
      </c>
      <c r="CB43" s="22">
        <f t="shared" si="10"/>
        <v>463.23736041578644</v>
      </c>
      <c r="CC43" s="59">
        <f t="shared" si="11"/>
        <v>756.57069374911976</v>
      </c>
      <c r="CD43" s="59">
        <f ca="1">AVERAGE(OFFSET($CC$3,0,0,'Données projet'!$E$12+1,1))-AVERAGE(OFFSET($H$3,0,0,'Données projet'!$E$12+1,1))</f>
        <v>387.15063677712425</v>
      </c>
      <c r="CE43" s="59">
        <f t="shared" si="40"/>
        <v>313.19155394370705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21.8</v>
      </c>
      <c r="CH43" s="17">
        <f>IF(ISNA(VLOOKUP(A43,'Données projet'!$A$113:$I$133,5,0)),0%,VLOOKUP(A43,'Données projet'!$A$113:$I$133,5,0)*VLOOKUP('Données projet'!$B$12,Paramètres!$A$1:$I$88,7,0))</f>
        <v>0.10600000000000001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projet'!$B$12,Paramètres!$A$1:$I$88,3,0)*0.475*44/12</f>
        <v>3.3439090621318819</v>
      </c>
      <c r="CL43" s="23">
        <f>EXP(-LN(2)/25)*CL42+(1-EXP(-LN(2)/25))/(LN(2)/25)*Calculateur!CG43*Calculateur!CI43*VLOOKUP('Données projet'!$B$12,Paramètres!$A$1:$I$88,3,0)*0.475*44/12</f>
        <v>0</v>
      </c>
      <c r="CM43" s="23">
        <f>EXP(-LN(2)/2)*CM42+(1-EXP(-LN(2)/2))/(LN(2)/2)*CG43*CJ43*VLOOKUP('Données projet'!$B$12,Paramètres!$A$1:$I$88,3,0)*0.475*44/12</f>
        <v>0</v>
      </c>
      <c r="CN43" s="24">
        <f t="shared" si="12"/>
        <v>3.3439090621318819</v>
      </c>
      <c r="CO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3</v>
      </c>
      <c r="CT43" s="13">
        <f>IF('Données projet'!$A$140&gt;35,CT42+CS43-DB42,IF(A43&lt;'Données projet'!$A$140,$CQ$205^A43,IF(A43='Données projet'!$A$140,'Données projet'!$B$140,CT42+CS43-DB42)))</f>
        <v>120</v>
      </c>
      <c r="CU43" s="18">
        <f>CT43*VLOOKUP('Données projet'!$B$13,Paramètres!$A$1:$I$88,3,0)*VLOOKUP('Données projet'!$B$13,Paramètres!$A$1:$I$88,5,0)</f>
        <v>116.06400000000001</v>
      </c>
      <c r="CV43" s="14">
        <f t="shared" si="41"/>
        <v>30.755217722036068</v>
      </c>
      <c r="CW43" s="22">
        <f t="shared" si="13"/>
        <v>255.71013753254616</v>
      </c>
      <c r="CX43" s="59">
        <f t="shared" si="14"/>
        <v>549.0434708658795</v>
      </c>
      <c r="CY43" s="59">
        <f ca="1">AVERAGE(OFFSET($CX$3,0,0,'Données projet'!$E$13+1,1))-AVERAGE(OFFSET($H$3,0,0,'Données projet'!$E$13+1,1))</f>
        <v>306.00894145276209</v>
      </c>
      <c r="CZ43" s="59">
        <f t="shared" si="42"/>
        <v>168.74705421228828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projet'!$B$13,Paramètres!$A$1:$I$88,3,0)*0.475*44/12</f>
        <v>0</v>
      </c>
      <c r="DG43" s="23">
        <f>EXP(-LN(2)/25)*DG42+(1-EXP(-LN(2)/25))/(LN(2)/25)*Calculateur!DB43*Calculateur!DD43*VLOOKUP('Données projet'!$B$13,Paramètres!$A$1:$I$88,3,0)*0.475*44/12</f>
        <v>0</v>
      </c>
      <c r="DH43" s="23">
        <f>EXP(-LN(2)/2)*DH42+(1-EXP(-LN(2)/2))/(LN(2)/2)*DB43*DE43*VLOOKUP('Données projet'!$B$13,Paramètres!$A$1:$I$88,3,0)*0.475*44/12</f>
        <v>0</v>
      </c>
      <c r="DI43" s="24">
        <f t="shared" si="15"/>
        <v>0</v>
      </c>
      <c r="DJ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318</v>
      </c>
      <c r="DM43" s="13">
        <f>VLOOKUP(A43,'Données projet'!$A$165:$I$185,9,0)</f>
        <v>12.98</v>
      </c>
      <c r="DN43" s="13">
        <f t="array" ref="DN43">INDEX(DM:DM,MIN(IF(ISNUMBER(DM43:DM239),ROW(DM43:DM239),"")))</f>
        <v>12.98</v>
      </c>
      <c r="DO43" s="13">
        <f>IF('Données projet'!$A$166&gt;35,DO42+DN43-DW42,IF(A43&lt;'Données projet'!$A$166,$DL$205^A43,IF(A43='Données projet'!$A$166,'Données projet'!$B$166,DO42+DN43-DW42)))</f>
        <v>318.00000000000006</v>
      </c>
      <c r="DP43" s="18">
        <f>DO43*VLOOKUP('Données projet'!$B$14,Paramètres!$A$1:$I$88,3,0)*VLOOKUP('Données projet'!$B$14,Paramètres!$A$1:$I$88,5,0)</f>
        <v>248.04000000000005</v>
      </c>
      <c r="DQ43" s="14">
        <f t="shared" si="43"/>
        <v>60.166044284441391</v>
      </c>
      <c r="DR43" s="22">
        <f t="shared" si="16"/>
        <v>536.79219379540211</v>
      </c>
      <c r="DS43" s="59">
        <f t="shared" si="17"/>
        <v>830.12552712873548</v>
      </c>
      <c r="DT43" s="59">
        <f ca="1">AVERAGE(OFFSET($DS$3,0,0,'Données projet'!$E$14+1,1))-AVERAGE(OFFSET($H$3,0,0,'Données projet'!$E$14+1,1))</f>
        <v>458.14328535055694</v>
      </c>
      <c r="DU43" s="59">
        <f t="shared" si="44"/>
        <v>366.75500153675739</v>
      </c>
      <c r="DV43" s="16">
        <f>IF(ISNA(VLOOKUP(A43,'Données projet'!$A$165:$I$185,3,0)),0,VLOOKUP(A43,'Données projet'!$A$165:$I$185,3,0))</f>
        <v>6</v>
      </c>
      <c r="DW43" s="16">
        <f>IF(ISNA(VLOOKUP(A43,'Données projet'!$A$165:$I$185,4,0)),0,VLOOKUP(A43,'Données projet'!$A$165:$I$185,4,0))</f>
        <v>21.8</v>
      </c>
      <c r="DX43" s="17">
        <f>IF(ISNA(VLOOKUP(A43,'Données projet'!$A$165:$I$185,5,0)),0%,VLOOKUP(A43,'Données projet'!$A$165:$I$185,5,0)*VLOOKUP('Données projet'!$B$14,Paramètres!$A$1:$I$88,7,0))</f>
        <v>8.6000000000000007E-2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projet'!$B$14,Paramètres!$A$1:$I$88,3,0)*0.475*44/12</f>
        <v>3.1546311906904547</v>
      </c>
      <c r="EB43" s="23">
        <f>EXP(-LN(2)/25)*EB42+(1-EXP(-LN(2)/25))/(LN(2)/25)*Calculateur!DW43*Calculateur!DY43*VLOOKUP('Données projet'!$B$14,Paramètres!$A$1:$I$88,3,0)*0.475*44/12</f>
        <v>0</v>
      </c>
      <c r="EC43" s="23">
        <f>EXP(-LN(2)/2)*EC42+(1-EXP(-LN(2)/2))/(LN(2)/2)*DW43*DZ43*VLOOKUP('Données projet'!$B$14,Paramètres!$A$1:$I$88,3,0)*0.475*44/12</f>
        <v>0</v>
      </c>
      <c r="ED43" s="24">
        <f t="shared" si="18"/>
        <v>3.1546311906904547</v>
      </c>
      <c r="EE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237</v>
      </c>
      <c r="EH43" s="13">
        <f>VLOOKUP(A43,'Données projet'!$A$191:$I$211,9,0)</f>
        <v>14.4</v>
      </c>
      <c r="EI43" s="13">
        <f t="array" ref="EI43">INDEX(EH:EH,MIN(IF(ISNUMBER(EH43:EH239),ROW(EH43:EH239),"")))</f>
        <v>14.4</v>
      </c>
      <c r="EJ43" s="13">
        <f>IF('Données projet'!$A$192&gt;35,EJ42+EI43-ER42,IF(A43&lt;'Données projet'!$A$192,$EG$205^A43,IF(A43='Données projet'!$A$192,'Données projet'!$B$192,EJ42+EI43-ER42)))</f>
        <v>237.00000000000006</v>
      </c>
      <c r="EK43" s="18">
        <f>EJ43*VLOOKUP('Données projet'!$B$15,Paramètres!$A$1:$I$88,3,0)*VLOOKUP('Données projet'!$B$15,Paramètres!$A$1:$I$88,5,0)</f>
        <v>203.34600000000009</v>
      </c>
      <c r="EL43" s="14">
        <f t="shared" si="45"/>
        <v>50.47880567110942</v>
      </c>
      <c r="EM43" s="22">
        <f t="shared" si="19"/>
        <v>442.07820321051571</v>
      </c>
      <c r="EN43" s="59">
        <f t="shared" si="20"/>
        <v>735.41153654384902</v>
      </c>
      <c r="EO43" s="59">
        <f ca="1">AVERAGE(OFFSET($EN$3,0,0,'Données projet'!$E$15+1,1))-AVERAGE(OFFSET($H$3,0,0,'Données projet'!$E$15+1,1))</f>
        <v>462.99360395552145</v>
      </c>
      <c r="EP43" s="59">
        <f t="shared" si="46"/>
        <v>153.03880717786046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3</v>
      </c>
      <c r="ES43" s="17">
        <f>IF(ISNA(VLOOKUP(A43,'Données projet'!$A$191:$I$211,5,0)),0%,VLOOKUP(A43,'Données projet'!$A$191:$I$211,5,0)*VLOOKUP('Données projet'!$B$15,Paramètres!$A$1:$I$88,7,0))</f>
        <v>0.10600000000000001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projet'!$B$15,Paramètres!$A$1:$I$88,3,0)*0.475*44/12</f>
        <v>0.30162096023328827</v>
      </c>
      <c r="EW43" s="23">
        <f>EXP(-LN(2)/25)*EW42+(1-EXP(-LN(2)/25))/(LN(2)/25)*Calculateur!ER43*Calculateur!ET43*VLOOKUP('Données projet'!$B$15,Paramètres!$A$1:$I$88,3,0)*0.475*44/12</f>
        <v>0</v>
      </c>
      <c r="EX43" s="23">
        <f>EXP(-LN(2)/2)*EX42+(1-EXP(-LN(2)/2))/(LN(2)/2)*ER43*EU43*VLOOKUP('Données projet'!$B$15,Paramètres!$A$1:$I$88,3,0)*0.475*44/12</f>
        <v>0</v>
      </c>
      <c r="EY43" s="24">
        <f t="shared" si="21"/>
        <v>0.30162096023328827</v>
      </c>
      <c r="EZ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246</v>
      </c>
      <c r="FC43" s="13">
        <f>VLOOKUP(A43,'Données projet'!$A$217:$I$237,9,0)</f>
        <v>10.060000000000002</v>
      </c>
      <c r="FD43" s="13">
        <f t="array" ref="FD43">INDEX(FC:FC,MIN(IF(ISNUMBER(FC43:FC239),ROW(FC43:FC239),"")))</f>
        <v>10.060000000000002</v>
      </c>
      <c r="FE43" s="13">
        <f>IF('Données projet'!$A$218&gt;35,FE42+FD43-FM42,IF(A43&lt;'Données projet'!$A$218,$FB$205^A43,IF(A43='Données projet'!$A$218,'Données projet'!$B$218,FE42+FD43-FM42)))</f>
        <v>246.00000000000011</v>
      </c>
      <c r="FF43" s="18">
        <f>FE43*VLOOKUP('Données projet'!$B$16,Paramètres!$A$1:$I$88,3,0)*VLOOKUP('Données projet'!$B$16,Paramètres!$A$1:$I$88,5,0)</f>
        <v>214.90560000000013</v>
      </c>
      <c r="FG43" s="14">
        <f t="shared" si="47"/>
        <v>53.006137800892375</v>
      </c>
      <c r="FH43" s="22">
        <f t="shared" si="22"/>
        <v>466.61294333655451</v>
      </c>
      <c r="FI43" s="59">
        <f t="shared" si="23"/>
        <v>759.94627666988777</v>
      </c>
      <c r="FJ43" s="59">
        <f ca="1">AVERAGE(OFFSET($FI$3,0,0,'Données projet'!$E$16+1,1))-AVERAGE(OFFSET($H$3,0,0,'Données projet'!$E$16+1,1))</f>
        <v>427.76895185088944</v>
      </c>
      <c r="FK43" s="59">
        <f t="shared" si="48"/>
        <v>308.32543361559135</v>
      </c>
      <c r="FL43" s="16">
        <f>IF(ISNA(VLOOKUP(A43,'Données projet'!$A$217:$I$237,3,0)),0,VLOOKUP(A43,'Données projet'!$A$217:$I$237,3,0))</f>
        <v>6</v>
      </c>
      <c r="FM43" s="16">
        <f>IF(ISNA(VLOOKUP(A43,'Données projet'!$A$217:$I$237,4,0)),0,VLOOKUP(A43,'Données projet'!$A$217:$I$237,4,0))</f>
        <v>15.9</v>
      </c>
      <c r="FN43" s="17">
        <f>IF(ISNA(VLOOKUP(A43,'Données projet'!$A$217:$I$237,5,0)),0%,VLOOKUP(A43,'Données projet'!$A$217:$I$237,5,0)*VLOOKUP('Données projet'!$B$16,Paramètres!$A$1:$I$88,7,0))</f>
        <v>0.10600000000000001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projet'!$B$16,Paramètres!$A$1:$I$88,3,0)*0.475*44/12</f>
        <v>3.1389502501199713</v>
      </c>
      <c r="FR43" s="23">
        <f>EXP(-LN(2)/25)*FR42+(1-EXP(-LN(2)/25))/(LN(2)/25)*Calculateur!FM43*Calculateur!FO43*VLOOKUP('Données projet'!$B$16,Paramètres!$A$1:$I$88,3,0)*0.475*44/12</f>
        <v>0</v>
      </c>
      <c r="FS43" s="23">
        <f>EXP(-LN(2)/2)*FS42+(1-EXP(-LN(2)/2))/(LN(2)/2)*FM43*FP43*VLOOKUP('Données projet'!$B$16,Paramètres!$A$1:$I$88,3,0)*0.475*44/12</f>
        <v>0</v>
      </c>
      <c r="FT43" s="24">
        <f t="shared" si="24"/>
        <v>3.1389502501199713</v>
      </c>
      <c r="FU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285</v>
      </c>
      <c r="FX43" s="13">
        <f>VLOOKUP(A43,'Données projet'!$A$243:$I$263,9,0)</f>
        <v>11.6</v>
      </c>
      <c r="FY43" s="13">
        <f t="array" ref="FY43">INDEX(FX:FX,MIN(IF(ISNUMBER(FX43:FX239),ROW(FX43:FX239),"")))</f>
        <v>11.6</v>
      </c>
      <c r="FZ43" s="13">
        <f>IF('Données projet'!$A$244&gt;35,FZ42+FY43-GH42,IF(A43&lt;'Données projet'!$A$244,$FW$205^A43,IF(A43='Données projet'!$A$244,'Données projet'!$B$244,FZ42+FY43-GH42)))</f>
        <v>285.00000000000006</v>
      </c>
      <c r="GA43" s="18">
        <f>FZ43*VLOOKUP('Données projet'!$B$17,Paramètres!$A$1:$I$88,3,0)*VLOOKUP('Données projet'!$B$17,Paramètres!$A$1:$I$88,5,0)</f>
        <v>177.84000000000003</v>
      </c>
      <c r="GB43" s="14">
        <f t="shared" si="49"/>
        <v>44.841288830609102</v>
      </c>
      <c r="GC43" s="22">
        <f t="shared" si="25"/>
        <v>387.83657804664426</v>
      </c>
      <c r="GD43" s="59">
        <f t="shared" si="26"/>
        <v>681.16991137997752</v>
      </c>
      <c r="GE43" s="59">
        <f ca="1">AVERAGE(OFFSET($GD$3,0,0,'Données projet'!$E$17+1,1))-AVERAGE(OFFSET($H$3,0,0,'Données projet'!$E$17+1,1))</f>
        <v>247.85542034088905</v>
      </c>
      <c r="GF43" s="59">
        <f t="shared" si="50"/>
        <v>299.52241743660352</v>
      </c>
      <c r="GG43" s="16">
        <f>IF(ISNA(VLOOKUP(A43,'Données projet'!$A$243:$I$263,3,0)),0,VLOOKUP(A43,'Données projet'!$A$243:$I$263,3,0))</f>
        <v>7</v>
      </c>
      <c r="GH43" s="16">
        <f>IF(ISNA(VLOOKUP(A43,'Données projet'!$A$243:$I$263,4,0)),0,VLOOKUP(A43,'Données projet'!$A$243:$I$263,4,0))</f>
        <v>34</v>
      </c>
      <c r="GI43" s="17">
        <f>IF(ISNA(VLOOKUP(A43,'Données projet'!$A$243:$I$263,5,0)),0%,VLOOKUP(A43,'Données projet'!$A$243:$I$263,5,0)*VLOOKUP('Données projet'!$B$17,Paramètres!$A$1:$I$88,7,0))</f>
        <v>0.12</v>
      </c>
      <c r="GJ43" s="17">
        <f>IF(ISNA(VLOOKUP(A43,'Données projet'!$A$243:$I$263,6,0)),0%,VLOOKUP(A43,'Données projet'!$A$243:$I$263,6,0)*VLOOKUP('Données projet'!$B$17,Paramètres!$A$1:$I$88,7,0))</f>
        <v>0.26880000000000004</v>
      </c>
      <c r="GK43" s="17">
        <f>IF(ISNA(VLOOKUP(A43,'Données projet'!$A$243:$I$263,7,0)),0%,VLOOKUP(A43,'Données projet'!$A$243:$I$263,7,0))</f>
        <v>0.35200000000000004</v>
      </c>
      <c r="GL43" s="23">
        <f>EXP(-LN(2)/35)*GL42+(1-EXP(-LN(2)/35))/(LN(2)/35)*GH43*GI43*VLOOKUP('Données projet'!$B$17,Paramètres!$A$1:$I$88,3,0)*0.475*44/12</f>
        <v>6.7961254701253022</v>
      </c>
      <c r="GM43" s="23">
        <f>EXP(-LN(2)/25)*GM42+(1-EXP(-LN(2)/25))/(LN(2)/25)*Calculateur!GH43*Calculateur!GJ43*VLOOKUP('Données projet'!$B$17,Paramètres!$A$1:$I$88,3,0)*0.475*44/12</f>
        <v>41.951429919245939</v>
      </c>
      <c r="GN43" s="23">
        <f>EXP(-LN(2)/2)*GN42+(1-EXP(-LN(2)/2))/(LN(2)/2)*GH43*GK43*VLOOKUP('Données projet'!$B$17,Paramètres!$A$1:$I$88,3,0)*0.475*44/12</f>
        <v>10.598906161977578</v>
      </c>
      <c r="GO43" s="23">
        <f t="shared" si="27"/>
        <v>59.346461551348824</v>
      </c>
      <c r="GP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3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6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</v>
      </c>
      <c r="N44" s="14">
        <f>IF('Données projet'!$A$36&gt;35,N43+M44-V43,IF(A44&lt;'Données projet'!$A$36,$K$205^A44,IF(A44='Données projet'!$A$36,'Données projet'!$B$36,N43+M44-V43)))</f>
        <v>123</v>
      </c>
      <c r="O44" s="14">
        <f>N44*VLOOKUP('Données projet'!$B$9,Paramètres!$A$1:$I$88,3,0)*VLOOKUP('Données projet'!$B$9,Paramètres!$A$1:$I$88,5,0)</f>
        <v>111.29039999999999</v>
      </c>
      <c r="P44" s="14">
        <f t="shared" si="33"/>
        <v>29.634806205918245</v>
      </c>
      <c r="Q44" s="22">
        <f t="shared" si="53"/>
        <v>245.44473414197429</v>
      </c>
      <c r="R44" s="59">
        <f t="shared" si="0"/>
        <v>538.77806747530758</v>
      </c>
      <c r="S44" s="59">
        <f ca="1">AVERAGE(OFFSET($R$3,0,0,'Données projet'!$E$9+1,1))-AVERAGE(OFFSET($H$3,0,0,'Données projet'!$E$9+1,1))</f>
        <v>247.57967230773539</v>
      </c>
      <c r="T44" s="59">
        <f t="shared" si="34"/>
        <v>156.58857589533295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11.960000000000003</v>
      </c>
      <c r="AI44" s="14">
        <f>IF('Données projet'!$A$62&gt;35,AI43+AH44-AQ43,IF(A44&lt;'Données projet'!$A$62,$AF$205^A44,IF(A44='Données projet'!$A$62,'Données projet'!$B$62,AI43+AH44-AQ43)))</f>
        <v>308.16000000000003</v>
      </c>
      <c r="AJ44" s="14">
        <f>AI44*VLOOKUP('Données projet'!$B$10,Paramètres!$A$1:$I$88,3,0)*VLOOKUP('Données projet'!$B$10,Paramètres!$A$1:$I$88,5,0)</f>
        <v>245.17209600000004</v>
      </c>
      <c r="AK44" s="14">
        <f t="shared" si="35"/>
        <v>59.550947486210603</v>
      </c>
      <c r="AL44" s="22">
        <f t="shared" si="4"/>
        <v>530.7259674051503</v>
      </c>
      <c r="AM44" s="59">
        <f t="shared" si="5"/>
        <v>824.05930073848367</v>
      </c>
      <c r="AN44" s="59">
        <f ca="1">AVERAGE(OFFSET($AM$3,0,0,'Données projet'!$E$10+1,1))-AVERAGE(OFFSET($H$3,0,0,'Données projet'!$E$10+1,1))</f>
        <v>504.15006129790828</v>
      </c>
      <c r="AO44" s="59">
        <f t="shared" si="36"/>
        <v>374.39334457402742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3.8882602161706328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3.8882602161706328</v>
      </c>
      <c r="AY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11.960000000000003</v>
      </c>
      <c r="BD44" s="13">
        <f>IF('Données projet'!$A$88&gt;35,BD43+BC44-BL43,IF(A44&lt;'Données projet'!$A$88,$BA$205^A44,IF(A44='Données projet'!$A$88,'Données projet'!$B$88,BD43+BC44-BL43)))</f>
        <v>308.16000000000003</v>
      </c>
      <c r="BE44" s="14">
        <f>BD44*VLOOKUP('Données projet'!$B$11,Paramètres!$A$1:$I$88,3,0)*VLOOKUP('Données projet'!$B$11,Paramètres!$A$1:$I$88,5,0)</f>
        <v>245.17209600000004</v>
      </c>
      <c r="BF44" s="14">
        <f t="shared" si="37"/>
        <v>59.550947486210603</v>
      </c>
      <c r="BG44" s="22">
        <f t="shared" si="7"/>
        <v>530.7259674051503</v>
      </c>
      <c r="BH44" s="59">
        <f t="shared" si="8"/>
        <v>824.05930073848367</v>
      </c>
      <c r="BI44" s="59">
        <f ca="1">AVERAGE(OFFSET($BH$3,0,0,'Données projet'!$E$11+1,1))-AVERAGE(OFFSET($H$3,0,0,'Données projet'!$E$11+1,1))</f>
        <v>504.15006129790828</v>
      </c>
      <c r="BJ44" s="59">
        <f t="shared" si="38"/>
        <v>374.39334457402742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3.8882602161706328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3.8882602161706328</v>
      </c>
      <c r="BT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11.960000000000003</v>
      </c>
      <c r="BY44" s="13">
        <f>IF('Données projet'!$A$114&gt;35,BY43+BX44-CG43,IF(A44&lt;'Données projet'!$A$114,$BV$205^A44,IF(A44='Données projet'!$A$114,'Données projet'!$B$114,BY43+BX44-CG43)))</f>
        <v>308.16000000000003</v>
      </c>
      <c r="BZ44" s="14">
        <f>BY44*VLOOKUP('Données projet'!$B$12,Paramètres!$A$1:$I$88,3,0)*VLOOKUP('Données projet'!$B$12,Paramètres!$A$1:$I$88,5,0)</f>
        <v>206.71372800000003</v>
      </c>
      <c r="CA44" s="14">
        <f t="shared" si="39"/>
        <v>51.216794692389207</v>
      </c>
      <c r="CB44" s="22">
        <f t="shared" si="10"/>
        <v>449.22899368924453</v>
      </c>
      <c r="CC44" s="59">
        <f t="shared" si="11"/>
        <v>742.56232702257785</v>
      </c>
      <c r="CD44" s="59">
        <f ca="1">AVERAGE(OFFSET($CC$3,0,0,'Données projet'!$E$12+1,1))-AVERAGE(OFFSET($H$3,0,0,'Données projet'!$E$12+1,1))</f>
        <v>387.15063677712425</v>
      </c>
      <c r="CE44" s="59">
        <f t="shared" si="40"/>
        <v>313.19155394370705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3.2783370450066114</v>
      </c>
      <c r="CL44" s="23">
        <f>EXP(-LN(2)/25)*CL43+(1-EXP(-LN(2)/25))/(LN(2)/25)*Calculateur!CG44*Calculateur!CI44*VLOOKUP('Données projet'!$B$12,Paramètres!$A$1:$I$88,3,0)*0.475*44/12</f>
        <v>0</v>
      </c>
      <c r="CM44" s="23">
        <f>EXP(-LN(2)/2)*CM43+(1-EXP(-LN(2)/2))/(LN(2)/2)*CG44*CJ44*VLOOKUP('Données projet'!$B$12,Paramètres!$A$1:$I$88,3,0)*0.475*44/12</f>
        <v>0</v>
      </c>
      <c r="CN44" s="24">
        <f t="shared" si="12"/>
        <v>3.2783370450066114</v>
      </c>
      <c r="CO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3</v>
      </c>
      <c r="CT44" s="13">
        <f>IF('Données projet'!$A$140&gt;35,CT43+CS44-DB43,IF(A44&lt;'Données projet'!$A$140,$CQ$205^A44,IF(A44='Données projet'!$A$140,'Données projet'!$B$140,CT43+CS44-DB43)))</f>
        <v>123</v>
      </c>
      <c r="CU44" s="18">
        <f>CT44*VLOOKUP('Données projet'!$B$13,Paramètres!$A$1:$I$88,3,0)*VLOOKUP('Données projet'!$B$13,Paramètres!$A$1:$I$88,5,0)</f>
        <v>118.96560000000001</v>
      </c>
      <c r="CV44" s="14">
        <f t="shared" si="41"/>
        <v>31.433621056182272</v>
      </c>
      <c r="CW44" s="22">
        <f t="shared" si="13"/>
        <v>261.94531000618412</v>
      </c>
      <c r="CX44" s="59">
        <f t="shared" si="14"/>
        <v>555.27864333951743</v>
      </c>
      <c r="CY44" s="59">
        <f ca="1">AVERAGE(OFFSET($CX$3,0,0,'Données projet'!$E$13+1,1))-AVERAGE(OFFSET($H$3,0,0,'Données projet'!$E$13+1,1))</f>
        <v>306.00894145276209</v>
      </c>
      <c r="CZ44" s="59">
        <f t="shared" si="42"/>
        <v>168.74705421228828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0</v>
      </c>
      <c r="DG44" s="23">
        <f>EXP(-LN(2)/25)*DG43+(1-EXP(-LN(2)/25))/(LN(2)/25)*Calculateur!DB44*Calculateur!DD44*VLOOKUP('Données projet'!$B$13,Paramètres!$A$1:$I$88,3,0)*0.475*44/12</f>
        <v>0</v>
      </c>
      <c r="DH44" s="23">
        <f>EXP(-LN(2)/2)*DH43+(1-EXP(-LN(2)/2))/(LN(2)/2)*DB44*DE44*VLOOKUP('Données projet'!$B$13,Paramètres!$A$1:$I$88,3,0)*0.475*44/12</f>
        <v>0</v>
      </c>
      <c r="DI44" s="24">
        <f t="shared" si="15"/>
        <v>0</v>
      </c>
      <c r="DJ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11.960000000000003</v>
      </c>
      <c r="DO44" s="13">
        <f>IF('Données projet'!$A$166&gt;35,DO43+DN44-DW43,IF(A44&lt;'Données projet'!$A$166,$DL$205^A44,IF(A44='Données projet'!$A$166,'Données projet'!$B$166,DO43+DN44-DW43)))</f>
        <v>308.16000000000003</v>
      </c>
      <c r="DP44" s="18">
        <f>DO44*VLOOKUP('Données projet'!$B$14,Paramètres!$A$1:$I$88,3,0)*VLOOKUP('Données projet'!$B$14,Paramètres!$A$1:$I$88,5,0)</f>
        <v>240.36480000000003</v>
      </c>
      <c r="DQ44" s="14">
        <f t="shared" si="43"/>
        <v>58.518012039816234</v>
      </c>
      <c r="DR44" s="22">
        <f t="shared" si="16"/>
        <v>520.55423096934658</v>
      </c>
      <c r="DS44" s="59">
        <f t="shared" si="17"/>
        <v>813.88756430267995</v>
      </c>
      <c r="DT44" s="59">
        <f ca="1">AVERAGE(OFFSET($DS$3,0,0,'Données projet'!$E$14+1,1))-AVERAGE(OFFSET($H$3,0,0,'Données projet'!$E$14+1,1))</f>
        <v>458.14328535055694</v>
      </c>
      <c r="DU44" s="59">
        <f t="shared" si="44"/>
        <v>366.75500153675739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projet'!$B$14,Paramètres!$A$1:$I$88,3,0)*0.475*44/12</f>
        <v>3.0927707971760485</v>
      </c>
      <c r="EB44" s="23">
        <f>EXP(-LN(2)/25)*EB43+(1-EXP(-LN(2)/25))/(LN(2)/25)*Calculateur!DW44*Calculateur!DY44*VLOOKUP('Données projet'!$B$14,Paramètres!$A$1:$I$88,3,0)*0.475*44/12</f>
        <v>0</v>
      </c>
      <c r="EC44" s="23">
        <f>EXP(-LN(2)/2)*EC43+(1-EXP(-LN(2)/2))/(LN(2)/2)*DW44*DZ44*VLOOKUP('Données projet'!$B$14,Paramètres!$A$1:$I$88,3,0)*0.475*44/12</f>
        <v>0</v>
      </c>
      <c r="ED44" s="24">
        <f t="shared" si="18"/>
        <v>3.0927707971760485</v>
      </c>
      <c r="EE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12.8</v>
      </c>
      <c r="EJ44" s="13">
        <f>IF('Données projet'!$A$192&gt;35,EJ43+EI44-ER43,IF(A44&lt;'Données projet'!$A$192,$EG$205^A44,IF(A44='Données projet'!$A$192,'Données projet'!$B$192,EJ43+EI44-ER43)))</f>
        <v>246.80000000000007</v>
      </c>
      <c r="EK44" s="18">
        <f>EJ44*VLOOKUP('Données projet'!$B$15,Paramètres!$A$1:$I$88,3,0)*VLOOKUP('Données projet'!$B$15,Paramètres!$A$1:$I$88,5,0)</f>
        <v>211.75440000000006</v>
      </c>
      <c r="EL44" s="14">
        <f t="shared" si="45"/>
        <v>52.318780408268793</v>
      </c>
      <c r="EM44" s="22">
        <f t="shared" si="19"/>
        <v>459.92745587773493</v>
      </c>
      <c r="EN44" s="59">
        <f t="shared" si="20"/>
        <v>753.26078921106819</v>
      </c>
      <c r="EO44" s="59">
        <f ca="1">AVERAGE(OFFSET($EN$3,0,0,'Données projet'!$E$15+1,1))-AVERAGE(OFFSET($H$3,0,0,'Données projet'!$E$15+1,1))</f>
        <v>462.99360395552145</v>
      </c>
      <c r="EP44" s="59">
        <f t="shared" si="46"/>
        <v>153.03880717786046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projet'!$B$15,Paramètres!$A$1:$I$88,3,0)*0.475*44/12</f>
        <v>0.29570635717373361</v>
      </c>
      <c r="EW44" s="23">
        <f>EXP(-LN(2)/25)*EW43+(1-EXP(-LN(2)/25))/(LN(2)/25)*Calculateur!ER44*Calculateur!ET44*VLOOKUP('Données projet'!$B$15,Paramètres!$A$1:$I$88,3,0)*0.475*44/12</f>
        <v>0</v>
      </c>
      <c r="EX44" s="23">
        <f>EXP(-LN(2)/2)*EX43+(1-EXP(-LN(2)/2))/(LN(2)/2)*ER44*EU44*VLOOKUP('Données projet'!$B$15,Paramètres!$A$1:$I$88,3,0)*0.475*44/12</f>
        <v>0</v>
      </c>
      <c r="EY44" s="24">
        <f t="shared" si="21"/>
        <v>0.29570635717373361</v>
      </c>
      <c r="EZ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9.5800000000000018</v>
      </c>
      <c r="FE44" s="13">
        <f>IF('Données projet'!$A$218&gt;35,FE43+FD44-FM43,IF(A44&lt;'Données projet'!$A$218,$FB$205^A44,IF(A44='Données projet'!$A$218,'Données projet'!$B$218,FE43+FD44-FM43)))</f>
        <v>239.68000000000012</v>
      </c>
      <c r="FF44" s="18">
        <f>FE44*VLOOKUP('Données projet'!$B$16,Paramètres!$A$1:$I$88,3,0)*VLOOKUP('Données projet'!$B$16,Paramètres!$A$1:$I$88,5,0)</f>
        <v>209.38444800000013</v>
      </c>
      <c r="FG44" s="14">
        <f t="shared" si="47"/>
        <v>51.801049126707952</v>
      </c>
      <c r="FH44" s="22">
        <f t="shared" si="22"/>
        <v>454.89807416234993</v>
      </c>
      <c r="FI44" s="59">
        <f t="shared" si="23"/>
        <v>748.23140749568324</v>
      </c>
      <c r="FJ44" s="59">
        <f ca="1">AVERAGE(OFFSET($FI$3,0,0,'Données projet'!$E$16+1,1))-AVERAGE(OFFSET($H$3,0,0,'Données projet'!$E$16+1,1))</f>
        <v>427.76895185088944</v>
      </c>
      <c r="FK44" s="59">
        <f t="shared" si="48"/>
        <v>308.32543361559135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projet'!$B$16,Paramètres!$A$1:$I$88,3,0)*0.475*44/12</f>
        <v>3.077397350285723</v>
      </c>
      <c r="FR44" s="23">
        <f>EXP(-LN(2)/25)*FR43+(1-EXP(-LN(2)/25))/(LN(2)/25)*Calculateur!FM44*Calculateur!FO44*VLOOKUP('Données projet'!$B$16,Paramètres!$A$1:$I$88,3,0)*0.475*44/12</f>
        <v>0</v>
      </c>
      <c r="FS44" s="23">
        <f>EXP(-LN(2)/2)*FS43+(1-EXP(-LN(2)/2))/(LN(2)/2)*FM44*FP44*VLOOKUP('Données projet'!$B$16,Paramètres!$A$1:$I$88,3,0)*0.475*44/12</f>
        <v>0</v>
      </c>
      <c r="FT44" s="24">
        <f t="shared" si="24"/>
        <v>3.077397350285723</v>
      </c>
      <c r="FU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10.199999999999999</v>
      </c>
      <c r="FZ44" s="13">
        <f>IF('Données projet'!$A$244&gt;35,FZ43+FY44-GH43,IF(A44&lt;'Données projet'!$A$244,$FW$205^A44,IF(A44='Données projet'!$A$244,'Données projet'!$B$244,FZ43+FY44-GH43)))</f>
        <v>261.20000000000005</v>
      </c>
      <c r="GA44" s="18">
        <f>FZ44*VLOOKUP('Données projet'!$B$17,Paramètres!$A$1:$I$88,3,0)*VLOOKUP('Données projet'!$B$17,Paramètres!$A$1:$I$88,5,0)</f>
        <v>162.98880000000003</v>
      </c>
      <c r="GB44" s="14">
        <f t="shared" si="49"/>
        <v>41.515919734048659</v>
      </c>
      <c r="GC44" s="22">
        <f t="shared" si="25"/>
        <v>356.1790535368014</v>
      </c>
      <c r="GD44" s="59">
        <f t="shared" si="26"/>
        <v>649.51238687013472</v>
      </c>
      <c r="GE44" s="59">
        <f ca="1">AVERAGE(OFFSET($GD$3,0,0,'Données projet'!$E$17+1,1))-AVERAGE(OFFSET($H$3,0,0,'Données projet'!$E$17+1,1))</f>
        <v>247.85542034088905</v>
      </c>
      <c r="GF44" s="59">
        <f t="shared" si="50"/>
        <v>299.52241743660352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projet'!$B$17,Paramètres!$A$1:$I$88,3,0)*0.475*44/12</f>
        <v>6.6628575948833744</v>
      </c>
      <c r="GM44" s="23">
        <f>EXP(-LN(2)/25)*GM43+(1-EXP(-LN(2)/25))/(LN(2)/25)*Calculateur!GH44*Calculateur!GJ44*VLOOKUP('Données projet'!$B$17,Paramètres!$A$1:$I$88,3,0)*0.475*44/12</f>
        <v>40.804265861974343</v>
      </c>
      <c r="GN44" s="23">
        <f>EXP(-LN(2)/2)*GN43+(1-EXP(-LN(2)/2))/(LN(2)/2)*GH44*GK44*VLOOKUP('Données projet'!$B$17,Paramètres!$A$1:$I$88,3,0)*0.475*44/12</f>
        <v>7.4945584202942293</v>
      </c>
      <c r="GO44" s="23">
        <f t="shared" si="27"/>
        <v>54.961681877151946</v>
      </c>
      <c r="GP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3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6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126</v>
      </c>
      <c r="L45" s="13">
        <f>VLOOKUP(A45,'Données projet'!$A$35:$I$55,9,0)</f>
        <v>3</v>
      </c>
      <c r="M45" s="13">
        <f t="array" ref="M45">INDEX(L:L,MIN(IF(ISNUMBER(L45:L241),ROW(L45:L241),"")))</f>
        <v>3</v>
      </c>
      <c r="N45" s="14">
        <f>IF('Données projet'!$A$36&gt;35,N44+M45-V44,IF(A45&lt;'Données projet'!$A$36,$K$205^A45,IF(A45='Données projet'!$A$36,'Données projet'!$B$36,N44+M45-V44)))</f>
        <v>126</v>
      </c>
      <c r="O45" s="14">
        <f>N45*VLOOKUP('Données projet'!$B$9,Paramètres!$A$1:$I$88,3,0)*VLOOKUP('Données projet'!$B$9,Paramètres!$A$1:$I$88,5,0)</f>
        <v>114.0048</v>
      </c>
      <c r="P45" s="14">
        <f t="shared" si="33"/>
        <v>30.272573949217303</v>
      </c>
      <c r="Q45" s="22">
        <f t="shared" si="53"/>
        <v>251.28309296155342</v>
      </c>
      <c r="R45" s="59">
        <f t="shared" si="0"/>
        <v>544.61642629488676</v>
      </c>
      <c r="S45" s="59">
        <f ca="1">AVERAGE(OFFSET($R$3,0,0,'Données projet'!$E$9+1,1))-AVERAGE(OFFSET($H$3,0,0,'Données projet'!$E$9+1,1))</f>
        <v>247.57967230773539</v>
      </c>
      <c r="T45" s="59">
        <f t="shared" si="34"/>
        <v>156.58857589533295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30</v>
      </c>
      <c r="W45" s="17">
        <f>IF(ISNA(VLOOKUP(A45,'Données projet'!$A$35:$I$55,5,0)),0%,VLOOKUP(A45,'Données projet'!$A$35:$I$55,5,0)*VLOOKUP('Données projet'!$B$9,Paramètres!$A$1:$I$88,7,0))</f>
        <v>8.6000000000000007E-2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2.580592366455646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2.580592366455646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11.960000000000003</v>
      </c>
      <c r="AI45" s="14">
        <f>IF('Données projet'!$A$62&gt;35,AI44+AH45-AQ44,IF(A45&lt;'Données projet'!$A$62,$AF$205^A45,IF(A45='Données projet'!$A$62,'Données projet'!$B$62,AI44+AH45-AQ44)))</f>
        <v>320.12</v>
      </c>
      <c r="AJ45" s="14">
        <f>AI45*VLOOKUP('Données projet'!$B$10,Paramètres!$A$1:$I$88,3,0)*VLOOKUP('Données projet'!$B$10,Paramètres!$A$1:$I$88,5,0)</f>
        <v>254.68747200000001</v>
      </c>
      <c r="AK45" s="14">
        <f t="shared" si="35"/>
        <v>61.58860466199539</v>
      </c>
      <c r="AL45" s="22">
        <f t="shared" si="4"/>
        <v>550.84750018630859</v>
      </c>
      <c r="AM45" s="59">
        <f t="shared" si="5"/>
        <v>844.18083351964196</v>
      </c>
      <c r="AN45" s="59">
        <f ca="1">AVERAGE(OFFSET($AM$3,0,0,'Données projet'!$E$10+1,1))-AVERAGE(OFFSET($H$3,0,0,'Données projet'!$E$10+1,1))</f>
        <v>504.15006129790828</v>
      </c>
      <c r="AO45" s="59">
        <f t="shared" si="36"/>
        <v>374.39334457402742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3.8120138049360821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3.8120138049360821</v>
      </c>
      <c r="AY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11.960000000000003</v>
      </c>
      <c r="BD45" s="13">
        <f>IF('Données projet'!$A$88&gt;35,BD44+BC45-BL44,IF(A45&lt;'Données projet'!$A$88,$BA$205^A45,IF(A45='Données projet'!$A$88,'Données projet'!$B$88,BD44+BC45-BL44)))</f>
        <v>320.12</v>
      </c>
      <c r="BE45" s="14">
        <f>BD45*VLOOKUP('Données projet'!$B$11,Paramètres!$A$1:$I$88,3,0)*VLOOKUP('Données projet'!$B$11,Paramètres!$A$1:$I$88,5,0)</f>
        <v>254.68747200000001</v>
      </c>
      <c r="BF45" s="14">
        <f t="shared" si="37"/>
        <v>61.58860466199539</v>
      </c>
      <c r="BG45" s="22">
        <f t="shared" si="7"/>
        <v>550.84750018630859</v>
      </c>
      <c r="BH45" s="59">
        <f t="shared" si="8"/>
        <v>844.18083351964196</v>
      </c>
      <c r="BI45" s="59">
        <f ca="1">AVERAGE(OFFSET($BH$3,0,0,'Données projet'!$E$11+1,1))-AVERAGE(OFFSET($H$3,0,0,'Données projet'!$E$11+1,1))</f>
        <v>504.15006129790828</v>
      </c>
      <c r="BJ45" s="59">
        <f t="shared" si="38"/>
        <v>374.39334457402742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3.8120138049360821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3.8120138049360821</v>
      </c>
      <c r="BT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11.960000000000003</v>
      </c>
      <c r="BY45" s="13">
        <f>IF('Données projet'!$A$114&gt;35,BY44+BX45-CG44,IF(A45&lt;'Données projet'!$A$114,$BV$205^A45,IF(A45='Données projet'!$A$114,'Données projet'!$B$114,BY44+BX45-CG44)))</f>
        <v>320.12</v>
      </c>
      <c r="BZ45" s="14">
        <f>BY45*VLOOKUP('Données projet'!$B$12,Paramètres!$A$1:$I$88,3,0)*VLOOKUP('Données projet'!$B$12,Paramètres!$A$1:$I$88,5,0)</f>
        <v>214.73649600000002</v>
      </c>
      <c r="CA45" s="14">
        <f t="shared" si="39"/>
        <v>52.969281825357257</v>
      </c>
      <c r="CB45" s="22">
        <f t="shared" si="10"/>
        <v>466.25422971249719</v>
      </c>
      <c r="CC45" s="59">
        <f t="shared" si="11"/>
        <v>759.58756304583051</v>
      </c>
      <c r="CD45" s="59">
        <f ca="1">AVERAGE(OFFSET($CC$3,0,0,'Données projet'!$E$12+1,1))-AVERAGE(OFFSET($H$3,0,0,'Données projet'!$E$12+1,1))</f>
        <v>387.15063677712425</v>
      </c>
      <c r="CE45" s="59">
        <f t="shared" si="40"/>
        <v>313.19155394370705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3.2140508551421862</v>
      </c>
      <c r="CL45" s="23">
        <f>EXP(-LN(2)/25)*CL44+(1-EXP(-LN(2)/25))/(LN(2)/25)*Calculateur!CG45*Calculateur!CI45*VLOOKUP('Données projet'!$B$12,Paramètres!$A$1:$I$88,3,0)*0.475*44/12</f>
        <v>0</v>
      </c>
      <c r="CM45" s="23">
        <f>EXP(-LN(2)/2)*CM44+(1-EXP(-LN(2)/2))/(LN(2)/2)*CG45*CJ45*VLOOKUP('Données projet'!$B$12,Paramètres!$A$1:$I$88,3,0)*0.475*44/12</f>
        <v>0</v>
      </c>
      <c r="CN45" s="24">
        <f t="shared" si="12"/>
        <v>3.2140508551421862</v>
      </c>
      <c r="CO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>
        <f>VLOOKUP(A45,'Données projet'!$A$139:$I$159,2,0)</f>
        <v>126</v>
      </c>
      <c r="CR45" s="13">
        <f>VLOOKUP(A45,'Données projet'!$A$139:$I$159,9,0)</f>
        <v>3</v>
      </c>
      <c r="CS45" s="13">
        <f t="array" ref="CS45">INDEX(CR:CR,MIN(IF(ISNUMBER(CR45:CR241),ROW(CR45:CR241),"")))</f>
        <v>3</v>
      </c>
      <c r="CT45" s="13">
        <f>IF('Données projet'!$A$140&gt;35,CT44+CS45-DB44,IF(A45&lt;'Données projet'!$A$140,$CQ$205^A45,IF(A45='Données projet'!$A$140,'Données projet'!$B$140,CT44+CS45-DB44)))</f>
        <v>126</v>
      </c>
      <c r="CU45" s="18">
        <f>CT45*VLOOKUP('Données projet'!$B$13,Paramètres!$A$1:$I$88,3,0)*VLOOKUP('Données projet'!$B$13,Paramètres!$A$1:$I$88,5,0)</f>
        <v>121.86720000000001</v>
      </c>
      <c r="CV45" s="14">
        <f t="shared" si="41"/>
        <v>32.110100916567376</v>
      </c>
      <c r="CW45" s="22">
        <f t="shared" si="13"/>
        <v>268.17713242968824</v>
      </c>
      <c r="CX45" s="59">
        <f t="shared" si="14"/>
        <v>561.51046576302156</v>
      </c>
      <c r="CY45" s="59">
        <f ca="1">AVERAGE(OFFSET($CX$3,0,0,'Données projet'!$E$13+1,1))-AVERAGE(OFFSET($H$3,0,0,'Données projet'!$E$13+1,1))</f>
        <v>306.00894145276209</v>
      </c>
      <c r="CZ45" s="59">
        <f t="shared" si="42"/>
        <v>168.74705421228828</v>
      </c>
      <c r="DA45" s="16">
        <f>IF(ISNA(VLOOKUP(A45,'Données projet'!$A$139:$I$159,3,0)),0,VLOOKUP(A45,'Données projet'!$A$139:$I$159,3,0))</f>
        <v>1</v>
      </c>
      <c r="DB45" s="16">
        <f>IF(ISNA(VLOOKUP(A45,'Données projet'!$A$139:$I$159,4,0)),0,VLOOKUP(A45,'Données projet'!$A$139:$I$159,4,0))</f>
        <v>30</v>
      </c>
      <c r="DC45" s="17">
        <f>IF(ISNA(VLOOKUP(A45,'Données projet'!$A$139:$I$159,5,0)),0%,VLOOKUP(A45,'Données projet'!$A$139:$I$159,5,0)*VLOOKUP('Données projet'!$B$13,Paramètres!$A$1:$I$88,7,0))</f>
        <v>8.6000000000000007E-2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2.7585642537974153</v>
      </c>
      <c r="DG45" s="23">
        <f>EXP(-LN(2)/25)*DG44+(1-EXP(-LN(2)/25))/(LN(2)/25)*Calculateur!DB45*Calculateur!DD45*VLOOKUP('Données projet'!$B$13,Paramètres!$A$1:$I$88,3,0)*0.475*44/12</f>
        <v>0</v>
      </c>
      <c r="DH45" s="23">
        <f>EXP(-LN(2)/2)*DH44+(1-EXP(-LN(2)/2))/(LN(2)/2)*DB45*DE45*VLOOKUP('Données projet'!$B$13,Paramètres!$A$1:$I$88,3,0)*0.475*44/12</f>
        <v>0</v>
      </c>
      <c r="DI45" s="24">
        <f t="shared" si="15"/>
        <v>2.7585642537974153</v>
      </c>
      <c r="DJ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11.960000000000003</v>
      </c>
      <c r="DO45" s="13">
        <f>IF('Données projet'!$A$166&gt;35,DO44+DN45-DW44,IF(A45&lt;'Données projet'!$A$166,$DL$205^A45,IF(A45='Données projet'!$A$166,'Données projet'!$B$166,DO44+DN45-DW44)))</f>
        <v>320.12</v>
      </c>
      <c r="DP45" s="18">
        <f>DO45*VLOOKUP('Données projet'!$B$14,Paramètres!$A$1:$I$88,3,0)*VLOOKUP('Données projet'!$B$14,Paramètres!$A$1:$I$88,5,0)</f>
        <v>249.6936</v>
      </c>
      <c r="DQ45" s="14">
        <f t="shared" si="43"/>
        <v>60.52032522170478</v>
      </c>
      <c r="DR45" s="22">
        <f t="shared" si="16"/>
        <v>540.28925309446925</v>
      </c>
      <c r="DS45" s="59">
        <f t="shared" si="17"/>
        <v>833.62258642780262</v>
      </c>
      <c r="DT45" s="59">
        <f ca="1">AVERAGE(OFFSET($DS$3,0,0,'Données projet'!$E$14+1,1))-AVERAGE(OFFSET($H$3,0,0,'Données projet'!$E$14+1,1))</f>
        <v>458.14328535055694</v>
      </c>
      <c r="DU45" s="59">
        <f t="shared" si="44"/>
        <v>366.75500153675739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projet'!$B$14,Paramètres!$A$1:$I$88,3,0)*0.475*44/12</f>
        <v>3.0321234482473454</v>
      </c>
      <c r="EB45" s="23">
        <f>EXP(-LN(2)/25)*EB44+(1-EXP(-LN(2)/25))/(LN(2)/25)*Calculateur!DW45*Calculateur!DY45*VLOOKUP('Données projet'!$B$14,Paramètres!$A$1:$I$88,3,0)*0.475*44/12</f>
        <v>0</v>
      </c>
      <c r="EC45" s="23">
        <f>EXP(-LN(2)/2)*EC44+(1-EXP(-LN(2)/2))/(LN(2)/2)*DW45*DZ45*VLOOKUP('Données projet'!$B$14,Paramètres!$A$1:$I$88,3,0)*0.475*44/12</f>
        <v>0</v>
      </c>
      <c r="ED45" s="24">
        <f t="shared" si="18"/>
        <v>3.0321234482473454</v>
      </c>
      <c r="EE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12.8</v>
      </c>
      <c r="EJ45" s="13">
        <f>IF('Données projet'!$A$192&gt;35,EJ44+EI45-ER44,IF(A45&lt;'Données projet'!$A$192,$EG$205^A45,IF(A45='Données projet'!$A$192,'Données projet'!$B$192,EJ44+EI45-ER44)))</f>
        <v>259.60000000000008</v>
      </c>
      <c r="EK45" s="18">
        <f>EJ45*VLOOKUP('Données projet'!$B$15,Paramètres!$A$1:$I$88,3,0)*VLOOKUP('Données projet'!$B$15,Paramètres!$A$1:$I$88,5,0)</f>
        <v>222.7368000000001</v>
      </c>
      <c r="EL45" s="14">
        <f t="shared" si="45"/>
        <v>54.709286997607514</v>
      </c>
      <c r="EM45" s="22">
        <f t="shared" si="19"/>
        <v>483.21860152083326</v>
      </c>
      <c r="EN45" s="59">
        <f t="shared" si="20"/>
        <v>776.55193485416657</v>
      </c>
      <c r="EO45" s="59">
        <f ca="1">AVERAGE(OFFSET($EN$3,0,0,'Données projet'!$E$15+1,1))-AVERAGE(OFFSET($H$3,0,0,'Données projet'!$E$15+1,1))</f>
        <v>462.99360395552145</v>
      </c>
      <c r="EP45" s="59">
        <f t="shared" si="46"/>
        <v>153.03880717786046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projet'!$B$15,Paramètres!$A$1:$I$88,3,0)*0.475*44/12</f>
        <v>0.28990773587262519</v>
      </c>
      <c r="EW45" s="23">
        <f>EXP(-LN(2)/25)*EW44+(1-EXP(-LN(2)/25))/(LN(2)/25)*Calculateur!ER45*Calculateur!ET45*VLOOKUP('Données projet'!$B$15,Paramètres!$A$1:$I$88,3,0)*0.475*44/12</f>
        <v>0</v>
      </c>
      <c r="EX45" s="23">
        <f>EXP(-LN(2)/2)*EX44+(1-EXP(-LN(2)/2))/(LN(2)/2)*ER45*EU45*VLOOKUP('Données projet'!$B$15,Paramètres!$A$1:$I$88,3,0)*0.475*44/12</f>
        <v>0</v>
      </c>
      <c r="EY45" s="24">
        <f t="shared" si="21"/>
        <v>0.28990773587262519</v>
      </c>
      <c r="EZ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9.5800000000000018</v>
      </c>
      <c r="FE45" s="13">
        <f>IF('Données projet'!$A$218&gt;35,FE44+FD45-FM44,IF(A45&lt;'Données projet'!$A$218,$FB$205^A45,IF(A45='Données projet'!$A$218,'Données projet'!$B$218,FE44+FD45-FM44)))</f>
        <v>249.26000000000013</v>
      </c>
      <c r="FF45" s="18">
        <f>FE45*VLOOKUP('Données projet'!$B$16,Paramètres!$A$1:$I$88,3,0)*VLOOKUP('Données projet'!$B$16,Paramètres!$A$1:$I$88,5,0)</f>
        <v>217.75353600000014</v>
      </c>
      <c r="FG45" s="14">
        <f t="shared" si="47"/>
        <v>53.626336593270246</v>
      </c>
      <c r="FH45" s="22">
        <f t="shared" si="22"/>
        <v>472.65327809994591</v>
      </c>
      <c r="FI45" s="59">
        <f t="shared" si="23"/>
        <v>765.98661143327922</v>
      </c>
      <c r="FJ45" s="59">
        <f ca="1">AVERAGE(OFFSET($FI$3,0,0,'Données projet'!$E$16+1,1))-AVERAGE(OFFSET($H$3,0,0,'Données projet'!$E$16+1,1))</f>
        <v>427.76895185088944</v>
      </c>
      <c r="FK45" s="59">
        <f t="shared" si="48"/>
        <v>308.32543361559135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projet'!$B$16,Paramètres!$A$1:$I$88,3,0)*0.475*44/12</f>
        <v>3.0170514652736626</v>
      </c>
      <c r="FR45" s="23">
        <f>EXP(-LN(2)/25)*FR44+(1-EXP(-LN(2)/25))/(LN(2)/25)*Calculateur!FM45*Calculateur!FO45*VLOOKUP('Données projet'!$B$16,Paramètres!$A$1:$I$88,3,0)*0.475*44/12</f>
        <v>0</v>
      </c>
      <c r="FS45" s="23">
        <f>EXP(-LN(2)/2)*FS44+(1-EXP(-LN(2)/2))/(LN(2)/2)*FM45*FP45*VLOOKUP('Données projet'!$B$16,Paramètres!$A$1:$I$88,3,0)*0.475*44/12</f>
        <v>0</v>
      </c>
      <c r="FT45" s="24">
        <f t="shared" si="24"/>
        <v>3.0170514652736626</v>
      </c>
      <c r="FU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10.199999999999999</v>
      </c>
      <c r="FZ45" s="13">
        <f>IF('Données projet'!$A$244&gt;35,FZ44+FY45-GH44,IF(A45&lt;'Données projet'!$A$244,$FW$205^A45,IF(A45='Données projet'!$A$244,'Données projet'!$B$244,FZ44+FY45-GH44)))</f>
        <v>271.40000000000003</v>
      </c>
      <c r="GA45" s="18">
        <f>FZ45*VLOOKUP('Données projet'!$B$17,Paramètres!$A$1:$I$88,3,0)*VLOOKUP('Données projet'!$B$17,Paramètres!$A$1:$I$88,5,0)</f>
        <v>169.35360000000003</v>
      </c>
      <c r="GB45" s="14">
        <f t="shared" si="49"/>
        <v>42.945219405180133</v>
      </c>
      <c r="GC45" s="22">
        <f t="shared" si="25"/>
        <v>369.75377713068877</v>
      </c>
      <c r="GD45" s="59">
        <f t="shared" si="26"/>
        <v>663.08711046402209</v>
      </c>
      <c r="GE45" s="59">
        <f ca="1">AVERAGE(OFFSET($GD$3,0,0,'Données projet'!$E$17+1,1))-AVERAGE(OFFSET($H$3,0,0,'Données projet'!$E$17+1,1))</f>
        <v>247.85542034088905</v>
      </c>
      <c r="GF45" s="59">
        <f t="shared" si="50"/>
        <v>299.52241743660352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projet'!$B$17,Paramètres!$A$1:$I$88,3,0)*0.475*44/12</f>
        <v>6.532203021389563</v>
      </c>
      <c r="GM45" s="23">
        <f>EXP(-LN(2)/25)*GM44+(1-EXP(-LN(2)/25))/(LN(2)/25)*Calculateur!GH45*Calculateur!GJ45*VLOOKUP('Données projet'!$B$17,Paramètres!$A$1:$I$88,3,0)*0.475*44/12</f>
        <v>39.688471066175573</v>
      </c>
      <c r="GN45" s="23">
        <f>EXP(-LN(2)/2)*GN44+(1-EXP(-LN(2)/2))/(LN(2)/2)*GH45*GK45*VLOOKUP('Données projet'!$B$17,Paramètres!$A$1:$I$88,3,0)*0.475*44/12</f>
        <v>5.2994530809887896</v>
      </c>
      <c r="GO45" s="23">
        <f t="shared" si="27"/>
        <v>51.520127168553927</v>
      </c>
      <c r="GP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3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6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6.875</v>
      </c>
      <c r="N46" s="14">
        <f>IF('Données projet'!$A$36&gt;35,N45+M46-V45,IF(A46&lt;'Données projet'!$A$36,$K$205^A46,IF(A46='Données projet'!$A$36,'Données projet'!$B$36,N45+M46-V45)))</f>
        <v>102.875</v>
      </c>
      <c r="O46" s="14">
        <f>N46*VLOOKUP('Données projet'!$B$9,Paramètres!$A$1:$I$88,3,0)*VLOOKUP('Données projet'!$B$9,Paramètres!$A$1:$I$88,5,0)</f>
        <v>93.081299999999999</v>
      </c>
      <c r="P46" s="14">
        <f t="shared" si="33"/>
        <v>25.306898135221367</v>
      </c>
      <c r="Q46" s="22">
        <f t="shared" si="53"/>
        <v>206.19277841884386</v>
      </c>
      <c r="R46" s="59">
        <f t="shared" si="0"/>
        <v>499.52611175217714</v>
      </c>
      <c r="S46" s="59">
        <f ca="1">AVERAGE(OFFSET($R$3,0,0,'Données projet'!$E$9+1,1))-AVERAGE(OFFSET($H$3,0,0,'Données projet'!$E$9+1,1))</f>
        <v>247.57967230773539</v>
      </c>
      <c r="T46" s="59">
        <f t="shared" si="34"/>
        <v>156.58857589533295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2.5299885241553741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2.5299885241553741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11.960000000000003</v>
      </c>
      <c r="AI46" s="14">
        <f>IF('Données projet'!$A$62&gt;35,AI45+AH46-AQ45,IF(A46&lt;'Données projet'!$A$62,$AF$205^A46,IF(A46='Données projet'!$A$62,'Données projet'!$B$62,AI45+AH46-AQ45)))</f>
        <v>332.08</v>
      </c>
      <c r="AJ46" s="14">
        <f>AI46*VLOOKUP('Données projet'!$B$10,Paramètres!$A$1:$I$88,3,0)*VLOOKUP('Données projet'!$B$10,Paramètres!$A$1:$I$88,5,0)</f>
        <v>264.20284799999996</v>
      </c>
      <c r="AK46" s="14">
        <f t="shared" si="35"/>
        <v>63.617417502257972</v>
      </c>
      <c r="AL46" s="22">
        <f t="shared" si="4"/>
        <v>570.95362908309914</v>
      </c>
      <c r="AM46" s="59">
        <f t="shared" si="5"/>
        <v>864.28696241643252</v>
      </c>
      <c r="AN46" s="59">
        <f ca="1">AVERAGE(OFFSET($AM$3,0,0,'Données projet'!$E$10+1,1))-AVERAGE(OFFSET($H$3,0,0,'Données projet'!$E$10+1,1))</f>
        <v>504.15006129790828</v>
      </c>
      <c r="AO46" s="59">
        <f t="shared" si="36"/>
        <v>374.39334457402742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3.7372625393201222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3.7372625393201222</v>
      </c>
      <c r="AY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11.960000000000003</v>
      </c>
      <c r="BD46" s="13">
        <f>IF('Données projet'!$A$88&gt;35,BD45+BC46-BL45,IF(A46&lt;'Données projet'!$A$88,$BA$205^A46,IF(A46='Données projet'!$A$88,'Données projet'!$B$88,BD45+BC46-BL45)))</f>
        <v>332.08</v>
      </c>
      <c r="BE46" s="14">
        <f>BD46*VLOOKUP('Données projet'!$B$11,Paramètres!$A$1:$I$88,3,0)*VLOOKUP('Données projet'!$B$11,Paramètres!$A$1:$I$88,5,0)</f>
        <v>264.20284799999996</v>
      </c>
      <c r="BF46" s="14">
        <f t="shared" si="37"/>
        <v>63.617417502257972</v>
      </c>
      <c r="BG46" s="22">
        <f t="shared" si="7"/>
        <v>570.95362908309914</v>
      </c>
      <c r="BH46" s="59">
        <f t="shared" si="8"/>
        <v>864.28696241643252</v>
      </c>
      <c r="BI46" s="59">
        <f ca="1">AVERAGE(OFFSET($BH$3,0,0,'Données projet'!$E$11+1,1))-AVERAGE(OFFSET($H$3,0,0,'Données projet'!$E$11+1,1))</f>
        <v>504.15006129790828</v>
      </c>
      <c r="BJ46" s="59">
        <f t="shared" si="38"/>
        <v>374.39334457402742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3.7372625393201222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3.7372625393201222</v>
      </c>
      <c r="BT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11.960000000000003</v>
      </c>
      <c r="BY46" s="13">
        <f>IF('Données projet'!$A$114&gt;35,BY45+BX46-CG45,IF(A46&lt;'Données projet'!$A$114,$BV$205^A46,IF(A46='Données projet'!$A$114,'Données projet'!$B$114,BY45+BX46-CG45)))</f>
        <v>332.08</v>
      </c>
      <c r="BZ46" s="14">
        <f>BY46*VLOOKUP('Données projet'!$B$12,Paramètres!$A$1:$I$88,3,0)*VLOOKUP('Données projet'!$B$12,Paramètres!$A$1:$I$88,5,0)</f>
        <v>222.759264</v>
      </c>
      <c r="CA46" s="14">
        <f t="shared" si="39"/>
        <v>54.714162387216923</v>
      </c>
      <c r="CB46" s="22">
        <f t="shared" si="10"/>
        <v>483.26621762440277</v>
      </c>
      <c r="CC46" s="59">
        <f t="shared" si="11"/>
        <v>776.59955095773603</v>
      </c>
      <c r="CD46" s="59">
        <f ca="1">AVERAGE(OFFSET($CC$3,0,0,'Données projet'!$E$12+1,1))-AVERAGE(OFFSET($H$3,0,0,'Données projet'!$E$12+1,1))</f>
        <v>387.15063677712425</v>
      </c>
      <c r="CE46" s="59">
        <f t="shared" si="40"/>
        <v>313.19155394370705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3.1510252782502985</v>
      </c>
      <c r="CL46" s="23">
        <f>EXP(-LN(2)/25)*CL45+(1-EXP(-LN(2)/25))/(LN(2)/25)*Calculateur!CG46*Calculateur!CI46*VLOOKUP('Données projet'!$B$12,Paramètres!$A$1:$I$88,3,0)*0.475*44/12</f>
        <v>0</v>
      </c>
      <c r="CM46" s="23">
        <f>EXP(-LN(2)/2)*CM45+(1-EXP(-LN(2)/2))/(LN(2)/2)*CG46*CJ46*VLOOKUP('Données projet'!$B$12,Paramètres!$A$1:$I$88,3,0)*0.475*44/12</f>
        <v>0</v>
      </c>
      <c r="CN46" s="24">
        <f t="shared" si="12"/>
        <v>3.1510252782502985</v>
      </c>
      <c r="CO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6.875</v>
      </c>
      <c r="CT46" s="13">
        <f>IF('Données projet'!$A$140&gt;35,CT45+CS46-DB45,IF(A46&lt;'Données projet'!$A$140,$CQ$205^A46,IF(A46='Données projet'!$A$140,'Données projet'!$B$140,CT45+CS46-DB45)))</f>
        <v>102.875</v>
      </c>
      <c r="CU46" s="18">
        <f>CT46*VLOOKUP('Données projet'!$B$13,Paramètres!$A$1:$I$88,3,0)*VLOOKUP('Données projet'!$B$13,Paramètres!$A$1:$I$88,5,0)</f>
        <v>99.500699999999995</v>
      </c>
      <c r="CV46" s="14">
        <f t="shared" si="41"/>
        <v>26.843011577753824</v>
      </c>
      <c r="CW46" s="22">
        <f t="shared" si="13"/>
        <v>220.04863099792124</v>
      </c>
      <c r="CX46" s="59">
        <f t="shared" si="14"/>
        <v>513.38196433125449</v>
      </c>
      <c r="CY46" s="59">
        <f ca="1">AVERAGE(OFFSET($CX$3,0,0,'Données projet'!$E$13+1,1))-AVERAGE(OFFSET($H$3,0,0,'Données projet'!$E$13+1,1))</f>
        <v>306.00894145276209</v>
      </c>
      <c r="CZ46" s="59">
        <f t="shared" si="42"/>
        <v>168.74705421228828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2.7044704913385038</v>
      </c>
      <c r="DG46" s="23">
        <f>EXP(-LN(2)/25)*DG45+(1-EXP(-LN(2)/25))/(LN(2)/25)*Calculateur!DB46*Calculateur!DD46*VLOOKUP('Données projet'!$B$13,Paramètres!$A$1:$I$88,3,0)*0.475*44/12</f>
        <v>0</v>
      </c>
      <c r="DH46" s="23">
        <f>EXP(-LN(2)/2)*DH45+(1-EXP(-LN(2)/2))/(LN(2)/2)*DB46*DE46*VLOOKUP('Données projet'!$B$13,Paramètres!$A$1:$I$88,3,0)*0.475*44/12</f>
        <v>0</v>
      </c>
      <c r="DI46" s="24">
        <f t="shared" si="15"/>
        <v>2.7044704913385038</v>
      </c>
      <c r="DJ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11.960000000000003</v>
      </c>
      <c r="DO46" s="13">
        <f>IF('Données projet'!$A$166&gt;35,DO45+DN46-DW45,IF(A46&lt;'Données projet'!$A$166,$DL$205^A46,IF(A46='Données projet'!$A$166,'Données projet'!$B$166,DO45+DN46-DW45)))</f>
        <v>332.08</v>
      </c>
      <c r="DP46" s="18">
        <f>DO46*VLOOKUP('Données projet'!$B$14,Paramètres!$A$1:$I$88,3,0)*VLOOKUP('Données projet'!$B$14,Paramètres!$A$1:$I$88,5,0)</f>
        <v>259.0224</v>
      </c>
      <c r="DQ46" s="14">
        <f t="shared" si="43"/>
        <v>62.513947476674112</v>
      </c>
      <c r="DR46" s="22">
        <f t="shared" si="16"/>
        <v>560.00913852187409</v>
      </c>
      <c r="DS46" s="59">
        <f t="shared" si="17"/>
        <v>853.34247185520735</v>
      </c>
      <c r="DT46" s="59">
        <f ca="1">AVERAGE(OFFSET($DS$3,0,0,'Données projet'!$E$14+1,1))-AVERAGE(OFFSET($H$3,0,0,'Données projet'!$E$14+1,1))</f>
        <v>458.14328535055694</v>
      </c>
      <c r="DU46" s="59">
        <f t="shared" si="44"/>
        <v>366.75500153675739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projet'!$B$14,Paramètres!$A$1:$I$88,3,0)*0.475*44/12</f>
        <v>2.972665356839904</v>
      </c>
      <c r="EB46" s="23">
        <f>EXP(-LN(2)/25)*EB45+(1-EXP(-LN(2)/25))/(LN(2)/25)*Calculateur!DW46*Calculateur!DY46*VLOOKUP('Données projet'!$B$14,Paramètres!$A$1:$I$88,3,0)*0.475*44/12</f>
        <v>0</v>
      </c>
      <c r="EC46" s="23">
        <f>EXP(-LN(2)/2)*EC45+(1-EXP(-LN(2)/2))/(LN(2)/2)*DW46*DZ46*VLOOKUP('Données projet'!$B$14,Paramètres!$A$1:$I$88,3,0)*0.475*44/12</f>
        <v>0</v>
      </c>
      <c r="ED46" s="24">
        <f t="shared" si="18"/>
        <v>2.972665356839904</v>
      </c>
      <c r="EE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12.8</v>
      </c>
      <c r="EJ46" s="13">
        <f>IF('Données projet'!$A$192&gt;35,EJ45+EI46-ER45,IF(A46&lt;'Données projet'!$A$192,$EG$205^A46,IF(A46='Données projet'!$A$192,'Données projet'!$B$192,EJ45+EI46-ER45)))</f>
        <v>272.40000000000009</v>
      </c>
      <c r="EK46" s="18">
        <f>EJ46*VLOOKUP('Données projet'!$B$15,Paramètres!$A$1:$I$88,3,0)*VLOOKUP('Données projet'!$B$15,Paramètres!$A$1:$I$88,5,0)</f>
        <v>233.71920000000009</v>
      </c>
      <c r="EL46" s="14">
        <f t="shared" si="45"/>
        <v>57.08610721429276</v>
      </c>
      <c r="EM46" s="22">
        <f t="shared" si="19"/>
        <v>506.48591006489329</v>
      </c>
      <c r="EN46" s="59">
        <f t="shared" si="20"/>
        <v>799.8192433982266</v>
      </c>
      <c r="EO46" s="59">
        <f ca="1">AVERAGE(OFFSET($EN$3,0,0,'Données projet'!$E$15+1,1))-AVERAGE(OFFSET($H$3,0,0,'Données projet'!$E$15+1,1))</f>
        <v>462.99360395552145</v>
      </c>
      <c r="EP46" s="59">
        <f t="shared" si="46"/>
        <v>153.03880717786046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projet'!$B$15,Paramètres!$A$1:$I$88,3,0)*0.475*44/12</f>
        <v>0.28422282199842175</v>
      </c>
      <c r="EW46" s="23">
        <f>EXP(-LN(2)/25)*EW45+(1-EXP(-LN(2)/25))/(LN(2)/25)*Calculateur!ER46*Calculateur!ET46*VLOOKUP('Données projet'!$B$15,Paramètres!$A$1:$I$88,3,0)*0.475*44/12</f>
        <v>0</v>
      </c>
      <c r="EX46" s="23">
        <f>EXP(-LN(2)/2)*EX45+(1-EXP(-LN(2)/2))/(LN(2)/2)*ER46*EU46*VLOOKUP('Données projet'!$B$15,Paramètres!$A$1:$I$88,3,0)*0.475*44/12</f>
        <v>0</v>
      </c>
      <c r="EY46" s="24">
        <f t="shared" si="21"/>
        <v>0.28422282199842175</v>
      </c>
      <c r="EZ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9.5800000000000018</v>
      </c>
      <c r="FE46" s="13">
        <f>IF('Données projet'!$A$218&gt;35,FE45+FD46-FM45,IF(A46&lt;'Données projet'!$A$218,$FB$205^A46,IF(A46='Données projet'!$A$218,'Données projet'!$B$218,FE45+FD46-FM45)))</f>
        <v>258.84000000000015</v>
      </c>
      <c r="FF46" s="18">
        <f>FE46*VLOOKUP('Données projet'!$B$16,Paramètres!$A$1:$I$88,3,0)*VLOOKUP('Données projet'!$B$16,Paramètres!$A$1:$I$88,5,0)</f>
        <v>226.12262400000014</v>
      </c>
      <c r="FG46" s="14">
        <f t="shared" si="47"/>
        <v>55.443474408511065</v>
      </c>
      <c r="FH46" s="22">
        <f t="shared" si="22"/>
        <v>490.39428806149027</v>
      </c>
      <c r="FI46" s="59">
        <f t="shared" si="23"/>
        <v>783.72762139482359</v>
      </c>
      <c r="FJ46" s="59">
        <f ca="1">AVERAGE(OFFSET($FI$3,0,0,'Données projet'!$E$16+1,1))-AVERAGE(OFFSET($H$3,0,0,'Données projet'!$E$16+1,1))</f>
        <v>427.76895185088944</v>
      </c>
      <c r="FK46" s="59">
        <f t="shared" si="48"/>
        <v>308.32543361559135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projet'!$B$16,Paramètres!$A$1:$I$88,3,0)*0.475*44/12</f>
        <v>2.9578889262593333</v>
      </c>
      <c r="FR46" s="23">
        <f>EXP(-LN(2)/25)*FR45+(1-EXP(-LN(2)/25))/(LN(2)/25)*Calculateur!FM46*Calculateur!FO46*VLOOKUP('Données projet'!$B$16,Paramètres!$A$1:$I$88,3,0)*0.475*44/12</f>
        <v>0</v>
      </c>
      <c r="FS46" s="23">
        <f>EXP(-LN(2)/2)*FS45+(1-EXP(-LN(2)/2))/(LN(2)/2)*FM46*FP46*VLOOKUP('Données projet'!$B$16,Paramètres!$A$1:$I$88,3,0)*0.475*44/12</f>
        <v>0</v>
      </c>
      <c r="FT46" s="24">
        <f t="shared" si="24"/>
        <v>2.9578889262593333</v>
      </c>
      <c r="FU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10.199999999999999</v>
      </c>
      <c r="FZ46" s="13">
        <f>IF('Données projet'!$A$244&gt;35,FZ45+FY46-GH45,IF(A46&lt;'Données projet'!$A$244,$FW$205^A46,IF(A46='Données projet'!$A$244,'Données projet'!$B$244,FZ45+FY46-GH45)))</f>
        <v>281.60000000000002</v>
      </c>
      <c r="GA46" s="18">
        <f>FZ46*VLOOKUP('Données projet'!$B$17,Paramètres!$A$1:$I$88,3,0)*VLOOKUP('Données projet'!$B$17,Paramètres!$A$1:$I$88,5,0)</f>
        <v>175.7184</v>
      </c>
      <c r="GB46" s="14">
        <f t="shared" si="49"/>
        <v>44.36827849554593</v>
      </c>
      <c r="GC46" s="22">
        <f t="shared" si="25"/>
        <v>383.3176317130758</v>
      </c>
      <c r="GD46" s="59">
        <f t="shared" si="26"/>
        <v>676.65096504640906</v>
      </c>
      <c r="GE46" s="59">
        <f ca="1">AVERAGE(OFFSET($GD$3,0,0,'Données projet'!$E$17+1,1))-AVERAGE(OFFSET($H$3,0,0,'Données projet'!$E$17+1,1))</f>
        <v>247.85542034088905</v>
      </c>
      <c r="GF46" s="59">
        <f t="shared" si="50"/>
        <v>299.52241743660352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projet'!$B$17,Paramètres!$A$1:$I$88,3,0)*0.475*44/12</f>
        <v>6.4041105043905446</v>
      </c>
      <c r="GM46" s="23">
        <f>EXP(-LN(2)/25)*GM45+(1-EXP(-LN(2)/25))/(LN(2)/25)*Calculateur!GH46*Calculateur!GJ46*VLOOKUP('Données projet'!$B$17,Paramètres!$A$1:$I$88,3,0)*0.475*44/12</f>
        <v>38.603187737745017</v>
      </c>
      <c r="GN46" s="23">
        <f>EXP(-LN(2)/2)*GN45+(1-EXP(-LN(2)/2))/(LN(2)/2)*GH46*GK46*VLOOKUP('Données projet'!$B$17,Paramètres!$A$1:$I$88,3,0)*0.475*44/12</f>
        <v>3.7472792101471155</v>
      </c>
      <c r="GO46" s="23">
        <f t="shared" si="27"/>
        <v>48.754577452282675</v>
      </c>
      <c r="GP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3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6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6.875</v>
      </c>
      <c r="N47" s="14">
        <f>IF('Données projet'!$A$36&gt;35,N46+M47-V46,IF(A47&lt;'Données projet'!$A$36,$K$205^A47,IF(A47='Données projet'!$A$36,'Données projet'!$B$36,N46+M47-V46)))</f>
        <v>109.75</v>
      </c>
      <c r="O47" s="14">
        <f>N47*VLOOKUP('Données projet'!$B$9,Paramètres!$A$1:$I$88,3,0)*VLOOKUP('Données projet'!$B$9,Paramètres!$A$1:$I$88,5,0)</f>
        <v>99.3018</v>
      </c>
      <c r="P47" s="14">
        <f t="shared" si="33"/>
        <v>26.795593258779039</v>
      </c>
      <c r="Q47" s="22">
        <f t="shared" si="53"/>
        <v>219.61962659237349</v>
      </c>
      <c r="R47" s="59">
        <f t="shared" si="0"/>
        <v>512.95295992570686</v>
      </c>
      <c r="S47" s="59">
        <f ca="1">AVERAGE(OFFSET($R$3,0,0,'Données projet'!$E$9+1,1))-AVERAGE(OFFSET($H$3,0,0,'Données projet'!$E$9+1,1))</f>
        <v>247.57967230773539</v>
      </c>
      <c r="T47" s="59">
        <f t="shared" si="34"/>
        <v>156.58857589533295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2.4803769923373147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2.4803769923373147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11.960000000000003</v>
      </c>
      <c r="AI47" s="14">
        <f>IF('Données projet'!$A$62&gt;35,AI46+AH47-AQ46,IF(A47&lt;'Données projet'!$A$62,$AF$205^A47,IF(A47='Données projet'!$A$62,'Données projet'!$B$62,AI46+AH47-AQ46)))</f>
        <v>344.03999999999996</v>
      </c>
      <c r="AJ47" s="14">
        <f>AI47*VLOOKUP('Données projet'!$B$10,Paramètres!$A$1:$I$88,3,0)*VLOOKUP('Données projet'!$B$10,Paramètres!$A$1:$I$88,5,0)</f>
        <v>273.71822400000002</v>
      </c>
      <c r="AK47" s="14">
        <f t="shared" si="35"/>
        <v>65.637741028360352</v>
      </c>
      <c r="AL47" s="22">
        <f t="shared" si="4"/>
        <v>591.04497242439436</v>
      </c>
      <c r="AM47" s="59">
        <f t="shared" si="5"/>
        <v>884.37830575772773</v>
      </c>
      <c r="AN47" s="59">
        <f ca="1">AVERAGE(OFFSET($AM$3,0,0,'Données projet'!$E$10+1,1))-AVERAGE(OFFSET($H$3,0,0,'Données projet'!$E$10+1,1))</f>
        <v>504.15006129790828</v>
      </c>
      <c r="AO47" s="59">
        <f t="shared" si="36"/>
        <v>374.39334457402742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3.6639771004291211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3.6639771004291211</v>
      </c>
      <c r="AY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11.960000000000003</v>
      </c>
      <c r="BD47" s="13">
        <f>IF('Données projet'!$A$88&gt;35,BD46+BC47-BL46,IF(A47&lt;'Données projet'!$A$88,$BA$205^A47,IF(A47='Données projet'!$A$88,'Données projet'!$B$88,BD46+BC47-BL46)))</f>
        <v>344.03999999999996</v>
      </c>
      <c r="BE47" s="14">
        <f>BD47*VLOOKUP('Données projet'!$B$11,Paramètres!$A$1:$I$88,3,0)*VLOOKUP('Données projet'!$B$11,Paramètres!$A$1:$I$88,5,0)</f>
        <v>273.71822400000002</v>
      </c>
      <c r="BF47" s="14">
        <f t="shared" si="37"/>
        <v>65.637741028360352</v>
      </c>
      <c r="BG47" s="22">
        <f t="shared" si="7"/>
        <v>591.04497242439436</v>
      </c>
      <c r="BH47" s="59">
        <f t="shared" si="8"/>
        <v>884.37830575772773</v>
      </c>
      <c r="BI47" s="59">
        <f ca="1">AVERAGE(OFFSET($BH$3,0,0,'Données projet'!$E$11+1,1))-AVERAGE(OFFSET($H$3,0,0,'Données projet'!$E$11+1,1))</f>
        <v>504.15006129790828</v>
      </c>
      <c r="BJ47" s="59">
        <f t="shared" si="38"/>
        <v>374.39334457402742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3.6639771004291211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3.6639771004291211</v>
      </c>
      <c r="BT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11.960000000000003</v>
      </c>
      <c r="BY47" s="13">
        <f>IF('Données projet'!$A$114&gt;35,BY46+BX47-CG46,IF(A47&lt;'Données projet'!$A$114,$BV$205^A47,IF(A47='Données projet'!$A$114,'Données projet'!$B$114,BY46+BX47-CG46)))</f>
        <v>344.03999999999996</v>
      </c>
      <c r="BZ47" s="14">
        <f>BY47*VLOOKUP('Données projet'!$B$12,Paramètres!$A$1:$I$88,3,0)*VLOOKUP('Données projet'!$B$12,Paramètres!$A$1:$I$88,5,0)</f>
        <v>230.78203199999999</v>
      </c>
      <c r="CA47" s="14">
        <f t="shared" si="39"/>
        <v>56.451741714104152</v>
      </c>
      <c r="CB47" s="22">
        <f t="shared" si="10"/>
        <v>500.26548921873132</v>
      </c>
      <c r="CC47" s="59">
        <f t="shared" si="11"/>
        <v>793.59882255206458</v>
      </c>
      <c r="CD47" s="59">
        <f ca="1">AVERAGE(OFFSET($CC$3,0,0,'Données projet'!$E$12+1,1))-AVERAGE(OFFSET($H$3,0,0,'Données projet'!$E$12+1,1))</f>
        <v>387.15063677712425</v>
      </c>
      <c r="CE47" s="59">
        <f t="shared" si="40"/>
        <v>313.19155394370705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3.0892355944794545</v>
      </c>
      <c r="CL47" s="23">
        <f>EXP(-LN(2)/25)*CL46+(1-EXP(-LN(2)/25))/(LN(2)/25)*Calculateur!CG47*Calculateur!CI47*VLOOKUP('Données projet'!$B$12,Paramètres!$A$1:$I$88,3,0)*0.475*44/12</f>
        <v>0</v>
      </c>
      <c r="CM47" s="23">
        <f>EXP(-LN(2)/2)*CM46+(1-EXP(-LN(2)/2))/(LN(2)/2)*CG47*CJ47*VLOOKUP('Données projet'!$B$12,Paramètres!$A$1:$I$88,3,0)*0.475*44/12</f>
        <v>0</v>
      </c>
      <c r="CN47" s="24">
        <f t="shared" si="12"/>
        <v>3.0892355944794545</v>
      </c>
      <c r="CO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6.875</v>
      </c>
      <c r="CT47" s="13">
        <f>IF('Données projet'!$A$140&gt;35,CT46+CS47-DB46,IF(A47&lt;'Données projet'!$A$140,$CQ$205^A47,IF(A47='Données projet'!$A$140,'Données projet'!$B$140,CT46+CS47-DB46)))</f>
        <v>109.75</v>
      </c>
      <c r="CU47" s="18">
        <f>CT47*VLOOKUP('Données projet'!$B$13,Paramètres!$A$1:$I$88,3,0)*VLOOKUP('Données projet'!$B$13,Paramètres!$A$1:$I$88,5,0)</f>
        <v>106.15020000000001</v>
      </c>
      <c r="CV47" s="14">
        <f t="shared" si="41"/>
        <v>28.422069596792049</v>
      </c>
      <c r="CW47" s="22">
        <f t="shared" si="13"/>
        <v>234.38003621441283</v>
      </c>
      <c r="CX47" s="59">
        <f t="shared" si="14"/>
        <v>527.7133695477462</v>
      </c>
      <c r="CY47" s="59">
        <f ca="1">AVERAGE(OFFSET($CX$3,0,0,'Données projet'!$E$13+1,1))-AVERAGE(OFFSET($H$3,0,0,'Données projet'!$E$13+1,1))</f>
        <v>306.00894145276209</v>
      </c>
      <c r="CZ47" s="59">
        <f t="shared" si="42"/>
        <v>168.74705421228828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2.6514374745674747</v>
      </c>
      <c r="DG47" s="23">
        <f>EXP(-LN(2)/25)*DG46+(1-EXP(-LN(2)/25))/(LN(2)/25)*Calculateur!DB47*Calculateur!DD47*VLOOKUP('Données projet'!$B$13,Paramètres!$A$1:$I$88,3,0)*0.475*44/12</f>
        <v>0</v>
      </c>
      <c r="DH47" s="23">
        <f>EXP(-LN(2)/2)*DH46+(1-EXP(-LN(2)/2))/(LN(2)/2)*DB47*DE47*VLOOKUP('Données projet'!$B$13,Paramètres!$A$1:$I$88,3,0)*0.475*44/12</f>
        <v>0</v>
      </c>
      <c r="DI47" s="24">
        <f t="shared" si="15"/>
        <v>2.6514374745674747</v>
      </c>
      <c r="DJ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11.960000000000003</v>
      </c>
      <c r="DO47" s="13">
        <f>IF('Données projet'!$A$166&gt;35,DO46+DN47-DW46,IF(A47&lt;'Données projet'!$A$166,$DL$205^A47,IF(A47='Données projet'!$A$166,'Données projet'!$B$166,DO46+DN47-DW46)))</f>
        <v>344.03999999999996</v>
      </c>
      <c r="DP47" s="18">
        <f>DO47*VLOOKUP('Données projet'!$B$14,Paramètres!$A$1:$I$88,3,0)*VLOOKUP('Données projet'!$B$14,Paramètres!$A$1:$I$88,5,0)</f>
        <v>268.35120000000001</v>
      </c>
      <c r="DQ47" s="14">
        <f t="shared" si="43"/>
        <v>64.499227668096125</v>
      </c>
      <c r="DR47" s="22">
        <f t="shared" si="16"/>
        <v>579.71449485526739</v>
      </c>
      <c r="DS47" s="59">
        <f t="shared" si="17"/>
        <v>873.04782818860076</v>
      </c>
      <c r="DT47" s="59">
        <f ca="1">AVERAGE(OFFSET($DS$3,0,0,'Données projet'!$E$14+1,1))-AVERAGE(OFFSET($H$3,0,0,'Données projet'!$E$14+1,1))</f>
        <v>458.14328535055694</v>
      </c>
      <c r="DU47" s="59">
        <f t="shared" si="44"/>
        <v>366.75500153675739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projet'!$B$14,Paramètres!$A$1:$I$88,3,0)*0.475*44/12</f>
        <v>2.9143732023391076</v>
      </c>
      <c r="EB47" s="23">
        <f>EXP(-LN(2)/25)*EB46+(1-EXP(-LN(2)/25))/(LN(2)/25)*Calculateur!DW47*Calculateur!DY47*VLOOKUP('Données projet'!$B$14,Paramètres!$A$1:$I$88,3,0)*0.475*44/12</f>
        <v>0</v>
      </c>
      <c r="EC47" s="23">
        <f>EXP(-LN(2)/2)*EC46+(1-EXP(-LN(2)/2))/(LN(2)/2)*DW47*DZ47*VLOOKUP('Données projet'!$B$14,Paramètres!$A$1:$I$88,3,0)*0.475*44/12</f>
        <v>0</v>
      </c>
      <c r="ED47" s="24">
        <f t="shared" si="18"/>
        <v>2.9143732023391076</v>
      </c>
      <c r="EE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12.8</v>
      </c>
      <c r="EJ47" s="13">
        <f>IF('Données projet'!$A$192&gt;35,EJ46+EI47-ER46,IF(A47&lt;'Données projet'!$A$192,$EG$205^A47,IF(A47='Données projet'!$A$192,'Données projet'!$B$192,EJ46+EI47-ER46)))</f>
        <v>285.2000000000001</v>
      </c>
      <c r="EK47" s="18">
        <f>EJ47*VLOOKUP('Données projet'!$B$15,Paramètres!$A$1:$I$88,3,0)*VLOOKUP('Données projet'!$B$15,Paramètres!$A$1:$I$88,5,0)</f>
        <v>244.70160000000013</v>
      </c>
      <c r="EL47" s="14">
        <f t="shared" si="45"/>
        <v>59.449957615507699</v>
      </c>
      <c r="EM47" s="22">
        <f t="shared" si="19"/>
        <v>529.73062951367604</v>
      </c>
      <c r="EN47" s="59">
        <f t="shared" si="20"/>
        <v>823.06396284700941</v>
      </c>
      <c r="EO47" s="59">
        <f ca="1">AVERAGE(OFFSET($EN$3,0,0,'Données projet'!$E$15+1,1))-AVERAGE(OFFSET($H$3,0,0,'Données projet'!$E$15+1,1))</f>
        <v>462.99360395552145</v>
      </c>
      <c r="EP47" s="59">
        <f t="shared" si="46"/>
        <v>153.03880717786046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projet'!$B$15,Paramètres!$A$1:$I$88,3,0)*0.475*44/12</f>
        <v>0.27864938581783638</v>
      </c>
      <c r="EW47" s="23">
        <f>EXP(-LN(2)/25)*EW46+(1-EXP(-LN(2)/25))/(LN(2)/25)*Calculateur!ER47*Calculateur!ET47*VLOOKUP('Données projet'!$B$15,Paramètres!$A$1:$I$88,3,0)*0.475*44/12</f>
        <v>0</v>
      </c>
      <c r="EX47" s="23">
        <f>EXP(-LN(2)/2)*EX46+(1-EXP(-LN(2)/2))/(LN(2)/2)*ER47*EU47*VLOOKUP('Données projet'!$B$15,Paramètres!$A$1:$I$88,3,0)*0.475*44/12</f>
        <v>0</v>
      </c>
      <c r="EY47" s="24">
        <f t="shared" si="21"/>
        <v>0.27864938581783638</v>
      </c>
      <c r="EZ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9.5800000000000018</v>
      </c>
      <c r="FE47" s="13">
        <f>IF('Données projet'!$A$218&gt;35,FE46+FD47-FM46,IF(A47&lt;'Données projet'!$A$218,$FB$205^A47,IF(A47='Données projet'!$A$218,'Données projet'!$B$218,FE46+FD47-FM46)))</f>
        <v>268.42000000000013</v>
      </c>
      <c r="FF47" s="18">
        <f>FE47*VLOOKUP('Données projet'!$B$16,Paramètres!$A$1:$I$88,3,0)*VLOOKUP('Données projet'!$B$16,Paramètres!$A$1:$I$88,5,0)</f>
        <v>234.49171200000015</v>
      </c>
      <c r="FG47" s="14">
        <f t="shared" si="47"/>
        <v>57.252798742945217</v>
      </c>
      <c r="FH47" s="22">
        <f t="shared" si="22"/>
        <v>508.12168954396316</v>
      </c>
      <c r="FI47" s="59">
        <f t="shared" si="23"/>
        <v>801.45502287729641</v>
      </c>
      <c r="FJ47" s="59">
        <f ca="1">AVERAGE(OFFSET($FI$3,0,0,'Données projet'!$E$16+1,1))-AVERAGE(OFFSET($H$3,0,0,'Données projet'!$E$16+1,1))</f>
        <v>427.76895185088944</v>
      </c>
      <c r="FK47" s="59">
        <f t="shared" si="48"/>
        <v>308.32543361559135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projet'!$B$16,Paramètres!$A$1:$I$88,3,0)*0.475*44/12</f>
        <v>2.8998865285494895</v>
      </c>
      <c r="FR47" s="23">
        <f>EXP(-LN(2)/25)*FR46+(1-EXP(-LN(2)/25))/(LN(2)/25)*Calculateur!FM47*Calculateur!FO47*VLOOKUP('Données projet'!$B$16,Paramètres!$A$1:$I$88,3,0)*0.475*44/12</f>
        <v>0</v>
      </c>
      <c r="FS47" s="23">
        <f>EXP(-LN(2)/2)*FS46+(1-EXP(-LN(2)/2))/(LN(2)/2)*FM47*FP47*VLOOKUP('Données projet'!$B$16,Paramètres!$A$1:$I$88,3,0)*0.475*44/12</f>
        <v>0</v>
      </c>
      <c r="FT47" s="24">
        <f t="shared" si="24"/>
        <v>2.8998865285494895</v>
      </c>
      <c r="FU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10.199999999999999</v>
      </c>
      <c r="FZ47" s="13">
        <f>IF('Données projet'!$A$244&gt;35,FZ46+FY47-GH46,IF(A47&lt;'Données projet'!$A$244,$FW$205^A47,IF(A47='Données projet'!$A$244,'Données projet'!$B$244,FZ46+FY47-GH46)))</f>
        <v>291.8</v>
      </c>
      <c r="GA47" s="18">
        <f>FZ47*VLOOKUP('Données projet'!$B$17,Paramètres!$A$1:$I$88,3,0)*VLOOKUP('Données projet'!$B$17,Paramètres!$A$1:$I$88,5,0)</f>
        <v>182.08320000000001</v>
      </c>
      <c r="GB47" s="14">
        <f t="shared" si="49"/>
        <v>45.785348941216768</v>
      </c>
      <c r="GC47" s="22">
        <f t="shared" si="25"/>
        <v>396.87105607261918</v>
      </c>
      <c r="GD47" s="59">
        <f t="shared" si="26"/>
        <v>690.2043894059525</v>
      </c>
      <c r="GE47" s="59">
        <f ca="1">AVERAGE(OFFSET($GD$3,0,0,'Données projet'!$E$17+1,1))-AVERAGE(OFFSET($H$3,0,0,'Données projet'!$E$17+1,1))</f>
        <v>247.85542034088905</v>
      </c>
      <c r="GF47" s="59">
        <f t="shared" si="50"/>
        <v>299.52241743660352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projet'!$B$17,Paramètres!$A$1:$I$88,3,0)*0.475*44/12</f>
        <v>6.2785298035211561</v>
      </c>
      <c r="GM47" s="23">
        <f>EXP(-LN(2)/25)*GM46+(1-EXP(-LN(2)/25))/(LN(2)/25)*Calculateur!GH47*Calculateur!GJ47*VLOOKUP('Données projet'!$B$17,Paramètres!$A$1:$I$88,3,0)*0.475*44/12</f>
        <v>37.547581539002962</v>
      </c>
      <c r="GN47" s="23">
        <f>EXP(-LN(2)/2)*GN46+(1-EXP(-LN(2)/2))/(LN(2)/2)*GH47*GK47*VLOOKUP('Données projet'!$B$17,Paramètres!$A$1:$I$88,3,0)*0.475*44/12</f>
        <v>2.6497265404943953</v>
      </c>
      <c r="GO47" s="23">
        <f t="shared" si="27"/>
        <v>46.475837883018514</v>
      </c>
      <c r="GP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3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6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6.875</v>
      </c>
      <c r="N48" s="14">
        <f>IF('Données projet'!$A$36&gt;35,N47+M48-V47,IF(A48&lt;'Données projet'!$A$36,$K$205^A48,IF(A48='Données projet'!$A$36,'Données projet'!$B$36,N47+M48-V47)))</f>
        <v>116.625</v>
      </c>
      <c r="O48" s="14">
        <f>N48*VLOOKUP('Données projet'!$B$9,Paramètres!$A$1:$I$88,3,0)*VLOOKUP('Données projet'!$B$9,Paramètres!$A$1:$I$88,5,0)</f>
        <v>105.5223</v>
      </c>
      <c r="P48" s="14">
        <f t="shared" si="33"/>
        <v>28.273465463649</v>
      </c>
      <c r="Q48" s="22">
        <f t="shared" si="53"/>
        <v>233.02762484918864</v>
      </c>
      <c r="R48" s="59">
        <f t="shared" si="0"/>
        <v>526.36095818252193</v>
      </c>
      <c r="S48" s="59">
        <f ca="1">AVERAGE(OFFSET($R$3,0,0,'Données projet'!$E$9+1,1))-AVERAGE(OFFSET($H$3,0,0,'Données projet'!$E$9+1,1))</f>
        <v>247.57967230773539</v>
      </c>
      <c r="T48" s="59">
        <f t="shared" si="34"/>
        <v>156.58857589533295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2.4317383123981609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2.4317383123981609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356</v>
      </c>
      <c r="AG48" s="13">
        <f>VLOOKUP(A48,'Données projet'!$A$61:$I$81,9,0)</f>
        <v>11.960000000000003</v>
      </c>
      <c r="AH48" s="13">
        <f t="array" ref="AH48">INDEX(AG:AG,MIN(IF(ISNUMBER(AG48:AG244),ROW(AG48:AG244),"")))</f>
        <v>11.960000000000003</v>
      </c>
      <c r="AI48" s="14">
        <f>IF('Données projet'!$A$62&gt;35,AI47+AH48-AQ47,IF(A48&lt;'Données projet'!$A$62,$AF$205^A48,IF(A48='Données projet'!$A$62,'Données projet'!$B$62,AI47+AH48-AQ47)))</f>
        <v>355.99999999999994</v>
      </c>
      <c r="AJ48" s="14">
        <f>AI48*VLOOKUP('Données projet'!$B$10,Paramètres!$A$1:$I$88,3,0)*VLOOKUP('Données projet'!$B$10,Paramètres!$A$1:$I$88,5,0)</f>
        <v>283.23359999999997</v>
      </c>
      <c r="AK48" s="14">
        <f t="shared" si="35"/>
        <v>67.649904178362377</v>
      </c>
      <c r="AL48" s="22">
        <f t="shared" si="4"/>
        <v>611.12210311064769</v>
      </c>
      <c r="AM48" s="59">
        <f t="shared" si="5"/>
        <v>904.45543644398094</v>
      </c>
      <c r="AN48" s="59">
        <f ca="1">AVERAGE(OFFSET($AM$3,0,0,'Données projet'!$E$10+1,1))-AVERAGE(OFFSET($H$3,0,0,'Données projet'!$E$10+1,1))</f>
        <v>504.15006129790828</v>
      </c>
      <c r="AO48" s="59">
        <f t="shared" si="36"/>
        <v>374.39334457402742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20.3</v>
      </c>
      <c r="AR48" s="17">
        <f>IF(ISNA(VLOOKUP(A48,'Données projet'!$A$61:$I$81,5,0)),0%,VLOOKUP(A48,'Données projet'!$A$61:$I$81,5,0)*VLOOKUP('Données projet'!$B$10,Paramètres!$A$1:$I$88,7,0))</f>
        <v>0.159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6.4309303818361903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6.4309303818361903</v>
      </c>
      <c r="AY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356</v>
      </c>
      <c r="BB48" s="13">
        <f>VLOOKUP(A48,'Données projet'!$A$87:$I$107,9,0)</f>
        <v>11.960000000000003</v>
      </c>
      <c r="BC48" s="13">
        <f t="array" ref="BC48">INDEX(BB:BB,MIN(IF(ISNUMBER(BB48:BB244),ROW(BB48:BB244),"")))</f>
        <v>11.960000000000003</v>
      </c>
      <c r="BD48" s="13">
        <f>IF('Données projet'!$A$88&gt;35,BD47+BC48-BL47,IF(A48&lt;'Données projet'!$A$88,$BA$205^A48,IF(A48='Données projet'!$A$88,'Données projet'!$B$88,BD47+BC48-BL47)))</f>
        <v>355.99999999999994</v>
      </c>
      <c r="BE48" s="14">
        <f>BD48*VLOOKUP('Données projet'!$B$11,Paramètres!$A$1:$I$88,3,0)*VLOOKUP('Données projet'!$B$11,Paramètres!$A$1:$I$88,5,0)</f>
        <v>283.23359999999997</v>
      </c>
      <c r="BF48" s="14">
        <f t="shared" si="37"/>
        <v>67.649904178362377</v>
      </c>
      <c r="BG48" s="22">
        <f t="shared" si="7"/>
        <v>611.12210311064769</v>
      </c>
      <c r="BH48" s="59">
        <f t="shared" si="8"/>
        <v>904.45543644398094</v>
      </c>
      <c r="BI48" s="59">
        <f ca="1">AVERAGE(OFFSET($BH$3,0,0,'Données projet'!$E$11+1,1))-AVERAGE(OFFSET($H$3,0,0,'Données projet'!$E$11+1,1))</f>
        <v>504.15006129790828</v>
      </c>
      <c r="BJ48" s="59">
        <f t="shared" si="38"/>
        <v>374.39334457402742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20.3</v>
      </c>
      <c r="BM48" s="17">
        <f>IF(ISNA(VLOOKUP(A48,'Données projet'!$A$87:$I$107,5,0)),0%,VLOOKUP(A48,'Données projet'!$A$87:$I$107,5,0)*VLOOKUP('Données projet'!$B$11,Paramètres!$A$1:$I$88,7,0))</f>
        <v>0.159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6.4309303818361903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6.4309303818361903</v>
      </c>
      <c r="BT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356</v>
      </c>
      <c r="BW48" s="13">
        <f>VLOOKUP(A48,'Données projet'!$A$113:$I$133,9,0)</f>
        <v>11.960000000000003</v>
      </c>
      <c r="BX48" s="13">
        <f t="array" ref="BX48">INDEX(BW:BW,MIN(IF(ISNUMBER(BW48:BW244),ROW(BW48:BW244),"")))</f>
        <v>11.960000000000003</v>
      </c>
      <c r="BY48" s="13">
        <f>IF('Données projet'!$A$114&gt;35,BY47+BX48-CG47,IF(A48&lt;'Données projet'!$A$114,$BV$205^A48,IF(A48='Données projet'!$A$114,'Données projet'!$B$114,BY47+BX48-CG47)))</f>
        <v>355.99999999999994</v>
      </c>
      <c r="BZ48" s="14">
        <f>BY48*VLOOKUP('Données projet'!$B$12,Paramètres!$A$1:$I$88,3,0)*VLOOKUP('Données projet'!$B$12,Paramètres!$A$1:$I$88,5,0)</f>
        <v>238.80479999999997</v>
      </c>
      <c r="CA48" s="14">
        <f t="shared" si="39"/>
        <v>58.182302709210205</v>
      </c>
      <c r="CB48" s="22">
        <f t="shared" si="10"/>
        <v>517.25253721854097</v>
      </c>
      <c r="CC48" s="59">
        <f t="shared" si="11"/>
        <v>810.58587055187422</v>
      </c>
      <c r="CD48" s="59">
        <f ca="1">AVERAGE(OFFSET($CC$3,0,0,'Données projet'!$E$12+1,1))-AVERAGE(OFFSET($H$3,0,0,'Données projet'!$E$12+1,1))</f>
        <v>387.15063677712425</v>
      </c>
      <c r="CE48" s="59">
        <f t="shared" si="40"/>
        <v>313.19155394370705</v>
      </c>
      <c r="CF48" s="16">
        <f>IF(ISNA(VLOOKUP(A48,'Données projet'!$A$113:$I$133,3,0)),0,VLOOKUP(A48,'Données projet'!$A$113:$I$133,3,0))</f>
        <v>7</v>
      </c>
      <c r="CG48" s="16">
        <f>IF(ISNA(VLOOKUP(A48,'Données projet'!$A$113:$I$133,4,0)),0,VLOOKUP(A48,'Données projet'!$A$113:$I$133,4,0))</f>
        <v>20.3</v>
      </c>
      <c r="CH48" s="17">
        <f>IF(ISNA(VLOOKUP(A48,'Données projet'!$A$113:$I$133,5,0)),0%,VLOOKUP(A48,'Données projet'!$A$113:$I$133,5,0)*VLOOKUP('Données projet'!$B$12,Paramètres!$A$1:$I$88,7,0))</f>
        <v>0.159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5.4221569886069831</v>
      </c>
      <c r="CL48" s="23">
        <f>EXP(-LN(2)/25)*CL47+(1-EXP(-LN(2)/25))/(LN(2)/25)*Calculateur!CG48*Calculateur!CI48*VLOOKUP('Données projet'!$B$12,Paramètres!$A$1:$I$88,3,0)*0.475*44/12</f>
        <v>0</v>
      </c>
      <c r="CM48" s="23">
        <f>EXP(-LN(2)/2)*CM47+(1-EXP(-LN(2)/2))/(LN(2)/2)*CG48*CJ48*VLOOKUP('Données projet'!$B$12,Paramètres!$A$1:$I$88,3,0)*0.475*44/12</f>
        <v>0</v>
      </c>
      <c r="CN48" s="24">
        <f t="shared" si="12"/>
        <v>5.4221569886069831</v>
      </c>
      <c r="CO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6.875</v>
      </c>
      <c r="CT48" s="13">
        <f>IF('Données projet'!$A$140&gt;35,CT47+CS48-DB47,IF(A48&lt;'Données projet'!$A$140,$CQ$205^A48,IF(A48='Données projet'!$A$140,'Données projet'!$B$140,CT47+CS48-DB47)))</f>
        <v>116.625</v>
      </c>
      <c r="CU48" s="18">
        <f>CT48*VLOOKUP('Données projet'!$B$13,Paramètres!$A$1:$I$88,3,0)*VLOOKUP('Données projet'!$B$13,Paramètres!$A$1:$I$88,5,0)</f>
        <v>112.79970000000002</v>
      </c>
      <c r="CV48" s="14">
        <f t="shared" si="41"/>
        <v>29.989647752510471</v>
      </c>
      <c r="CW48" s="22">
        <f t="shared" si="13"/>
        <v>248.69144733562243</v>
      </c>
      <c r="CX48" s="59">
        <f t="shared" si="14"/>
        <v>542.02478066895571</v>
      </c>
      <c r="CY48" s="59">
        <f ca="1">AVERAGE(OFFSET($CX$3,0,0,'Données projet'!$E$13+1,1))-AVERAGE(OFFSET($H$3,0,0,'Données projet'!$E$13+1,1))</f>
        <v>306.00894145276209</v>
      </c>
      <c r="CZ48" s="59">
        <f t="shared" si="42"/>
        <v>168.74705421228828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2.5994444029083792</v>
      </c>
      <c r="DG48" s="23">
        <f>EXP(-LN(2)/25)*DG47+(1-EXP(-LN(2)/25))/(LN(2)/25)*Calculateur!DB48*Calculateur!DD48*VLOOKUP('Données projet'!$B$13,Paramètres!$A$1:$I$88,3,0)*0.475*44/12</f>
        <v>0</v>
      </c>
      <c r="DH48" s="23">
        <f>EXP(-LN(2)/2)*DH47+(1-EXP(-LN(2)/2))/(LN(2)/2)*DB48*DE48*VLOOKUP('Données projet'!$B$13,Paramètres!$A$1:$I$88,3,0)*0.475*44/12</f>
        <v>0</v>
      </c>
      <c r="DI48" s="24">
        <f t="shared" si="15"/>
        <v>2.5994444029083792</v>
      </c>
      <c r="DJ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356</v>
      </c>
      <c r="DM48" s="13">
        <f>VLOOKUP(A48,'Données projet'!$A$165:$I$185,9,0)</f>
        <v>11.960000000000003</v>
      </c>
      <c r="DN48" s="13">
        <f t="array" ref="DN48">INDEX(DM:DM,MIN(IF(ISNUMBER(DM48:DM244),ROW(DM48:DM244),"")))</f>
        <v>11.960000000000003</v>
      </c>
      <c r="DO48" s="13">
        <f>IF('Données projet'!$A$166&gt;35,DO47+DN48-DW47,IF(A48&lt;'Données projet'!$A$166,$DL$205^A48,IF(A48='Données projet'!$A$166,'Données projet'!$B$166,DO47+DN48-DW47)))</f>
        <v>355.99999999999994</v>
      </c>
      <c r="DP48" s="18">
        <f>DO48*VLOOKUP('Données projet'!$B$14,Paramètres!$A$1:$I$88,3,0)*VLOOKUP('Données projet'!$B$14,Paramètres!$A$1:$I$88,5,0)</f>
        <v>277.67999999999995</v>
      </c>
      <c r="DQ48" s="14">
        <f t="shared" si="43"/>
        <v>66.476489028465835</v>
      </c>
      <c r="DR48" s="22">
        <f t="shared" si="16"/>
        <v>599.40588505791129</v>
      </c>
      <c r="DS48" s="59">
        <f t="shared" si="17"/>
        <v>892.73921839124455</v>
      </c>
      <c r="DT48" s="59">
        <f ca="1">AVERAGE(OFFSET($DS$3,0,0,'Données projet'!$E$14+1,1))-AVERAGE(OFFSET($H$3,0,0,'Données projet'!$E$14+1,1))</f>
        <v>458.14328535055694</v>
      </c>
      <c r="DU48" s="59">
        <f t="shared" si="44"/>
        <v>366.75500153675739</v>
      </c>
      <c r="DV48" s="16">
        <f>IF(ISNA(VLOOKUP(A48,'Données projet'!$A$165:$I$185,3,0)),0,VLOOKUP(A48,'Données projet'!$A$165:$I$185,3,0))</f>
        <v>7</v>
      </c>
      <c r="DW48" s="16">
        <f>IF(ISNA(VLOOKUP(A48,'Données projet'!$A$165:$I$185,4,0)),0,VLOOKUP(A48,'Données projet'!$A$165:$I$185,4,0))</f>
        <v>20.3</v>
      </c>
      <c r="DX48" s="17">
        <f>IF(ISNA(VLOOKUP(A48,'Données projet'!$A$165:$I$185,5,0)),0%,VLOOKUP(A48,'Données projet'!$A$165:$I$185,5,0)*VLOOKUP('Données projet'!$B$14,Paramètres!$A$1:$I$88,7,0))</f>
        <v>0.129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projet'!$B$14,Paramètres!$A$1:$I$88,3,0)*0.475*44/12</f>
        <v>5.1152424420820584</v>
      </c>
      <c r="EB48" s="23">
        <f>EXP(-LN(2)/25)*EB47+(1-EXP(-LN(2)/25))/(LN(2)/25)*Calculateur!DW48*Calculateur!DY48*VLOOKUP('Données projet'!$B$14,Paramètres!$A$1:$I$88,3,0)*0.475*44/12</f>
        <v>0</v>
      </c>
      <c r="EC48" s="23">
        <f>EXP(-LN(2)/2)*EC47+(1-EXP(-LN(2)/2))/(LN(2)/2)*DW48*DZ48*VLOOKUP('Données projet'!$B$14,Paramètres!$A$1:$I$88,3,0)*0.475*44/12</f>
        <v>0</v>
      </c>
      <c r="ED48" s="24">
        <f t="shared" si="18"/>
        <v>5.1152424420820584</v>
      </c>
      <c r="EE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12.8</v>
      </c>
      <c r="EJ48" s="13">
        <f>IF('Données projet'!$A$192&gt;35,EJ47+EI48-ER47,IF(A48&lt;'Données projet'!$A$192,$EG$205^A48,IF(A48='Données projet'!$A$192,'Données projet'!$B$192,EJ47+EI48-ER47)))</f>
        <v>298.00000000000011</v>
      </c>
      <c r="EK48" s="18">
        <f>EJ48*VLOOKUP('Données projet'!$B$15,Paramètres!$A$1:$I$88,3,0)*VLOOKUP('Données projet'!$B$15,Paramètres!$A$1:$I$88,5,0)</f>
        <v>255.68400000000011</v>
      </c>
      <c r="EL48" s="14">
        <f t="shared" si="45"/>
        <v>61.801486802994056</v>
      </c>
      <c r="EM48" s="22">
        <f t="shared" si="19"/>
        <v>552.95388951521477</v>
      </c>
      <c r="EN48" s="59">
        <f t="shared" si="20"/>
        <v>846.28722284854803</v>
      </c>
      <c r="EO48" s="59">
        <f ca="1">AVERAGE(OFFSET($EN$3,0,0,'Données projet'!$E$15+1,1))-AVERAGE(OFFSET($H$3,0,0,'Données projet'!$E$15+1,1))</f>
        <v>462.99360395552145</v>
      </c>
      <c r="EP48" s="59">
        <f t="shared" si="46"/>
        <v>153.03880717786046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projet'!$B$15,Paramètres!$A$1:$I$88,3,0)*0.475*44/12</f>
        <v>0.27318524132129185</v>
      </c>
      <c r="EW48" s="23">
        <f>EXP(-LN(2)/25)*EW47+(1-EXP(-LN(2)/25))/(LN(2)/25)*Calculateur!ER48*Calculateur!ET48*VLOOKUP('Données projet'!$B$15,Paramètres!$A$1:$I$88,3,0)*0.475*44/12</f>
        <v>0</v>
      </c>
      <c r="EX48" s="23">
        <f>EXP(-LN(2)/2)*EX47+(1-EXP(-LN(2)/2))/(LN(2)/2)*ER48*EU48*VLOOKUP('Données projet'!$B$15,Paramètres!$A$1:$I$88,3,0)*0.475*44/12</f>
        <v>0</v>
      </c>
      <c r="EY48" s="24">
        <f t="shared" si="21"/>
        <v>0.27318524132129185</v>
      </c>
      <c r="EZ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278</v>
      </c>
      <c r="FC48" s="13">
        <f>VLOOKUP(A48,'Données projet'!$A$217:$I$237,9,0)</f>
        <v>9.5800000000000018</v>
      </c>
      <c r="FD48" s="13">
        <f t="array" ref="FD48">INDEX(FC:FC,MIN(IF(ISNUMBER(FC48:FC244),ROW(FC48:FC244),"")))</f>
        <v>9.5800000000000018</v>
      </c>
      <c r="FE48" s="13">
        <f>IF('Données projet'!$A$218&gt;35,FE47+FD48-FM47,IF(A48&lt;'Données projet'!$A$218,$FB$205^A48,IF(A48='Données projet'!$A$218,'Données projet'!$B$218,FE47+FD48-FM47)))</f>
        <v>278.00000000000011</v>
      </c>
      <c r="FF48" s="18">
        <f>FE48*VLOOKUP('Données projet'!$B$16,Paramètres!$A$1:$I$88,3,0)*VLOOKUP('Données projet'!$B$16,Paramètres!$A$1:$I$88,5,0)</f>
        <v>242.86080000000015</v>
      </c>
      <c r="FG48" s="14">
        <f t="shared" si="47"/>
        <v>59.054620410700608</v>
      </c>
      <c r="FH48" s="22">
        <f t="shared" si="22"/>
        <v>525.8360238819705</v>
      </c>
      <c r="FI48" s="59">
        <f t="shared" si="23"/>
        <v>819.16935721530376</v>
      </c>
      <c r="FJ48" s="59">
        <f ca="1">AVERAGE(OFFSET($FI$3,0,0,'Données projet'!$E$16+1,1))-AVERAGE(OFFSET($H$3,0,0,'Données projet'!$E$16+1,1))</f>
        <v>427.76895185088944</v>
      </c>
      <c r="FK48" s="59">
        <f t="shared" si="48"/>
        <v>308.32543361559135</v>
      </c>
      <c r="FL48" s="16">
        <f>IF(ISNA(VLOOKUP(A48,'Données projet'!$A$217:$I$237,3,0)),0,VLOOKUP(A48,'Données projet'!$A$217:$I$237,3,0))</f>
        <v>7</v>
      </c>
      <c r="FM48" s="16">
        <f>IF(ISNA(VLOOKUP(A48,'Données projet'!$A$217:$I$237,4,0)),0,VLOOKUP(A48,'Données projet'!$A$217:$I$237,4,0))</f>
        <v>15.1</v>
      </c>
      <c r="FN48" s="17">
        <f>IF(ISNA(VLOOKUP(A48,'Données projet'!$A$217:$I$237,5,0)),0%,VLOOKUP(A48,'Données projet'!$A$217:$I$237,5,0)*VLOOKUP('Données projet'!$B$16,Paramètres!$A$1:$I$88,7,0))</f>
        <v>0.159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projet'!$B$16,Paramètres!$A$1:$I$88,3,0)*0.475*44/12</f>
        <v>5.1616641040559355</v>
      </c>
      <c r="FR48" s="23">
        <f>EXP(-LN(2)/25)*FR47+(1-EXP(-LN(2)/25))/(LN(2)/25)*Calculateur!FM48*Calculateur!FO48*VLOOKUP('Données projet'!$B$16,Paramètres!$A$1:$I$88,3,0)*0.475*44/12</f>
        <v>0</v>
      </c>
      <c r="FS48" s="23">
        <f>EXP(-LN(2)/2)*FS47+(1-EXP(-LN(2)/2))/(LN(2)/2)*FM48*FP48*VLOOKUP('Données projet'!$B$16,Paramètres!$A$1:$I$88,3,0)*0.475*44/12</f>
        <v>0</v>
      </c>
      <c r="FT48" s="24">
        <f t="shared" si="24"/>
        <v>5.1616641040559355</v>
      </c>
      <c r="FU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302</v>
      </c>
      <c r="FX48" s="13">
        <f>VLOOKUP(A48,'Données projet'!$A$243:$I$263,9,0)</f>
        <v>10.199999999999999</v>
      </c>
      <c r="FY48" s="13">
        <f t="array" ref="FY48">INDEX(FX:FX,MIN(IF(ISNUMBER(FX48:FX244),ROW(FX48:FX244),"")))</f>
        <v>10.199999999999999</v>
      </c>
      <c r="FZ48" s="13">
        <f>IF('Données projet'!$A$244&gt;35,FZ47+FY48-GH47,IF(A48&lt;'Données projet'!$A$244,$FW$205^A48,IF(A48='Données projet'!$A$244,'Données projet'!$B$244,FZ47+FY48-GH47)))</f>
        <v>302</v>
      </c>
      <c r="GA48" s="18">
        <f>FZ48*VLOOKUP('Données projet'!$B$17,Paramètres!$A$1:$I$88,3,0)*VLOOKUP('Données projet'!$B$17,Paramètres!$A$1:$I$88,5,0)</f>
        <v>188.44800000000001</v>
      </c>
      <c r="GB48" s="14">
        <f t="shared" si="49"/>
        <v>47.196664066426557</v>
      </c>
      <c r="GC48" s="22">
        <f t="shared" si="25"/>
        <v>410.41445658235961</v>
      </c>
      <c r="GD48" s="59">
        <f t="shared" si="26"/>
        <v>703.74778991569292</v>
      </c>
      <c r="GE48" s="59">
        <f ca="1">AVERAGE(OFFSET($GD$3,0,0,'Données projet'!$E$17+1,1))-AVERAGE(OFFSET($H$3,0,0,'Données projet'!$E$17+1,1))</f>
        <v>247.85542034088905</v>
      </c>
      <c r="GF48" s="59">
        <f t="shared" si="50"/>
        <v>299.52241743660352</v>
      </c>
      <c r="GG48" s="16">
        <f>IF(ISNA(VLOOKUP(A48,'Données projet'!$A$243:$I$263,3,0)),0,VLOOKUP(A48,'Données projet'!$A$243:$I$263,3,0))</f>
        <v>8</v>
      </c>
      <c r="GH48" s="16">
        <f>IF(ISNA(VLOOKUP(A48,'Données projet'!$A$243:$I$263,4,0)),0,VLOOKUP(A48,'Données projet'!$A$243:$I$263,4,0))</f>
        <v>30</v>
      </c>
      <c r="GI48" s="17">
        <f>IF(ISNA(VLOOKUP(A48,'Données projet'!$A$243:$I$263,5,0)),0%,VLOOKUP(A48,'Données projet'!$A$243:$I$263,5,0)*VLOOKUP('Données projet'!$B$17,Paramètres!$A$1:$I$88,7,0))</f>
        <v>0.24</v>
      </c>
      <c r="GJ48" s="17">
        <f>IF(ISNA(VLOOKUP(A48,'Données projet'!$A$243:$I$263,6,0)),0%,VLOOKUP(A48,'Données projet'!$A$243:$I$263,6,0)*VLOOKUP('Données projet'!$B$17,Paramètres!$A$1:$I$88,7,0))</f>
        <v>0.2016</v>
      </c>
      <c r="GK48" s="17">
        <f>IF(ISNA(VLOOKUP(A48,'Données projet'!$A$243:$I$263,7,0)),0%,VLOOKUP(A48,'Données projet'!$A$243:$I$263,7,0))</f>
        <v>0.26400000000000001</v>
      </c>
      <c r="GL48" s="23">
        <f>EXP(-LN(2)/35)*GL47+(1-EXP(-LN(2)/35))/(LN(2)/35)*GH48*GI48*VLOOKUP('Données projet'!$B$17,Paramètres!$A$1:$I$88,3,0)*0.475*44/12</f>
        <v>12.115400448997919</v>
      </c>
      <c r="GM48" s="23">
        <f>EXP(-LN(2)/25)*GM47+(1-EXP(-LN(2)/25))/(LN(2)/25)*Calculateur!GH48*Calculateur!GJ48*VLOOKUP('Données projet'!$B$17,Paramètres!$A$1:$I$88,3,0)*0.475*44/12</f>
        <v>41.50751945971561</v>
      </c>
      <c r="GN48" s="23">
        <f>EXP(-LN(2)/2)*GN47+(1-EXP(-LN(2)/2))/(LN(2)/2)*GH48*GK48*VLOOKUP('Données projet'!$B$17,Paramètres!$A$1:$I$88,3,0)*0.475*44/12</f>
        <v>7.4692221980331537</v>
      </c>
      <c r="GO48" s="23">
        <f t="shared" si="27"/>
        <v>61.092142106746678</v>
      </c>
      <c r="GP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3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6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6.875</v>
      </c>
      <c r="N49" s="14">
        <f>IF('Données projet'!$A$36&gt;35,N48+M49-V48,IF(A49&lt;'Données projet'!$A$36,$K$205^A49,IF(A49='Données projet'!$A$36,'Données projet'!$B$36,N48+M49-V48)))</f>
        <v>123.5</v>
      </c>
      <c r="O49" s="14">
        <f>N49*VLOOKUP('Données projet'!$B$9,Paramètres!$A$1:$I$88,3,0)*VLOOKUP('Données projet'!$B$9,Paramètres!$A$1:$I$88,5,0)</f>
        <v>111.7428</v>
      </c>
      <c r="P49" s="14">
        <f t="shared" si="33"/>
        <v>29.741225429709573</v>
      </c>
      <c r="Q49" s="22">
        <f t="shared" si="53"/>
        <v>246.4180109567441</v>
      </c>
      <c r="R49" s="59">
        <f t="shared" si="0"/>
        <v>539.75134429007744</v>
      </c>
      <c r="S49" s="59">
        <f ca="1">AVERAGE(OFFSET($R$3,0,0,'Données projet'!$E$9+1,1))-AVERAGE(OFFSET($H$3,0,0,'Données projet'!$E$9+1,1))</f>
        <v>247.57967230773539</v>
      </c>
      <c r="T49" s="59">
        <f t="shared" si="34"/>
        <v>156.58857589533295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2.3840534073059483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2.3840534073059483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10.860000000000003</v>
      </c>
      <c r="AI49" s="14">
        <f>IF('Données projet'!$A$62&gt;35,AI48+AH49-AQ48,IF(A49&lt;'Données projet'!$A$62,$AF$205^A49,IF(A49='Données projet'!$A$62,'Données projet'!$B$62,AI48+AH49-AQ48)))</f>
        <v>346.55999999999995</v>
      </c>
      <c r="AJ49" s="14">
        <f>AI49*VLOOKUP('Données projet'!$B$10,Paramètres!$A$1:$I$88,3,0)*VLOOKUP('Données projet'!$B$10,Paramètres!$A$1:$I$88,5,0)</f>
        <v>275.72313599999995</v>
      </c>
      <c r="AK49" s="14">
        <f t="shared" si="35"/>
        <v>66.062376489475852</v>
      </c>
      <c r="AL49" s="22">
        <f t="shared" si="4"/>
        <v>595.27643425250369</v>
      </c>
      <c r="AM49" s="59">
        <f t="shared" si="5"/>
        <v>888.60976758583706</v>
      </c>
      <c r="AN49" s="59">
        <f ca="1">AVERAGE(OFFSET($AM$3,0,0,'Données projet'!$E$10+1,1))-AVERAGE(OFFSET($H$3,0,0,'Données projet'!$E$10+1,1))</f>
        <v>504.15006129790828</v>
      </c>
      <c r="AO49" s="59">
        <f t="shared" si="36"/>
        <v>374.39334457402742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6.3048237595286025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6.3048237595286025</v>
      </c>
      <c r="AY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10.860000000000003</v>
      </c>
      <c r="BD49" s="13">
        <f>IF('Données projet'!$A$88&gt;35,BD48+BC49-BL48,IF(A49&lt;'Données projet'!$A$88,$BA$205^A49,IF(A49='Données projet'!$A$88,'Données projet'!$B$88,BD48+BC49-BL48)))</f>
        <v>346.55999999999995</v>
      </c>
      <c r="BE49" s="14">
        <f>BD49*VLOOKUP('Données projet'!$B$11,Paramètres!$A$1:$I$88,3,0)*VLOOKUP('Données projet'!$B$11,Paramètres!$A$1:$I$88,5,0)</f>
        <v>275.72313599999995</v>
      </c>
      <c r="BF49" s="14">
        <f t="shared" si="37"/>
        <v>66.062376489475852</v>
      </c>
      <c r="BG49" s="22">
        <f t="shared" si="7"/>
        <v>595.27643425250369</v>
      </c>
      <c r="BH49" s="59">
        <f t="shared" si="8"/>
        <v>888.60976758583706</v>
      </c>
      <c r="BI49" s="59">
        <f ca="1">AVERAGE(OFFSET($BH$3,0,0,'Données projet'!$E$11+1,1))-AVERAGE(OFFSET($H$3,0,0,'Données projet'!$E$11+1,1))</f>
        <v>504.15006129790828</v>
      </c>
      <c r="BJ49" s="59">
        <f t="shared" si="38"/>
        <v>374.39334457402742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6.3048237595286025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6.3048237595286025</v>
      </c>
      <c r="BT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10.860000000000003</v>
      </c>
      <c r="BY49" s="13">
        <f>IF('Données projet'!$A$114&gt;35,BY48+BX49-CG48,IF(A49&lt;'Données projet'!$A$114,$BV$205^A49,IF(A49='Données projet'!$A$114,'Données projet'!$B$114,BY48+BX49-CG48)))</f>
        <v>346.55999999999995</v>
      </c>
      <c r="BZ49" s="14">
        <f>BY49*VLOOKUP('Données projet'!$B$12,Paramètres!$A$1:$I$88,3,0)*VLOOKUP('Données projet'!$B$12,Paramètres!$A$1:$I$88,5,0)</f>
        <v>232.47244799999999</v>
      </c>
      <c r="CA49" s="14">
        <f t="shared" si="39"/>
        <v>56.816949458885986</v>
      </c>
      <c r="CB49" s="22">
        <f t="shared" si="10"/>
        <v>503.84570057422633</v>
      </c>
      <c r="CC49" s="59">
        <f t="shared" si="11"/>
        <v>797.17903390755964</v>
      </c>
      <c r="CD49" s="59">
        <f ca="1">AVERAGE(OFFSET($CC$3,0,0,'Données projet'!$E$12+1,1))-AVERAGE(OFFSET($H$3,0,0,'Données projet'!$E$12+1,1))</f>
        <v>387.15063677712425</v>
      </c>
      <c r="CE49" s="59">
        <f t="shared" si="40"/>
        <v>313.19155394370705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5.3158317972496052</v>
      </c>
      <c r="CL49" s="23">
        <f>EXP(-LN(2)/25)*CL48+(1-EXP(-LN(2)/25))/(LN(2)/25)*Calculateur!CG49*Calculateur!CI49*VLOOKUP('Données projet'!$B$12,Paramètres!$A$1:$I$88,3,0)*0.475*44/12</f>
        <v>0</v>
      </c>
      <c r="CM49" s="23">
        <f>EXP(-LN(2)/2)*CM48+(1-EXP(-LN(2)/2))/(LN(2)/2)*CG49*CJ49*VLOOKUP('Données projet'!$B$12,Paramètres!$A$1:$I$88,3,0)*0.475*44/12</f>
        <v>0</v>
      </c>
      <c r="CN49" s="24">
        <f t="shared" si="12"/>
        <v>5.3158317972496052</v>
      </c>
      <c r="CO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6.875</v>
      </c>
      <c r="CT49" s="13">
        <f>IF('Données projet'!$A$140&gt;35,CT48+CS49-DB48,IF(A49&lt;'Données projet'!$A$140,$CQ$205^A49,IF(A49='Données projet'!$A$140,'Données projet'!$B$140,CT48+CS49-DB48)))</f>
        <v>123.5</v>
      </c>
      <c r="CU49" s="18">
        <f>CT49*VLOOKUP('Données projet'!$B$13,Paramètres!$A$1:$I$88,3,0)*VLOOKUP('Données projet'!$B$13,Paramètres!$A$1:$I$88,5,0)</f>
        <v>119.44919999999999</v>
      </c>
      <c r="CV49" s="14">
        <f t="shared" si="41"/>
        <v>31.54649986262719</v>
      </c>
      <c r="CW49" s="22">
        <f t="shared" si="13"/>
        <v>262.98417726074234</v>
      </c>
      <c r="CX49" s="59">
        <f t="shared" si="14"/>
        <v>556.31751059407566</v>
      </c>
      <c r="CY49" s="59">
        <f ca="1">AVERAGE(OFFSET($CX$3,0,0,'Données projet'!$E$13+1,1))-AVERAGE(OFFSET($H$3,0,0,'Données projet'!$E$13+1,1))</f>
        <v>306.00894145276209</v>
      </c>
      <c r="CZ49" s="59">
        <f t="shared" si="42"/>
        <v>168.74705421228828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projet'!$B$13,Paramètres!$A$1:$I$88,3,0)*0.475*44/12</f>
        <v>2.5484708836718761</v>
      </c>
      <c r="DG49" s="23">
        <f>EXP(-LN(2)/25)*DG48+(1-EXP(-LN(2)/25))/(LN(2)/25)*Calculateur!DB49*Calculateur!DD49*VLOOKUP('Données projet'!$B$13,Paramètres!$A$1:$I$88,3,0)*0.475*44/12</f>
        <v>0</v>
      </c>
      <c r="DH49" s="23">
        <f>EXP(-LN(2)/2)*DH48+(1-EXP(-LN(2)/2))/(LN(2)/2)*DB49*DE49*VLOOKUP('Données projet'!$B$13,Paramètres!$A$1:$I$88,3,0)*0.475*44/12</f>
        <v>0</v>
      </c>
      <c r="DI49" s="24">
        <f t="shared" si="15"/>
        <v>2.5484708836718761</v>
      </c>
      <c r="DJ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10.860000000000003</v>
      </c>
      <c r="DO49" s="13">
        <f>IF('Données projet'!$A$166&gt;35,DO48+DN49-DW48,IF(A49&lt;'Données projet'!$A$166,$DL$205^A49,IF(A49='Données projet'!$A$166,'Données projet'!$B$166,DO48+DN49-DW48)))</f>
        <v>346.55999999999995</v>
      </c>
      <c r="DP49" s="18">
        <f>DO49*VLOOKUP('Données projet'!$B$14,Paramètres!$A$1:$I$88,3,0)*VLOOKUP('Données projet'!$B$14,Paramètres!$A$1:$I$88,5,0)</f>
        <v>270.31679999999994</v>
      </c>
      <c r="DQ49" s="14">
        <f t="shared" si="43"/>
        <v>64.916497654133551</v>
      </c>
      <c r="DR49" s="22">
        <f t="shared" si="16"/>
        <v>583.86466008094919</v>
      </c>
      <c r="DS49" s="59">
        <f t="shared" si="17"/>
        <v>877.19799341428256</v>
      </c>
      <c r="DT49" s="59">
        <f ca="1">AVERAGE(OFFSET($DS$3,0,0,'Données projet'!$E$14+1,1))-AVERAGE(OFFSET($H$3,0,0,'Données projet'!$E$14+1,1))</f>
        <v>458.14328535055694</v>
      </c>
      <c r="DU49" s="59">
        <f t="shared" si="44"/>
        <v>366.75500153675739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projet'!$B$14,Paramètres!$A$1:$I$88,3,0)*0.475*44/12</f>
        <v>5.0149356577826456</v>
      </c>
      <c r="EB49" s="23">
        <f>EXP(-LN(2)/25)*EB48+(1-EXP(-LN(2)/25))/(LN(2)/25)*Calculateur!DW49*Calculateur!DY49*VLOOKUP('Données projet'!$B$14,Paramètres!$A$1:$I$88,3,0)*0.475*44/12</f>
        <v>0</v>
      </c>
      <c r="EC49" s="23">
        <f>EXP(-LN(2)/2)*EC48+(1-EXP(-LN(2)/2))/(LN(2)/2)*DW49*DZ49*VLOOKUP('Données projet'!$B$14,Paramètres!$A$1:$I$88,3,0)*0.475*44/12</f>
        <v>0</v>
      </c>
      <c r="ED49" s="24">
        <f t="shared" si="18"/>
        <v>5.0149356577826456</v>
      </c>
      <c r="EE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12.8</v>
      </c>
      <c r="EJ49" s="13">
        <f>IF('Données projet'!$A$192&gt;35,EJ48+EI49-ER48,IF(A49&lt;'Données projet'!$A$192,$EG$205^A49,IF(A49='Données projet'!$A$192,'Données projet'!$B$192,EJ48+EI49-ER48)))</f>
        <v>310.80000000000013</v>
      </c>
      <c r="EK49" s="18">
        <f>EJ49*VLOOKUP('Données projet'!$B$15,Paramètres!$A$1:$I$88,3,0)*VLOOKUP('Données projet'!$B$15,Paramètres!$A$1:$I$88,5,0)</f>
        <v>266.66640000000012</v>
      </c>
      <c r="EL49" s="14">
        <f t="shared" si="45"/>
        <v>64.141284508389361</v>
      </c>
      <c r="EM49" s="22">
        <f t="shared" si="19"/>
        <v>576.15671718544502</v>
      </c>
      <c r="EN49" s="59">
        <f t="shared" si="20"/>
        <v>869.49005051877839</v>
      </c>
      <c r="EO49" s="59">
        <f ca="1">AVERAGE(OFFSET($EN$3,0,0,'Données projet'!$E$15+1,1))-AVERAGE(OFFSET($H$3,0,0,'Données projet'!$E$15+1,1))</f>
        <v>462.99360395552145</v>
      </c>
      <c r="EP49" s="59">
        <f t="shared" si="46"/>
        <v>153.03880717786046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projet'!$B$15,Paramètres!$A$1:$I$88,3,0)*0.475*44/12</f>
        <v>0.26782824536552552</v>
      </c>
      <c r="EW49" s="23">
        <f>EXP(-LN(2)/25)*EW48+(1-EXP(-LN(2)/25))/(LN(2)/25)*Calculateur!ER49*Calculateur!ET49*VLOOKUP('Données projet'!$B$15,Paramètres!$A$1:$I$88,3,0)*0.475*44/12</f>
        <v>0</v>
      </c>
      <c r="EX49" s="23">
        <f>EXP(-LN(2)/2)*EX48+(1-EXP(-LN(2)/2))/(LN(2)/2)*ER49*EU49*VLOOKUP('Données projet'!$B$15,Paramètres!$A$1:$I$88,3,0)*0.475*44/12</f>
        <v>0</v>
      </c>
      <c r="EY49" s="24">
        <f t="shared" si="21"/>
        <v>0.26782824536552552</v>
      </c>
      <c r="EZ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8.8200000000000038</v>
      </c>
      <c r="FE49" s="13">
        <f>IF('Données projet'!$A$218&gt;35,FE48+FD49-FM48,IF(A49&lt;'Données projet'!$A$218,$FB$205^A49,IF(A49='Données projet'!$A$218,'Données projet'!$B$218,FE48+FD49-FM48)))</f>
        <v>271.72000000000008</v>
      </c>
      <c r="FF49" s="18">
        <f>FE49*VLOOKUP('Données projet'!$B$16,Paramètres!$A$1:$I$88,3,0)*VLOOKUP('Données projet'!$B$16,Paramètres!$A$1:$I$88,5,0)</f>
        <v>237.37459200000012</v>
      </c>
      <c r="FG49" s="14">
        <f t="shared" si="47"/>
        <v>57.874300058577532</v>
      </c>
      <c r="FH49" s="22">
        <f t="shared" si="22"/>
        <v>514.22515366868936</v>
      </c>
      <c r="FI49" s="59">
        <f t="shared" si="23"/>
        <v>807.55848700202273</v>
      </c>
      <c r="FJ49" s="59">
        <f ca="1">AVERAGE(OFFSET($FI$3,0,0,'Données projet'!$E$16+1,1))-AVERAGE(OFFSET($H$3,0,0,'Données projet'!$E$16+1,1))</f>
        <v>427.76895185088944</v>
      </c>
      <c r="FK49" s="59">
        <f t="shared" si="48"/>
        <v>308.32543361559135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projet'!$B$16,Paramètres!$A$1:$I$88,3,0)*0.475*44/12</f>
        <v>5.0604470192796329</v>
      </c>
      <c r="FR49" s="23">
        <f>EXP(-LN(2)/25)*FR48+(1-EXP(-LN(2)/25))/(LN(2)/25)*Calculateur!FM49*Calculateur!FO49*VLOOKUP('Données projet'!$B$16,Paramètres!$A$1:$I$88,3,0)*0.475*44/12</f>
        <v>0</v>
      </c>
      <c r="FS49" s="23">
        <f>EXP(-LN(2)/2)*FS48+(1-EXP(-LN(2)/2))/(LN(2)/2)*FM49*FP49*VLOOKUP('Données projet'!$B$16,Paramètres!$A$1:$I$88,3,0)*0.475*44/12</f>
        <v>0</v>
      </c>
      <c r="FT49" s="24">
        <f t="shared" si="24"/>
        <v>5.0604470192796329</v>
      </c>
      <c r="FU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8.6</v>
      </c>
      <c r="FZ49" s="13">
        <f>IF('Données projet'!$A$244&gt;35,FZ48+FY49-GH48,IF(A49&lt;'Données projet'!$A$244,$FW$205^A49,IF(A49='Données projet'!$A$244,'Données projet'!$B$244,FZ48+FY49-GH48)))</f>
        <v>280.60000000000002</v>
      </c>
      <c r="GA49" s="18">
        <f>FZ49*VLOOKUP('Données projet'!$B$17,Paramètres!$A$1:$I$88,3,0)*VLOOKUP('Données projet'!$B$17,Paramètres!$A$1:$I$88,5,0)</f>
        <v>175.09440000000004</v>
      </c>
      <c r="GB49" s="14">
        <f t="shared" si="49"/>
        <v>44.229031605991956</v>
      </c>
      <c r="GC49" s="22">
        <f t="shared" si="25"/>
        <v>381.98831004710274</v>
      </c>
      <c r="GD49" s="59">
        <f t="shared" si="26"/>
        <v>675.32164338043606</v>
      </c>
      <c r="GE49" s="59">
        <f ca="1">AVERAGE(OFFSET($GD$3,0,0,'Données projet'!$E$17+1,1))-AVERAGE(OFFSET($H$3,0,0,'Données projet'!$E$17+1,1))</f>
        <v>247.85542034088905</v>
      </c>
      <c r="GF49" s="59">
        <f t="shared" si="50"/>
        <v>299.52241743660352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projet'!$B$17,Paramètres!$A$1:$I$88,3,0)*0.475*44/12</f>
        <v>11.877824835857675</v>
      </c>
      <c r="GM49" s="23">
        <f>EXP(-LN(2)/25)*GM48+(1-EXP(-LN(2)/25))/(LN(2)/25)*Calculateur!GH49*Calculateur!GJ49*VLOOKUP('Données projet'!$B$17,Paramètres!$A$1:$I$88,3,0)*0.475*44/12</f>
        <v>40.372494157304104</v>
      </c>
      <c r="GN49" s="23">
        <f>EXP(-LN(2)/2)*GN48+(1-EXP(-LN(2)/2))/(LN(2)/2)*GH49*GK49*VLOOKUP('Données projet'!$B$17,Paramètres!$A$1:$I$88,3,0)*0.475*44/12</f>
        <v>5.2815376664183331</v>
      </c>
      <c r="GO49" s="23">
        <f t="shared" si="27"/>
        <v>57.531856659580107</v>
      </c>
      <c r="GP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3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6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6.875</v>
      </c>
      <c r="N50" s="14">
        <f>IF('Données projet'!$A$36&gt;35,N49+M50-V49,IF(A50&lt;'Données projet'!$A$36,$K$205^A50,IF(A50='Données projet'!$A$36,'Données projet'!$B$36,N49+M50-V49)))</f>
        <v>130.375</v>
      </c>
      <c r="O50" s="14">
        <f>N50*VLOOKUP('Données projet'!$B$9,Paramètres!$A$1:$I$88,3,0)*VLOOKUP('Données projet'!$B$9,Paramètres!$A$1:$I$88,5,0)</f>
        <v>117.96329999999999</v>
      </c>
      <c r="P50" s="14">
        <f t="shared" si="33"/>
        <v>31.199500243690945</v>
      </c>
      <c r="Q50" s="22">
        <f t="shared" si="53"/>
        <v>259.79187709109505</v>
      </c>
      <c r="R50" s="59">
        <f t="shared" si="0"/>
        <v>553.12521042442836</v>
      </c>
      <c r="S50" s="59">
        <f ca="1">AVERAGE(OFFSET($R$3,0,0,'Données projet'!$E$9+1,1))-AVERAGE(OFFSET($H$3,0,0,'Données projet'!$E$9+1,1))</f>
        <v>247.57967230773539</v>
      </c>
      <c r="T50" s="59">
        <f t="shared" si="34"/>
        <v>156.58857589533295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2.3373035741176738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2.3373035741176738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10.860000000000003</v>
      </c>
      <c r="AI50" s="14">
        <f>IF('Données projet'!$A$62&gt;35,AI49+AH50-AQ49,IF(A50&lt;'Données projet'!$A$62,$AF$205^A50,IF(A50='Données projet'!$A$62,'Données projet'!$B$62,AI49+AH50-AQ49)))</f>
        <v>357.41999999999996</v>
      </c>
      <c r="AJ50" s="14">
        <f>AI50*VLOOKUP('Données projet'!$B$10,Paramètres!$A$1:$I$88,3,0)*VLOOKUP('Données projet'!$B$10,Paramètres!$A$1:$I$88,5,0)</f>
        <v>284.36335199999996</v>
      </c>
      <c r="AK50" s="14">
        <f t="shared" si="35"/>
        <v>67.888279096717426</v>
      </c>
      <c r="AL50" s="22">
        <f t="shared" si="4"/>
        <v>613.50492416011605</v>
      </c>
      <c r="AM50" s="59">
        <f t="shared" si="5"/>
        <v>906.83825749344942</v>
      </c>
      <c r="AN50" s="59">
        <f ca="1">AVERAGE(OFFSET($AM$3,0,0,'Données projet'!$E$10+1,1))-AVERAGE(OFFSET($H$3,0,0,'Données projet'!$E$10+1,1))</f>
        <v>504.15006129790828</v>
      </c>
      <c r="AO50" s="59">
        <f t="shared" si="36"/>
        <v>374.39334457402742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6.1811900111670219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6.1811900111670219</v>
      </c>
      <c r="AY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10.860000000000003</v>
      </c>
      <c r="BD50" s="13">
        <f>IF('Données projet'!$A$88&gt;35,BD49+BC50-BL49,IF(A50&lt;'Données projet'!$A$88,$BA$205^A50,IF(A50='Données projet'!$A$88,'Données projet'!$B$88,BD49+BC50-BL49)))</f>
        <v>357.41999999999996</v>
      </c>
      <c r="BE50" s="14">
        <f>BD50*VLOOKUP('Données projet'!$B$11,Paramètres!$A$1:$I$88,3,0)*VLOOKUP('Données projet'!$B$11,Paramètres!$A$1:$I$88,5,0)</f>
        <v>284.36335199999996</v>
      </c>
      <c r="BF50" s="14">
        <f t="shared" si="37"/>
        <v>67.888279096717426</v>
      </c>
      <c r="BG50" s="22">
        <f t="shared" si="7"/>
        <v>613.50492416011605</v>
      </c>
      <c r="BH50" s="59">
        <f t="shared" si="8"/>
        <v>906.83825749344942</v>
      </c>
      <c r="BI50" s="59">
        <f ca="1">AVERAGE(OFFSET($BH$3,0,0,'Données projet'!$E$11+1,1))-AVERAGE(OFFSET($H$3,0,0,'Données projet'!$E$11+1,1))</f>
        <v>504.15006129790828</v>
      </c>
      <c r="BJ50" s="59">
        <f t="shared" si="38"/>
        <v>374.39334457402742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6.1811900111670219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6.1811900111670219</v>
      </c>
      <c r="BT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10.860000000000003</v>
      </c>
      <c r="BY50" s="13">
        <f>IF('Données projet'!$A$114&gt;35,BY49+BX50-CG49,IF(A50&lt;'Données projet'!$A$114,$BV$205^A50,IF(A50='Données projet'!$A$114,'Données projet'!$B$114,BY49+BX50-CG49)))</f>
        <v>357.41999999999996</v>
      </c>
      <c r="BZ50" s="14">
        <f>BY50*VLOOKUP('Données projet'!$B$12,Paramètres!$A$1:$I$88,3,0)*VLOOKUP('Données projet'!$B$12,Paramètres!$A$1:$I$88,5,0)</f>
        <v>239.75733599999998</v>
      </c>
      <c r="CA50" s="14">
        <f t="shared" si="39"/>
        <v>58.387317066975584</v>
      </c>
      <c r="CB50" s="22">
        <f t="shared" si="10"/>
        <v>519.26860409164908</v>
      </c>
      <c r="CC50" s="59">
        <f t="shared" si="11"/>
        <v>812.60193742498245</v>
      </c>
      <c r="CD50" s="59">
        <f ca="1">AVERAGE(OFFSET($CC$3,0,0,'Données projet'!$E$12+1,1))-AVERAGE(OFFSET($H$3,0,0,'Données projet'!$E$12+1,1))</f>
        <v>387.15063677712425</v>
      </c>
      <c r="CE50" s="59">
        <f t="shared" si="40"/>
        <v>313.19155394370705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5.2115915780427828</v>
      </c>
      <c r="CL50" s="23">
        <f>EXP(-LN(2)/25)*CL49+(1-EXP(-LN(2)/25))/(LN(2)/25)*Calculateur!CG50*Calculateur!CI50*VLOOKUP('Données projet'!$B$12,Paramètres!$A$1:$I$88,3,0)*0.475*44/12</f>
        <v>0</v>
      </c>
      <c r="CM50" s="23">
        <f>EXP(-LN(2)/2)*CM49+(1-EXP(-LN(2)/2))/(LN(2)/2)*CG50*CJ50*VLOOKUP('Données projet'!$B$12,Paramètres!$A$1:$I$88,3,0)*0.475*44/12</f>
        <v>0</v>
      </c>
      <c r="CN50" s="24">
        <f t="shared" si="12"/>
        <v>5.2115915780427828</v>
      </c>
      <c r="CO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6.875</v>
      </c>
      <c r="CT50" s="13">
        <f>IF('Données projet'!$A$140&gt;35,CT49+CS50-DB49,IF(A50&lt;'Données projet'!$A$140,$CQ$205^A50,IF(A50='Données projet'!$A$140,'Données projet'!$B$140,CT49+CS50-DB49)))</f>
        <v>130.375</v>
      </c>
      <c r="CU50" s="18">
        <f>CT50*VLOOKUP('Données projet'!$B$13,Paramètres!$A$1:$I$88,3,0)*VLOOKUP('Données projet'!$B$13,Paramètres!$A$1:$I$88,5,0)</f>
        <v>126.09869999999999</v>
      </c>
      <c r="CV50" s="14">
        <f t="shared" si="41"/>
        <v>33.093291077658321</v>
      </c>
      <c r="CW50" s="22">
        <f t="shared" si="13"/>
        <v>277.25938446025492</v>
      </c>
      <c r="CX50" s="59">
        <f t="shared" si="14"/>
        <v>570.59271779358824</v>
      </c>
      <c r="CY50" s="59">
        <f ca="1">AVERAGE(OFFSET($CX$3,0,0,'Données projet'!$E$13+1,1))-AVERAGE(OFFSET($H$3,0,0,'Données projet'!$E$13+1,1))</f>
        <v>306.00894145276209</v>
      </c>
      <c r="CZ50" s="59">
        <f t="shared" si="42"/>
        <v>168.74705421228828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2.4984969240568242</v>
      </c>
      <c r="DG50" s="23">
        <f>EXP(-LN(2)/25)*DG49+(1-EXP(-LN(2)/25))/(LN(2)/25)*Calculateur!DB50*Calculateur!DD50*VLOOKUP('Données projet'!$B$13,Paramètres!$A$1:$I$88,3,0)*0.475*44/12</f>
        <v>0</v>
      </c>
      <c r="DH50" s="23">
        <f>EXP(-LN(2)/2)*DH49+(1-EXP(-LN(2)/2))/(LN(2)/2)*DB50*DE50*VLOOKUP('Données projet'!$B$13,Paramètres!$A$1:$I$88,3,0)*0.475*44/12</f>
        <v>0</v>
      </c>
      <c r="DI50" s="24">
        <f t="shared" si="15"/>
        <v>2.4984969240568242</v>
      </c>
      <c r="DJ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10.860000000000003</v>
      </c>
      <c r="DO50" s="13">
        <f>IF('Données projet'!$A$166&gt;35,DO49+DN50-DW49,IF(A50&lt;'Données projet'!$A$166,$DL$205^A50,IF(A50='Données projet'!$A$166,'Données projet'!$B$166,DO49+DN50-DW49)))</f>
        <v>357.41999999999996</v>
      </c>
      <c r="DP50" s="18">
        <f>DO50*VLOOKUP('Données projet'!$B$14,Paramètres!$A$1:$I$88,3,0)*VLOOKUP('Données projet'!$B$14,Paramètres!$A$1:$I$88,5,0)</f>
        <v>278.7876</v>
      </c>
      <c r="DQ50" s="14">
        <f t="shared" si="43"/>
        <v>66.710729236743305</v>
      </c>
      <c r="DR50" s="22">
        <f t="shared" si="16"/>
        <v>601.74292342066121</v>
      </c>
      <c r="DS50" s="59">
        <f t="shared" si="17"/>
        <v>895.07625675399458</v>
      </c>
      <c r="DT50" s="59">
        <f ca="1">AVERAGE(OFFSET($DS$3,0,0,'Données projet'!$E$14+1,1))-AVERAGE(OFFSET($H$3,0,0,'Données projet'!$E$14+1,1))</f>
        <v>458.14328535055694</v>
      </c>
      <c r="DU50" s="59">
        <f t="shared" si="44"/>
        <v>366.75500153675739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projet'!$B$14,Paramètres!$A$1:$I$88,3,0)*0.475*44/12</f>
        <v>4.9165958283422473</v>
      </c>
      <c r="EB50" s="23">
        <f>EXP(-LN(2)/25)*EB49+(1-EXP(-LN(2)/25))/(LN(2)/25)*Calculateur!DW50*Calculateur!DY50*VLOOKUP('Données projet'!$B$14,Paramètres!$A$1:$I$88,3,0)*0.475*44/12</f>
        <v>0</v>
      </c>
      <c r="EC50" s="23">
        <f>EXP(-LN(2)/2)*EC49+(1-EXP(-LN(2)/2))/(LN(2)/2)*DW50*DZ50*VLOOKUP('Données projet'!$B$14,Paramètres!$A$1:$I$88,3,0)*0.475*44/12</f>
        <v>0</v>
      </c>
      <c r="ED50" s="24">
        <f t="shared" si="18"/>
        <v>4.9165958283422473</v>
      </c>
      <c r="EE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12.8</v>
      </c>
      <c r="EJ50" s="13">
        <f>IF('Données projet'!$A$192&gt;35,EJ49+EI50-ER49,IF(A50&lt;'Données projet'!$A$192,$EG$205^A50,IF(A50='Données projet'!$A$192,'Données projet'!$B$192,EJ49+EI50-ER49)))</f>
        <v>323.60000000000014</v>
      </c>
      <c r="EK50" s="18">
        <f>EJ50*VLOOKUP('Données projet'!$B$15,Paramètres!$A$1:$I$88,3,0)*VLOOKUP('Données projet'!$B$15,Paramètres!$A$1:$I$88,5,0)</f>
        <v>277.64880000000016</v>
      </c>
      <c r="EL50" s="14">
        <f t="shared" si="45"/>
        <v>66.469889139720649</v>
      </c>
      <c r="EM50" s="22">
        <f t="shared" si="19"/>
        <v>599.3400502516804</v>
      </c>
      <c r="EN50" s="59">
        <f t="shared" si="20"/>
        <v>892.67338358501365</v>
      </c>
      <c r="EO50" s="59">
        <f ca="1">AVERAGE(OFFSET($EN$3,0,0,'Données projet'!$E$15+1,1))-AVERAGE(OFFSET($H$3,0,0,'Données projet'!$E$15+1,1))</f>
        <v>462.99360395552145</v>
      </c>
      <c r="EP50" s="59">
        <f t="shared" si="46"/>
        <v>153.03880717786046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projet'!$B$15,Paramètres!$A$1:$I$88,3,0)*0.475*44/12</f>
        <v>0.26257629683300687</v>
      </c>
      <c r="EW50" s="23">
        <f>EXP(-LN(2)/25)*EW49+(1-EXP(-LN(2)/25))/(LN(2)/25)*Calculateur!ER50*Calculateur!ET50*VLOOKUP('Données projet'!$B$15,Paramètres!$A$1:$I$88,3,0)*0.475*44/12</f>
        <v>0</v>
      </c>
      <c r="EX50" s="23">
        <f>EXP(-LN(2)/2)*EX49+(1-EXP(-LN(2)/2))/(LN(2)/2)*ER50*EU50*VLOOKUP('Données projet'!$B$15,Paramètres!$A$1:$I$88,3,0)*0.475*44/12</f>
        <v>0</v>
      </c>
      <c r="EY50" s="24">
        <f t="shared" si="21"/>
        <v>0.26257629683300687</v>
      </c>
      <c r="EZ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8.8200000000000038</v>
      </c>
      <c r="FE50" s="13">
        <f>IF('Données projet'!$A$218&gt;35,FE49+FD50-FM49,IF(A50&lt;'Données projet'!$A$218,$FB$205^A50,IF(A50='Données projet'!$A$218,'Données projet'!$B$218,FE49+FD50-FM49)))</f>
        <v>280.54000000000008</v>
      </c>
      <c r="FF50" s="18">
        <f>FE50*VLOOKUP('Données projet'!$B$16,Paramètres!$A$1:$I$88,3,0)*VLOOKUP('Données projet'!$B$16,Paramètres!$A$1:$I$88,5,0)</f>
        <v>245.07974400000009</v>
      </c>
      <c r="FG50" s="14">
        <f t="shared" si="47"/>
        <v>59.531126321505788</v>
      </c>
      <c r="FH50" s="22">
        <f t="shared" si="22"/>
        <v>530.53059914328935</v>
      </c>
      <c r="FI50" s="59">
        <f t="shared" si="23"/>
        <v>823.86393247662272</v>
      </c>
      <c r="FJ50" s="59">
        <f ca="1">AVERAGE(OFFSET($FI$3,0,0,'Données projet'!$E$16+1,1))-AVERAGE(OFFSET($H$3,0,0,'Données projet'!$E$16+1,1))</f>
        <v>427.76895185088944</v>
      </c>
      <c r="FK50" s="59">
        <f t="shared" si="48"/>
        <v>308.32543361559135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projet'!$B$16,Paramètres!$A$1:$I$88,3,0)*0.475*44/12</f>
        <v>4.9612147397994679</v>
      </c>
      <c r="FR50" s="23">
        <f>EXP(-LN(2)/25)*FR49+(1-EXP(-LN(2)/25))/(LN(2)/25)*Calculateur!FM50*Calculateur!FO50*VLOOKUP('Données projet'!$B$16,Paramètres!$A$1:$I$88,3,0)*0.475*44/12</f>
        <v>0</v>
      </c>
      <c r="FS50" s="23">
        <f>EXP(-LN(2)/2)*FS49+(1-EXP(-LN(2)/2))/(LN(2)/2)*FM50*FP50*VLOOKUP('Données projet'!$B$16,Paramètres!$A$1:$I$88,3,0)*0.475*44/12</f>
        <v>0</v>
      </c>
      <c r="FT50" s="24">
        <f t="shared" si="24"/>
        <v>4.9612147397994679</v>
      </c>
      <c r="FU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8.6</v>
      </c>
      <c r="FZ50" s="13">
        <f>IF('Données projet'!$A$244&gt;35,FZ49+FY50-GH49,IF(A50&lt;'Données projet'!$A$244,$FW$205^A50,IF(A50='Données projet'!$A$244,'Données projet'!$B$244,FZ49+FY50-GH49)))</f>
        <v>289.20000000000005</v>
      </c>
      <c r="GA50" s="18">
        <f>FZ50*VLOOKUP('Données projet'!$B$17,Paramètres!$A$1:$I$88,3,0)*VLOOKUP('Données projet'!$B$17,Paramètres!$A$1:$I$88,5,0)</f>
        <v>180.46080000000001</v>
      </c>
      <c r="GB50" s="14">
        <f t="shared" si="49"/>
        <v>45.424690416772727</v>
      </c>
      <c r="GC50" s="22">
        <f t="shared" si="25"/>
        <v>393.41722914254586</v>
      </c>
      <c r="GD50" s="59">
        <f t="shared" si="26"/>
        <v>686.75056247587918</v>
      </c>
      <c r="GE50" s="59">
        <f ca="1">AVERAGE(OFFSET($GD$3,0,0,'Données projet'!$E$17+1,1))-AVERAGE(OFFSET($H$3,0,0,'Données projet'!$E$17+1,1))</f>
        <v>247.85542034088905</v>
      </c>
      <c r="GF50" s="59">
        <f t="shared" si="50"/>
        <v>299.52241743660352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projet'!$B$17,Paramètres!$A$1:$I$88,3,0)*0.475*44/12</f>
        <v>11.644907935584296</v>
      </c>
      <c r="GM50" s="23">
        <f>EXP(-LN(2)/25)*GM49+(1-EXP(-LN(2)/25))/(LN(2)/25)*Calculateur!GH50*Calculateur!GJ50*VLOOKUP('Données projet'!$B$17,Paramètres!$A$1:$I$88,3,0)*0.475*44/12</f>
        <v>39.268506181475431</v>
      </c>
      <c r="GN50" s="23">
        <f>EXP(-LN(2)/2)*GN49+(1-EXP(-LN(2)/2))/(LN(2)/2)*GH50*GK50*VLOOKUP('Données projet'!$B$17,Paramètres!$A$1:$I$88,3,0)*0.475*44/12</f>
        <v>3.7346110990165773</v>
      </c>
      <c r="GO50" s="23">
        <f t="shared" si="27"/>
        <v>54.648025216076306</v>
      </c>
      <c r="GP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3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6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6.875</v>
      </c>
      <c r="N51" s="14">
        <f>IF('Données projet'!$A$36&gt;35,N50+M51-V50,IF(A51&lt;'Données projet'!$A$36,$K$205^A51,IF(A51='Données projet'!$A$36,'Données projet'!$B$36,N50+M51-V50)))</f>
        <v>137.25</v>
      </c>
      <c r="O51" s="14">
        <f>N51*VLOOKUP('Données projet'!$B$9,Paramètres!$A$1:$I$88,3,0)*VLOOKUP('Données projet'!$B$9,Paramètres!$A$1:$I$88,5,0)</f>
        <v>124.18379999999999</v>
      </c>
      <c r="P51" s="14">
        <f t="shared" si="33"/>
        <v>32.648847121304541</v>
      </c>
      <c r="Q51" s="22">
        <f t="shared" si="53"/>
        <v>273.15019373627206</v>
      </c>
      <c r="R51" s="59">
        <f t="shared" si="0"/>
        <v>566.48352706960532</v>
      </c>
      <c r="S51" s="59">
        <f ca="1">AVERAGE(OFFSET($R$3,0,0,'Données projet'!$E$9+1,1))-AVERAGE(OFFSET($H$3,0,0,'Données projet'!$E$9+1,1))</f>
        <v>247.57967230773539</v>
      </c>
      <c r="T51" s="59">
        <f t="shared" si="34"/>
        <v>156.58857589533295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2.2914704766436387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2.2914704766436387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10.860000000000003</v>
      </c>
      <c r="AI51" s="14">
        <f>IF('Données projet'!$A$62&gt;35,AI50+AH51-AQ50,IF(A51&lt;'Données projet'!$A$62,$AF$205^A51,IF(A51='Données projet'!$A$62,'Données projet'!$B$62,AI50+AH51-AQ50)))</f>
        <v>368.28</v>
      </c>
      <c r="AJ51" s="14">
        <f>AI51*VLOOKUP('Données projet'!$B$10,Paramètres!$A$1:$I$88,3,0)*VLOOKUP('Données projet'!$B$10,Paramètres!$A$1:$I$88,5,0)</f>
        <v>293.00356800000003</v>
      </c>
      <c r="AK51" s="14">
        <f t="shared" si="35"/>
        <v>69.707734307066957</v>
      </c>
      <c r="AL51" s="22">
        <f t="shared" si="4"/>
        <v>631.72218485147505</v>
      </c>
      <c r="AM51" s="59">
        <f t="shared" si="5"/>
        <v>925.05551818480831</v>
      </c>
      <c r="AN51" s="59">
        <f ca="1">AVERAGE(OFFSET($AM$3,0,0,'Données projet'!$E$10+1,1))-AVERAGE(OFFSET($H$3,0,0,'Données projet'!$E$10+1,1))</f>
        <v>504.15006129790828</v>
      </c>
      <c r="AO51" s="59">
        <f t="shared" si="36"/>
        <v>374.39334457402742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6.059980645201672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6.059980645201672</v>
      </c>
      <c r="AY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10.860000000000003</v>
      </c>
      <c r="BD51" s="13">
        <f>IF('Données projet'!$A$88&gt;35,BD50+BC51-BL50,IF(A51&lt;'Données projet'!$A$88,$BA$205^A51,IF(A51='Données projet'!$A$88,'Données projet'!$B$88,BD50+BC51-BL50)))</f>
        <v>368.28</v>
      </c>
      <c r="BE51" s="14">
        <f>BD51*VLOOKUP('Données projet'!$B$11,Paramètres!$A$1:$I$88,3,0)*VLOOKUP('Données projet'!$B$11,Paramètres!$A$1:$I$88,5,0)</f>
        <v>293.00356800000003</v>
      </c>
      <c r="BF51" s="14">
        <f t="shared" si="37"/>
        <v>69.707734307066957</v>
      </c>
      <c r="BG51" s="22">
        <f t="shared" si="7"/>
        <v>631.72218485147505</v>
      </c>
      <c r="BH51" s="59">
        <f t="shared" si="8"/>
        <v>925.05551818480831</v>
      </c>
      <c r="BI51" s="59">
        <f ca="1">AVERAGE(OFFSET($BH$3,0,0,'Données projet'!$E$11+1,1))-AVERAGE(OFFSET($H$3,0,0,'Données projet'!$E$11+1,1))</f>
        <v>504.15006129790828</v>
      </c>
      <c r="BJ51" s="59">
        <f t="shared" si="38"/>
        <v>374.39334457402742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6.059980645201672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6.059980645201672</v>
      </c>
      <c r="BT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10.860000000000003</v>
      </c>
      <c r="BY51" s="13">
        <f>IF('Données projet'!$A$114&gt;35,BY50+BX51-CG50,IF(A51&lt;'Données projet'!$A$114,$BV$205^A51,IF(A51='Données projet'!$A$114,'Données projet'!$B$114,BY50+BX51-CG50)))</f>
        <v>368.28</v>
      </c>
      <c r="BZ51" s="14">
        <f>BY51*VLOOKUP('Données projet'!$B$12,Paramètres!$A$1:$I$88,3,0)*VLOOKUP('Données projet'!$B$12,Paramètres!$A$1:$I$88,5,0)</f>
        <v>247.042224</v>
      </c>
      <c r="CA51" s="14">
        <f t="shared" si="39"/>
        <v>59.952139591118417</v>
      </c>
      <c r="CB51" s="22">
        <f t="shared" si="10"/>
        <v>534.68184992119802</v>
      </c>
      <c r="CC51" s="59">
        <f t="shared" si="11"/>
        <v>828.01518325453139</v>
      </c>
      <c r="CD51" s="59">
        <f ca="1">AVERAGE(OFFSET($CC$3,0,0,'Données projet'!$E$12+1,1))-AVERAGE(OFFSET($H$3,0,0,'Données projet'!$E$12+1,1))</f>
        <v>387.15063677712425</v>
      </c>
      <c r="CE51" s="59">
        <f t="shared" si="40"/>
        <v>313.19155394370705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5.10939544595435</v>
      </c>
      <c r="CL51" s="23">
        <f>EXP(-LN(2)/25)*CL50+(1-EXP(-LN(2)/25))/(LN(2)/25)*Calculateur!CG51*Calculateur!CI51*VLOOKUP('Données projet'!$B$12,Paramètres!$A$1:$I$88,3,0)*0.475*44/12</f>
        <v>0</v>
      </c>
      <c r="CM51" s="23">
        <f>EXP(-LN(2)/2)*CM50+(1-EXP(-LN(2)/2))/(LN(2)/2)*CG51*CJ51*VLOOKUP('Données projet'!$B$12,Paramètres!$A$1:$I$88,3,0)*0.475*44/12</f>
        <v>0</v>
      </c>
      <c r="CN51" s="24">
        <f t="shared" si="12"/>
        <v>5.10939544595435</v>
      </c>
      <c r="CO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6.875</v>
      </c>
      <c r="CT51" s="13">
        <f>IF('Données projet'!$A$140&gt;35,CT50+CS51-DB50,IF(A51&lt;'Données projet'!$A$140,$CQ$205^A51,IF(A51='Données projet'!$A$140,'Données projet'!$B$140,CT50+CS51-DB50)))</f>
        <v>137.25</v>
      </c>
      <c r="CU51" s="18">
        <f>CT51*VLOOKUP('Données projet'!$B$13,Paramètres!$A$1:$I$88,3,0)*VLOOKUP('Données projet'!$B$13,Paramètres!$A$1:$I$88,5,0)</f>
        <v>132.7482</v>
      </c>
      <c r="CV51" s="14">
        <f t="shared" si="41"/>
        <v>34.630612435972736</v>
      </c>
      <c r="CW51" s="22">
        <f t="shared" si="13"/>
        <v>291.51809832598582</v>
      </c>
      <c r="CX51" s="59">
        <f t="shared" si="14"/>
        <v>584.85143165931913</v>
      </c>
      <c r="CY51" s="59">
        <f ca="1">AVERAGE(OFFSET($CX$3,0,0,'Données projet'!$E$13+1,1))-AVERAGE(OFFSET($H$3,0,0,'Données projet'!$E$13+1,1))</f>
        <v>306.00894145276209</v>
      </c>
      <c r="CZ51" s="59">
        <f t="shared" si="42"/>
        <v>168.74705421228828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2.4495029233087178</v>
      </c>
      <c r="DG51" s="23">
        <f>EXP(-LN(2)/25)*DG50+(1-EXP(-LN(2)/25))/(LN(2)/25)*Calculateur!DB51*Calculateur!DD51*VLOOKUP('Données projet'!$B$13,Paramètres!$A$1:$I$88,3,0)*0.475*44/12</f>
        <v>0</v>
      </c>
      <c r="DH51" s="23">
        <f>EXP(-LN(2)/2)*DH50+(1-EXP(-LN(2)/2))/(LN(2)/2)*DB51*DE51*VLOOKUP('Données projet'!$B$13,Paramètres!$A$1:$I$88,3,0)*0.475*44/12</f>
        <v>0</v>
      </c>
      <c r="DI51" s="24">
        <f t="shared" si="15"/>
        <v>2.4495029233087178</v>
      </c>
      <c r="DJ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10.860000000000003</v>
      </c>
      <c r="DO51" s="13">
        <f>IF('Données projet'!$A$166&gt;35,DO50+DN51-DW50,IF(A51&lt;'Données projet'!$A$166,$DL$205^A51,IF(A51='Données projet'!$A$166,'Données projet'!$B$166,DO50+DN51-DW50)))</f>
        <v>368.28</v>
      </c>
      <c r="DP51" s="18">
        <f>DO51*VLOOKUP('Données projet'!$B$14,Paramètres!$A$1:$I$88,3,0)*VLOOKUP('Données projet'!$B$14,Paramètres!$A$1:$I$88,5,0)</f>
        <v>287.25839999999999</v>
      </c>
      <c r="DQ51" s="14">
        <f t="shared" si="43"/>
        <v>68.498625255186909</v>
      </c>
      <c r="DR51" s="22">
        <f t="shared" si="16"/>
        <v>619.61015231945055</v>
      </c>
      <c r="DS51" s="59">
        <f t="shared" si="17"/>
        <v>912.94348565278392</v>
      </c>
      <c r="DT51" s="59">
        <f ca="1">AVERAGE(OFFSET($DS$3,0,0,'Données projet'!$E$14+1,1))-AVERAGE(OFFSET($H$3,0,0,'Données projet'!$E$14+1,1))</f>
        <v>458.14328535055694</v>
      </c>
      <c r="DU51" s="59">
        <f t="shared" si="44"/>
        <v>366.75500153675739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projet'!$B$14,Paramètres!$A$1:$I$88,3,0)*0.475*44/12</f>
        <v>4.8201843829758015</v>
      </c>
      <c r="EB51" s="23">
        <f>EXP(-LN(2)/25)*EB50+(1-EXP(-LN(2)/25))/(LN(2)/25)*Calculateur!DW51*Calculateur!DY51*VLOOKUP('Données projet'!$B$14,Paramètres!$A$1:$I$88,3,0)*0.475*44/12</f>
        <v>0</v>
      </c>
      <c r="EC51" s="23">
        <f>EXP(-LN(2)/2)*EC50+(1-EXP(-LN(2)/2))/(LN(2)/2)*DW51*DZ51*VLOOKUP('Données projet'!$B$14,Paramètres!$A$1:$I$88,3,0)*0.475*44/12</f>
        <v>0</v>
      </c>
      <c r="ED51" s="24">
        <f t="shared" si="18"/>
        <v>4.8201843829758015</v>
      </c>
      <c r="EE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12.8</v>
      </c>
      <c r="EJ51" s="13">
        <f>IF('Données projet'!$A$192&gt;35,EJ50+EI51-ER50,IF(A51&lt;'Données projet'!$A$192,$EG$205^A51,IF(A51='Données projet'!$A$192,'Données projet'!$B$192,EJ50+EI51-ER50)))</f>
        <v>336.40000000000015</v>
      </c>
      <c r="EK51" s="18">
        <f>EJ51*VLOOKUP('Données projet'!$B$15,Paramètres!$A$1:$I$88,3,0)*VLOOKUP('Données projet'!$B$15,Paramètres!$A$1:$I$88,5,0)</f>
        <v>288.63120000000015</v>
      </c>
      <c r="EL51" s="14">
        <f t="shared" si="45"/>
        <v>68.787794100289275</v>
      </c>
      <c r="EM51" s="22">
        <f t="shared" si="19"/>
        <v>622.50474805800411</v>
      </c>
      <c r="EN51" s="59">
        <f t="shared" si="20"/>
        <v>915.83808139133748</v>
      </c>
      <c r="EO51" s="59">
        <f ca="1">AVERAGE(OFFSET($EN$3,0,0,'Données projet'!$E$15+1,1))-AVERAGE(OFFSET($H$3,0,0,'Données projet'!$E$15+1,1))</f>
        <v>462.99360395552145</v>
      </c>
      <c r="EP51" s="59">
        <f t="shared" si="46"/>
        <v>153.03880717786046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projet'!$B$15,Paramètres!$A$1:$I$88,3,0)*0.475*44/12</f>
        <v>0.25742733580783861</v>
      </c>
      <c r="EW51" s="23">
        <f>EXP(-LN(2)/25)*EW50+(1-EXP(-LN(2)/25))/(LN(2)/25)*Calculateur!ER51*Calculateur!ET51*VLOOKUP('Données projet'!$B$15,Paramètres!$A$1:$I$88,3,0)*0.475*44/12</f>
        <v>0</v>
      </c>
      <c r="EX51" s="23">
        <f>EXP(-LN(2)/2)*EX50+(1-EXP(-LN(2)/2))/(LN(2)/2)*ER51*EU51*VLOOKUP('Données projet'!$B$15,Paramètres!$A$1:$I$88,3,0)*0.475*44/12</f>
        <v>0</v>
      </c>
      <c r="EY51" s="24">
        <f t="shared" si="21"/>
        <v>0.25742733580783861</v>
      </c>
      <c r="EZ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8.8200000000000038</v>
      </c>
      <c r="FE51" s="13">
        <f>IF('Données projet'!$A$218&gt;35,FE50+FD51-FM50,IF(A51&lt;'Données projet'!$A$218,$FB$205^A51,IF(A51='Données projet'!$A$218,'Données projet'!$B$218,FE50+FD51-FM50)))</f>
        <v>289.36000000000007</v>
      </c>
      <c r="FF51" s="18">
        <f>FE51*VLOOKUP('Données projet'!$B$16,Paramètres!$A$1:$I$88,3,0)*VLOOKUP('Données projet'!$B$16,Paramètres!$A$1:$I$88,5,0)</f>
        <v>252.78489600000009</v>
      </c>
      <c r="FG51" s="14">
        <f t="shared" si="47"/>
        <v>61.181899385859737</v>
      </c>
      <c r="FH51" s="22">
        <f t="shared" si="22"/>
        <v>546.82550196370585</v>
      </c>
      <c r="FI51" s="59">
        <f t="shared" si="23"/>
        <v>840.1588352970391</v>
      </c>
      <c r="FJ51" s="59">
        <f ca="1">AVERAGE(OFFSET($FI$3,0,0,'Données projet'!$E$16+1,1))-AVERAGE(OFFSET($H$3,0,0,'Données projet'!$E$16+1,1))</f>
        <v>427.76895185088944</v>
      </c>
      <c r="FK51" s="59">
        <f t="shared" si="48"/>
        <v>308.32543361559135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projet'!$B$16,Paramètres!$A$1:$I$88,3,0)*0.475*44/12</f>
        <v>4.8639283447941946</v>
      </c>
      <c r="FR51" s="23">
        <f>EXP(-LN(2)/25)*FR50+(1-EXP(-LN(2)/25))/(LN(2)/25)*Calculateur!FM51*Calculateur!FO51*VLOOKUP('Données projet'!$B$16,Paramètres!$A$1:$I$88,3,0)*0.475*44/12</f>
        <v>0</v>
      </c>
      <c r="FS51" s="23">
        <f>EXP(-LN(2)/2)*FS50+(1-EXP(-LN(2)/2))/(LN(2)/2)*FM51*FP51*VLOOKUP('Données projet'!$B$16,Paramètres!$A$1:$I$88,3,0)*0.475*44/12</f>
        <v>0</v>
      </c>
      <c r="FT51" s="24">
        <f t="shared" si="24"/>
        <v>4.8639283447941946</v>
      </c>
      <c r="FU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8.6</v>
      </c>
      <c r="FZ51" s="13">
        <f>IF('Données projet'!$A$244&gt;35,FZ50+FY51-GH50,IF(A51&lt;'Données projet'!$A$244,$FW$205^A51,IF(A51='Données projet'!$A$244,'Données projet'!$B$244,FZ50+FY51-GH50)))</f>
        <v>297.80000000000007</v>
      </c>
      <c r="GA51" s="18">
        <f>FZ51*VLOOKUP('Données projet'!$B$17,Paramètres!$A$1:$I$88,3,0)*VLOOKUP('Données projet'!$B$17,Paramètres!$A$1:$I$88,5,0)</f>
        <v>185.82720000000003</v>
      </c>
      <c r="GB51" s="14">
        <f t="shared" si="49"/>
        <v>46.616217072321895</v>
      </c>
      <c r="GC51" s="22">
        <f t="shared" si="25"/>
        <v>404.8389514009607</v>
      </c>
      <c r="GD51" s="59">
        <f t="shared" si="26"/>
        <v>698.17228473429395</v>
      </c>
      <c r="GE51" s="59">
        <f ca="1">AVERAGE(OFFSET($GD$3,0,0,'Données projet'!$E$17+1,1))-AVERAGE(OFFSET($H$3,0,0,'Données projet'!$E$17+1,1))</f>
        <v>247.85542034088905</v>
      </c>
      <c r="GF51" s="59">
        <f t="shared" si="50"/>
        <v>299.52241743660352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projet'!$B$17,Paramètres!$A$1:$I$88,3,0)*0.475*44/12</f>
        <v>11.416558393659995</v>
      </c>
      <c r="GM51" s="23">
        <f>EXP(-LN(2)/25)*GM50+(1-EXP(-LN(2)/25))/(LN(2)/25)*Calculateur!GH51*Calculateur!GJ51*VLOOKUP('Données projet'!$B$17,Paramètres!$A$1:$I$88,3,0)*0.475*44/12</f>
        <v>38.194706814901991</v>
      </c>
      <c r="GN51" s="23">
        <f>EXP(-LN(2)/2)*GN50+(1-EXP(-LN(2)/2))/(LN(2)/2)*GH51*GK51*VLOOKUP('Données projet'!$B$17,Paramètres!$A$1:$I$88,3,0)*0.475*44/12</f>
        <v>2.640768833209167</v>
      </c>
      <c r="GO51" s="23">
        <f t="shared" si="27"/>
        <v>52.252034041771154</v>
      </c>
      <c r="GP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3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6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6.875</v>
      </c>
      <c r="N52" s="14">
        <f>IF('Données projet'!$A$36&gt;35,N51+M52-V51,IF(A52&lt;'Données projet'!$A$36,$K$205^A52,IF(A52='Données projet'!$A$36,'Données projet'!$B$36,N51+M52-V51)))</f>
        <v>144.125</v>
      </c>
      <c r="O52" s="14">
        <f>N52*VLOOKUP('Données projet'!$B$9,Paramètres!$A$1:$I$88,3,0)*VLOOKUP('Données projet'!$B$9,Paramètres!$A$1:$I$88,5,0)</f>
        <v>130.40430000000001</v>
      </c>
      <c r="P52" s="14">
        <f t="shared" si="33"/>
        <v>34.089764301804081</v>
      </c>
      <c r="Q52" s="22">
        <f t="shared" si="53"/>
        <v>286.49382865897542</v>
      </c>
      <c r="R52" s="59">
        <f t="shared" si="0"/>
        <v>579.82716199230867</v>
      </c>
      <c r="S52" s="59">
        <f ca="1">AVERAGE(OFFSET($R$3,0,0,'Données projet'!$E$9+1,1))-AVERAGE(OFFSET($H$3,0,0,'Données projet'!$E$9+1,1))</f>
        <v>247.57967230773539</v>
      </c>
      <c r="T52" s="59">
        <f t="shared" si="34"/>
        <v>156.58857589533295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2.2465361382556401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2.2465361382556401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10.860000000000003</v>
      </c>
      <c r="AI52" s="14">
        <f>IF('Données projet'!$A$62&gt;35,AI51+AH52-AQ51,IF(A52&lt;'Données projet'!$A$62,$AF$205^A52,IF(A52='Données projet'!$A$62,'Données projet'!$B$62,AI51+AH52-AQ51)))</f>
        <v>379.14</v>
      </c>
      <c r="AJ52" s="14">
        <f>AI52*VLOOKUP('Données projet'!$B$10,Paramètres!$A$1:$I$88,3,0)*VLOOKUP('Données projet'!$B$10,Paramètres!$A$1:$I$88,5,0)</f>
        <v>301.64378400000004</v>
      </c>
      <c r="AK52" s="14">
        <f t="shared" si="35"/>
        <v>71.520954072961175</v>
      </c>
      <c r="AL52" s="22">
        <f t="shared" si="4"/>
        <v>649.92858547707408</v>
      </c>
      <c r="AM52" s="59">
        <f t="shared" si="5"/>
        <v>943.26191881040745</v>
      </c>
      <c r="AN52" s="59">
        <f ca="1">AVERAGE(OFFSET($AM$3,0,0,'Données projet'!$E$10+1,1))-AVERAGE(OFFSET($H$3,0,0,'Données projet'!$E$10+1,1))</f>
        <v>504.15006129790828</v>
      </c>
      <c r="AO52" s="59">
        <f t="shared" si="36"/>
        <v>374.39334457402742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5.941148120972489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5.941148120972489</v>
      </c>
      <c r="AY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10.860000000000003</v>
      </c>
      <c r="BD52" s="13">
        <f>IF('Données projet'!$A$88&gt;35,BD51+BC52-BL51,IF(A52&lt;'Données projet'!$A$88,$BA$205^A52,IF(A52='Données projet'!$A$88,'Données projet'!$B$88,BD51+BC52-BL51)))</f>
        <v>379.14</v>
      </c>
      <c r="BE52" s="14">
        <f>BD52*VLOOKUP('Données projet'!$B$11,Paramètres!$A$1:$I$88,3,0)*VLOOKUP('Données projet'!$B$11,Paramètres!$A$1:$I$88,5,0)</f>
        <v>301.64378400000004</v>
      </c>
      <c r="BF52" s="14">
        <f t="shared" si="37"/>
        <v>71.520954072961175</v>
      </c>
      <c r="BG52" s="22">
        <f t="shared" si="7"/>
        <v>649.92858547707408</v>
      </c>
      <c r="BH52" s="59">
        <f t="shared" si="8"/>
        <v>943.26191881040745</v>
      </c>
      <c r="BI52" s="59">
        <f ca="1">AVERAGE(OFFSET($BH$3,0,0,'Données projet'!$E$11+1,1))-AVERAGE(OFFSET($H$3,0,0,'Données projet'!$E$11+1,1))</f>
        <v>504.15006129790828</v>
      </c>
      <c r="BJ52" s="59">
        <f t="shared" si="38"/>
        <v>374.39334457402742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5.941148120972489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5.941148120972489</v>
      </c>
      <c r="BT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10.860000000000003</v>
      </c>
      <c r="BY52" s="13">
        <f>IF('Données projet'!$A$114&gt;35,BY51+BX52-CG51,IF(A52&lt;'Données projet'!$A$114,$BV$205^A52,IF(A52='Données projet'!$A$114,'Données projet'!$B$114,BY51+BX52-CG51)))</f>
        <v>379.14</v>
      </c>
      <c r="BZ52" s="14">
        <f>BY52*VLOOKUP('Données projet'!$B$12,Paramètres!$A$1:$I$88,3,0)*VLOOKUP('Données projet'!$B$12,Paramètres!$A$1:$I$88,5,0)</f>
        <v>254.32711199999997</v>
      </c>
      <c r="CA52" s="14">
        <f t="shared" si="39"/>
        <v>61.511599321015971</v>
      </c>
      <c r="CB52" s="22">
        <f t="shared" si="10"/>
        <v>550.08575555076936</v>
      </c>
      <c r="CC52" s="59">
        <f t="shared" si="11"/>
        <v>843.41908888410262</v>
      </c>
      <c r="CD52" s="59">
        <f ca="1">AVERAGE(OFFSET($CC$3,0,0,'Données projet'!$E$12+1,1))-AVERAGE(OFFSET($H$3,0,0,'Données projet'!$E$12+1,1))</f>
        <v>387.15063677712425</v>
      </c>
      <c r="CE52" s="59">
        <f t="shared" si="40"/>
        <v>313.19155394370705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5.0092033176826858</v>
      </c>
      <c r="CL52" s="23">
        <f>EXP(-LN(2)/25)*CL51+(1-EXP(-LN(2)/25))/(LN(2)/25)*Calculateur!CG52*Calculateur!CI52*VLOOKUP('Données projet'!$B$12,Paramètres!$A$1:$I$88,3,0)*0.475*44/12</f>
        <v>0</v>
      </c>
      <c r="CM52" s="23">
        <f>EXP(-LN(2)/2)*CM51+(1-EXP(-LN(2)/2))/(LN(2)/2)*CG52*CJ52*VLOOKUP('Données projet'!$B$12,Paramètres!$A$1:$I$88,3,0)*0.475*44/12</f>
        <v>0</v>
      </c>
      <c r="CN52" s="24">
        <f t="shared" si="12"/>
        <v>5.0092033176826858</v>
      </c>
      <c r="CO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6.875</v>
      </c>
      <c r="CT52" s="13">
        <f>IF('Données projet'!$A$140&gt;35,CT51+CS52-DB51,IF(A52&lt;'Données projet'!$A$140,$CQ$205^A52,IF(A52='Données projet'!$A$140,'Données projet'!$B$140,CT51+CS52-DB51)))</f>
        <v>144.125</v>
      </c>
      <c r="CU52" s="18">
        <f>CT52*VLOOKUP('Données projet'!$B$13,Paramètres!$A$1:$I$88,3,0)*VLOOKUP('Données projet'!$B$13,Paramètres!$A$1:$I$88,5,0)</f>
        <v>139.39770000000001</v>
      </c>
      <c r="CV52" s="14">
        <f t="shared" si="41"/>
        <v>36.158992419646118</v>
      </c>
      <c r="CW52" s="22">
        <f t="shared" si="13"/>
        <v>305.76123929755039</v>
      </c>
      <c r="CX52" s="59">
        <f t="shared" si="14"/>
        <v>599.0945726308837</v>
      </c>
      <c r="CY52" s="59">
        <f ca="1">AVERAGE(OFFSET($CX$3,0,0,'Données projet'!$E$13+1,1))-AVERAGE(OFFSET($H$3,0,0,'Données projet'!$E$13+1,1))</f>
        <v>306.00894145276209</v>
      </c>
      <c r="CZ52" s="59">
        <f t="shared" si="42"/>
        <v>168.74705421228828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2.4014696650318919</v>
      </c>
      <c r="DG52" s="23">
        <f>EXP(-LN(2)/25)*DG51+(1-EXP(-LN(2)/25))/(LN(2)/25)*Calculateur!DB52*Calculateur!DD52*VLOOKUP('Données projet'!$B$13,Paramètres!$A$1:$I$88,3,0)*0.475*44/12</f>
        <v>0</v>
      </c>
      <c r="DH52" s="23">
        <f>EXP(-LN(2)/2)*DH51+(1-EXP(-LN(2)/2))/(LN(2)/2)*DB52*DE52*VLOOKUP('Données projet'!$B$13,Paramètres!$A$1:$I$88,3,0)*0.475*44/12</f>
        <v>0</v>
      </c>
      <c r="DI52" s="24">
        <f t="shared" si="15"/>
        <v>2.4014696650318919</v>
      </c>
      <c r="DJ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10.860000000000003</v>
      </c>
      <c r="DO52" s="13">
        <f>IF('Données projet'!$A$166&gt;35,DO51+DN52-DW51,IF(A52&lt;'Données projet'!$A$166,$DL$205^A52,IF(A52='Données projet'!$A$166,'Données projet'!$B$166,DO51+DN52-DW51)))</f>
        <v>379.14</v>
      </c>
      <c r="DP52" s="18">
        <f>DO52*VLOOKUP('Données projet'!$B$14,Paramètres!$A$1:$I$88,3,0)*VLOOKUP('Données projet'!$B$14,Paramètres!$A$1:$I$88,5,0)</f>
        <v>295.72919999999999</v>
      </c>
      <c r="DQ52" s="14">
        <f t="shared" si="43"/>
        <v>70.280393985499728</v>
      </c>
      <c r="DR52" s="22">
        <f t="shared" si="16"/>
        <v>637.46670952474528</v>
      </c>
      <c r="DS52" s="59">
        <f t="shared" si="17"/>
        <v>930.80004285807854</v>
      </c>
      <c r="DT52" s="59">
        <f ca="1">AVERAGE(OFFSET($DS$3,0,0,'Données projet'!$E$14+1,1))-AVERAGE(OFFSET($H$3,0,0,'Données projet'!$E$14+1,1))</f>
        <v>458.14328535055694</v>
      </c>
      <c r="DU52" s="59">
        <f t="shared" si="44"/>
        <v>366.75500153675739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projet'!$B$14,Paramètres!$A$1:$I$88,3,0)*0.475*44/12</f>
        <v>4.725663507247817</v>
      </c>
      <c r="EB52" s="23">
        <f>EXP(-LN(2)/25)*EB51+(1-EXP(-LN(2)/25))/(LN(2)/25)*Calculateur!DW52*Calculateur!DY52*VLOOKUP('Données projet'!$B$14,Paramètres!$A$1:$I$88,3,0)*0.475*44/12</f>
        <v>0</v>
      </c>
      <c r="EC52" s="23">
        <f>EXP(-LN(2)/2)*EC51+(1-EXP(-LN(2)/2))/(LN(2)/2)*DW52*DZ52*VLOOKUP('Données projet'!$B$14,Paramètres!$A$1:$I$88,3,0)*0.475*44/12</f>
        <v>0</v>
      </c>
      <c r="ED52" s="24">
        <f t="shared" si="18"/>
        <v>4.725663507247817</v>
      </c>
      <c r="EE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12.8</v>
      </c>
      <c r="EJ52" s="13">
        <f>IF('Données projet'!$A$192&gt;35,EJ51+EI52-ER51,IF(A52&lt;'Données projet'!$A$192,$EG$205^A52,IF(A52='Données projet'!$A$192,'Données projet'!$B$192,EJ51+EI52-ER51)))</f>
        <v>349.20000000000016</v>
      </c>
      <c r="EK52" s="18">
        <f>EJ52*VLOOKUP('Données projet'!$B$15,Paramètres!$A$1:$I$88,3,0)*VLOOKUP('Données projet'!$B$15,Paramètres!$A$1:$I$88,5,0)</f>
        <v>299.61360000000019</v>
      </c>
      <c r="EL52" s="14">
        <f t="shared" si="45"/>
        <v>71.095453118777613</v>
      </c>
      <c r="EM52" s="22">
        <f t="shared" si="19"/>
        <v>645.6516008485379</v>
      </c>
      <c r="EN52" s="59">
        <f t="shared" si="20"/>
        <v>938.98493418187127</v>
      </c>
      <c r="EO52" s="59">
        <f ca="1">AVERAGE(OFFSET($EN$3,0,0,'Données projet'!$E$15+1,1))-AVERAGE(OFFSET($H$3,0,0,'Données projet'!$E$15+1,1))</f>
        <v>462.99360395552145</v>
      </c>
      <c r="EP52" s="59">
        <f t="shared" si="46"/>
        <v>153.03880717786046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projet'!$B$15,Paramètres!$A$1:$I$88,3,0)*0.475*44/12</f>
        <v>0.25237934276781776</v>
      </c>
      <c r="EW52" s="23">
        <f>EXP(-LN(2)/25)*EW51+(1-EXP(-LN(2)/25))/(LN(2)/25)*Calculateur!ER52*Calculateur!ET52*VLOOKUP('Données projet'!$B$15,Paramètres!$A$1:$I$88,3,0)*0.475*44/12</f>
        <v>0</v>
      </c>
      <c r="EX52" s="23">
        <f>EXP(-LN(2)/2)*EX51+(1-EXP(-LN(2)/2))/(LN(2)/2)*ER52*EU52*VLOOKUP('Données projet'!$B$15,Paramètres!$A$1:$I$88,3,0)*0.475*44/12</f>
        <v>0</v>
      </c>
      <c r="EY52" s="24">
        <f t="shared" si="21"/>
        <v>0.25237934276781776</v>
      </c>
      <c r="EZ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8.8200000000000038</v>
      </c>
      <c r="FE52" s="13">
        <f>IF('Données projet'!$A$218&gt;35,FE51+FD52-FM51,IF(A52&lt;'Données projet'!$A$218,$FB$205^A52,IF(A52='Données projet'!$A$218,'Données projet'!$B$218,FE51+FD52-FM51)))</f>
        <v>298.18000000000006</v>
      </c>
      <c r="FF52" s="18">
        <f>FE52*VLOOKUP('Données projet'!$B$16,Paramètres!$A$1:$I$88,3,0)*VLOOKUP('Données projet'!$B$16,Paramètres!$A$1:$I$88,5,0)</f>
        <v>260.49004800000006</v>
      </c>
      <c r="FG52" s="14">
        <f t="shared" si="47"/>
        <v>62.826824935898493</v>
      </c>
      <c r="FH52" s="22">
        <f t="shared" si="22"/>
        <v>563.11022036335669</v>
      </c>
      <c r="FI52" s="59">
        <f t="shared" si="23"/>
        <v>856.44355369669006</v>
      </c>
      <c r="FJ52" s="59">
        <f ca="1">AVERAGE(OFFSET($FI$3,0,0,'Données projet'!$E$16+1,1))-AVERAGE(OFFSET($H$3,0,0,'Données projet'!$E$16+1,1))</f>
        <v>427.76895185088944</v>
      </c>
      <c r="FK52" s="59">
        <f t="shared" si="48"/>
        <v>308.32543361559135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projet'!$B$16,Paramètres!$A$1:$I$88,3,0)*0.475*44/12</f>
        <v>4.7685496766561331</v>
      </c>
      <c r="FR52" s="23">
        <f>EXP(-LN(2)/25)*FR51+(1-EXP(-LN(2)/25))/(LN(2)/25)*Calculateur!FM52*Calculateur!FO52*VLOOKUP('Données projet'!$B$16,Paramètres!$A$1:$I$88,3,0)*0.475*44/12</f>
        <v>0</v>
      </c>
      <c r="FS52" s="23">
        <f>EXP(-LN(2)/2)*FS51+(1-EXP(-LN(2)/2))/(LN(2)/2)*FM52*FP52*VLOOKUP('Données projet'!$B$16,Paramètres!$A$1:$I$88,3,0)*0.475*44/12</f>
        <v>0</v>
      </c>
      <c r="FT52" s="24">
        <f t="shared" si="24"/>
        <v>4.7685496766561331</v>
      </c>
      <c r="FU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8.6</v>
      </c>
      <c r="FZ52" s="13">
        <f>IF('Données projet'!$A$244&gt;35,FZ51+FY52-GH51,IF(A52&lt;'Données projet'!$A$244,$FW$205^A52,IF(A52='Données projet'!$A$244,'Données projet'!$B$244,FZ51+FY52-GH51)))</f>
        <v>306.40000000000009</v>
      </c>
      <c r="GA52" s="18">
        <f>FZ52*VLOOKUP('Données projet'!$B$17,Paramètres!$A$1:$I$88,3,0)*VLOOKUP('Données projet'!$B$17,Paramètres!$A$1:$I$88,5,0)</f>
        <v>191.19360000000006</v>
      </c>
      <c r="GB52" s="14">
        <f t="shared" si="49"/>
        <v>47.803744606701216</v>
      </c>
      <c r="GC52" s="22">
        <f t="shared" si="25"/>
        <v>416.25370852333805</v>
      </c>
      <c r="GD52" s="59">
        <f t="shared" si="26"/>
        <v>709.58704185667136</v>
      </c>
      <c r="GE52" s="59">
        <f ca="1">AVERAGE(OFFSET($GD$3,0,0,'Données projet'!$E$17+1,1))-AVERAGE(OFFSET($H$3,0,0,'Données projet'!$E$17+1,1))</f>
        <v>247.85542034088905</v>
      </c>
      <c r="GF52" s="59">
        <f t="shared" si="50"/>
        <v>299.52241743660352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projet'!$B$17,Paramètres!$A$1:$I$88,3,0)*0.475*44/12</f>
        <v>11.192686646973364</v>
      </c>
      <c r="GM52" s="23">
        <f>EXP(-LN(2)/25)*GM51+(1-EXP(-LN(2)/25))/(LN(2)/25)*Calculateur!GH52*Calculateur!GJ52*VLOOKUP('Données projet'!$B$17,Paramètres!$A$1:$I$88,3,0)*0.475*44/12</f>
        <v>37.150270548476158</v>
      </c>
      <c r="GN52" s="23">
        <f>EXP(-LN(2)/2)*GN51+(1-EXP(-LN(2)/2))/(LN(2)/2)*GH52*GK52*VLOOKUP('Données projet'!$B$17,Paramètres!$A$1:$I$88,3,0)*0.475*44/12</f>
        <v>1.8673055495082891</v>
      </c>
      <c r="GO52" s="23">
        <f t="shared" si="27"/>
        <v>50.210262744957809</v>
      </c>
      <c r="GP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3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6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151</v>
      </c>
      <c r="L53" s="13">
        <f>VLOOKUP(A53,'Données projet'!$A$35:$I$55,9,0)</f>
        <v>6.875</v>
      </c>
      <c r="M53" s="13">
        <f t="array" ref="M53">INDEX(L:L,MIN(IF(ISNUMBER(L53:L249),ROW(L53:L249),"")))</f>
        <v>6.875</v>
      </c>
      <c r="N53" s="14">
        <f>IF('Données projet'!$A$36&gt;35,N52+M53-V52,IF(A53&lt;'Données projet'!$A$36,$K$205^A53,IF(A53='Données projet'!$A$36,'Données projet'!$B$36,N52+M53-V52)))</f>
        <v>151</v>
      </c>
      <c r="O53" s="14">
        <f>N53*VLOOKUP('Données projet'!$B$9,Paramètres!$A$1:$I$88,3,0)*VLOOKUP('Données projet'!$B$9,Paramètres!$A$1:$I$88,5,0)</f>
        <v>136.62479999999999</v>
      </c>
      <c r="P53" s="14">
        <f t="shared" si="33"/>
        <v>35.522699804888632</v>
      </c>
      <c r="Q53" s="22">
        <f t="shared" si="53"/>
        <v>299.82356216018104</v>
      </c>
      <c r="R53" s="59">
        <f t="shared" si="0"/>
        <v>593.15689549351441</v>
      </c>
      <c r="S53" s="59">
        <f ca="1">AVERAGE(OFFSET($R$3,0,0,'Données projet'!$E$9+1,1))-AVERAGE(OFFSET($H$3,0,0,'Données projet'!$E$9+1,1))</f>
        <v>247.57967230773539</v>
      </c>
      <c r="T53" s="59">
        <f t="shared" si="34"/>
        <v>156.58857589533295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35</v>
      </c>
      <c r="W53" s="17">
        <f>IF(ISNA(VLOOKUP(A53,'Données projet'!$A$35:$I$55,5,0)),0%,VLOOKUP(A53,'Données projet'!$A$35:$I$55,5,0)*VLOOKUP('Données projet'!$B$9,Paramètres!$A$1:$I$88,7,0))</f>
        <v>8.6000000000000007E-2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5.2131740290344446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5.2131740290344446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390</v>
      </c>
      <c r="AG53" s="13">
        <f>VLOOKUP(A53,'Données projet'!$A$61:$I$81,9,0)</f>
        <v>10.860000000000003</v>
      </c>
      <c r="AH53" s="13">
        <f t="array" ref="AH53">INDEX(AG:AG,MIN(IF(ISNUMBER(AG53:AG249),ROW(AG53:AG249),"")))</f>
        <v>10.860000000000003</v>
      </c>
      <c r="AI53" s="14">
        <f>IF('Données projet'!$A$62&gt;35,AI52+AH53-AQ52,IF(A53&lt;'Données projet'!$A$62,$AF$205^A53,IF(A53='Données projet'!$A$62,'Données projet'!$B$62,AI52+AH53-AQ52)))</f>
        <v>390</v>
      </c>
      <c r="AJ53" s="14">
        <f>AI53*VLOOKUP('Données projet'!$B$10,Paramètres!$A$1:$I$88,3,0)*VLOOKUP('Données projet'!$B$10,Paramètres!$A$1:$I$88,5,0)</f>
        <v>310.28399999999999</v>
      </c>
      <c r="AK53" s="14">
        <f t="shared" si="35"/>
        <v>73.328137514010095</v>
      </c>
      <c r="AL53" s="22">
        <f t="shared" si="4"/>
        <v>668.12447283690096</v>
      </c>
      <c r="AM53" s="59">
        <f t="shared" si="5"/>
        <v>961.45780617023433</v>
      </c>
      <c r="AN53" s="59">
        <f ca="1">AVERAGE(OFFSET($AM$3,0,0,'Données projet'!$E$10+1,1))-AVERAGE(OFFSET($H$3,0,0,'Données projet'!$E$10+1,1))</f>
        <v>504.15006129790828</v>
      </c>
      <c r="AO53" s="59">
        <f t="shared" si="36"/>
        <v>374.39334457402742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18.7</v>
      </c>
      <c r="AR53" s="17">
        <f>IF(ISNA(VLOOKUP(A53,'Données projet'!$A$61:$I$81,5,0)),0%,VLOOKUP(A53,'Données projet'!$A$61:$I$81,5,0)*VLOOKUP('Données projet'!$B$10,Paramètres!$A$1:$I$88,7,0))</f>
        <v>0.159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8.4396995552853671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8.4396995552853671</v>
      </c>
      <c r="AY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390</v>
      </c>
      <c r="BB53" s="13">
        <f>VLOOKUP(A53,'Données projet'!$A$87:$I$107,9,0)</f>
        <v>10.860000000000003</v>
      </c>
      <c r="BC53" s="13">
        <f t="array" ref="BC53">INDEX(BB:BB,MIN(IF(ISNUMBER(BB53:BB249),ROW(BB53:BB249),"")))</f>
        <v>10.860000000000003</v>
      </c>
      <c r="BD53" s="13">
        <f>IF('Données projet'!$A$88&gt;35,BD52+BC53-BL52,IF(A53&lt;'Données projet'!$A$88,$BA$205^A53,IF(A53='Données projet'!$A$88,'Données projet'!$B$88,BD52+BC53-BL52)))</f>
        <v>390</v>
      </c>
      <c r="BE53" s="14">
        <f>BD53*VLOOKUP('Données projet'!$B$11,Paramètres!$A$1:$I$88,3,0)*VLOOKUP('Données projet'!$B$11,Paramètres!$A$1:$I$88,5,0)</f>
        <v>310.28399999999999</v>
      </c>
      <c r="BF53" s="14">
        <f t="shared" si="37"/>
        <v>73.328137514010095</v>
      </c>
      <c r="BG53" s="22">
        <f t="shared" si="7"/>
        <v>668.12447283690096</v>
      </c>
      <c r="BH53" s="59">
        <f t="shared" si="8"/>
        <v>961.45780617023433</v>
      </c>
      <c r="BI53" s="59">
        <f ca="1">AVERAGE(OFFSET($BH$3,0,0,'Données projet'!$E$11+1,1))-AVERAGE(OFFSET($H$3,0,0,'Données projet'!$E$11+1,1))</f>
        <v>504.15006129790828</v>
      </c>
      <c r="BJ53" s="59">
        <f t="shared" si="38"/>
        <v>374.39334457402742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18.7</v>
      </c>
      <c r="BM53" s="17">
        <f>IF(ISNA(VLOOKUP(A53,'Données projet'!$A$87:$I$107,5,0)),0%,VLOOKUP(A53,'Données projet'!$A$87:$I$107,5,0)*VLOOKUP('Données projet'!$B$11,Paramètres!$A$1:$I$88,7,0))</f>
        <v>0.159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8.4396995552853671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8.4396995552853671</v>
      </c>
      <c r="BT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390</v>
      </c>
      <c r="BW53" s="13">
        <f>VLOOKUP(A53,'Données projet'!$A$113:$I$133,9,0)</f>
        <v>10.860000000000003</v>
      </c>
      <c r="BX53" s="13">
        <f t="array" ref="BX53">INDEX(BW:BW,MIN(IF(ISNUMBER(BW53:BW249),ROW(BW53:BW249),"")))</f>
        <v>10.860000000000003</v>
      </c>
      <c r="BY53" s="13">
        <f>IF('Données projet'!$A$114&gt;35,BY52+BX53-CG52,IF(A53&lt;'Données projet'!$A$114,$BV$205^A53,IF(A53='Données projet'!$A$114,'Données projet'!$B$114,BY52+BX53-CG52)))</f>
        <v>390</v>
      </c>
      <c r="BZ53" s="14">
        <f>BY53*VLOOKUP('Données projet'!$B$12,Paramètres!$A$1:$I$88,3,0)*VLOOKUP('Données projet'!$B$12,Paramètres!$A$1:$I$88,5,0)</f>
        <v>261.61199999999997</v>
      </c>
      <c r="CA53" s="14">
        <f t="shared" si="39"/>
        <v>63.065867509496442</v>
      </c>
      <c r="CB53" s="22">
        <f t="shared" si="10"/>
        <v>565.48061924570618</v>
      </c>
      <c r="CC53" s="59">
        <f t="shared" si="11"/>
        <v>858.81395257903955</v>
      </c>
      <c r="CD53" s="59">
        <f ca="1">AVERAGE(OFFSET($CC$3,0,0,'Données projet'!$E$12+1,1))-AVERAGE(OFFSET($H$3,0,0,'Données projet'!$E$12+1,1))</f>
        <v>387.15063677712425</v>
      </c>
      <c r="CE53" s="59">
        <f t="shared" si="40"/>
        <v>313.19155394370705</v>
      </c>
      <c r="CF53" s="16">
        <f>IF(ISNA(VLOOKUP(A53,'Données projet'!$A$113:$I$133,3,0)),0,VLOOKUP(A53,'Données projet'!$A$113:$I$133,3,0))</f>
        <v>8</v>
      </c>
      <c r="CG53" s="16">
        <f>IF(ISNA(VLOOKUP(A53,'Données projet'!$A$113:$I$133,4,0)),0,VLOOKUP(A53,'Données projet'!$A$113:$I$133,4,0))</f>
        <v>18.7</v>
      </c>
      <c r="CH53" s="17">
        <f>IF(ISNA(VLOOKUP(A53,'Données projet'!$A$113:$I$133,5,0)),0%,VLOOKUP(A53,'Données projet'!$A$113:$I$133,5,0)*VLOOKUP('Données projet'!$B$12,Paramètres!$A$1:$I$88,7,0))</f>
        <v>0.159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7.115825115240602</v>
      </c>
      <c r="CL53" s="23">
        <f>EXP(-LN(2)/25)*CL52+(1-EXP(-LN(2)/25))/(LN(2)/25)*Calculateur!CG53*Calculateur!CI53*VLOOKUP('Données projet'!$B$12,Paramètres!$A$1:$I$88,3,0)*0.475*44/12</f>
        <v>0</v>
      </c>
      <c r="CM53" s="23">
        <f>EXP(-LN(2)/2)*CM52+(1-EXP(-LN(2)/2))/(LN(2)/2)*CG53*CJ53*VLOOKUP('Données projet'!$B$12,Paramètres!$A$1:$I$88,3,0)*0.475*44/12</f>
        <v>0</v>
      </c>
      <c r="CN53" s="24">
        <f t="shared" si="12"/>
        <v>7.115825115240602</v>
      </c>
      <c r="CO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151</v>
      </c>
      <c r="CR53" s="13">
        <f>VLOOKUP(A53,'Données projet'!$A$139:$I$159,9,0)</f>
        <v>6.875</v>
      </c>
      <c r="CS53" s="13">
        <f t="array" ref="CS53">INDEX(CR:CR,MIN(IF(ISNUMBER(CR53:CR249),ROW(CR53:CR249),"")))</f>
        <v>6.875</v>
      </c>
      <c r="CT53" s="13">
        <f>IF('Données projet'!$A$140&gt;35,CT52+CS53-DB52,IF(A53&lt;'Données projet'!$A$140,$CQ$205^A53,IF(A53='Données projet'!$A$140,'Données projet'!$B$140,CT52+CS53-DB52)))</f>
        <v>151</v>
      </c>
      <c r="CU53" s="18">
        <f>CT53*VLOOKUP('Données projet'!$B$13,Paramètres!$A$1:$I$88,3,0)*VLOOKUP('Données projet'!$B$13,Paramètres!$A$1:$I$88,5,0)</f>
        <v>146.0472</v>
      </c>
      <c r="CV53" s="14">
        <f t="shared" si="41"/>
        <v>37.678906242902855</v>
      </c>
      <c r="CW53" s="22">
        <f t="shared" si="13"/>
        <v>319.98963503972249</v>
      </c>
      <c r="CX53" s="59">
        <f t="shared" si="14"/>
        <v>613.3229683730558</v>
      </c>
      <c r="CY53" s="59">
        <f ca="1">AVERAGE(OFFSET($CX$3,0,0,'Données projet'!$E$13+1,1))-AVERAGE(OFFSET($H$3,0,0,'Données projet'!$E$13+1,1))</f>
        <v>306.00894145276209</v>
      </c>
      <c r="CZ53" s="59">
        <f t="shared" si="42"/>
        <v>168.74705421228828</v>
      </c>
      <c r="DA53" s="16">
        <f>IF(ISNA(VLOOKUP(A53,'Données projet'!$A$139:$I$159,3,0)),0,VLOOKUP(A53,'Données projet'!$A$139:$I$159,3,0))</f>
        <v>2</v>
      </c>
      <c r="DB53" s="16">
        <f>IF(ISNA(VLOOKUP(A53,'Données projet'!$A$139:$I$159,4,0)),0,VLOOKUP(A53,'Données projet'!$A$139:$I$159,4,0))</f>
        <v>35</v>
      </c>
      <c r="DC53" s="17">
        <f>IF(ISNA(VLOOKUP(A53,'Données projet'!$A$139:$I$159,5,0)),0%,VLOOKUP(A53,'Données projet'!$A$139:$I$159,5,0)*VLOOKUP('Données projet'!$B$13,Paramètres!$A$1:$I$88,7,0))</f>
        <v>8.6000000000000007E-2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5.5727032724161312</v>
      </c>
      <c r="DG53" s="23">
        <f>EXP(-LN(2)/25)*DG52+(1-EXP(-LN(2)/25))/(LN(2)/25)*Calculateur!DB53*Calculateur!DD53*VLOOKUP('Données projet'!$B$13,Paramètres!$A$1:$I$88,3,0)*0.475*44/12</f>
        <v>0</v>
      </c>
      <c r="DH53" s="23">
        <f>EXP(-LN(2)/2)*DH52+(1-EXP(-LN(2)/2))/(LN(2)/2)*DB53*DE53*VLOOKUP('Données projet'!$B$13,Paramètres!$A$1:$I$88,3,0)*0.475*44/12</f>
        <v>0</v>
      </c>
      <c r="DI53" s="24">
        <f t="shared" si="15"/>
        <v>5.5727032724161312</v>
      </c>
      <c r="DJ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390</v>
      </c>
      <c r="DM53" s="13">
        <f>VLOOKUP(A53,'Données projet'!$A$165:$I$185,9,0)</f>
        <v>10.860000000000003</v>
      </c>
      <c r="DN53" s="13">
        <f t="array" ref="DN53">INDEX(DM:DM,MIN(IF(ISNUMBER(DM53:DM249),ROW(DM53:DM249),"")))</f>
        <v>10.860000000000003</v>
      </c>
      <c r="DO53" s="13">
        <f>IF('Données projet'!$A$166&gt;35,DO52+DN53-DW52,IF(A53&lt;'Données projet'!$A$166,$DL$205^A53,IF(A53='Données projet'!$A$166,'Données projet'!$B$166,DO52+DN53-DW52)))</f>
        <v>390</v>
      </c>
      <c r="DP53" s="18">
        <f>DO53*VLOOKUP('Données projet'!$B$14,Paramètres!$A$1:$I$88,3,0)*VLOOKUP('Données projet'!$B$14,Paramètres!$A$1:$I$88,5,0)</f>
        <v>304.2</v>
      </c>
      <c r="DQ53" s="14">
        <f t="shared" si="43"/>
        <v>72.056231093481074</v>
      </c>
      <c r="DR53" s="22">
        <f t="shared" si="16"/>
        <v>655.3129358211462</v>
      </c>
      <c r="DS53" s="59">
        <f t="shared" si="17"/>
        <v>948.64626915447957</v>
      </c>
      <c r="DT53" s="59">
        <f ca="1">AVERAGE(OFFSET($DS$3,0,0,'Données projet'!$E$14+1,1))-AVERAGE(OFFSET($H$3,0,0,'Données projet'!$E$14+1,1))</f>
        <v>458.14328535055694</v>
      </c>
      <c r="DU53" s="59">
        <f t="shared" si="44"/>
        <v>366.75500153675739</v>
      </c>
      <c r="DV53" s="16">
        <f>IF(ISNA(VLOOKUP(A53,'Données projet'!$A$165:$I$185,3,0)),0,VLOOKUP(A53,'Données projet'!$A$165:$I$185,3,0))</f>
        <v>8</v>
      </c>
      <c r="DW53" s="16">
        <f>IF(ISNA(VLOOKUP(A53,'Données projet'!$A$165:$I$185,4,0)),0,VLOOKUP(A53,'Données projet'!$A$165:$I$185,4,0))</f>
        <v>18.7</v>
      </c>
      <c r="DX53" s="17">
        <f>IF(ISNA(VLOOKUP(A53,'Données projet'!$A$165:$I$185,5,0)),0%,VLOOKUP(A53,'Données projet'!$A$165:$I$185,5,0)*VLOOKUP('Données projet'!$B$14,Paramètres!$A$1:$I$88,7,0))</f>
        <v>0.129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projet'!$B$14,Paramètres!$A$1:$I$88,3,0)*0.475*44/12</f>
        <v>6.7130425615477378</v>
      </c>
      <c r="EB53" s="23">
        <f>EXP(-LN(2)/25)*EB52+(1-EXP(-LN(2)/25))/(LN(2)/25)*Calculateur!DW53*Calculateur!DY53*VLOOKUP('Données projet'!$B$14,Paramètres!$A$1:$I$88,3,0)*0.475*44/12</f>
        <v>0</v>
      </c>
      <c r="EC53" s="23">
        <f>EXP(-LN(2)/2)*EC52+(1-EXP(-LN(2)/2))/(LN(2)/2)*DW53*DZ53*VLOOKUP('Données projet'!$B$14,Paramètres!$A$1:$I$88,3,0)*0.475*44/12</f>
        <v>0</v>
      </c>
      <c r="ED53" s="24">
        <f t="shared" si="18"/>
        <v>6.7130425615477378</v>
      </c>
      <c r="EE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362</v>
      </c>
      <c r="EH53" s="13">
        <f>VLOOKUP(A53,'Données projet'!$A$191:$I$211,9,0)</f>
        <v>12.8</v>
      </c>
      <c r="EI53" s="13">
        <f t="array" ref="EI53">INDEX(EH:EH,MIN(IF(ISNUMBER(EH53:EH249),ROW(EH53:EH249),"")))</f>
        <v>12.8</v>
      </c>
      <c r="EJ53" s="13">
        <f>IF('Données projet'!$A$192&gt;35,EJ52+EI53-ER52,IF(A53&lt;'Données projet'!$A$192,$EG$205^A53,IF(A53='Données projet'!$A$192,'Données projet'!$B$192,EJ52+EI53-ER52)))</f>
        <v>362.00000000000017</v>
      </c>
      <c r="EK53" s="18">
        <f>EJ53*VLOOKUP('Données projet'!$B$15,Paramètres!$A$1:$I$88,3,0)*VLOOKUP('Données projet'!$B$15,Paramètres!$A$1:$I$88,5,0)</f>
        <v>310.59600000000017</v>
      </c>
      <c r="EL53" s="14">
        <f t="shared" si="45"/>
        <v>73.393284775883487</v>
      </c>
      <c r="EM53" s="22">
        <f t="shared" si="19"/>
        <v>668.78133765133077</v>
      </c>
      <c r="EN53" s="59">
        <f t="shared" si="20"/>
        <v>962.11467098466414</v>
      </c>
      <c r="EO53" s="59">
        <f ca="1">AVERAGE(OFFSET($EN$3,0,0,'Données projet'!$E$15+1,1))-AVERAGE(OFFSET($H$3,0,0,'Données projet'!$E$15+1,1))</f>
        <v>462.99360395552145</v>
      </c>
      <c r="EP53" s="59">
        <f t="shared" si="46"/>
        <v>153.03880717786046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24</v>
      </c>
      <c r="ES53" s="17">
        <f>IF(ISNA(VLOOKUP(A53,'Données projet'!$A$191:$I$211,5,0)),0%,VLOOKUP(A53,'Données projet'!$A$191:$I$211,5,0)*VLOOKUP('Données projet'!$B$15,Paramètres!$A$1:$I$88,7,0))</f>
        <v>0.21200000000000002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projet'!$B$15,Paramètres!$A$1:$I$88,3,0)*0.475*44/12</f>
        <v>5.0733657015249527</v>
      </c>
      <c r="EW53" s="23">
        <f>EXP(-LN(2)/25)*EW52+(1-EXP(-LN(2)/25))/(LN(2)/25)*Calculateur!ER53*Calculateur!ET53*VLOOKUP('Données projet'!$B$15,Paramètres!$A$1:$I$88,3,0)*0.475*44/12</f>
        <v>0</v>
      </c>
      <c r="EX53" s="23">
        <f>EXP(-LN(2)/2)*EX52+(1-EXP(-LN(2)/2))/(LN(2)/2)*ER53*EU53*VLOOKUP('Données projet'!$B$15,Paramètres!$A$1:$I$88,3,0)*0.475*44/12</f>
        <v>0</v>
      </c>
      <c r="EY53" s="24">
        <f t="shared" si="21"/>
        <v>5.0733657015249527</v>
      </c>
      <c r="EZ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307</v>
      </c>
      <c r="FC53" s="13">
        <f>VLOOKUP(A53,'Données projet'!$A$217:$I$237,9,0)</f>
        <v>8.8200000000000038</v>
      </c>
      <c r="FD53" s="13">
        <f t="array" ref="FD53">INDEX(FC:FC,MIN(IF(ISNUMBER(FC53:FC249),ROW(FC53:FC249),"")))</f>
        <v>8.8200000000000038</v>
      </c>
      <c r="FE53" s="13">
        <f>IF('Données projet'!$A$218&gt;35,FE52+FD53-FM52,IF(A53&lt;'Données projet'!$A$218,$FB$205^A53,IF(A53='Données projet'!$A$218,'Données projet'!$B$218,FE52+FD53-FM52)))</f>
        <v>307.00000000000006</v>
      </c>
      <c r="FF53" s="18">
        <f>FE53*VLOOKUP('Données projet'!$B$16,Paramètres!$A$1:$I$88,3,0)*VLOOKUP('Données projet'!$B$16,Paramètres!$A$1:$I$88,5,0)</f>
        <v>268.19520000000006</v>
      </c>
      <c r="FG53" s="14">
        <f t="shared" si="47"/>
        <v>64.46609579610768</v>
      </c>
      <c r="FH53" s="22">
        <f t="shared" si="22"/>
        <v>579.38509017822105</v>
      </c>
      <c r="FI53" s="59">
        <f t="shared" si="23"/>
        <v>872.71842351155442</v>
      </c>
      <c r="FJ53" s="59">
        <f ca="1">AVERAGE(OFFSET($FI$3,0,0,'Données projet'!$E$16+1,1))-AVERAGE(OFFSET($H$3,0,0,'Données projet'!$E$16+1,1))</f>
        <v>427.76895185088944</v>
      </c>
      <c r="FK53" s="59">
        <f t="shared" si="48"/>
        <v>308.32543361559135</v>
      </c>
      <c r="FL53" s="16">
        <f>IF(ISNA(VLOOKUP(A53,'Données projet'!$A$217:$I$237,3,0)),0,VLOOKUP(A53,'Données projet'!$A$217:$I$237,3,0))</f>
        <v>8</v>
      </c>
      <c r="FM53" s="16">
        <f>IF(ISNA(VLOOKUP(A53,'Données projet'!$A$217:$I$237,4,0)),0,VLOOKUP(A53,'Données projet'!$A$217:$I$237,4,0))</f>
        <v>14.2</v>
      </c>
      <c r="FN53" s="17">
        <f>IF(ISNA(VLOOKUP(A53,'Données projet'!$A$217:$I$237,5,0)),0%,VLOOKUP(A53,'Données projet'!$A$217:$I$237,5,0)*VLOOKUP('Données projet'!$B$16,Paramètres!$A$1:$I$88,7,0))</f>
        <v>0.159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projet'!$B$16,Paramètres!$A$1:$I$88,3,0)*0.475*44/12</f>
        <v>6.8554866676387505</v>
      </c>
      <c r="FR53" s="23">
        <f>EXP(-LN(2)/25)*FR52+(1-EXP(-LN(2)/25))/(LN(2)/25)*Calculateur!FM53*Calculateur!FO53*VLOOKUP('Données projet'!$B$16,Paramètres!$A$1:$I$88,3,0)*0.475*44/12</f>
        <v>0</v>
      </c>
      <c r="FS53" s="23">
        <f>EXP(-LN(2)/2)*FS52+(1-EXP(-LN(2)/2))/(LN(2)/2)*FM53*FP53*VLOOKUP('Données projet'!$B$16,Paramètres!$A$1:$I$88,3,0)*0.475*44/12</f>
        <v>0</v>
      </c>
      <c r="FT53" s="24">
        <f t="shared" si="24"/>
        <v>6.8554866676387505</v>
      </c>
      <c r="FU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315</v>
      </c>
      <c r="FX53" s="13">
        <f>VLOOKUP(A53,'Données projet'!$A$243:$I$263,9,0)</f>
        <v>8.6</v>
      </c>
      <c r="FY53" s="13">
        <f t="array" ref="FY53">INDEX(FX:FX,MIN(IF(ISNUMBER(FX53:FX249),ROW(FX53:FX249),"")))</f>
        <v>8.6</v>
      </c>
      <c r="FZ53" s="13">
        <f>IF('Données projet'!$A$244&gt;35,FZ52+FY53-GH52,IF(A53&lt;'Données projet'!$A$244,$FW$205^A53,IF(A53='Données projet'!$A$244,'Données projet'!$B$244,FZ52+FY53-GH52)))</f>
        <v>315.00000000000011</v>
      </c>
      <c r="GA53" s="18">
        <f>FZ53*VLOOKUP('Données projet'!$B$17,Paramètres!$A$1:$I$88,3,0)*VLOOKUP('Données projet'!$B$17,Paramètres!$A$1:$I$88,5,0)</f>
        <v>196.56000000000006</v>
      </c>
      <c r="GB53" s="14">
        <f t="shared" si="49"/>
        <v>48.987398161128134</v>
      </c>
      <c r="GC53" s="22">
        <f t="shared" si="25"/>
        <v>427.66171846396492</v>
      </c>
      <c r="GD53" s="59">
        <f t="shared" si="26"/>
        <v>720.99505179729817</v>
      </c>
      <c r="GE53" s="59">
        <f ca="1">AVERAGE(OFFSET($GD$3,0,0,'Données projet'!$E$17+1,1))-AVERAGE(OFFSET($H$3,0,0,'Données projet'!$E$17+1,1))</f>
        <v>247.85542034088905</v>
      </c>
      <c r="GF53" s="59">
        <f t="shared" si="50"/>
        <v>299.52241743660352</v>
      </c>
      <c r="GG53" s="16">
        <f>IF(ISNA(VLOOKUP(A53,'Données projet'!$A$243:$I$263,3,0)),0,VLOOKUP(A53,'Données projet'!$A$243:$I$263,3,0))</f>
        <v>9</v>
      </c>
      <c r="GH53" s="16">
        <f>IF(ISNA(VLOOKUP(A53,'Données projet'!$A$243:$I$263,4,0)),0,VLOOKUP(A53,'Données projet'!$A$243:$I$263,4,0))</f>
        <v>26</v>
      </c>
      <c r="GI53" s="17">
        <f>IF(ISNA(VLOOKUP(A53,'Données projet'!$A$243:$I$263,5,0)),0%,VLOOKUP(A53,'Données projet'!$A$243:$I$263,5,0)*VLOOKUP('Données projet'!$B$17,Paramètres!$A$1:$I$88,7,0))</f>
        <v>0.24</v>
      </c>
      <c r="GJ53" s="17">
        <f>IF(ISNA(VLOOKUP(A53,'Données projet'!$A$243:$I$263,6,0)),0%,VLOOKUP(A53,'Données projet'!$A$243:$I$263,6,0)*VLOOKUP('Données projet'!$B$17,Paramètres!$A$1:$I$88,7,0))</f>
        <v>0.2016</v>
      </c>
      <c r="GK53" s="17">
        <f>IF(ISNA(VLOOKUP(A53,'Données projet'!$A$243:$I$263,7,0)),0%,VLOOKUP(A53,'Données projet'!$A$243:$I$263,7,0))</f>
        <v>0.26400000000000001</v>
      </c>
      <c r="GL53" s="23">
        <f>EXP(-LN(2)/35)*GL52+(1-EXP(-LN(2)/35))/(LN(2)/35)*GH53*GI53*VLOOKUP('Données projet'!$B$17,Paramètres!$A$1:$I$88,3,0)*0.475*44/12</f>
        <v>16.138528502703238</v>
      </c>
      <c r="GM53" s="23">
        <f>EXP(-LN(2)/25)*GM52+(1-EXP(-LN(2)/25))/(LN(2)/25)*Calculateur!GH53*Calculateur!GJ53*VLOOKUP('Données projet'!$B$17,Paramètres!$A$1:$I$88,3,0)*0.475*44/12</f>
        <v>40.456182490793346</v>
      </c>
      <c r="GN53" s="23">
        <f>EXP(-LN(2)/2)*GN52+(1-EXP(-LN(2)/2))/(LN(2)/2)*GH53*GK53*VLOOKUP('Données projet'!$B$17,Paramètres!$A$1:$I$88,3,0)*0.475*44/12</f>
        <v>6.169889330502901</v>
      </c>
      <c r="GO53" s="23">
        <f t="shared" si="27"/>
        <v>62.764600323999488</v>
      </c>
      <c r="GP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3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6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7.875</v>
      </c>
      <c r="N54" s="14">
        <f>IF('Données projet'!$A$36&gt;35,N53+M54-V53,IF(A54&lt;'Données projet'!$A$36,$K$205^A54,IF(A54='Données projet'!$A$36,'Données projet'!$B$36,N53+M54-V53)))</f>
        <v>123.875</v>
      </c>
      <c r="O54" s="14">
        <f>N54*VLOOKUP('Données projet'!$B$9,Paramètres!$A$1:$I$88,3,0)*VLOOKUP('Données projet'!$B$9,Paramètres!$A$1:$I$88,5,0)</f>
        <v>112.0821</v>
      </c>
      <c r="P54" s="14">
        <f t="shared" si="33"/>
        <v>29.821006931508371</v>
      </c>
      <c r="Q54" s="22">
        <f t="shared" si="53"/>
        <v>247.14791123904374</v>
      </c>
      <c r="R54" s="59">
        <f t="shared" si="0"/>
        <v>540.48124457237702</v>
      </c>
      <c r="S54" s="59">
        <f ca="1">AVERAGE(OFFSET($R$3,0,0,'Données projet'!$E$9+1,1))-AVERAGE(OFFSET($H$3,0,0,'Données projet'!$E$9+1,1))</f>
        <v>247.57967230773539</v>
      </c>
      <c r="T54" s="59">
        <f t="shared" si="34"/>
        <v>156.58857589533295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5.1109468660472652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5.1109468660472652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9.7399999999999984</v>
      </c>
      <c r="AI54" s="14">
        <f>IF('Données projet'!$A$62&gt;35,AI53+AH54-AQ53,IF(A54&lt;'Données projet'!$A$62,$AF$205^A54,IF(A54='Données projet'!$A$62,'Données projet'!$B$62,AI53+AH54-AQ53)))</f>
        <v>381.04</v>
      </c>
      <c r="AJ54" s="14">
        <f>AI54*VLOOKUP('Données projet'!$B$10,Paramètres!$A$1:$I$88,3,0)*VLOOKUP('Données projet'!$B$10,Paramètres!$A$1:$I$88,5,0)</f>
        <v>303.15542400000004</v>
      </c>
      <c r="AK54" s="14">
        <f t="shared" si="35"/>
        <v>71.837558185938562</v>
      </c>
      <c r="AL54" s="22">
        <f t="shared" si="4"/>
        <v>653.11277730717632</v>
      </c>
      <c r="AM54" s="59">
        <f t="shared" si="5"/>
        <v>946.44611064050969</v>
      </c>
      <c r="AN54" s="59">
        <f ca="1">AVERAGE(OFFSET($AM$3,0,0,'Données projet'!$E$10+1,1))-AVERAGE(OFFSET($H$3,0,0,'Données projet'!$E$10+1,1))</f>
        <v>504.15006129790828</v>
      </c>
      <c r="AO54" s="59">
        <f t="shared" si="36"/>
        <v>374.39334457402742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8.2742021947146558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8.2742021947146558</v>
      </c>
      <c r="AY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9.7399999999999984</v>
      </c>
      <c r="BD54" s="13">
        <f>IF('Données projet'!$A$88&gt;35,BD53+BC54-BL53,IF(A54&lt;'Données projet'!$A$88,$BA$205^A54,IF(A54='Données projet'!$A$88,'Données projet'!$B$88,BD53+BC54-BL53)))</f>
        <v>381.04</v>
      </c>
      <c r="BE54" s="14">
        <f>BD54*VLOOKUP('Données projet'!$B$11,Paramètres!$A$1:$I$88,3,0)*VLOOKUP('Données projet'!$B$11,Paramètres!$A$1:$I$88,5,0)</f>
        <v>303.15542400000004</v>
      </c>
      <c r="BF54" s="14">
        <f t="shared" si="37"/>
        <v>71.837558185938562</v>
      </c>
      <c r="BG54" s="22">
        <f t="shared" si="7"/>
        <v>653.11277730717632</v>
      </c>
      <c r="BH54" s="59">
        <f t="shared" si="8"/>
        <v>946.44611064050969</v>
      </c>
      <c r="BI54" s="59">
        <f ca="1">AVERAGE(OFFSET($BH$3,0,0,'Données projet'!$E$11+1,1))-AVERAGE(OFFSET($H$3,0,0,'Données projet'!$E$11+1,1))</f>
        <v>504.15006129790828</v>
      </c>
      <c r="BJ54" s="59">
        <f t="shared" si="38"/>
        <v>374.39334457402742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8.2742021947146558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8.2742021947146558</v>
      </c>
      <c r="BT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9.7399999999999984</v>
      </c>
      <c r="BY54" s="13">
        <f>IF('Données projet'!$A$114&gt;35,BY53+BX54-CG53,IF(A54&lt;'Données projet'!$A$114,$BV$205^A54,IF(A54='Données projet'!$A$114,'Données projet'!$B$114,BY53+BX54-CG53)))</f>
        <v>381.04</v>
      </c>
      <c r="BZ54" s="14">
        <f>BY54*VLOOKUP('Données projet'!$B$12,Paramètres!$A$1:$I$88,3,0)*VLOOKUP('Données projet'!$B$12,Paramètres!$A$1:$I$88,5,0)</f>
        <v>255.60163200000002</v>
      </c>
      <c r="CA54" s="14">
        <f t="shared" si="39"/>
        <v>61.783894700646727</v>
      </c>
      <c r="CB54" s="22">
        <f t="shared" si="10"/>
        <v>552.77979233695976</v>
      </c>
      <c r="CC54" s="59">
        <f t="shared" si="11"/>
        <v>846.11312567029313</v>
      </c>
      <c r="CD54" s="59">
        <f ca="1">AVERAGE(OFFSET($CC$3,0,0,'Données projet'!$E$12+1,1))-AVERAGE(OFFSET($H$3,0,0,'Données projet'!$E$12+1,1))</f>
        <v>387.15063677712425</v>
      </c>
      <c r="CE54" s="59">
        <f t="shared" si="40"/>
        <v>313.19155394370705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6.9762881249554924</v>
      </c>
      <c r="CL54" s="23">
        <f>EXP(-LN(2)/25)*CL53+(1-EXP(-LN(2)/25))/(LN(2)/25)*Calculateur!CG54*Calculateur!CI54*VLOOKUP('Données projet'!$B$12,Paramètres!$A$1:$I$88,3,0)*0.475*44/12</f>
        <v>0</v>
      </c>
      <c r="CM54" s="23">
        <f>EXP(-LN(2)/2)*CM53+(1-EXP(-LN(2)/2))/(LN(2)/2)*CG54*CJ54*VLOOKUP('Données projet'!$B$12,Paramètres!$A$1:$I$88,3,0)*0.475*44/12</f>
        <v>0</v>
      </c>
      <c r="CN54" s="24">
        <f t="shared" si="12"/>
        <v>6.9762881249554924</v>
      </c>
      <c r="CO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7.875</v>
      </c>
      <c r="CT54" s="13">
        <f>IF('Données projet'!$A$140&gt;35,CT53+CS54-DB53,IF(A54&lt;'Données projet'!$A$140,$CQ$205^A54,IF(A54='Données projet'!$A$140,'Données projet'!$B$140,CT53+CS54-DB53)))</f>
        <v>123.875</v>
      </c>
      <c r="CU54" s="18">
        <f>CT54*VLOOKUP('Données projet'!$B$13,Paramètres!$A$1:$I$88,3,0)*VLOOKUP('Données projet'!$B$13,Paramètres!$A$1:$I$88,5,0)</f>
        <v>119.81189999999999</v>
      </c>
      <c r="CV54" s="14">
        <f t="shared" si="41"/>
        <v>31.631124053432114</v>
      </c>
      <c r="CW54" s="22">
        <f t="shared" si="13"/>
        <v>263.76326689306092</v>
      </c>
      <c r="CX54" s="59">
        <f t="shared" si="14"/>
        <v>557.09660022639423</v>
      </c>
      <c r="CY54" s="59">
        <f ca="1">AVERAGE(OFFSET($CX$3,0,0,'Données projet'!$E$13+1,1))-AVERAGE(OFFSET($H$3,0,0,'Données projet'!$E$13+1,1))</f>
        <v>306.00894145276209</v>
      </c>
      <c r="CZ54" s="59">
        <f t="shared" si="42"/>
        <v>168.74705421228828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5.463425960257422</v>
      </c>
      <c r="DG54" s="23">
        <f>EXP(-LN(2)/25)*DG53+(1-EXP(-LN(2)/25))/(LN(2)/25)*Calculateur!DB54*Calculateur!DD54*VLOOKUP('Données projet'!$B$13,Paramètres!$A$1:$I$88,3,0)*0.475*44/12</f>
        <v>0</v>
      </c>
      <c r="DH54" s="23">
        <f>EXP(-LN(2)/2)*DH53+(1-EXP(-LN(2)/2))/(LN(2)/2)*DB54*DE54*VLOOKUP('Données projet'!$B$13,Paramètres!$A$1:$I$88,3,0)*0.475*44/12</f>
        <v>0</v>
      </c>
      <c r="DI54" s="24">
        <f t="shared" si="15"/>
        <v>5.463425960257422</v>
      </c>
      <c r="DJ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9.7399999999999984</v>
      </c>
      <c r="DO54" s="13">
        <f>IF('Données projet'!$A$166&gt;35,DO53+DN54-DW53,IF(A54&lt;'Données projet'!$A$166,$DL$205^A54,IF(A54='Données projet'!$A$166,'Données projet'!$B$166,DO53+DN54-DW53)))</f>
        <v>381.04</v>
      </c>
      <c r="DP54" s="18">
        <f>DO54*VLOOKUP('Données projet'!$B$14,Paramètres!$A$1:$I$88,3,0)*VLOOKUP('Données projet'!$B$14,Paramètres!$A$1:$I$88,5,0)</f>
        <v>297.21120000000002</v>
      </c>
      <c r="DQ54" s="14">
        <f t="shared" si="43"/>
        <v>70.591506471146744</v>
      </c>
      <c r="DR54" s="22">
        <f t="shared" si="16"/>
        <v>640.5897137705806</v>
      </c>
      <c r="DS54" s="59">
        <f t="shared" si="17"/>
        <v>933.92304710391386</v>
      </c>
      <c r="DT54" s="59">
        <f ca="1">AVERAGE(OFFSET($DS$3,0,0,'Données projet'!$E$14+1,1))-AVERAGE(OFFSET($H$3,0,0,'Données projet'!$E$14+1,1))</f>
        <v>458.14328535055694</v>
      </c>
      <c r="DU54" s="59">
        <f t="shared" si="44"/>
        <v>366.75500153675739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projet'!$B$14,Paramètres!$A$1:$I$88,3,0)*0.475*44/12</f>
        <v>6.5814038914674455</v>
      </c>
      <c r="EB54" s="23">
        <f>EXP(-LN(2)/25)*EB53+(1-EXP(-LN(2)/25))/(LN(2)/25)*Calculateur!DW54*Calculateur!DY54*VLOOKUP('Données projet'!$B$14,Paramètres!$A$1:$I$88,3,0)*0.475*44/12</f>
        <v>0</v>
      </c>
      <c r="EC54" s="23">
        <f>EXP(-LN(2)/2)*EC53+(1-EXP(-LN(2)/2))/(LN(2)/2)*DW54*DZ54*VLOOKUP('Données projet'!$B$14,Paramètres!$A$1:$I$88,3,0)*0.475*44/12</f>
        <v>0</v>
      </c>
      <c r="ED54" s="24">
        <f t="shared" si="18"/>
        <v>6.5814038914674455</v>
      </c>
      <c r="EE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12.5</v>
      </c>
      <c r="EJ54" s="13">
        <f>IF('Données projet'!$A$192&gt;35,EJ53+EI54-ER53,IF(A54&lt;'Données projet'!$A$192,$EG$205^A54,IF(A54='Données projet'!$A$192,'Données projet'!$B$192,EJ53+EI54-ER53)))</f>
        <v>350.50000000000017</v>
      </c>
      <c r="EK54" s="18">
        <f>EJ54*VLOOKUP('Données projet'!$B$15,Paramètres!$A$1:$I$88,3,0)*VLOOKUP('Données projet'!$B$15,Paramètres!$A$1:$I$88,5,0)</f>
        <v>300.72900000000021</v>
      </c>
      <c r="EL54" s="14">
        <f t="shared" si="45"/>
        <v>71.329268282780404</v>
      </c>
      <c r="EM54" s="22">
        <f t="shared" si="19"/>
        <v>648.00148392584288</v>
      </c>
      <c r="EN54" s="59">
        <f t="shared" si="20"/>
        <v>941.33481725917613</v>
      </c>
      <c r="EO54" s="59">
        <f ca="1">AVERAGE(OFFSET($EN$3,0,0,'Données projet'!$E$15+1,1))-AVERAGE(OFFSET($H$3,0,0,'Données projet'!$E$15+1,1))</f>
        <v>462.99360395552145</v>
      </c>
      <c r="EP54" s="59">
        <f t="shared" si="46"/>
        <v>153.03880717786046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projet'!$B$15,Paramètres!$A$1:$I$88,3,0)*0.475*44/12</f>
        <v>4.9738800945655752</v>
      </c>
      <c r="EW54" s="23">
        <f>EXP(-LN(2)/25)*EW53+(1-EXP(-LN(2)/25))/(LN(2)/25)*Calculateur!ER54*Calculateur!ET54*VLOOKUP('Données projet'!$B$15,Paramètres!$A$1:$I$88,3,0)*0.475*44/12</f>
        <v>0</v>
      </c>
      <c r="EX54" s="23">
        <f>EXP(-LN(2)/2)*EX53+(1-EXP(-LN(2)/2))/(LN(2)/2)*ER54*EU54*VLOOKUP('Données projet'!$B$15,Paramètres!$A$1:$I$88,3,0)*0.475*44/12</f>
        <v>0</v>
      </c>
      <c r="EY54" s="24">
        <f t="shared" si="21"/>
        <v>4.9738800945655752</v>
      </c>
      <c r="EZ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7.8399999999999981</v>
      </c>
      <c r="FE54" s="13">
        <f>IF('Données projet'!$A$218&gt;35,FE53+FD54-FM53,IF(A54&lt;'Données projet'!$A$218,$FB$205^A54,IF(A54='Données projet'!$A$218,'Données projet'!$B$218,FE53+FD54-FM53)))</f>
        <v>300.64000000000004</v>
      </c>
      <c r="FF54" s="18">
        <f>FE54*VLOOKUP('Données projet'!$B$16,Paramètres!$A$1:$I$88,3,0)*VLOOKUP('Données projet'!$B$16,Paramètres!$A$1:$I$88,5,0)</f>
        <v>262.63910400000009</v>
      </c>
      <c r="FG54" s="14">
        <f t="shared" si="47"/>
        <v>63.284597200511328</v>
      </c>
      <c r="FH54" s="22">
        <f t="shared" si="22"/>
        <v>567.65044625755729</v>
      </c>
      <c r="FI54" s="59">
        <f t="shared" si="23"/>
        <v>860.98377959089066</v>
      </c>
      <c r="FJ54" s="59">
        <f ca="1">AVERAGE(OFFSET($FI$3,0,0,'Données projet'!$E$16+1,1))-AVERAGE(OFFSET($H$3,0,0,'Données projet'!$E$16+1,1))</f>
        <v>427.76895185088944</v>
      </c>
      <c r="FK54" s="59">
        <f t="shared" si="48"/>
        <v>308.32543361559135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projet'!$B$16,Paramètres!$A$1:$I$88,3,0)*0.475*44/12</f>
        <v>6.7210547555203393</v>
      </c>
      <c r="FR54" s="23">
        <f>EXP(-LN(2)/25)*FR53+(1-EXP(-LN(2)/25))/(LN(2)/25)*Calculateur!FM54*Calculateur!FO54*VLOOKUP('Données projet'!$B$16,Paramètres!$A$1:$I$88,3,0)*0.475*44/12</f>
        <v>0</v>
      </c>
      <c r="FS54" s="23">
        <f>EXP(-LN(2)/2)*FS53+(1-EXP(-LN(2)/2))/(LN(2)/2)*FM54*FP54*VLOOKUP('Données projet'!$B$16,Paramètres!$A$1:$I$88,3,0)*0.475*44/12</f>
        <v>0</v>
      </c>
      <c r="FT54" s="24">
        <f t="shared" si="24"/>
        <v>6.7210547555203393</v>
      </c>
      <c r="FU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7.6</v>
      </c>
      <c r="FZ54" s="13">
        <f>IF('Données projet'!$A$244&gt;35,FZ53+FY54-GH53,IF(A54&lt;'Données projet'!$A$244,$FW$205^A54,IF(A54='Données projet'!$A$244,'Données projet'!$B$244,FZ53+FY54-GH53)))</f>
        <v>296.60000000000014</v>
      </c>
      <c r="GA54" s="18">
        <f>FZ54*VLOOKUP('Données projet'!$B$17,Paramètres!$A$1:$I$88,3,0)*VLOOKUP('Données projet'!$B$17,Paramètres!$A$1:$I$88,5,0)</f>
        <v>185.07840000000007</v>
      </c>
      <c r="GB54" s="14">
        <f t="shared" si="49"/>
        <v>46.4502005626642</v>
      </c>
      <c r="GC54" s="22">
        <f t="shared" si="25"/>
        <v>403.24564597997363</v>
      </c>
      <c r="GD54" s="59">
        <f t="shared" si="26"/>
        <v>696.57897931330695</v>
      </c>
      <c r="GE54" s="59">
        <f ca="1">AVERAGE(OFFSET($GD$3,0,0,'Données projet'!$E$17+1,1))-AVERAGE(OFFSET($H$3,0,0,'Données projet'!$E$17+1,1))</f>
        <v>247.85542034088905</v>
      </c>
      <c r="GF54" s="59">
        <f t="shared" si="50"/>
        <v>299.52241743660352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projet'!$B$17,Paramètres!$A$1:$I$88,3,0)*0.475*44/12</f>
        <v>15.822061802295647</v>
      </c>
      <c r="GM54" s="23">
        <f>EXP(-LN(2)/25)*GM53+(1-EXP(-LN(2)/25))/(LN(2)/25)*Calculateur!GH54*Calculateur!GJ54*VLOOKUP('Données projet'!$B$17,Paramètres!$A$1:$I$88,3,0)*0.475*44/12</f>
        <v>39.349906053084432</v>
      </c>
      <c r="GN54" s="23">
        <f>EXP(-LN(2)/2)*GN53+(1-EXP(-LN(2)/2))/(LN(2)/2)*GH54*GK54*VLOOKUP('Données projet'!$B$17,Paramètres!$A$1:$I$88,3,0)*0.475*44/12</f>
        <v>4.3627705847691294</v>
      </c>
      <c r="GO54" s="23">
        <f t="shared" si="27"/>
        <v>59.534738440149205</v>
      </c>
      <c r="GP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3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6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7.875</v>
      </c>
      <c r="N55" s="14">
        <f>IF('Données projet'!$A$36&gt;35,N54+M55-V54,IF(A55&lt;'Données projet'!$A$36,$K$205^A55,IF(A55='Données projet'!$A$36,'Données projet'!$B$36,N54+M55-V54)))</f>
        <v>131.75</v>
      </c>
      <c r="O55" s="14">
        <f>N55*VLOOKUP('Données projet'!$B$9,Paramètres!$A$1:$I$88,3,0)*VLOOKUP('Données projet'!$B$9,Paramètres!$A$1:$I$88,5,0)</f>
        <v>119.20739999999999</v>
      </c>
      <c r="P55" s="14">
        <f t="shared" si="33"/>
        <v>31.490067122235608</v>
      </c>
      <c r="Q55" s="22">
        <f t="shared" si="53"/>
        <v>262.46475523789366</v>
      </c>
      <c r="R55" s="59">
        <f t="shared" si="0"/>
        <v>555.79808857122703</v>
      </c>
      <c r="S55" s="59">
        <f ca="1">AVERAGE(OFFSET($R$3,0,0,'Données projet'!$E$9+1,1))-AVERAGE(OFFSET($H$3,0,0,'Données projet'!$E$9+1,1))</f>
        <v>247.57967230773539</v>
      </c>
      <c r="T55" s="59">
        <f t="shared" si="34"/>
        <v>156.58857589533295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5.0107243153738521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5.0107243153738521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9.7399999999999984</v>
      </c>
      <c r="AI55" s="14">
        <f>IF('Données projet'!$A$62&gt;35,AI54+AH55-AQ54,IF(A55&lt;'Données projet'!$A$62,$AF$205^A55,IF(A55='Données projet'!$A$62,'Données projet'!$B$62,AI54+AH55-AQ54)))</f>
        <v>390.78000000000003</v>
      </c>
      <c r="AJ55" s="14">
        <f>AI55*VLOOKUP('Données projet'!$B$10,Paramètres!$A$1:$I$88,3,0)*VLOOKUP('Données projet'!$B$10,Paramètres!$A$1:$I$88,5,0)</f>
        <v>310.90456800000004</v>
      </c>
      <c r="AK55" s="14">
        <f t="shared" si="35"/>
        <v>73.457707926088958</v>
      </c>
      <c r="AL55" s="22">
        <f t="shared" si="4"/>
        <v>669.43096390460494</v>
      </c>
      <c r="AM55" s="59">
        <f t="shared" si="5"/>
        <v>962.76429723793831</v>
      </c>
      <c r="AN55" s="59">
        <f ca="1">AVERAGE(OFFSET($AM$3,0,0,'Données projet'!$E$10+1,1))-AVERAGE(OFFSET($H$3,0,0,'Données projet'!$E$10+1,1))</f>
        <v>504.15006129790828</v>
      </c>
      <c r="AO55" s="59">
        <f t="shared" si="36"/>
        <v>374.39334457402742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8.1119501364413136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8.1119501364413136</v>
      </c>
      <c r="AY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9.7399999999999984</v>
      </c>
      <c r="BD55" s="13">
        <f>IF('Données projet'!$A$88&gt;35,BD54+BC55-BL54,IF(A55&lt;'Données projet'!$A$88,$BA$205^A55,IF(A55='Données projet'!$A$88,'Données projet'!$B$88,BD54+BC55-BL54)))</f>
        <v>390.78000000000003</v>
      </c>
      <c r="BE55" s="14">
        <f>BD55*VLOOKUP('Données projet'!$B$11,Paramètres!$A$1:$I$88,3,0)*VLOOKUP('Données projet'!$B$11,Paramètres!$A$1:$I$88,5,0)</f>
        <v>310.90456800000004</v>
      </c>
      <c r="BF55" s="14">
        <f t="shared" si="37"/>
        <v>73.457707926088958</v>
      </c>
      <c r="BG55" s="22">
        <f t="shared" si="7"/>
        <v>669.43096390460494</v>
      </c>
      <c r="BH55" s="59">
        <f t="shared" si="8"/>
        <v>962.76429723793831</v>
      </c>
      <c r="BI55" s="59">
        <f ca="1">AVERAGE(OFFSET($BH$3,0,0,'Données projet'!$E$11+1,1))-AVERAGE(OFFSET($H$3,0,0,'Données projet'!$E$11+1,1))</f>
        <v>504.15006129790828</v>
      </c>
      <c r="BJ55" s="59">
        <f t="shared" si="38"/>
        <v>374.39334457402742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8.1119501364413136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8.1119501364413136</v>
      </c>
      <c r="BT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9.7399999999999984</v>
      </c>
      <c r="BY55" s="13">
        <f>IF('Données projet'!$A$114&gt;35,BY54+BX55-CG54,IF(A55&lt;'Données projet'!$A$114,$BV$205^A55,IF(A55='Données projet'!$A$114,'Données projet'!$B$114,BY54+BX55-CG54)))</f>
        <v>390.78000000000003</v>
      </c>
      <c r="BZ55" s="14">
        <f>BY55*VLOOKUP('Données projet'!$B$12,Paramètres!$A$1:$I$88,3,0)*VLOOKUP('Données projet'!$B$12,Paramètres!$A$1:$I$88,5,0)</f>
        <v>262.13522400000005</v>
      </c>
      <c r="CA55" s="14">
        <f t="shared" si="39"/>
        <v>63.177304547424086</v>
      </c>
      <c r="CB55" s="22">
        <f t="shared" si="10"/>
        <v>566.58598722009697</v>
      </c>
      <c r="CC55" s="59">
        <f t="shared" si="11"/>
        <v>859.91932055343023</v>
      </c>
      <c r="CD55" s="59">
        <f ca="1">AVERAGE(OFFSET($CC$3,0,0,'Données projet'!$E$12+1,1))-AVERAGE(OFFSET($H$3,0,0,'Données projet'!$E$12+1,1))</f>
        <v>387.15063677712425</v>
      </c>
      <c r="CE55" s="59">
        <f t="shared" si="40"/>
        <v>313.19155394370705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6.8394873699407137</v>
      </c>
      <c r="CL55" s="23">
        <f>EXP(-LN(2)/25)*CL54+(1-EXP(-LN(2)/25))/(LN(2)/25)*Calculateur!CG55*Calculateur!CI55*VLOOKUP('Données projet'!$B$12,Paramètres!$A$1:$I$88,3,0)*0.475*44/12</f>
        <v>0</v>
      </c>
      <c r="CM55" s="23">
        <f>EXP(-LN(2)/2)*CM54+(1-EXP(-LN(2)/2))/(LN(2)/2)*CG55*CJ55*VLOOKUP('Données projet'!$B$12,Paramètres!$A$1:$I$88,3,0)*0.475*44/12</f>
        <v>0</v>
      </c>
      <c r="CN55" s="24">
        <f t="shared" si="12"/>
        <v>6.8394873699407137</v>
      </c>
      <c r="CO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7.875</v>
      </c>
      <c r="CT55" s="13">
        <f>IF('Données projet'!$A$140&gt;35,CT54+CS55-DB54,IF(A55&lt;'Données projet'!$A$140,$CQ$205^A55,IF(A55='Données projet'!$A$140,'Données projet'!$B$140,CT54+CS55-DB54)))</f>
        <v>131.75</v>
      </c>
      <c r="CU55" s="18">
        <f>CT55*VLOOKUP('Données projet'!$B$13,Paramètres!$A$1:$I$88,3,0)*VLOOKUP('Données projet'!$B$13,Paramètres!$A$1:$I$88,5,0)</f>
        <v>127.4286</v>
      </c>
      <c r="CV55" s="14">
        <f t="shared" si="41"/>
        <v>33.401495190355625</v>
      </c>
      <c r="CW55" s="22">
        <f t="shared" si="13"/>
        <v>280.11241578986937</v>
      </c>
      <c r="CX55" s="59">
        <f t="shared" si="14"/>
        <v>573.44574912320263</v>
      </c>
      <c r="CY55" s="59">
        <f ca="1">AVERAGE(OFFSET($CX$3,0,0,'Données projet'!$E$13+1,1))-AVERAGE(OFFSET($H$3,0,0,'Données projet'!$E$13+1,1))</f>
        <v>306.00894145276209</v>
      </c>
      <c r="CZ55" s="59">
        <f t="shared" si="42"/>
        <v>168.74705421228828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5.3562915095375665</v>
      </c>
      <c r="DG55" s="23">
        <f>EXP(-LN(2)/25)*DG54+(1-EXP(-LN(2)/25))/(LN(2)/25)*Calculateur!DB55*Calculateur!DD55*VLOOKUP('Données projet'!$B$13,Paramètres!$A$1:$I$88,3,0)*0.475*44/12</f>
        <v>0</v>
      </c>
      <c r="DH55" s="23">
        <f>EXP(-LN(2)/2)*DH54+(1-EXP(-LN(2)/2))/(LN(2)/2)*DB55*DE55*VLOOKUP('Données projet'!$B$13,Paramètres!$A$1:$I$88,3,0)*0.475*44/12</f>
        <v>0</v>
      </c>
      <c r="DI55" s="24">
        <f t="shared" si="15"/>
        <v>5.3562915095375665</v>
      </c>
      <c r="DJ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9.7399999999999984</v>
      </c>
      <c r="DO55" s="13">
        <f>IF('Données projet'!$A$166&gt;35,DO54+DN55-DW54,IF(A55&lt;'Données projet'!$A$166,$DL$205^A55,IF(A55='Données projet'!$A$166,'Données projet'!$B$166,DO54+DN55-DW54)))</f>
        <v>390.78000000000003</v>
      </c>
      <c r="DP55" s="18">
        <f>DO55*VLOOKUP('Données projet'!$B$14,Paramètres!$A$1:$I$88,3,0)*VLOOKUP('Données projet'!$B$14,Paramètres!$A$1:$I$88,5,0)</f>
        <v>304.80840000000001</v>
      </c>
      <c r="DQ55" s="14">
        <f t="shared" si="43"/>
        <v>72.183554053972784</v>
      </c>
      <c r="DR55" s="22">
        <f t="shared" si="16"/>
        <v>656.59431997733589</v>
      </c>
      <c r="DS55" s="59">
        <f t="shared" si="17"/>
        <v>949.92765331066926</v>
      </c>
      <c r="DT55" s="59">
        <f ca="1">AVERAGE(OFFSET($DS$3,0,0,'Données projet'!$E$14+1,1))-AVERAGE(OFFSET($H$3,0,0,'Données projet'!$E$14+1,1))</f>
        <v>458.14328535055694</v>
      </c>
      <c r="DU55" s="59">
        <f t="shared" si="44"/>
        <v>366.75500153675739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projet'!$B$14,Paramètres!$A$1:$I$88,3,0)*0.475*44/12</f>
        <v>6.4523465754157678</v>
      </c>
      <c r="EB55" s="23">
        <f>EXP(-LN(2)/25)*EB54+(1-EXP(-LN(2)/25))/(LN(2)/25)*Calculateur!DW55*Calculateur!DY55*VLOOKUP('Données projet'!$B$14,Paramètres!$A$1:$I$88,3,0)*0.475*44/12</f>
        <v>0</v>
      </c>
      <c r="EC55" s="23">
        <f>EXP(-LN(2)/2)*EC54+(1-EXP(-LN(2)/2))/(LN(2)/2)*DW55*DZ55*VLOOKUP('Données projet'!$B$14,Paramètres!$A$1:$I$88,3,0)*0.475*44/12</f>
        <v>0</v>
      </c>
      <c r="ED55" s="24">
        <f t="shared" si="18"/>
        <v>6.4523465754157678</v>
      </c>
      <c r="EE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12.5</v>
      </c>
      <c r="EJ55" s="13">
        <f>IF('Données projet'!$A$192&gt;35,EJ54+EI55-ER54,IF(A55&lt;'Données projet'!$A$192,$EG$205^A55,IF(A55='Données projet'!$A$192,'Données projet'!$B$192,EJ54+EI55-ER54)))</f>
        <v>363.00000000000017</v>
      </c>
      <c r="EK55" s="18">
        <f>EJ55*VLOOKUP('Données projet'!$B$15,Paramètres!$A$1:$I$88,3,0)*VLOOKUP('Données projet'!$B$15,Paramètres!$A$1:$I$88,5,0)</f>
        <v>311.45400000000018</v>
      </c>
      <c r="EL55" s="14">
        <f t="shared" si="45"/>
        <v>73.572400496659498</v>
      </c>
      <c r="EM55" s="22">
        <f t="shared" si="19"/>
        <v>670.58764753168225</v>
      </c>
      <c r="EN55" s="59">
        <f t="shared" si="20"/>
        <v>963.92098086501551</v>
      </c>
      <c r="EO55" s="59">
        <f ca="1">AVERAGE(OFFSET($EN$3,0,0,'Données projet'!$E$15+1,1))-AVERAGE(OFFSET($H$3,0,0,'Données projet'!$E$15+1,1))</f>
        <v>462.99360395552145</v>
      </c>
      <c r="EP55" s="59">
        <f t="shared" si="46"/>
        <v>153.03880717786046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projet'!$B$15,Paramètres!$A$1:$I$88,3,0)*0.475*44/12</f>
        <v>4.8763453396784424</v>
      </c>
      <c r="EW55" s="23">
        <f>EXP(-LN(2)/25)*EW54+(1-EXP(-LN(2)/25))/(LN(2)/25)*Calculateur!ER55*Calculateur!ET55*VLOOKUP('Données projet'!$B$15,Paramètres!$A$1:$I$88,3,0)*0.475*44/12</f>
        <v>0</v>
      </c>
      <c r="EX55" s="23">
        <f>EXP(-LN(2)/2)*EX54+(1-EXP(-LN(2)/2))/(LN(2)/2)*ER55*EU55*VLOOKUP('Données projet'!$B$15,Paramètres!$A$1:$I$88,3,0)*0.475*44/12</f>
        <v>0</v>
      </c>
      <c r="EY55" s="24">
        <f t="shared" si="21"/>
        <v>4.8763453396784424</v>
      </c>
      <c r="EZ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7.8399999999999981</v>
      </c>
      <c r="FE55" s="13">
        <f>IF('Données projet'!$A$218&gt;35,FE54+FD55-FM54,IF(A55&lt;'Données projet'!$A$218,$FB$205^A55,IF(A55='Données projet'!$A$218,'Données projet'!$B$218,FE54+FD55-FM54)))</f>
        <v>308.48</v>
      </c>
      <c r="FF55" s="18">
        <f>FE55*VLOOKUP('Données projet'!$B$16,Paramètres!$A$1:$I$88,3,0)*VLOOKUP('Données projet'!$B$16,Paramètres!$A$1:$I$88,5,0)</f>
        <v>269.48812800000002</v>
      </c>
      <c r="FG55" s="14">
        <f t="shared" si="47"/>
        <v>64.74062513606124</v>
      </c>
      <c r="FH55" s="22">
        <f t="shared" si="22"/>
        <v>582.11507837863996</v>
      </c>
      <c r="FI55" s="59">
        <f t="shared" si="23"/>
        <v>875.44841171197322</v>
      </c>
      <c r="FJ55" s="59">
        <f ca="1">AVERAGE(OFFSET($FI$3,0,0,'Données projet'!$E$16+1,1))-AVERAGE(OFFSET($H$3,0,0,'Données projet'!$E$16+1,1))</f>
        <v>427.76895185088944</v>
      </c>
      <c r="FK55" s="59">
        <f t="shared" si="48"/>
        <v>308.32543361559135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projet'!$B$16,Paramètres!$A$1:$I$88,3,0)*0.475*44/12</f>
        <v>6.5892589712032006</v>
      </c>
      <c r="FR55" s="23">
        <f>EXP(-LN(2)/25)*FR54+(1-EXP(-LN(2)/25))/(LN(2)/25)*Calculateur!FM55*Calculateur!FO55*VLOOKUP('Données projet'!$B$16,Paramètres!$A$1:$I$88,3,0)*0.475*44/12</f>
        <v>0</v>
      </c>
      <c r="FS55" s="23">
        <f>EXP(-LN(2)/2)*FS54+(1-EXP(-LN(2)/2))/(LN(2)/2)*FM55*FP55*VLOOKUP('Données projet'!$B$16,Paramètres!$A$1:$I$88,3,0)*0.475*44/12</f>
        <v>0</v>
      </c>
      <c r="FT55" s="24">
        <f t="shared" si="24"/>
        <v>6.5892589712032006</v>
      </c>
      <c r="FU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7.6</v>
      </c>
      <c r="FZ55" s="13">
        <f>IF('Données projet'!$A$244&gt;35,FZ54+FY55-GH54,IF(A55&lt;'Données projet'!$A$244,$FW$205^A55,IF(A55='Données projet'!$A$244,'Données projet'!$B$244,FZ54+FY55-GH54)))</f>
        <v>304.20000000000016</v>
      </c>
      <c r="GA55" s="18">
        <f>FZ55*VLOOKUP('Données projet'!$B$17,Paramètres!$A$1:$I$88,3,0)*VLOOKUP('Données projet'!$B$17,Paramètres!$A$1:$I$88,5,0)</f>
        <v>189.82080000000011</v>
      </c>
      <c r="GB55" s="14">
        <f t="shared" si="49"/>
        <v>47.500332100049839</v>
      </c>
      <c r="GC55" s="22">
        <f t="shared" si="25"/>
        <v>413.33430507425356</v>
      </c>
      <c r="GD55" s="59">
        <f t="shared" si="26"/>
        <v>706.66763840758688</v>
      </c>
      <c r="GE55" s="59">
        <f ca="1">AVERAGE(OFFSET($GD$3,0,0,'Données projet'!$E$17+1,1))-AVERAGE(OFFSET($H$3,0,0,'Données projet'!$E$17+1,1))</f>
        <v>247.85542034088905</v>
      </c>
      <c r="GF55" s="59">
        <f t="shared" si="50"/>
        <v>299.52241743660352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projet'!$B$17,Paramètres!$A$1:$I$88,3,0)*0.475*44/12</f>
        <v>15.51180082085742</v>
      </c>
      <c r="GM55" s="23">
        <f>EXP(-LN(2)/25)*GM54+(1-EXP(-LN(2)/25))/(LN(2)/25)*Calculateur!GH55*Calculateur!GJ55*VLOOKUP('Données projet'!$B$17,Paramètres!$A$1:$I$88,3,0)*0.475*44/12</f>
        <v>38.273880802741218</v>
      </c>
      <c r="GN55" s="23">
        <f>EXP(-LN(2)/2)*GN54+(1-EXP(-LN(2)/2))/(LN(2)/2)*GH55*GK55*VLOOKUP('Données projet'!$B$17,Paramètres!$A$1:$I$88,3,0)*0.475*44/12</f>
        <v>3.0849446652514509</v>
      </c>
      <c r="GO55" s="23">
        <f t="shared" si="27"/>
        <v>56.870626288850083</v>
      </c>
      <c r="GP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3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6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7.875</v>
      </c>
      <c r="N56" s="14">
        <f>IF('Données projet'!$A$36&gt;35,N55+M56-V55,IF(A56&lt;'Données projet'!$A$36,$K$205^A56,IF(A56='Données projet'!$A$36,'Données projet'!$B$36,N55+M56-V55)))</f>
        <v>139.625</v>
      </c>
      <c r="O56" s="14">
        <f>N56*VLOOKUP('Données projet'!$B$9,Paramètres!$A$1:$I$88,3,0)*VLOOKUP('Données projet'!$B$9,Paramètres!$A$1:$I$88,5,0)</f>
        <v>126.33269999999999</v>
      </c>
      <c r="P56" s="14">
        <f t="shared" si="33"/>
        <v>33.147547860677506</v>
      </c>
      <c r="Q56" s="22">
        <f t="shared" si="53"/>
        <v>277.7614316906799</v>
      </c>
      <c r="R56" s="59">
        <f t="shared" si="0"/>
        <v>571.09476502401321</v>
      </c>
      <c r="S56" s="59">
        <f ca="1">AVERAGE(OFFSET($R$3,0,0,'Données projet'!$E$9+1,1))-AVERAGE(OFFSET($H$3,0,0,'Données projet'!$E$9+1,1))</f>
        <v>247.57967230773539</v>
      </c>
      <c r="T56" s="59">
        <f t="shared" si="34"/>
        <v>156.58857589533295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4.9124670677894242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4.9124670677894242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9.7399999999999984</v>
      </c>
      <c r="AI56" s="14">
        <f>IF('Données projet'!$A$62&gt;35,AI55+AH56-AQ55,IF(A56&lt;'Données projet'!$A$62,$AF$205^A56,IF(A56='Données projet'!$A$62,'Données projet'!$B$62,AI55+AH56-AQ55)))</f>
        <v>400.52000000000004</v>
      </c>
      <c r="AJ56" s="14">
        <f>AI56*VLOOKUP('Données projet'!$B$10,Paramètres!$A$1:$I$88,3,0)*VLOOKUP('Données projet'!$B$10,Paramètres!$A$1:$I$88,5,0)</f>
        <v>318.65371200000004</v>
      </c>
      <c r="AK56" s="14">
        <f t="shared" si="35"/>
        <v>75.073163565020565</v>
      </c>
      <c r="AL56" s="22">
        <f t="shared" si="4"/>
        <v>685.74097494241084</v>
      </c>
      <c r="AM56" s="59">
        <f t="shared" si="5"/>
        <v>979.07430827574422</v>
      </c>
      <c r="AN56" s="59">
        <f ca="1">AVERAGE(OFFSET($AM$3,0,0,'Données projet'!$E$10+1,1))-AVERAGE(OFFSET($H$3,0,0,'Données projet'!$E$10+1,1))</f>
        <v>504.15006129790828</v>
      </c>
      <c r="AO56" s="59">
        <f t="shared" si="36"/>
        <v>374.39334457402742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7.9528797420667274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7.9528797420667274</v>
      </c>
      <c r="AY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9.7399999999999984</v>
      </c>
      <c r="BD56" s="13">
        <f>IF('Données projet'!$A$88&gt;35,BD55+BC56-BL55,IF(A56&lt;'Données projet'!$A$88,$BA$205^A56,IF(A56='Données projet'!$A$88,'Données projet'!$B$88,BD55+BC56-BL55)))</f>
        <v>400.52000000000004</v>
      </c>
      <c r="BE56" s="14">
        <f>BD56*VLOOKUP('Données projet'!$B$11,Paramètres!$A$1:$I$88,3,0)*VLOOKUP('Données projet'!$B$11,Paramètres!$A$1:$I$88,5,0)</f>
        <v>318.65371200000004</v>
      </c>
      <c r="BF56" s="14">
        <f t="shared" si="37"/>
        <v>75.073163565020565</v>
      </c>
      <c r="BG56" s="22">
        <f t="shared" si="7"/>
        <v>685.74097494241084</v>
      </c>
      <c r="BH56" s="59">
        <f t="shared" si="8"/>
        <v>979.07430827574422</v>
      </c>
      <c r="BI56" s="59">
        <f ca="1">AVERAGE(OFFSET($BH$3,0,0,'Données projet'!$E$11+1,1))-AVERAGE(OFFSET($H$3,0,0,'Données projet'!$E$11+1,1))</f>
        <v>504.15006129790828</v>
      </c>
      <c r="BJ56" s="59">
        <f t="shared" si="38"/>
        <v>374.39334457402742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7.9528797420667274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7.9528797420667274</v>
      </c>
      <c r="BT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9.7399999999999984</v>
      </c>
      <c r="BY56" s="13">
        <f>IF('Données projet'!$A$114&gt;35,BY55+BX56-CG55,IF(A56&lt;'Données projet'!$A$114,$BV$205^A56,IF(A56='Données projet'!$A$114,'Données projet'!$B$114,BY55+BX56-CG55)))</f>
        <v>400.52000000000004</v>
      </c>
      <c r="BZ56" s="14">
        <f>BY56*VLOOKUP('Données projet'!$B$12,Paramètres!$A$1:$I$88,3,0)*VLOOKUP('Données projet'!$B$12,Paramètres!$A$1:$I$88,5,0)</f>
        <v>268.66881599999999</v>
      </c>
      <c r="CA56" s="14">
        <f t="shared" si="39"/>
        <v>64.566677232266443</v>
      </c>
      <c r="CB56" s="22">
        <f t="shared" si="10"/>
        <v>580.38515071286406</v>
      </c>
      <c r="CC56" s="59">
        <f t="shared" si="11"/>
        <v>873.71848404619732</v>
      </c>
      <c r="CD56" s="59">
        <f ca="1">AVERAGE(OFFSET($CC$3,0,0,'Données projet'!$E$12+1,1))-AVERAGE(OFFSET($H$3,0,0,'Données projet'!$E$12+1,1))</f>
        <v>387.15063677712425</v>
      </c>
      <c r="CE56" s="59">
        <f t="shared" si="40"/>
        <v>313.19155394370705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6.7053691942915536</v>
      </c>
      <c r="CL56" s="23">
        <f>EXP(-LN(2)/25)*CL55+(1-EXP(-LN(2)/25))/(LN(2)/25)*Calculateur!CG56*Calculateur!CI56*VLOOKUP('Données projet'!$B$12,Paramètres!$A$1:$I$88,3,0)*0.475*44/12</f>
        <v>0</v>
      </c>
      <c r="CM56" s="23">
        <f>EXP(-LN(2)/2)*CM55+(1-EXP(-LN(2)/2))/(LN(2)/2)*CG56*CJ56*VLOOKUP('Données projet'!$B$12,Paramètres!$A$1:$I$88,3,0)*0.475*44/12</f>
        <v>0</v>
      </c>
      <c r="CN56" s="24">
        <f t="shared" si="12"/>
        <v>6.7053691942915536</v>
      </c>
      <c r="CO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7.875</v>
      </c>
      <c r="CT56" s="13">
        <f>IF('Données projet'!$A$140&gt;35,CT55+CS56-DB55,IF(A56&lt;'Données projet'!$A$140,$CQ$205^A56,IF(A56='Données projet'!$A$140,'Données projet'!$B$140,CT55+CS56-DB55)))</f>
        <v>139.625</v>
      </c>
      <c r="CU56" s="18">
        <f>CT56*VLOOKUP('Données projet'!$B$13,Paramètres!$A$1:$I$88,3,0)*VLOOKUP('Données projet'!$B$13,Paramètres!$A$1:$I$88,5,0)</f>
        <v>135.0453</v>
      </c>
      <c r="CV56" s="14">
        <f t="shared" si="41"/>
        <v>35.159584009228986</v>
      </c>
      <c r="CW56" s="22">
        <f t="shared" si="13"/>
        <v>296.44017298274048</v>
      </c>
      <c r="CX56" s="59">
        <f t="shared" si="14"/>
        <v>589.77350631607374</v>
      </c>
      <c r="CY56" s="59">
        <f ca="1">AVERAGE(OFFSET($CX$3,0,0,'Données projet'!$E$13+1,1))-AVERAGE(OFFSET($H$3,0,0,'Données projet'!$E$13+1,1))</f>
        <v>306.00894145276209</v>
      </c>
      <c r="CZ56" s="59">
        <f t="shared" si="42"/>
        <v>168.74705421228828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5.2512579000507644</v>
      </c>
      <c r="DG56" s="23">
        <f>EXP(-LN(2)/25)*DG55+(1-EXP(-LN(2)/25))/(LN(2)/25)*Calculateur!DB56*Calculateur!DD56*VLOOKUP('Données projet'!$B$13,Paramètres!$A$1:$I$88,3,0)*0.475*44/12</f>
        <v>0</v>
      </c>
      <c r="DH56" s="23">
        <f>EXP(-LN(2)/2)*DH55+(1-EXP(-LN(2)/2))/(LN(2)/2)*DB56*DE56*VLOOKUP('Données projet'!$B$13,Paramètres!$A$1:$I$88,3,0)*0.475*44/12</f>
        <v>0</v>
      </c>
      <c r="DI56" s="24">
        <f t="shared" si="15"/>
        <v>5.2512579000507644</v>
      </c>
      <c r="DJ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9.7399999999999984</v>
      </c>
      <c r="DO56" s="13">
        <f>IF('Données projet'!$A$166&gt;35,DO55+DN56-DW55,IF(A56&lt;'Données projet'!$A$166,$DL$205^A56,IF(A56='Données projet'!$A$166,'Données projet'!$B$166,DO55+DN56-DW55)))</f>
        <v>400.52000000000004</v>
      </c>
      <c r="DP56" s="18">
        <f>DO56*VLOOKUP('Données projet'!$B$14,Paramètres!$A$1:$I$88,3,0)*VLOOKUP('Données projet'!$B$14,Paramètres!$A$1:$I$88,5,0)</f>
        <v>312.40560000000005</v>
      </c>
      <c r="DQ56" s="14">
        <f t="shared" si="43"/>
        <v>73.77098895667821</v>
      </c>
      <c r="DR56" s="22">
        <f t="shared" si="16"/>
        <v>672.59089243288122</v>
      </c>
      <c r="DS56" s="59">
        <f t="shared" si="17"/>
        <v>965.92422576621448</v>
      </c>
      <c r="DT56" s="59">
        <f ca="1">AVERAGE(OFFSET($DS$3,0,0,'Données projet'!$E$14+1,1))-AVERAGE(OFFSET($H$3,0,0,'Données projet'!$E$14+1,1))</f>
        <v>458.14328535055694</v>
      </c>
      <c r="DU56" s="59">
        <f t="shared" si="44"/>
        <v>366.75500153675739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projet'!$B$14,Paramètres!$A$1:$I$88,3,0)*0.475*44/12</f>
        <v>6.3258199946146734</v>
      </c>
      <c r="EB56" s="23">
        <f>EXP(-LN(2)/25)*EB55+(1-EXP(-LN(2)/25))/(LN(2)/25)*Calculateur!DW56*Calculateur!DY56*VLOOKUP('Données projet'!$B$14,Paramètres!$A$1:$I$88,3,0)*0.475*44/12</f>
        <v>0</v>
      </c>
      <c r="EC56" s="23">
        <f>EXP(-LN(2)/2)*EC55+(1-EXP(-LN(2)/2))/(LN(2)/2)*DW56*DZ56*VLOOKUP('Données projet'!$B$14,Paramètres!$A$1:$I$88,3,0)*0.475*44/12</f>
        <v>0</v>
      </c>
      <c r="ED56" s="24">
        <f t="shared" si="18"/>
        <v>6.3258199946146734</v>
      </c>
      <c r="EE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12.5</v>
      </c>
      <c r="EJ56" s="13">
        <f>IF('Données projet'!$A$192&gt;35,EJ55+EI56-ER55,IF(A56&lt;'Données projet'!$A$192,$EG$205^A56,IF(A56='Données projet'!$A$192,'Données projet'!$B$192,EJ55+EI56-ER55)))</f>
        <v>375.50000000000017</v>
      </c>
      <c r="EK56" s="18">
        <f>EJ56*VLOOKUP('Données projet'!$B$15,Paramètres!$A$1:$I$88,3,0)*VLOOKUP('Données projet'!$B$15,Paramètres!$A$1:$I$88,5,0)</f>
        <v>322.1790000000002</v>
      </c>
      <c r="EL56" s="14">
        <f t="shared" si="45"/>
        <v>75.80655776489661</v>
      </c>
      <c r="EM56" s="22">
        <f t="shared" si="19"/>
        <v>693.15817977386189</v>
      </c>
      <c r="EN56" s="59">
        <f t="shared" si="20"/>
        <v>986.49151310719526</v>
      </c>
      <c r="EO56" s="59">
        <f ca="1">AVERAGE(OFFSET($EN$3,0,0,'Données projet'!$E$15+1,1))-AVERAGE(OFFSET($H$3,0,0,'Données projet'!$E$15+1,1))</f>
        <v>462.99360395552145</v>
      </c>
      <c r="EP56" s="59">
        <f t="shared" si="46"/>
        <v>153.03880717786046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projet'!$B$15,Paramètres!$A$1:$I$88,3,0)*0.475*44/12</f>
        <v>4.7807231818443201</v>
      </c>
      <c r="EW56" s="23">
        <f>EXP(-LN(2)/25)*EW55+(1-EXP(-LN(2)/25))/(LN(2)/25)*Calculateur!ER56*Calculateur!ET56*VLOOKUP('Données projet'!$B$15,Paramètres!$A$1:$I$88,3,0)*0.475*44/12</f>
        <v>0</v>
      </c>
      <c r="EX56" s="23">
        <f>EXP(-LN(2)/2)*EX55+(1-EXP(-LN(2)/2))/(LN(2)/2)*ER56*EU56*VLOOKUP('Données projet'!$B$15,Paramètres!$A$1:$I$88,3,0)*0.475*44/12</f>
        <v>0</v>
      </c>
      <c r="EY56" s="24">
        <f t="shared" si="21"/>
        <v>4.7807231818443201</v>
      </c>
      <c r="EZ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7.8399999999999981</v>
      </c>
      <c r="FE56" s="13">
        <f>IF('Données projet'!$A$218&gt;35,FE55+FD56-FM55,IF(A56&lt;'Données projet'!$A$218,$FB$205^A56,IF(A56='Données projet'!$A$218,'Données projet'!$B$218,FE55+FD56-FM55)))</f>
        <v>316.32</v>
      </c>
      <c r="FF56" s="18">
        <f>FE56*VLOOKUP('Données projet'!$B$16,Paramètres!$A$1:$I$88,3,0)*VLOOKUP('Données projet'!$B$16,Paramètres!$A$1:$I$88,5,0)</f>
        <v>276.33715200000006</v>
      </c>
      <c r="FG56" s="14">
        <f t="shared" si="47"/>
        <v>66.192351581569213</v>
      </c>
      <c r="FH56" s="22">
        <f t="shared" si="22"/>
        <v>596.57221873789979</v>
      </c>
      <c r="FI56" s="59">
        <f t="shared" si="23"/>
        <v>889.90555207123316</v>
      </c>
      <c r="FJ56" s="59">
        <f ca="1">AVERAGE(OFFSET($FI$3,0,0,'Données projet'!$E$16+1,1))-AVERAGE(OFFSET($H$3,0,0,'Données projet'!$E$16+1,1))</f>
        <v>427.76895185088944</v>
      </c>
      <c r="FK56" s="59">
        <f t="shared" si="48"/>
        <v>308.32543361559135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projet'!$B$16,Paramètres!$A$1:$I$88,3,0)*0.475*44/12</f>
        <v>6.4600476218290304</v>
      </c>
      <c r="FR56" s="23">
        <f>EXP(-LN(2)/25)*FR55+(1-EXP(-LN(2)/25))/(LN(2)/25)*Calculateur!FM56*Calculateur!FO56*VLOOKUP('Données projet'!$B$16,Paramètres!$A$1:$I$88,3,0)*0.475*44/12</f>
        <v>0</v>
      </c>
      <c r="FS56" s="23">
        <f>EXP(-LN(2)/2)*FS55+(1-EXP(-LN(2)/2))/(LN(2)/2)*FM56*FP56*VLOOKUP('Données projet'!$B$16,Paramètres!$A$1:$I$88,3,0)*0.475*44/12</f>
        <v>0</v>
      </c>
      <c r="FT56" s="24">
        <f t="shared" si="24"/>
        <v>6.4600476218290304</v>
      </c>
      <c r="FU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7.6</v>
      </c>
      <c r="FZ56" s="13">
        <f>IF('Données projet'!$A$244&gt;35,FZ55+FY56-GH55,IF(A56&lt;'Données projet'!$A$244,$FW$205^A56,IF(A56='Données projet'!$A$244,'Données projet'!$B$244,FZ55+FY56-GH55)))</f>
        <v>311.80000000000018</v>
      </c>
      <c r="GA56" s="18">
        <f>FZ56*VLOOKUP('Données projet'!$B$17,Paramètres!$A$1:$I$88,3,0)*VLOOKUP('Données projet'!$B$17,Paramètres!$A$1:$I$88,5,0)</f>
        <v>194.56320000000011</v>
      </c>
      <c r="GB56" s="14">
        <f t="shared" si="49"/>
        <v>48.547413864657685</v>
      </c>
      <c r="GC56" s="22">
        <f t="shared" si="25"/>
        <v>423.41765248094566</v>
      </c>
      <c r="GD56" s="59">
        <f t="shared" si="26"/>
        <v>716.75098581427892</v>
      </c>
      <c r="GE56" s="59">
        <f ca="1">AVERAGE(OFFSET($GD$3,0,0,'Données projet'!$E$17+1,1))-AVERAGE(OFFSET($H$3,0,0,'Données projet'!$E$17+1,1))</f>
        <v>247.85542034088905</v>
      </c>
      <c r="GF56" s="59">
        <f t="shared" si="50"/>
        <v>299.52241743660352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projet'!$B$17,Paramètres!$A$1:$I$88,3,0)*0.475*44/12</f>
        <v>15.207623868024685</v>
      </c>
      <c r="GM56" s="23">
        <f>EXP(-LN(2)/25)*GM55+(1-EXP(-LN(2)/25))/(LN(2)/25)*Calculateur!GH56*Calculateur!GJ56*VLOOKUP('Données projet'!$B$17,Paramètres!$A$1:$I$88,3,0)*0.475*44/12</f>
        <v>37.227279519454342</v>
      </c>
      <c r="GN56" s="23">
        <f>EXP(-LN(2)/2)*GN55+(1-EXP(-LN(2)/2))/(LN(2)/2)*GH56*GK56*VLOOKUP('Données projet'!$B$17,Paramètres!$A$1:$I$88,3,0)*0.475*44/12</f>
        <v>2.1813852923845651</v>
      </c>
      <c r="GO56" s="23">
        <f t="shared" si="27"/>
        <v>54.616288679863587</v>
      </c>
      <c r="GP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3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6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7.875</v>
      </c>
      <c r="N57" s="14">
        <f>IF('Données projet'!$A$36&gt;35,N56+M57-V56,IF(A57&lt;'Données projet'!$A$36,$K$205^A57,IF(A57='Données projet'!$A$36,'Données projet'!$B$36,N56+M57-V56)))</f>
        <v>147.5</v>
      </c>
      <c r="O57" s="14">
        <f>N57*VLOOKUP('Données projet'!$B$9,Paramètres!$A$1:$I$88,3,0)*VLOOKUP('Données projet'!$B$9,Paramètres!$A$1:$I$88,5,0)</f>
        <v>133.458</v>
      </c>
      <c r="P57" s="14">
        <f t="shared" si="33"/>
        <v>34.794176665003405</v>
      </c>
      <c r="Q57" s="22">
        <f t="shared" si="53"/>
        <v>293.03920769154757</v>
      </c>
      <c r="R57" s="59">
        <f t="shared" si="0"/>
        <v>586.37254102488089</v>
      </c>
      <c r="S57" s="59">
        <f ca="1">AVERAGE(OFFSET($R$3,0,0,'Données projet'!$E$9+1,1))-AVERAGE(OFFSET($H$3,0,0,'Données projet'!$E$9+1,1))</f>
        <v>247.57967230773539</v>
      </c>
      <c r="T57" s="59">
        <f t="shared" si="34"/>
        <v>156.58857589533295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4.816136584899124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4.816136584899124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9.7399999999999984</v>
      </c>
      <c r="AI57" s="14">
        <f>IF('Données projet'!$A$62&gt;35,AI56+AH57-AQ56,IF(A57&lt;'Données projet'!$A$62,$AF$205^A57,IF(A57='Données projet'!$A$62,'Données projet'!$B$62,AI56+AH57-AQ56)))</f>
        <v>410.26000000000005</v>
      </c>
      <c r="AJ57" s="14">
        <f>AI57*VLOOKUP('Données projet'!$B$10,Paramètres!$A$1:$I$88,3,0)*VLOOKUP('Données projet'!$B$10,Paramètres!$A$1:$I$88,5,0)</f>
        <v>326.40285600000004</v>
      </c>
      <c r="AK57" s="14">
        <f t="shared" si="35"/>
        <v>76.684052388276328</v>
      </c>
      <c r="AL57" s="22">
        <f t="shared" si="4"/>
        <v>702.0430321095813</v>
      </c>
      <c r="AM57" s="59">
        <f t="shared" si="5"/>
        <v>995.37636544291468</v>
      </c>
      <c r="AN57" s="59">
        <f ca="1">AVERAGE(OFFSET($AM$3,0,0,'Données projet'!$E$10+1,1))-AVERAGE(OFFSET($H$3,0,0,'Données projet'!$E$10+1,1))</f>
        <v>504.15006129790828</v>
      </c>
      <c r="AO57" s="59">
        <f t="shared" si="36"/>
        <v>374.39334457402742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7.7969286211024666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7.7969286211024666</v>
      </c>
      <c r="AY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9.7399999999999984</v>
      </c>
      <c r="BD57" s="13">
        <f>IF('Données projet'!$A$88&gt;35,BD56+BC57-BL56,IF(A57&lt;'Données projet'!$A$88,$BA$205^A57,IF(A57='Données projet'!$A$88,'Données projet'!$B$88,BD56+BC57-BL56)))</f>
        <v>410.26000000000005</v>
      </c>
      <c r="BE57" s="14">
        <f>BD57*VLOOKUP('Données projet'!$B$11,Paramètres!$A$1:$I$88,3,0)*VLOOKUP('Données projet'!$B$11,Paramètres!$A$1:$I$88,5,0)</f>
        <v>326.40285600000004</v>
      </c>
      <c r="BF57" s="14">
        <f t="shared" si="37"/>
        <v>76.684052388276328</v>
      </c>
      <c r="BG57" s="22">
        <f t="shared" si="7"/>
        <v>702.0430321095813</v>
      </c>
      <c r="BH57" s="59">
        <f t="shared" si="8"/>
        <v>995.37636544291468</v>
      </c>
      <c r="BI57" s="59">
        <f ca="1">AVERAGE(OFFSET($BH$3,0,0,'Données projet'!$E$11+1,1))-AVERAGE(OFFSET($H$3,0,0,'Données projet'!$E$11+1,1))</f>
        <v>504.15006129790828</v>
      </c>
      <c r="BJ57" s="59">
        <f t="shared" si="38"/>
        <v>374.39334457402742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7.7969286211024666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7.7969286211024666</v>
      </c>
      <c r="BT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9.7399999999999984</v>
      </c>
      <c r="BY57" s="13">
        <f>IF('Données projet'!$A$114&gt;35,BY56+BX57-CG56,IF(A57&lt;'Données projet'!$A$114,$BV$205^A57,IF(A57='Données projet'!$A$114,'Données projet'!$B$114,BY56+BX57-CG56)))</f>
        <v>410.26000000000005</v>
      </c>
      <c r="BZ57" s="14">
        <f>BY57*VLOOKUP('Données projet'!$B$12,Paramètres!$A$1:$I$88,3,0)*VLOOKUP('Données projet'!$B$12,Paramètres!$A$1:$I$88,5,0)</f>
        <v>275.20240800000005</v>
      </c>
      <c r="CA57" s="14">
        <f t="shared" si="39"/>
        <v>65.952122227109939</v>
      </c>
      <c r="CB57" s="22">
        <f t="shared" si="10"/>
        <v>594.17747347888326</v>
      </c>
      <c r="CC57" s="59">
        <f t="shared" si="11"/>
        <v>887.51080681221652</v>
      </c>
      <c r="CD57" s="59">
        <f ca="1">AVERAGE(OFFSET($CC$3,0,0,'Données projet'!$E$12+1,1))-AVERAGE(OFFSET($H$3,0,0,'Données projet'!$E$12+1,1))</f>
        <v>387.15063677712425</v>
      </c>
      <c r="CE57" s="59">
        <f t="shared" si="40"/>
        <v>313.19155394370705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6.573880994262864</v>
      </c>
      <c r="CL57" s="23">
        <f>EXP(-LN(2)/25)*CL56+(1-EXP(-LN(2)/25))/(LN(2)/25)*Calculateur!CG57*Calculateur!CI57*VLOOKUP('Données projet'!$B$12,Paramètres!$A$1:$I$88,3,0)*0.475*44/12</f>
        <v>0</v>
      </c>
      <c r="CM57" s="23">
        <f>EXP(-LN(2)/2)*CM56+(1-EXP(-LN(2)/2))/(LN(2)/2)*CG57*CJ57*VLOOKUP('Données projet'!$B$12,Paramètres!$A$1:$I$88,3,0)*0.475*44/12</f>
        <v>0</v>
      </c>
      <c r="CN57" s="24">
        <f t="shared" si="12"/>
        <v>6.573880994262864</v>
      </c>
      <c r="CO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7.875</v>
      </c>
      <c r="CT57" s="13">
        <f>IF('Données projet'!$A$140&gt;35,CT56+CS57-DB56,IF(A57&lt;'Données projet'!$A$140,$CQ$205^A57,IF(A57='Données projet'!$A$140,'Données projet'!$B$140,CT56+CS57-DB56)))</f>
        <v>147.5</v>
      </c>
      <c r="CU57" s="18">
        <f>CT57*VLOOKUP('Données projet'!$B$13,Paramètres!$A$1:$I$88,3,0)*VLOOKUP('Données projet'!$B$13,Paramètres!$A$1:$I$88,5,0)</f>
        <v>142.66200000000001</v>
      </c>
      <c r="CV57" s="14">
        <f t="shared" si="41"/>
        <v>36.906162188135291</v>
      </c>
      <c r="CW57" s="22">
        <f t="shared" si="13"/>
        <v>312.74788247766895</v>
      </c>
      <c r="CX57" s="59">
        <f t="shared" si="14"/>
        <v>606.08121581100227</v>
      </c>
      <c r="CY57" s="59">
        <f ca="1">AVERAGE(OFFSET($CX$3,0,0,'Données projet'!$E$13+1,1))-AVERAGE(OFFSET($H$3,0,0,'Données projet'!$E$13+1,1))</f>
        <v>306.00894145276209</v>
      </c>
      <c r="CZ57" s="59">
        <f t="shared" si="42"/>
        <v>168.74705421228828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projet'!$B$13,Paramètres!$A$1:$I$88,3,0)*0.475*44/12</f>
        <v>5.1482839355818228</v>
      </c>
      <c r="DG57" s="23">
        <f>EXP(-LN(2)/25)*DG56+(1-EXP(-LN(2)/25))/(LN(2)/25)*Calculateur!DB57*Calculateur!DD57*VLOOKUP('Données projet'!$B$13,Paramètres!$A$1:$I$88,3,0)*0.475*44/12</f>
        <v>0</v>
      </c>
      <c r="DH57" s="23">
        <f>EXP(-LN(2)/2)*DH56+(1-EXP(-LN(2)/2))/(LN(2)/2)*DB57*DE57*VLOOKUP('Données projet'!$B$13,Paramètres!$A$1:$I$88,3,0)*0.475*44/12</f>
        <v>0</v>
      </c>
      <c r="DI57" s="24">
        <f t="shared" si="15"/>
        <v>5.1482839355818228</v>
      </c>
      <c r="DJ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9.7399999999999984</v>
      </c>
      <c r="DO57" s="13">
        <f>IF('Données projet'!$A$166&gt;35,DO56+DN57-DW56,IF(A57&lt;'Données projet'!$A$166,$DL$205^A57,IF(A57='Données projet'!$A$166,'Données projet'!$B$166,DO56+DN57-DW56)))</f>
        <v>410.26000000000005</v>
      </c>
      <c r="DP57" s="18">
        <f>DO57*VLOOKUP('Données projet'!$B$14,Paramètres!$A$1:$I$88,3,0)*VLOOKUP('Données projet'!$B$14,Paramètres!$A$1:$I$88,5,0)</f>
        <v>320.00280000000004</v>
      </c>
      <c r="DQ57" s="14">
        <f t="shared" si="43"/>
        <v>75.353936256986316</v>
      </c>
      <c r="DR57" s="22">
        <f t="shared" si="16"/>
        <v>688.5796489809178</v>
      </c>
      <c r="DS57" s="59">
        <f t="shared" si="17"/>
        <v>981.91298231425117</v>
      </c>
      <c r="DT57" s="59">
        <f ca="1">AVERAGE(OFFSET($DS$3,0,0,'Données projet'!$E$14+1,1))-AVERAGE(OFFSET($H$3,0,0,'Données projet'!$E$14+1,1))</f>
        <v>458.14328535055694</v>
      </c>
      <c r="DU57" s="59">
        <f t="shared" si="44"/>
        <v>366.75500153675739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projet'!$B$14,Paramètres!$A$1:$I$88,3,0)*0.475*44/12</f>
        <v>6.2017745228894938</v>
      </c>
      <c r="EB57" s="23">
        <f>EXP(-LN(2)/25)*EB56+(1-EXP(-LN(2)/25))/(LN(2)/25)*Calculateur!DW57*Calculateur!DY57*VLOOKUP('Données projet'!$B$14,Paramètres!$A$1:$I$88,3,0)*0.475*44/12</f>
        <v>0</v>
      </c>
      <c r="EC57" s="23">
        <f>EXP(-LN(2)/2)*EC56+(1-EXP(-LN(2)/2))/(LN(2)/2)*DW57*DZ57*VLOOKUP('Données projet'!$B$14,Paramètres!$A$1:$I$88,3,0)*0.475*44/12</f>
        <v>0</v>
      </c>
      <c r="ED57" s="24">
        <f t="shared" si="18"/>
        <v>6.2017745228894938</v>
      </c>
      <c r="EE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12.5</v>
      </c>
      <c r="EJ57" s="13">
        <f>IF('Données projet'!$A$192&gt;35,EJ56+EI57-ER56,IF(A57&lt;'Données projet'!$A$192,$EG$205^A57,IF(A57='Données projet'!$A$192,'Données projet'!$B$192,EJ56+EI57-ER56)))</f>
        <v>388.00000000000017</v>
      </c>
      <c r="EK57" s="18">
        <f>EJ57*VLOOKUP('Données projet'!$B$15,Paramètres!$A$1:$I$88,3,0)*VLOOKUP('Données projet'!$B$15,Paramètres!$A$1:$I$88,5,0)</f>
        <v>332.90400000000022</v>
      </c>
      <c r="EL57" s="14">
        <f t="shared" si="45"/>
        <v>78.032073109961033</v>
      </c>
      <c r="EM57" s="22">
        <f t="shared" si="19"/>
        <v>715.71366066651581</v>
      </c>
      <c r="EN57" s="59">
        <f t="shared" si="20"/>
        <v>1009.0469939998491</v>
      </c>
      <c r="EO57" s="59">
        <f ca="1">AVERAGE(OFFSET($EN$3,0,0,'Données projet'!$E$15+1,1))-AVERAGE(OFFSET($H$3,0,0,'Données projet'!$E$15+1,1))</f>
        <v>462.99360395552145</v>
      </c>
      <c r="EP57" s="59">
        <f t="shared" si="46"/>
        <v>153.03880717786046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projet'!$B$15,Paramètres!$A$1:$I$88,3,0)*0.475*44/12</f>
        <v>4.6869761162015671</v>
      </c>
      <c r="EW57" s="23">
        <f>EXP(-LN(2)/25)*EW56+(1-EXP(-LN(2)/25))/(LN(2)/25)*Calculateur!ER57*Calculateur!ET57*VLOOKUP('Données projet'!$B$15,Paramètres!$A$1:$I$88,3,0)*0.475*44/12</f>
        <v>0</v>
      </c>
      <c r="EX57" s="23">
        <f>EXP(-LN(2)/2)*EX56+(1-EXP(-LN(2)/2))/(LN(2)/2)*ER57*EU57*VLOOKUP('Données projet'!$B$15,Paramètres!$A$1:$I$88,3,0)*0.475*44/12</f>
        <v>0</v>
      </c>
      <c r="EY57" s="24">
        <f t="shared" si="21"/>
        <v>4.6869761162015671</v>
      </c>
      <c r="EZ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7.8399999999999981</v>
      </c>
      <c r="FE57" s="13">
        <f>IF('Données projet'!$A$218&gt;35,FE56+FD57-FM56,IF(A57&lt;'Données projet'!$A$218,$FB$205^A57,IF(A57='Données projet'!$A$218,'Données projet'!$B$218,FE56+FD57-FM56)))</f>
        <v>324.15999999999997</v>
      </c>
      <c r="FF57" s="18">
        <f>FE57*VLOOKUP('Données projet'!$B$16,Paramètres!$A$1:$I$88,3,0)*VLOOKUP('Données projet'!$B$16,Paramètres!$A$1:$I$88,5,0)</f>
        <v>283.18617599999999</v>
      </c>
      <c r="FG57" s="14">
        <f t="shared" si="47"/>
        <v>67.639895412382401</v>
      </c>
      <c r="FH57" s="22">
        <f t="shared" si="22"/>
        <v>611.02207437656591</v>
      </c>
      <c r="FI57" s="59">
        <f t="shared" si="23"/>
        <v>904.35540770989928</v>
      </c>
      <c r="FJ57" s="59">
        <f ca="1">AVERAGE(OFFSET($FI$3,0,0,'Données projet'!$E$16+1,1))-AVERAGE(OFFSET($H$3,0,0,'Données projet'!$E$16+1,1))</f>
        <v>427.76895185088944</v>
      </c>
      <c r="FK57" s="59">
        <f t="shared" si="48"/>
        <v>308.32543361559135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projet'!$B$16,Paramètres!$A$1:$I$88,3,0)*0.475*44/12</f>
        <v>6.3333700282049463</v>
      </c>
      <c r="FR57" s="23">
        <f>EXP(-LN(2)/25)*FR56+(1-EXP(-LN(2)/25))/(LN(2)/25)*Calculateur!FM57*Calculateur!FO57*VLOOKUP('Données projet'!$B$16,Paramètres!$A$1:$I$88,3,0)*0.475*44/12</f>
        <v>0</v>
      </c>
      <c r="FS57" s="23">
        <f>EXP(-LN(2)/2)*FS56+(1-EXP(-LN(2)/2))/(LN(2)/2)*FM57*FP57*VLOOKUP('Données projet'!$B$16,Paramètres!$A$1:$I$88,3,0)*0.475*44/12</f>
        <v>0</v>
      </c>
      <c r="FT57" s="24">
        <f t="shared" si="24"/>
        <v>6.3333700282049463</v>
      </c>
      <c r="FU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7.6</v>
      </c>
      <c r="FZ57" s="13">
        <f>IF('Données projet'!$A$244&gt;35,FZ56+FY57-GH56,IF(A57&lt;'Données projet'!$A$244,$FW$205^A57,IF(A57='Données projet'!$A$244,'Données projet'!$B$244,FZ56+FY57-GH56)))</f>
        <v>319.4000000000002</v>
      </c>
      <c r="GA57" s="18">
        <f>FZ57*VLOOKUP('Données projet'!$B$17,Paramètres!$A$1:$I$88,3,0)*VLOOKUP('Données projet'!$B$17,Paramètres!$A$1:$I$88,5,0)</f>
        <v>199.30560000000014</v>
      </c>
      <c r="GB57" s="14">
        <f t="shared" si="49"/>
        <v>49.591528745283242</v>
      </c>
      <c r="GC57" s="22">
        <f t="shared" si="25"/>
        <v>433.49583256470191</v>
      </c>
      <c r="GD57" s="59">
        <f t="shared" si="26"/>
        <v>726.82916589803517</v>
      </c>
      <c r="GE57" s="59">
        <f ca="1">AVERAGE(OFFSET($GD$3,0,0,'Données projet'!$E$17+1,1))-AVERAGE(OFFSET($H$3,0,0,'Données projet'!$E$17+1,1))</f>
        <v>247.85542034088905</v>
      </c>
      <c r="GF57" s="59">
        <f t="shared" si="50"/>
        <v>299.52241743660352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projet'!$B$17,Paramètres!$A$1:$I$88,3,0)*0.475*44/12</f>
        <v>14.909411639707377</v>
      </c>
      <c r="GM57" s="23">
        <f>EXP(-LN(2)/25)*GM56+(1-EXP(-LN(2)/25))/(LN(2)/25)*Calculateur!GH57*Calculateur!GJ57*VLOOKUP('Données projet'!$B$17,Paramètres!$A$1:$I$88,3,0)*0.475*44/12</f>
        <v>36.209297603297316</v>
      </c>
      <c r="GN57" s="23">
        <f>EXP(-LN(2)/2)*GN56+(1-EXP(-LN(2)/2))/(LN(2)/2)*GH57*GK57*VLOOKUP('Données projet'!$B$17,Paramètres!$A$1:$I$88,3,0)*0.475*44/12</f>
        <v>1.5424723326257257</v>
      </c>
      <c r="GO57" s="23">
        <f t="shared" si="27"/>
        <v>52.661181575630422</v>
      </c>
      <c r="GP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3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6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7.875</v>
      </c>
      <c r="N58" s="14">
        <f>IF('Données projet'!$A$36&gt;35,N57+M58-V57,IF(A58&lt;'Données projet'!$A$36,$K$205^A58,IF(A58='Données projet'!$A$36,'Données projet'!$B$36,N57+M58-V57)))</f>
        <v>155.375</v>
      </c>
      <c r="O58" s="14">
        <f>N58*VLOOKUP('Données projet'!$B$9,Paramètres!$A$1:$I$88,3,0)*VLOOKUP('Données projet'!$B$9,Paramètres!$A$1:$I$88,5,0)</f>
        <v>140.58329999999998</v>
      </c>
      <c r="P58" s="14">
        <f t="shared" si="33"/>
        <v>36.430598981754322</v>
      </c>
      <c r="Q58" s="22">
        <f t="shared" si="53"/>
        <v>308.29920739322205</v>
      </c>
      <c r="R58" s="59">
        <f t="shared" si="0"/>
        <v>601.63254072655536</v>
      </c>
      <c r="S58" s="59">
        <f ca="1">AVERAGE(OFFSET($R$3,0,0,'Données projet'!$E$9+1,1))-AVERAGE(OFFSET($H$3,0,0,'Données projet'!$E$9+1,1))</f>
        <v>247.57967230773539</v>
      </c>
      <c r="T58" s="59">
        <f t="shared" si="34"/>
        <v>156.58857589533295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4.7216950840225094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4.7216950840225094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420</v>
      </c>
      <c r="AG58" s="13">
        <f>VLOOKUP(A58,'Données projet'!$A$61:$I$81,9,0)</f>
        <v>9.7399999999999984</v>
      </c>
      <c r="AH58" s="13">
        <f t="array" ref="AH58">INDEX(AG:AG,MIN(IF(ISNUMBER(AG58:AG254),ROW(AG58:AG254),"")))</f>
        <v>9.7399999999999984</v>
      </c>
      <c r="AI58" s="14">
        <f>IF('Données projet'!$A$62&gt;35,AI57+AH58-AQ57,IF(A58&lt;'Données projet'!$A$62,$AF$205^A58,IF(A58='Données projet'!$A$62,'Données projet'!$B$62,AI57+AH58-AQ57)))</f>
        <v>420.00000000000006</v>
      </c>
      <c r="AJ58" s="14">
        <f>AI58*VLOOKUP('Données projet'!$B$10,Paramètres!$A$1:$I$88,3,0)*VLOOKUP('Données projet'!$B$10,Paramètres!$A$1:$I$88,5,0)</f>
        <v>334.1520000000001</v>
      </c>
      <c r="AK58" s="14">
        <f t="shared" si="35"/>
        <v>78.2904952928901</v>
      </c>
      <c r="AL58" s="22">
        <f t="shared" si="4"/>
        <v>718.33734596845045</v>
      </c>
      <c r="AM58" s="59">
        <f t="shared" si="5"/>
        <v>1011.6706793017838</v>
      </c>
      <c r="AN58" s="59">
        <f ca="1">AVERAGE(OFFSET($AM$3,0,0,'Données projet'!$E$10+1,1))-AVERAGE(OFFSET($H$3,0,0,'Données projet'!$E$10+1,1))</f>
        <v>504.15006129790828</v>
      </c>
      <c r="AO58" s="59">
        <f t="shared" si="36"/>
        <v>374.39334457402742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17.100000000000001</v>
      </c>
      <c r="AR58" s="17">
        <f>IF(ISNA(VLOOKUP(A58,'Données projet'!$A$61:$I$81,5,0)),0%,VLOOKUP(A58,'Données projet'!$A$61:$I$81,5,0)*VLOOKUP('Données projet'!$B$10,Paramètres!$A$1:$I$88,7,0))</f>
        <v>0.21200000000000002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10.832443357038322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10.832443357038322</v>
      </c>
      <c r="AY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420</v>
      </c>
      <c r="BB58" s="13">
        <f>VLOOKUP(A58,'Données projet'!$A$87:$I$107,9,0)</f>
        <v>9.7399999999999984</v>
      </c>
      <c r="BC58" s="13">
        <f t="array" ref="BC58">INDEX(BB:BB,MIN(IF(ISNUMBER(BB58:BB254),ROW(BB58:BB254),"")))</f>
        <v>9.7399999999999984</v>
      </c>
      <c r="BD58" s="13">
        <f>IF('Données projet'!$A$88&gt;35,BD57+BC58-BL57,IF(A58&lt;'Données projet'!$A$88,$BA$205^A58,IF(A58='Données projet'!$A$88,'Données projet'!$B$88,BD57+BC58-BL57)))</f>
        <v>420.00000000000006</v>
      </c>
      <c r="BE58" s="14">
        <f>BD58*VLOOKUP('Données projet'!$B$11,Paramètres!$A$1:$I$88,3,0)*VLOOKUP('Données projet'!$B$11,Paramètres!$A$1:$I$88,5,0)</f>
        <v>334.1520000000001</v>
      </c>
      <c r="BF58" s="14">
        <f t="shared" si="37"/>
        <v>78.2904952928901</v>
      </c>
      <c r="BG58" s="22">
        <f t="shared" si="7"/>
        <v>718.33734596845045</v>
      </c>
      <c r="BH58" s="59">
        <f t="shared" si="8"/>
        <v>1011.6706793017838</v>
      </c>
      <c r="BI58" s="59">
        <f ca="1">AVERAGE(OFFSET($BH$3,0,0,'Données projet'!$E$11+1,1))-AVERAGE(OFFSET($H$3,0,0,'Données projet'!$E$11+1,1))</f>
        <v>504.15006129790828</v>
      </c>
      <c r="BJ58" s="59">
        <f t="shared" si="38"/>
        <v>374.39334457402742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17.100000000000001</v>
      </c>
      <c r="BM58" s="17">
        <f>IF(ISNA(VLOOKUP(A58,'Données projet'!$A$87:$I$107,5,0)),0%,VLOOKUP(A58,'Données projet'!$A$87:$I$107,5,0)*VLOOKUP('Données projet'!$B$11,Paramètres!$A$1:$I$88,7,0))</f>
        <v>0.21200000000000002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10.832443357038322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10.832443357038322</v>
      </c>
      <c r="BT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420</v>
      </c>
      <c r="BW58" s="13">
        <f>VLOOKUP(A58,'Données projet'!$A$113:$I$133,9,0)</f>
        <v>9.7399999999999984</v>
      </c>
      <c r="BX58" s="13">
        <f t="array" ref="BX58">INDEX(BW:BW,MIN(IF(ISNUMBER(BW58:BW254),ROW(BW58:BW254),"")))</f>
        <v>9.7399999999999984</v>
      </c>
      <c r="BY58" s="13">
        <f>IF('Données projet'!$A$114&gt;35,BY57+BX58-CG57,IF(A58&lt;'Données projet'!$A$114,$BV$205^A58,IF(A58='Données projet'!$A$114,'Données projet'!$B$114,BY57+BX58-CG57)))</f>
        <v>420.00000000000006</v>
      </c>
      <c r="BZ58" s="14">
        <f>BY58*VLOOKUP('Données projet'!$B$12,Paramètres!$A$1:$I$88,3,0)*VLOOKUP('Données projet'!$B$12,Paramètres!$A$1:$I$88,5,0)</f>
        <v>281.73600000000005</v>
      </c>
      <c r="CA58" s="14">
        <f t="shared" si="39"/>
        <v>67.333743509453043</v>
      </c>
      <c r="CB58" s="22">
        <f t="shared" si="10"/>
        <v>607.96313661229738</v>
      </c>
      <c r="CC58" s="59">
        <f t="shared" si="11"/>
        <v>901.29646994563063</v>
      </c>
      <c r="CD58" s="59">
        <f ca="1">AVERAGE(OFFSET($CC$3,0,0,'Données projet'!$E$12+1,1))-AVERAGE(OFFSET($H$3,0,0,'Données projet'!$E$12+1,1))</f>
        <v>387.15063677712425</v>
      </c>
      <c r="CE58" s="59">
        <f t="shared" si="40"/>
        <v>313.19155394370705</v>
      </c>
      <c r="CF58" s="16">
        <f>IF(ISNA(VLOOKUP(A58,'Données projet'!$A$113:$I$133,3,0)),0,VLOOKUP(A58,'Données projet'!$A$113:$I$133,3,0))</f>
        <v>9</v>
      </c>
      <c r="CG58" s="16">
        <f>IF(ISNA(VLOOKUP(A58,'Données projet'!$A$113:$I$133,4,0)),0,VLOOKUP(A58,'Données projet'!$A$113:$I$133,4,0))</f>
        <v>17.100000000000001</v>
      </c>
      <c r="CH58" s="17">
        <f>IF(ISNA(VLOOKUP(A58,'Données projet'!$A$113:$I$133,5,0)),0%,VLOOKUP(A58,'Données projet'!$A$113:$I$133,5,0)*VLOOKUP('Données projet'!$B$12,Paramètres!$A$1:$I$88,7,0))</f>
        <v>0.21200000000000002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9.1332365559342712</v>
      </c>
      <c r="CL58" s="23">
        <f>EXP(-LN(2)/25)*CL57+(1-EXP(-LN(2)/25))/(LN(2)/25)*Calculateur!CG58*Calculateur!CI58*VLOOKUP('Données projet'!$B$12,Paramètres!$A$1:$I$88,3,0)*0.475*44/12</f>
        <v>0</v>
      </c>
      <c r="CM58" s="23">
        <f>EXP(-LN(2)/2)*CM57+(1-EXP(-LN(2)/2))/(LN(2)/2)*CG58*CJ58*VLOOKUP('Données projet'!$B$12,Paramètres!$A$1:$I$88,3,0)*0.475*44/12</f>
        <v>0</v>
      </c>
      <c r="CN58" s="24">
        <f t="shared" si="12"/>
        <v>9.1332365559342712</v>
      </c>
      <c r="CO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7.875</v>
      </c>
      <c r="CT58" s="13">
        <f>IF('Données projet'!$A$140&gt;35,CT57+CS58-DB57,IF(A58&lt;'Données projet'!$A$140,$CQ$205^A58,IF(A58='Données projet'!$A$140,'Données projet'!$B$140,CT57+CS58-DB57)))</f>
        <v>155.375</v>
      </c>
      <c r="CU58" s="18">
        <f>CT58*VLOOKUP('Données projet'!$B$13,Paramètres!$A$1:$I$88,3,0)*VLOOKUP('Données projet'!$B$13,Paramètres!$A$1:$I$88,5,0)</f>
        <v>150.27869999999999</v>
      </c>
      <c r="CV58" s="14">
        <f t="shared" si="41"/>
        <v>38.64191435183109</v>
      </c>
      <c r="CW58" s="22">
        <f t="shared" si="13"/>
        <v>329.03673666277251</v>
      </c>
      <c r="CX58" s="59">
        <f t="shared" si="14"/>
        <v>622.37006999610583</v>
      </c>
      <c r="CY58" s="59">
        <f ca="1">AVERAGE(OFFSET($CX$3,0,0,'Données projet'!$E$13+1,1))-AVERAGE(OFFSET($H$3,0,0,'Données projet'!$E$13+1,1))</f>
        <v>306.00894145276209</v>
      </c>
      <c r="CZ58" s="59">
        <f t="shared" si="42"/>
        <v>168.74705421228828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5.0473292277482003</v>
      </c>
      <c r="DG58" s="23">
        <f>EXP(-LN(2)/25)*DG57+(1-EXP(-LN(2)/25))/(LN(2)/25)*Calculateur!DB58*Calculateur!DD58*VLOOKUP('Données projet'!$B$13,Paramètres!$A$1:$I$88,3,0)*0.475*44/12</f>
        <v>0</v>
      </c>
      <c r="DH58" s="23">
        <f>EXP(-LN(2)/2)*DH57+(1-EXP(-LN(2)/2))/(LN(2)/2)*DB58*DE58*VLOOKUP('Données projet'!$B$13,Paramètres!$A$1:$I$88,3,0)*0.475*44/12</f>
        <v>0</v>
      </c>
      <c r="DI58" s="24">
        <f t="shared" si="15"/>
        <v>5.0473292277482003</v>
      </c>
      <c r="DJ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420</v>
      </c>
      <c r="DM58" s="13">
        <f>VLOOKUP(A58,'Données projet'!$A$165:$I$185,9,0)</f>
        <v>9.7399999999999984</v>
      </c>
      <c r="DN58" s="13">
        <f t="array" ref="DN58">INDEX(DM:DM,MIN(IF(ISNUMBER(DM58:DM254),ROW(DM58:DM254),"")))</f>
        <v>9.7399999999999984</v>
      </c>
      <c r="DO58" s="13">
        <f>IF('Données projet'!$A$166&gt;35,DO57+DN58-DW57,IF(A58&lt;'Données projet'!$A$166,$DL$205^A58,IF(A58='Données projet'!$A$166,'Données projet'!$B$166,DO57+DN58-DW57)))</f>
        <v>420.00000000000006</v>
      </c>
      <c r="DP58" s="18">
        <f>DO58*VLOOKUP('Données projet'!$B$14,Paramètres!$A$1:$I$88,3,0)*VLOOKUP('Données projet'!$B$14,Paramètres!$A$1:$I$88,5,0)</f>
        <v>327.60000000000008</v>
      </c>
      <c r="DQ58" s="14">
        <f t="shared" si="43"/>
        <v>76.932514754922607</v>
      </c>
      <c r="DR58" s="22">
        <f t="shared" si="16"/>
        <v>704.56079653149027</v>
      </c>
      <c r="DS58" s="59">
        <f t="shared" si="17"/>
        <v>997.89412986482353</v>
      </c>
      <c r="DT58" s="59">
        <f ca="1">AVERAGE(OFFSET($DS$3,0,0,'Données projet'!$E$14+1,1))-AVERAGE(OFFSET($H$3,0,0,'Données projet'!$E$14+1,1))</f>
        <v>458.14328535055694</v>
      </c>
      <c r="DU58" s="59">
        <f t="shared" si="44"/>
        <v>366.75500153675739</v>
      </c>
      <c r="DV58" s="16">
        <f>IF(ISNA(VLOOKUP(A58,'Données projet'!$A$165:$I$185,3,0)),0,VLOOKUP(A58,'Données projet'!$A$165:$I$185,3,0))</f>
        <v>9</v>
      </c>
      <c r="DW58" s="16">
        <f>IF(ISNA(VLOOKUP(A58,'Données projet'!$A$165:$I$185,4,0)),0,VLOOKUP(A58,'Données projet'!$A$165:$I$185,4,0))</f>
        <v>17.100000000000001</v>
      </c>
      <c r="DX58" s="17">
        <f>IF(ISNA(VLOOKUP(A58,'Données projet'!$A$165:$I$185,5,0)),0%,VLOOKUP(A58,'Données projet'!$A$165:$I$185,5,0)*VLOOKUP('Données projet'!$B$14,Paramètres!$A$1:$I$88,7,0))</f>
        <v>0.17200000000000001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projet'!$B$14,Paramètres!$A$1:$I$88,3,0)*0.475*44/12</f>
        <v>8.6162609018247842</v>
      </c>
      <c r="EB58" s="23">
        <f>EXP(-LN(2)/25)*EB57+(1-EXP(-LN(2)/25))/(LN(2)/25)*Calculateur!DW58*Calculateur!DY58*VLOOKUP('Données projet'!$B$14,Paramètres!$A$1:$I$88,3,0)*0.475*44/12</f>
        <v>0</v>
      </c>
      <c r="EC58" s="23">
        <f>EXP(-LN(2)/2)*EC57+(1-EXP(-LN(2)/2))/(LN(2)/2)*DW58*DZ58*VLOOKUP('Données projet'!$B$14,Paramètres!$A$1:$I$88,3,0)*0.475*44/12</f>
        <v>0</v>
      </c>
      <c r="ED58" s="24">
        <f t="shared" si="18"/>
        <v>8.6162609018247842</v>
      </c>
      <c r="EE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12.5</v>
      </c>
      <c r="EJ58" s="13">
        <f>IF('Données projet'!$A$192&gt;35,EJ57+EI58-ER57,IF(A58&lt;'Données projet'!$A$192,$EG$205^A58,IF(A58='Données projet'!$A$192,'Données projet'!$B$192,EJ57+EI58-ER57)))</f>
        <v>400.50000000000017</v>
      </c>
      <c r="EK58" s="18">
        <f>EJ58*VLOOKUP('Données projet'!$B$15,Paramètres!$A$1:$I$88,3,0)*VLOOKUP('Données projet'!$B$15,Paramètres!$A$1:$I$88,5,0)</f>
        <v>343.62900000000019</v>
      </c>
      <c r="EL58" s="14">
        <f t="shared" si="45"/>
        <v>80.249256878462162</v>
      </c>
      <c r="EM58" s="22">
        <f t="shared" si="19"/>
        <v>738.25463072998855</v>
      </c>
      <c r="EN58" s="59">
        <f t="shared" si="20"/>
        <v>1031.5879640633218</v>
      </c>
      <c r="EO58" s="59">
        <f ca="1">AVERAGE(OFFSET($EN$3,0,0,'Données projet'!$E$15+1,1))-AVERAGE(OFFSET($H$3,0,0,'Données projet'!$E$15+1,1))</f>
        <v>462.99360395552145</v>
      </c>
      <c r="EP58" s="59">
        <f t="shared" si="46"/>
        <v>153.03880717786046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projet'!$B$15,Paramètres!$A$1:$I$88,3,0)*0.475*44/12</f>
        <v>4.595067373336005</v>
      </c>
      <c r="EW58" s="23">
        <f>EXP(-LN(2)/25)*EW57+(1-EXP(-LN(2)/25))/(LN(2)/25)*Calculateur!ER58*Calculateur!ET58*VLOOKUP('Données projet'!$B$15,Paramètres!$A$1:$I$88,3,0)*0.475*44/12</f>
        <v>0</v>
      </c>
      <c r="EX58" s="23">
        <f>EXP(-LN(2)/2)*EX57+(1-EXP(-LN(2)/2))/(LN(2)/2)*ER58*EU58*VLOOKUP('Données projet'!$B$15,Paramètres!$A$1:$I$88,3,0)*0.475*44/12</f>
        <v>0</v>
      </c>
      <c r="EY58" s="24">
        <f t="shared" si="21"/>
        <v>4.595067373336005</v>
      </c>
      <c r="EZ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332</v>
      </c>
      <c r="FC58" s="13">
        <f>VLOOKUP(A58,'Données projet'!$A$217:$I$237,9,0)</f>
        <v>7.8399999999999981</v>
      </c>
      <c r="FD58" s="13">
        <f t="array" ref="FD58">INDEX(FC:FC,MIN(IF(ISNUMBER(FC58:FC254),ROW(FC58:FC254),"")))</f>
        <v>7.8399999999999981</v>
      </c>
      <c r="FE58" s="13">
        <f>IF('Données projet'!$A$218&gt;35,FE57+FD58-FM57,IF(A58&lt;'Données projet'!$A$218,$FB$205^A58,IF(A58='Données projet'!$A$218,'Données projet'!$B$218,FE57+FD58-FM57)))</f>
        <v>331.99999999999994</v>
      </c>
      <c r="FF58" s="18">
        <f>FE58*VLOOKUP('Données projet'!$B$16,Paramètres!$A$1:$I$88,3,0)*VLOOKUP('Données projet'!$B$16,Paramètres!$A$1:$I$88,5,0)</f>
        <v>290.03519999999997</v>
      </c>
      <c r="FG58" s="14">
        <f t="shared" si="47"/>
        <v>69.083369425821672</v>
      </c>
      <c r="FH58" s="22">
        <f t="shared" si="22"/>
        <v>625.46484174997272</v>
      </c>
      <c r="FI58" s="59">
        <f t="shared" si="23"/>
        <v>918.79817508330598</v>
      </c>
      <c r="FJ58" s="59">
        <f ca="1">AVERAGE(OFFSET($FI$3,0,0,'Données projet'!$E$16+1,1))-AVERAGE(OFFSET($H$3,0,0,'Données projet'!$E$16+1,1))</f>
        <v>427.76895185088944</v>
      </c>
      <c r="FK58" s="59">
        <f t="shared" si="48"/>
        <v>308.32543361559135</v>
      </c>
      <c r="FL58" s="16">
        <f>IF(ISNA(VLOOKUP(A58,'Données projet'!$A$217:$I$237,3,0)),0,VLOOKUP(A58,'Données projet'!$A$217:$I$237,3,0))</f>
        <v>9</v>
      </c>
      <c r="FM58" s="16">
        <f>IF(ISNA(VLOOKUP(A58,'Données projet'!$A$217:$I$237,4,0)),0,VLOOKUP(A58,'Données projet'!$A$217:$I$237,4,0))</f>
        <v>13.1</v>
      </c>
      <c r="FN58" s="17">
        <f>IF(ISNA(VLOOKUP(A58,'Données projet'!$A$217:$I$237,5,0)),0%,VLOOKUP(A58,'Données projet'!$A$217:$I$237,5,0)*VLOOKUP('Données projet'!$B$16,Paramètres!$A$1:$I$88,7,0))</f>
        <v>0.21200000000000002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projet'!$B$16,Paramètres!$A$1:$I$88,3,0)*0.475*44/12</f>
        <v>8.8912266434369194</v>
      </c>
      <c r="FR58" s="23">
        <f>EXP(-LN(2)/25)*FR57+(1-EXP(-LN(2)/25))/(LN(2)/25)*Calculateur!FM58*Calculateur!FO58*VLOOKUP('Données projet'!$B$16,Paramètres!$A$1:$I$88,3,0)*0.475*44/12</f>
        <v>0</v>
      </c>
      <c r="FS58" s="23">
        <f>EXP(-LN(2)/2)*FS57+(1-EXP(-LN(2)/2))/(LN(2)/2)*FM58*FP58*VLOOKUP('Données projet'!$B$16,Paramètres!$A$1:$I$88,3,0)*0.475*44/12</f>
        <v>0</v>
      </c>
      <c r="FT58" s="24">
        <f t="shared" si="24"/>
        <v>8.8912266434369194</v>
      </c>
      <c r="FU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327</v>
      </c>
      <c r="FX58" s="13">
        <f>VLOOKUP(A58,'Données projet'!$A$243:$I$263,9,0)</f>
        <v>7.6</v>
      </c>
      <c r="FY58" s="13">
        <f t="array" ref="FY58">INDEX(FX:FX,MIN(IF(ISNUMBER(FX58:FX254),ROW(FX58:FX254),"")))</f>
        <v>7.6</v>
      </c>
      <c r="FZ58" s="13">
        <f>IF('Données projet'!$A$244&gt;35,FZ57+FY58-GH57,IF(A58&lt;'Données projet'!$A$244,$FW$205^A58,IF(A58='Données projet'!$A$244,'Données projet'!$B$244,FZ57+FY58-GH57)))</f>
        <v>327.00000000000023</v>
      </c>
      <c r="GA58" s="18">
        <f>FZ58*VLOOKUP('Données projet'!$B$17,Paramètres!$A$1:$I$88,3,0)*VLOOKUP('Données projet'!$B$17,Paramètres!$A$1:$I$88,5,0)</f>
        <v>204.04800000000012</v>
      </c>
      <c r="GB58" s="14">
        <f t="shared" si="49"/>
        <v>50.632755461122017</v>
      </c>
      <c r="GC58" s="22">
        <f t="shared" si="25"/>
        <v>443.56898242812105</v>
      </c>
      <c r="GD58" s="59">
        <f t="shared" si="26"/>
        <v>736.90231576145436</v>
      </c>
      <c r="GE58" s="59">
        <f ca="1">AVERAGE(OFFSET($GD$3,0,0,'Données projet'!$E$17+1,1))-AVERAGE(OFFSET($H$3,0,0,'Données projet'!$E$17+1,1))</f>
        <v>247.85542034088905</v>
      </c>
      <c r="GF58" s="59">
        <f t="shared" si="50"/>
        <v>299.52241743660352</v>
      </c>
      <c r="GG58" s="16">
        <f>IF(ISNA(VLOOKUP(A58,'Données projet'!$A$243:$I$263,3,0)),0,VLOOKUP(A58,'Données projet'!$A$243:$I$263,3,0))</f>
        <v>10</v>
      </c>
      <c r="GH58" s="16">
        <f>IF(ISNA(VLOOKUP(A58,'Données projet'!$A$243:$I$263,4,0)),0,VLOOKUP(A58,'Données projet'!$A$243:$I$263,4,0))</f>
        <v>23</v>
      </c>
      <c r="GI58" s="17">
        <f>IF(ISNA(VLOOKUP(A58,'Données projet'!$A$243:$I$263,5,0)),0%,VLOOKUP(A58,'Données projet'!$A$243:$I$263,5,0)*VLOOKUP('Données projet'!$B$17,Paramètres!$A$1:$I$88,7,0))</f>
        <v>0.36</v>
      </c>
      <c r="GJ58" s="17">
        <f>IF(ISNA(VLOOKUP(A58,'Données projet'!$A$243:$I$263,6,0)),0%,VLOOKUP(A58,'Données projet'!$A$243:$I$263,6,0)*VLOOKUP('Données projet'!$B$17,Paramètres!$A$1:$I$88,7,0))</f>
        <v>0.13440000000000002</v>
      </c>
      <c r="GK58" s="17">
        <f>IF(ISNA(VLOOKUP(A58,'Données projet'!$A$243:$I$263,7,0)),0%,VLOOKUP(A58,'Données projet'!$A$243:$I$263,7,0))</f>
        <v>0.17600000000000002</v>
      </c>
      <c r="GL58" s="23">
        <f>EXP(-LN(2)/35)*GL57+(1-EXP(-LN(2)/35))/(LN(2)/35)*GH58*GI58*VLOOKUP('Données projet'!$B$17,Paramètres!$A$1:$I$88,3,0)*0.475*44/12</f>
        <v>21.471034274504454</v>
      </c>
      <c r="GM58" s="23">
        <f>EXP(-LN(2)/25)*GM57+(1-EXP(-LN(2)/25))/(LN(2)/25)*Calculateur!GH58*Calculateur!GJ58*VLOOKUP('Données projet'!$B$17,Paramètres!$A$1:$I$88,3,0)*0.475*44/12</f>
        <v>37.767899251417127</v>
      </c>
      <c r="GN58" s="23">
        <f>EXP(-LN(2)/2)*GN57+(1-EXP(-LN(2)/2))/(LN(2)/2)*GH58*GK58*VLOOKUP('Données projet'!$B$17,Paramètres!$A$1:$I$88,3,0)*0.475*44/12</f>
        <v>3.9506570825938536</v>
      </c>
      <c r="GO58" s="23">
        <f t="shared" si="27"/>
        <v>63.189590608515438</v>
      </c>
      <c r="GP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3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6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7.875</v>
      </c>
      <c r="N59" s="14">
        <f>IF('Données projet'!$A$36&gt;35,N58+M59-V58,IF(A59&lt;'Données projet'!$A$36,$K$205^A59,IF(A59='Données projet'!$A$36,'Données projet'!$B$36,N58+M59-V58)))</f>
        <v>163.25</v>
      </c>
      <c r="O59" s="14">
        <f>N59*VLOOKUP('Données projet'!$B$9,Paramètres!$A$1:$I$88,3,0)*VLOOKUP('Données projet'!$B$9,Paramètres!$A$1:$I$88,5,0)</f>
        <v>147.70859999999999</v>
      </c>
      <c r="P59" s="14">
        <f t="shared" si="33"/>
        <v>38.057391134324966</v>
      </c>
      <c r="Q59" s="22">
        <f t="shared" si="53"/>
        <v>323.54243455894931</v>
      </c>
      <c r="R59" s="59">
        <f t="shared" si="0"/>
        <v>616.87576789228262</v>
      </c>
      <c r="S59" s="59">
        <f ca="1">AVERAGE(OFFSET($R$3,0,0,'Données projet'!$E$9+1,1))-AVERAGE(OFFSET($H$3,0,0,'Données projet'!$E$9+1,1))</f>
        <v>247.57967230773539</v>
      </c>
      <c r="T59" s="59">
        <f t="shared" si="34"/>
        <v>156.58857589533295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4.6291055233744576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4.6291055233744576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9.0200000000000049</v>
      </c>
      <c r="AI59" s="14">
        <f>IF('Données projet'!$A$62&gt;35,AI58+AH59-AQ58,IF(A59&lt;'Données projet'!$A$62,$AF$205^A59,IF(A59='Données projet'!$A$62,'Données projet'!$B$62,AI58+AH59-AQ58)))</f>
        <v>411.92</v>
      </c>
      <c r="AJ59" s="14">
        <f>AI59*VLOOKUP('Données projet'!$B$10,Paramètres!$A$1:$I$88,3,0)*VLOOKUP('Données projet'!$B$10,Paramètres!$A$1:$I$88,5,0)</f>
        <v>327.72355200000004</v>
      </c>
      <c r="AK59" s="14">
        <f t="shared" si="35"/>
        <v>76.958151447256697</v>
      </c>
      <c r="AL59" s="22">
        <f t="shared" si="4"/>
        <v>704.82063350397209</v>
      </c>
      <c r="AM59" s="59">
        <f t="shared" si="5"/>
        <v>998.15396683730546</v>
      </c>
      <c r="AN59" s="59">
        <f ca="1">AVERAGE(OFFSET($AM$3,0,0,'Données projet'!$E$10+1,1))-AVERAGE(OFFSET($H$3,0,0,'Données projet'!$E$10+1,1))</f>
        <v>504.15006129790828</v>
      </c>
      <c r="AO59" s="59">
        <f t="shared" si="36"/>
        <v>374.39334457402742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10.620025749944848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10.620025749944848</v>
      </c>
      <c r="AY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9.0200000000000049</v>
      </c>
      <c r="BD59" s="13">
        <f>IF('Données projet'!$A$88&gt;35,BD58+BC59-BL58,IF(A59&lt;'Données projet'!$A$88,$BA$205^A59,IF(A59='Données projet'!$A$88,'Données projet'!$B$88,BD58+BC59-BL58)))</f>
        <v>411.92</v>
      </c>
      <c r="BE59" s="14">
        <f>BD59*VLOOKUP('Données projet'!$B$11,Paramètres!$A$1:$I$88,3,0)*VLOOKUP('Données projet'!$B$11,Paramètres!$A$1:$I$88,5,0)</f>
        <v>327.72355200000004</v>
      </c>
      <c r="BF59" s="14">
        <f t="shared" si="37"/>
        <v>76.958151447256697</v>
      </c>
      <c r="BG59" s="22">
        <f t="shared" si="7"/>
        <v>704.82063350397209</v>
      </c>
      <c r="BH59" s="59">
        <f t="shared" si="8"/>
        <v>998.15396683730546</v>
      </c>
      <c r="BI59" s="59">
        <f ca="1">AVERAGE(OFFSET($BH$3,0,0,'Données projet'!$E$11+1,1))-AVERAGE(OFFSET($H$3,0,0,'Données projet'!$E$11+1,1))</f>
        <v>504.15006129790828</v>
      </c>
      <c r="BJ59" s="59">
        <f t="shared" si="38"/>
        <v>374.39334457402742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10.620025749944848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10.620025749944848</v>
      </c>
      <c r="BT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9.0200000000000049</v>
      </c>
      <c r="BY59" s="13">
        <f>IF('Données projet'!$A$114&gt;35,BY58+BX59-CG58,IF(A59&lt;'Données projet'!$A$114,$BV$205^A59,IF(A59='Données projet'!$A$114,'Données projet'!$B$114,BY58+BX59-CG58)))</f>
        <v>411.92</v>
      </c>
      <c r="BZ59" s="14">
        <f>BY59*VLOOKUP('Données projet'!$B$12,Paramètres!$A$1:$I$88,3,0)*VLOOKUP('Données projet'!$B$12,Paramètres!$A$1:$I$88,5,0)</f>
        <v>276.31593600000002</v>
      </c>
      <c r="CA59" s="14">
        <f t="shared" si="39"/>
        <v>66.187861133403999</v>
      </c>
      <c r="CB59" s="22">
        <f t="shared" si="10"/>
        <v>596.52744667401203</v>
      </c>
      <c r="CC59" s="59">
        <f t="shared" si="11"/>
        <v>889.86078000734528</v>
      </c>
      <c r="CD59" s="59">
        <f ca="1">AVERAGE(OFFSET($CC$3,0,0,'Données projet'!$E$12+1,1))-AVERAGE(OFFSET($H$3,0,0,'Données projet'!$E$12+1,1))</f>
        <v>387.15063677712425</v>
      </c>
      <c r="CE59" s="59">
        <f t="shared" si="40"/>
        <v>313.19155394370705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8.9541393577966364</v>
      </c>
      <c r="CL59" s="23">
        <f>EXP(-LN(2)/25)*CL58+(1-EXP(-LN(2)/25))/(LN(2)/25)*Calculateur!CG59*Calculateur!CI59*VLOOKUP('Données projet'!$B$12,Paramètres!$A$1:$I$88,3,0)*0.475*44/12</f>
        <v>0</v>
      </c>
      <c r="CM59" s="23">
        <f>EXP(-LN(2)/2)*CM58+(1-EXP(-LN(2)/2))/(LN(2)/2)*CG59*CJ59*VLOOKUP('Données projet'!$B$12,Paramètres!$A$1:$I$88,3,0)*0.475*44/12</f>
        <v>0</v>
      </c>
      <c r="CN59" s="24">
        <f t="shared" si="12"/>
        <v>8.9541393577966364</v>
      </c>
      <c r="CO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7.875</v>
      </c>
      <c r="CT59" s="13">
        <f>IF('Données projet'!$A$140&gt;35,CT58+CS59-DB58,IF(A59&lt;'Données projet'!$A$140,$CQ$205^A59,IF(A59='Données projet'!$A$140,'Données projet'!$B$140,CT58+CS59-DB58)))</f>
        <v>163.25</v>
      </c>
      <c r="CU59" s="18">
        <f>CT59*VLOOKUP('Données projet'!$B$13,Paramètres!$A$1:$I$88,3,0)*VLOOKUP('Données projet'!$B$13,Paramètres!$A$1:$I$88,5,0)</f>
        <v>157.89540000000002</v>
      </c>
      <c r="CV59" s="14">
        <f t="shared" si="41"/>
        <v>40.367451806193266</v>
      </c>
      <c r="CW59" s="22">
        <f t="shared" si="13"/>
        <v>345.30780022911995</v>
      </c>
      <c r="CX59" s="59">
        <f t="shared" si="14"/>
        <v>638.64113356245321</v>
      </c>
      <c r="CY59" s="59">
        <f ca="1">AVERAGE(OFFSET($CX$3,0,0,'Données projet'!$E$13+1,1))-AVERAGE(OFFSET($H$3,0,0,'Données projet'!$E$13+1,1))</f>
        <v>306.00894145276209</v>
      </c>
      <c r="CZ59" s="59">
        <f t="shared" si="42"/>
        <v>168.74705421228828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4.9483541801589039</v>
      </c>
      <c r="DG59" s="23">
        <f>EXP(-LN(2)/25)*DG58+(1-EXP(-LN(2)/25))/(LN(2)/25)*Calculateur!DB59*Calculateur!DD59*VLOOKUP('Données projet'!$B$13,Paramètres!$A$1:$I$88,3,0)*0.475*44/12</f>
        <v>0</v>
      </c>
      <c r="DH59" s="23">
        <f>EXP(-LN(2)/2)*DH58+(1-EXP(-LN(2)/2))/(LN(2)/2)*DB59*DE59*VLOOKUP('Données projet'!$B$13,Paramètres!$A$1:$I$88,3,0)*0.475*44/12</f>
        <v>0</v>
      </c>
      <c r="DI59" s="24">
        <f t="shared" si="15"/>
        <v>4.9483541801589039</v>
      </c>
      <c r="DJ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9.0200000000000049</v>
      </c>
      <c r="DO59" s="13">
        <f>IF('Données projet'!$A$166&gt;35,DO58+DN59-DW58,IF(A59&lt;'Données projet'!$A$166,$DL$205^A59,IF(A59='Données projet'!$A$166,'Données projet'!$B$166,DO58+DN59-DW58)))</f>
        <v>411.92</v>
      </c>
      <c r="DP59" s="18">
        <f>DO59*VLOOKUP('Données projet'!$B$14,Paramètres!$A$1:$I$88,3,0)*VLOOKUP('Données projet'!$B$14,Paramètres!$A$1:$I$88,5,0)</f>
        <v>321.29760000000005</v>
      </c>
      <c r="DQ59" s="14">
        <f t="shared" si="43"/>
        <v>75.623280956115224</v>
      </c>
      <c r="DR59" s="22">
        <f t="shared" si="16"/>
        <v>691.30386766523407</v>
      </c>
      <c r="DS59" s="59">
        <f t="shared" si="17"/>
        <v>984.63720099856732</v>
      </c>
      <c r="DT59" s="59">
        <f ca="1">AVERAGE(OFFSET($DS$3,0,0,'Données projet'!$E$14+1,1))-AVERAGE(OFFSET($H$3,0,0,'Données projet'!$E$14+1,1))</f>
        <v>458.14328535055694</v>
      </c>
      <c r="DU59" s="59">
        <f t="shared" si="44"/>
        <v>366.75500153675739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projet'!$B$14,Paramètres!$A$1:$I$88,3,0)*0.475*44/12</f>
        <v>8.4473012809402235</v>
      </c>
      <c r="EB59" s="23">
        <f>EXP(-LN(2)/25)*EB58+(1-EXP(-LN(2)/25))/(LN(2)/25)*Calculateur!DW59*Calculateur!DY59*VLOOKUP('Données projet'!$B$14,Paramètres!$A$1:$I$88,3,0)*0.475*44/12</f>
        <v>0</v>
      </c>
      <c r="EC59" s="23">
        <f>EXP(-LN(2)/2)*EC58+(1-EXP(-LN(2)/2))/(LN(2)/2)*DW59*DZ59*VLOOKUP('Données projet'!$B$14,Paramètres!$A$1:$I$88,3,0)*0.475*44/12</f>
        <v>0</v>
      </c>
      <c r="ED59" s="24">
        <f t="shared" si="18"/>
        <v>8.4473012809402235</v>
      </c>
      <c r="EE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12.5</v>
      </c>
      <c r="EJ59" s="13">
        <f>IF('Données projet'!$A$192&gt;35,EJ58+EI59-ER58,IF(A59&lt;'Données projet'!$A$192,$EG$205^A59,IF(A59='Données projet'!$A$192,'Données projet'!$B$192,EJ58+EI59-ER58)))</f>
        <v>413.00000000000017</v>
      </c>
      <c r="EK59" s="18">
        <f>EJ59*VLOOKUP('Données projet'!$B$15,Paramètres!$A$1:$I$88,3,0)*VLOOKUP('Données projet'!$B$15,Paramètres!$A$1:$I$88,5,0)</f>
        <v>354.35400000000021</v>
      </c>
      <c r="EL59" s="14">
        <f t="shared" si="45"/>
        <v>82.458398944193391</v>
      </c>
      <c r="EM59" s="22">
        <f t="shared" si="19"/>
        <v>760.78159482780381</v>
      </c>
      <c r="EN59" s="59">
        <f t="shared" si="20"/>
        <v>1054.1149281611372</v>
      </c>
      <c r="EO59" s="59">
        <f ca="1">AVERAGE(OFFSET($EN$3,0,0,'Données projet'!$E$15+1,1))-AVERAGE(OFFSET($H$3,0,0,'Données projet'!$E$15+1,1))</f>
        <v>462.99360395552145</v>
      </c>
      <c r="EP59" s="59">
        <f t="shared" si="46"/>
        <v>153.03880717786046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projet'!$B$15,Paramètres!$A$1:$I$88,3,0)*0.475*44/12</f>
        <v>4.5049609048592387</v>
      </c>
      <c r="EW59" s="23">
        <f>EXP(-LN(2)/25)*EW58+(1-EXP(-LN(2)/25))/(LN(2)/25)*Calculateur!ER59*Calculateur!ET59*VLOOKUP('Données projet'!$B$15,Paramètres!$A$1:$I$88,3,0)*0.475*44/12</f>
        <v>0</v>
      </c>
      <c r="EX59" s="23">
        <f>EXP(-LN(2)/2)*EX58+(1-EXP(-LN(2)/2))/(LN(2)/2)*ER59*EU59*VLOOKUP('Données projet'!$B$15,Paramètres!$A$1:$I$88,3,0)*0.475*44/12</f>
        <v>0</v>
      </c>
      <c r="EY59" s="24">
        <f t="shared" si="21"/>
        <v>4.5049609048592387</v>
      </c>
      <c r="EZ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7.2200000000000042</v>
      </c>
      <c r="FE59" s="13">
        <f>IF('Données projet'!$A$218&gt;35,FE58+FD59-FM58,IF(A59&lt;'Données projet'!$A$218,$FB$205^A59,IF(A59='Données projet'!$A$218,'Données projet'!$B$218,FE58+FD59-FM58)))</f>
        <v>326.11999999999995</v>
      </c>
      <c r="FF59" s="18">
        <f>FE59*VLOOKUP('Données projet'!$B$16,Paramètres!$A$1:$I$88,3,0)*VLOOKUP('Données projet'!$B$16,Paramètres!$A$1:$I$88,5,0)</f>
        <v>284.89843200000001</v>
      </c>
      <c r="FG59" s="14">
        <f t="shared" si="47"/>
        <v>68.001141181958872</v>
      </c>
      <c r="FH59" s="22">
        <f t="shared" si="22"/>
        <v>614.63342329191175</v>
      </c>
      <c r="FI59" s="59">
        <f t="shared" si="23"/>
        <v>907.96675662524513</v>
      </c>
      <c r="FJ59" s="59">
        <f ca="1">AVERAGE(OFFSET($FI$3,0,0,'Données projet'!$E$16+1,1))-AVERAGE(OFFSET($H$3,0,0,'Données projet'!$E$16+1,1))</f>
        <v>427.76895185088944</v>
      </c>
      <c r="FK59" s="59">
        <f t="shared" si="48"/>
        <v>308.32543361559135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projet'!$B$16,Paramètres!$A$1:$I$88,3,0)*0.475*44/12</f>
        <v>8.7168751120718859</v>
      </c>
      <c r="FR59" s="23">
        <f>EXP(-LN(2)/25)*FR58+(1-EXP(-LN(2)/25))/(LN(2)/25)*Calculateur!FM59*Calculateur!FO59*VLOOKUP('Données projet'!$B$16,Paramètres!$A$1:$I$88,3,0)*0.475*44/12</f>
        <v>0</v>
      </c>
      <c r="FS59" s="23">
        <f>EXP(-LN(2)/2)*FS58+(1-EXP(-LN(2)/2))/(LN(2)/2)*FM59*FP59*VLOOKUP('Données projet'!$B$16,Paramètres!$A$1:$I$88,3,0)*0.475*44/12</f>
        <v>0</v>
      </c>
      <c r="FT59" s="24">
        <f t="shared" si="24"/>
        <v>8.7168751120718859</v>
      </c>
      <c r="FU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6</v>
      </c>
      <c r="FZ59" s="13">
        <f>IF('Données projet'!$A$244&gt;35,FZ58+FY59-GH58,IF(A59&lt;'Données projet'!$A$244,$FW$205^A59,IF(A59='Données projet'!$A$244,'Données projet'!$B$244,FZ58+FY59-GH58)))</f>
        <v>310.00000000000023</v>
      </c>
      <c r="GA59" s="18">
        <f>FZ59*VLOOKUP('Données projet'!$B$17,Paramètres!$A$1:$I$88,3,0)*VLOOKUP('Données projet'!$B$17,Paramètres!$A$1:$I$88,5,0)</f>
        <v>193.44000000000014</v>
      </c>
      <c r="GB59" s="14">
        <f t="shared" si="49"/>
        <v>48.299691961776787</v>
      </c>
      <c r="GC59" s="22">
        <f t="shared" si="25"/>
        <v>421.02996350009477</v>
      </c>
      <c r="GD59" s="59">
        <f t="shared" si="26"/>
        <v>714.36329683342808</v>
      </c>
      <c r="GE59" s="59">
        <f ca="1">AVERAGE(OFFSET($GD$3,0,0,'Données projet'!$E$17+1,1))-AVERAGE(OFFSET($H$3,0,0,'Données projet'!$E$17+1,1))</f>
        <v>247.85542034088905</v>
      </c>
      <c r="GF59" s="59">
        <f t="shared" si="50"/>
        <v>299.52241743660352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projet'!$B$17,Paramètres!$A$1:$I$88,3,0)*0.475*44/12</f>
        <v>21.050000388419203</v>
      </c>
      <c r="GM59" s="23">
        <f>EXP(-LN(2)/25)*GM58+(1-EXP(-LN(2)/25))/(LN(2)/25)*Calculateur!GH59*Calculateur!GJ59*VLOOKUP('Données projet'!$B$17,Paramètres!$A$1:$I$88,3,0)*0.475*44/12</f>
        <v>36.735134060259625</v>
      </c>
      <c r="GN59" s="23">
        <f>EXP(-LN(2)/2)*GN58+(1-EXP(-LN(2)/2))/(LN(2)/2)*GH59*GK59*VLOOKUP('Données projet'!$B$17,Paramètres!$A$1:$I$88,3,0)*0.475*44/12</f>
        <v>2.7935364132447766</v>
      </c>
      <c r="GO59" s="23">
        <f t="shared" si="27"/>
        <v>60.578670861923612</v>
      </c>
      <c r="GP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3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6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7.875</v>
      </c>
      <c r="N60" s="14">
        <f>IF('Données projet'!$A$36&gt;35,N59+M60-V59,IF(A60&lt;'Données projet'!$A$36,$K$205^A60,IF(A60='Données projet'!$A$36,'Données projet'!$B$36,N59+M60-V59)))</f>
        <v>171.125</v>
      </c>
      <c r="O60" s="14">
        <f>N60*VLOOKUP('Données projet'!$B$9,Paramètres!$A$1:$I$88,3,0)*VLOOKUP('Données projet'!$B$9,Paramètres!$A$1:$I$88,5,0)</f>
        <v>154.8339</v>
      </c>
      <c r="P60" s="14">
        <f t="shared" si="33"/>
        <v>39.675070702121111</v>
      </c>
      <c r="Q60" s="22">
        <f t="shared" si="53"/>
        <v>338.76979063952757</v>
      </c>
      <c r="R60" s="59">
        <f t="shared" si="0"/>
        <v>632.10312397286089</v>
      </c>
      <c r="S60" s="59">
        <f ca="1">AVERAGE(OFFSET($R$3,0,0,'Données projet'!$E$9+1,1))-AVERAGE(OFFSET($H$3,0,0,'Données projet'!$E$9+1,1))</f>
        <v>247.57967230773539</v>
      </c>
      <c r="T60" s="59">
        <f t="shared" si="34"/>
        <v>156.58857589533295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4.5383315875366588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4.5383315875366588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9.0200000000000049</v>
      </c>
      <c r="AI60" s="14">
        <f>IF('Données projet'!$A$62&gt;35,AI59+AH60-AQ59,IF(A60&lt;'Données projet'!$A$62,$AF$205^A60,IF(A60='Données projet'!$A$62,'Données projet'!$B$62,AI59+AH60-AQ59)))</f>
        <v>420.94</v>
      </c>
      <c r="AJ60" s="14">
        <f>AI60*VLOOKUP('Données projet'!$B$10,Paramètres!$A$1:$I$88,3,0)*VLOOKUP('Données projet'!$B$10,Paramètres!$A$1:$I$88,5,0)</f>
        <v>334.89986400000004</v>
      </c>
      <c r="AK60" s="14">
        <f t="shared" si="35"/>
        <v>78.445300934745148</v>
      </c>
      <c r="AL60" s="22">
        <f t="shared" si="4"/>
        <v>719.90949559468118</v>
      </c>
      <c r="AM60" s="59">
        <f t="shared" si="5"/>
        <v>1013.2428289280144</v>
      </c>
      <c r="AN60" s="59">
        <f ca="1">AVERAGE(OFFSET($AM$3,0,0,'Données projet'!$E$10+1,1))-AVERAGE(OFFSET($H$3,0,0,'Données projet'!$E$10+1,1))</f>
        <v>504.15006129790828</v>
      </c>
      <c r="AO60" s="59">
        <f t="shared" si="36"/>
        <v>374.39334457402742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10.411773522564529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10.411773522564529</v>
      </c>
      <c r="AY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9.0200000000000049</v>
      </c>
      <c r="BD60" s="13">
        <f>IF('Données projet'!$A$88&gt;35,BD59+BC60-BL59,IF(A60&lt;'Données projet'!$A$88,$BA$205^A60,IF(A60='Données projet'!$A$88,'Données projet'!$B$88,BD59+BC60-BL59)))</f>
        <v>420.94</v>
      </c>
      <c r="BE60" s="14">
        <f>BD60*VLOOKUP('Données projet'!$B$11,Paramètres!$A$1:$I$88,3,0)*VLOOKUP('Données projet'!$B$11,Paramètres!$A$1:$I$88,5,0)</f>
        <v>334.89986400000004</v>
      </c>
      <c r="BF60" s="14">
        <f t="shared" si="37"/>
        <v>78.445300934745148</v>
      </c>
      <c r="BG60" s="22">
        <f t="shared" si="7"/>
        <v>719.90949559468118</v>
      </c>
      <c r="BH60" s="59">
        <f t="shared" si="8"/>
        <v>1013.2428289280144</v>
      </c>
      <c r="BI60" s="59">
        <f ca="1">AVERAGE(OFFSET($BH$3,0,0,'Données projet'!$E$11+1,1))-AVERAGE(OFFSET($H$3,0,0,'Données projet'!$E$11+1,1))</f>
        <v>504.15006129790828</v>
      </c>
      <c r="BJ60" s="59">
        <f t="shared" si="38"/>
        <v>374.39334457402742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10.411773522564529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10.411773522564529</v>
      </c>
      <c r="BT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9.0200000000000049</v>
      </c>
      <c r="BY60" s="13">
        <f>IF('Données projet'!$A$114&gt;35,BY59+BX60-CG59,IF(A60&lt;'Données projet'!$A$114,$BV$205^A60,IF(A60='Données projet'!$A$114,'Données projet'!$B$114,BY59+BX60-CG59)))</f>
        <v>420.94</v>
      </c>
      <c r="BZ60" s="14">
        <f>BY60*VLOOKUP('Données projet'!$B$12,Paramètres!$A$1:$I$88,3,0)*VLOOKUP('Données projet'!$B$12,Paramètres!$A$1:$I$88,5,0)</f>
        <v>282.36655200000001</v>
      </c>
      <c r="CA60" s="14">
        <f t="shared" si="39"/>
        <v>67.466884107727381</v>
      </c>
      <c r="CB60" s="22">
        <f t="shared" si="10"/>
        <v>609.29323455429187</v>
      </c>
      <c r="CC60" s="59">
        <f t="shared" si="11"/>
        <v>902.62656788762524</v>
      </c>
      <c r="CD60" s="59">
        <f ca="1">AVERAGE(OFFSET($CC$3,0,0,'Données projet'!$E$12+1,1))-AVERAGE(OFFSET($H$3,0,0,'Données projet'!$E$12+1,1))</f>
        <v>387.15063677712425</v>
      </c>
      <c r="CE60" s="59">
        <f t="shared" si="40"/>
        <v>313.19155394370705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8.778554146475976</v>
      </c>
      <c r="CL60" s="23">
        <f>EXP(-LN(2)/25)*CL59+(1-EXP(-LN(2)/25))/(LN(2)/25)*Calculateur!CG60*Calculateur!CI60*VLOOKUP('Données projet'!$B$12,Paramètres!$A$1:$I$88,3,0)*0.475*44/12</f>
        <v>0</v>
      </c>
      <c r="CM60" s="23">
        <f>EXP(-LN(2)/2)*CM59+(1-EXP(-LN(2)/2))/(LN(2)/2)*CG60*CJ60*VLOOKUP('Données projet'!$B$12,Paramètres!$A$1:$I$88,3,0)*0.475*44/12</f>
        <v>0</v>
      </c>
      <c r="CN60" s="24">
        <f t="shared" si="12"/>
        <v>8.778554146475976</v>
      </c>
      <c r="CO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7.875</v>
      </c>
      <c r="CT60" s="13">
        <f>IF('Données projet'!$A$140&gt;35,CT59+CS60-DB59,IF(A60&lt;'Données projet'!$A$140,$CQ$205^A60,IF(A60='Données projet'!$A$140,'Données projet'!$B$140,CT59+CS60-DB59)))</f>
        <v>171.125</v>
      </c>
      <c r="CU60" s="18">
        <f>CT60*VLOOKUP('Données projet'!$B$13,Paramètres!$A$1:$I$88,3,0)*VLOOKUP('Données projet'!$B$13,Paramètres!$A$1:$I$88,5,0)</f>
        <v>165.5121</v>
      </c>
      <c r="CV60" s="14">
        <f t="shared" si="41"/>
        <v>42.083323547385099</v>
      </c>
      <c r="CW60" s="22">
        <f t="shared" si="13"/>
        <v>361.56202934502903</v>
      </c>
      <c r="CX60" s="59">
        <f t="shared" si="14"/>
        <v>654.89536267836229</v>
      </c>
      <c r="CY60" s="59">
        <f ca="1">AVERAGE(OFFSET($CX$3,0,0,'Données projet'!$E$13+1,1))-AVERAGE(OFFSET($H$3,0,0,'Données projet'!$E$13+1,1))</f>
        <v>306.00894145276209</v>
      </c>
      <c r="CZ60" s="59">
        <f t="shared" si="42"/>
        <v>168.74705421228828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4.8513199728840153</v>
      </c>
      <c r="DG60" s="23">
        <f>EXP(-LN(2)/25)*DG59+(1-EXP(-LN(2)/25))/(LN(2)/25)*Calculateur!DB60*Calculateur!DD60*VLOOKUP('Données projet'!$B$13,Paramètres!$A$1:$I$88,3,0)*0.475*44/12</f>
        <v>0</v>
      </c>
      <c r="DH60" s="23">
        <f>EXP(-LN(2)/2)*DH59+(1-EXP(-LN(2)/2))/(LN(2)/2)*DB60*DE60*VLOOKUP('Données projet'!$B$13,Paramètres!$A$1:$I$88,3,0)*0.475*44/12</f>
        <v>0</v>
      </c>
      <c r="DI60" s="24">
        <f t="shared" si="15"/>
        <v>4.8513199728840153</v>
      </c>
      <c r="DJ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9.0200000000000049</v>
      </c>
      <c r="DO60" s="13">
        <f>IF('Données projet'!$A$166&gt;35,DO59+DN60-DW59,IF(A60&lt;'Données projet'!$A$166,$DL$205^A60,IF(A60='Données projet'!$A$166,'Données projet'!$B$166,DO59+DN60-DW59)))</f>
        <v>420.94</v>
      </c>
      <c r="DP60" s="18">
        <f>DO60*VLOOKUP('Données projet'!$B$14,Paramètres!$A$1:$I$88,3,0)*VLOOKUP('Données projet'!$B$14,Paramètres!$A$1:$I$88,5,0)</f>
        <v>328.33320000000003</v>
      </c>
      <c r="DQ60" s="14">
        <f t="shared" si="43"/>
        <v>77.084635229848772</v>
      </c>
      <c r="DR60" s="22">
        <f t="shared" si="16"/>
        <v>706.10272969198661</v>
      </c>
      <c r="DS60" s="59">
        <f t="shared" si="17"/>
        <v>999.43606302531998</v>
      </c>
      <c r="DT60" s="59">
        <f ca="1">AVERAGE(OFFSET($DS$3,0,0,'Données projet'!$E$14+1,1))-AVERAGE(OFFSET($H$3,0,0,'Données projet'!$E$14+1,1))</f>
        <v>458.14328535055694</v>
      </c>
      <c r="DU60" s="59">
        <f t="shared" si="44"/>
        <v>366.75500153675739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projet'!$B$14,Paramètres!$A$1:$I$88,3,0)*0.475*44/12</f>
        <v>8.2816548551660158</v>
      </c>
      <c r="EB60" s="23">
        <f>EXP(-LN(2)/25)*EB59+(1-EXP(-LN(2)/25))/(LN(2)/25)*Calculateur!DW60*Calculateur!DY60*VLOOKUP('Données projet'!$B$14,Paramètres!$A$1:$I$88,3,0)*0.475*44/12</f>
        <v>0</v>
      </c>
      <c r="EC60" s="23">
        <f>EXP(-LN(2)/2)*EC59+(1-EXP(-LN(2)/2))/(LN(2)/2)*DW60*DZ60*VLOOKUP('Données projet'!$B$14,Paramètres!$A$1:$I$88,3,0)*0.475*44/12</f>
        <v>0</v>
      </c>
      <c r="ED60" s="24">
        <f t="shared" si="18"/>
        <v>8.2816548551660158</v>
      </c>
      <c r="EE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12.5</v>
      </c>
      <c r="EJ60" s="13">
        <f>IF('Données projet'!$A$192&gt;35,EJ59+EI60-ER59,IF(A60&lt;'Données projet'!$A$192,$EG$205^A60,IF(A60='Données projet'!$A$192,'Données projet'!$B$192,EJ59+EI60-ER59)))</f>
        <v>425.50000000000017</v>
      </c>
      <c r="EK60" s="18">
        <f>EJ60*VLOOKUP('Données projet'!$B$15,Paramètres!$A$1:$I$88,3,0)*VLOOKUP('Données projet'!$B$15,Paramètres!$A$1:$I$88,5,0)</f>
        <v>365.07900000000018</v>
      </c>
      <c r="EL60" s="14">
        <f t="shared" si="45"/>
        <v>84.659770636969654</v>
      </c>
      <c r="EM60" s="22">
        <f t="shared" si="19"/>
        <v>783.29502552605572</v>
      </c>
      <c r="EN60" s="59">
        <f t="shared" si="20"/>
        <v>1076.628358859389</v>
      </c>
      <c r="EO60" s="59">
        <f ca="1">AVERAGE(OFFSET($EN$3,0,0,'Données projet'!$E$15+1,1))-AVERAGE(OFFSET($H$3,0,0,'Données projet'!$E$15+1,1))</f>
        <v>462.99360395552145</v>
      </c>
      <c r="EP60" s="59">
        <f t="shared" si="46"/>
        <v>153.03880717786046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projet'!$B$15,Paramètres!$A$1:$I$88,3,0)*0.475*44/12</f>
        <v>4.4166213692697829</v>
      </c>
      <c r="EW60" s="23">
        <f>EXP(-LN(2)/25)*EW59+(1-EXP(-LN(2)/25))/(LN(2)/25)*Calculateur!ER60*Calculateur!ET60*VLOOKUP('Données projet'!$B$15,Paramètres!$A$1:$I$88,3,0)*0.475*44/12</f>
        <v>0</v>
      </c>
      <c r="EX60" s="23">
        <f>EXP(-LN(2)/2)*EX59+(1-EXP(-LN(2)/2))/(LN(2)/2)*ER60*EU60*VLOOKUP('Données projet'!$B$15,Paramètres!$A$1:$I$88,3,0)*0.475*44/12</f>
        <v>0</v>
      </c>
      <c r="EY60" s="24">
        <f t="shared" si="21"/>
        <v>4.4166213692697829</v>
      </c>
      <c r="EZ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7.2200000000000042</v>
      </c>
      <c r="FE60" s="13">
        <f>IF('Données projet'!$A$218&gt;35,FE59+FD60-FM59,IF(A60&lt;'Données projet'!$A$218,$FB$205^A60,IF(A60='Données projet'!$A$218,'Données projet'!$B$218,FE59+FD60-FM59)))</f>
        <v>333.34</v>
      </c>
      <c r="FF60" s="18">
        <f>FE60*VLOOKUP('Données projet'!$B$16,Paramètres!$A$1:$I$88,3,0)*VLOOKUP('Données projet'!$B$16,Paramètres!$A$1:$I$88,5,0)</f>
        <v>291.20582400000001</v>
      </c>
      <c r="FG60" s="14">
        <f t="shared" si="47"/>
        <v>69.32968623888415</v>
      </c>
      <c r="FH60" s="22">
        <f t="shared" si="22"/>
        <v>627.93268033272329</v>
      </c>
      <c r="FI60" s="59">
        <f t="shared" si="23"/>
        <v>921.26601366605655</v>
      </c>
      <c r="FJ60" s="59">
        <f ca="1">AVERAGE(OFFSET($FI$3,0,0,'Données projet'!$E$16+1,1))-AVERAGE(OFFSET($H$3,0,0,'Données projet'!$E$16+1,1))</f>
        <v>427.76895185088944</v>
      </c>
      <c r="FK60" s="59">
        <f t="shared" si="48"/>
        <v>308.32543361559135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projet'!$B$16,Paramètres!$A$1:$I$88,3,0)*0.475*44/12</f>
        <v>8.5459425078929865</v>
      </c>
      <c r="FR60" s="23">
        <f>EXP(-LN(2)/25)*FR59+(1-EXP(-LN(2)/25))/(LN(2)/25)*Calculateur!FM60*Calculateur!FO60*VLOOKUP('Données projet'!$B$16,Paramètres!$A$1:$I$88,3,0)*0.475*44/12</f>
        <v>0</v>
      </c>
      <c r="FS60" s="23">
        <f>EXP(-LN(2)/2)*FS59+(1-EXP(-LN(2)/2))/(LN(2)/2)*FM60*FP60*VLOOKUP('Données projet'!$B$16,Paramètres!$A$1:$I$88,3,0)*0.475*44/12</f>
        <v>0</v>
      </c>
      <c r="FT60" s="24">
        <f t="shared" si="24"/>
        <v>8.5459425078929865</v>
      </c>
      <c r="FU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6</v>
      </c>
      <c r="FZ60" s="13">
        <f>IF('Données projet'!$A$244&gt;35,FZ59+FY60-GH59,IF(A60&lt;'Données projet'!$A$244,$FW$205^A60,IF(A60='Données projet'!$A$244,'Données projet'!$B$244,FZ59+FY60-GH59)))</f>
        <v>316.00000000000023</v>
      </c>
      <c r="GA60" s="18">
        <f>FZ60*VLOOKUP('Données projet'!$B$17,Paramètres!$A$1:$I$88,3,0)*VLOOKUP('Données projet'!$B$17,Paramètres!$A$1:$I$88,5,0)</f>
        <v>197.18400000000014</v>
      </c>
      <c r="GB60" s="14">
        <f t="shared" si="49"/>
        <v>49.124786342014929</v>
      </c>
      <c r="GC60" s="22">
        <f t="shared" si="25"/>
        <v>428.98780287900962</v>
      </c>
      <c r="GD60" s="59">
        <f t="shared" si="26"/>
        <v>722.32113621234294</v>
      </c>
      <c r="GE60" s="59">
        <f ca="1">AVERAGE(OFFSET($GD$3,0,0,'Données projet'!$E$17+1,1))-AVERAGE(OFFSET($H$3,0,0,'Données projet'!$E$17+1,1))</f>
        <v>247.85542034088905</v>
      </c>
      <c r="GF60" s="59">
        <f t="shared" si="50"/>
        <v>299.52241743660352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projet'!$B$17,Paramètres!$A$1:$I$88,3,0)*0.475*44/12</f>
        <v>20.637222720034771</v>
      </c>
      <c r="GM60" s="23">
        <f>EXP(-LN(2)/25)*GM59+(1-EXP(-LN(2)/25))/(LN(2)/25)*Calculateur!GH60*Calculateur!GJ60*VLOOKUP('Données projet'!$B$17,Paramètres!$A$1:$I$88,3,0)*0.475*44/12</f>
        <v>35.730609887565087</v>
      </c>
      <c r="GN60" s="23">
        <f>EXP(-LN(2)/2)*GN59+(1-EXP(-LN(2)/2))/(LN(2)/2)*GH60*GK60*VLOOKUP('Données projet'!$B$17,Paramètres!$A$1:$I$88,3,0)*0.475*44/12</f>
        <v>1.9753285412969273</v>
      </c>
      <c r="GO60" s="23">
        <f t="shared" si="27"/>
        <v>58.343161148896783</v>
      </c>
      <c r="GP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3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6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179</v>
      </c>
      <c r="L61" s="13">
        <f>VLOOKUP(A61,'Données projet'!$A$35:$I$55,9,0)</f>
        <v>7.875</v>
      </c>
      <c r="M61" s="13">
        <f t="array" ref="M61">INDEX(L:L,MIN(IF(ISNUMBER(L61:L257),ROW(L61:L257),"")))</f>
        <v>7.875</v>
      </c>
      <c r="N61" s="14">
        <f>IF('Données projet'!$A$36&gt;35,N60+M61-V60,IF(A61&lt;'Données projet'!$A$36,$K$205^A61,IF(A61='Données projet'!$A$36,'Données projet'!$B$36,N60+M61-V60)))</f>
        <v>179</v>
      </c>
      <c r="O61" s="14">
        <f>N61*VLOOKUP('Données projet'!$B$9,Paramètres!$A$1:$I$88,3,0)*VLOOKUP('Données projet'!$B$9,Paramètres!$A$1:$I$88,5,0)</f>
        <v>161.95919999999998</v>
      </c>
      <c r="P61" s="14">
        <f t="shared" si="33"/>
        <v>41.284104935125683</v>
      </c>
      <c r="Q61" s="22">
        <f t="shared" si="53"/>
        <v>353.98208942867717</v>
      </c>
      <c r="R61" s="59">
        <f t="shared" si="0"/>
        <v>647.31542276201048</v>
      </c>
      <c r="S61" s="59">
        <f ca="1">AVERAGE(OFFSET($R$3,0,0,'Données projet'!$E$9+1,1))-AVERAGE(OFFSET($H$3,0,0,'Données projet'!$E$9+1,1))</f>
        <v>247.57967230773539</v>
      </c>
      <c r="T61" s="59">
        <f t="shared" si="34"/>
        <v>156.58857589533295</v>
      </c>
      <c r="U61" s="16">
        <f>IF(ISNA(VLOOKUP(A61,'Données projet'!$A$35:$I$55,3,0)),0,VLOOKUP(A61,'Données projet'!$A$35:$I$55,3,0))</f>
        <v>3</v>
      </c>
      <c r="V61" s="16">
        <f>IF(ISNA(VLOOKUP(A61,'Données projet'!$A$35:$I$55,4,0)),0,VLOOKUP(A61,'Données projet'!$A$35:$I$55,4,0))</f>
        <v>44</v>
      </c>
      <c r="W61" s="17">
        <f>IF(ISNA(VLOOKUP(A61,'Données projet'!$A$35:$I$55,5,0)),0%,VLOOKUP(A61,'Données projet'!$A$35:$I$55,5,0)*VLOOKUP('Données projet'!$B$9,Paramètres!$A$1:$I$88,7,0))</f>
        <v>0.129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10.126640879416426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10.126640879416426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9.0200000000000049</v>
      </c>
      <c r="AI61" s="14">
        <f>IF('Données projet'!$A$62&gt;35,AI60+AH61-AQ60,IF(A61&lt;'Données projet'!$A$62,$AF$205^A61,IF(A61='Données projet'!$A$62,'Données projet'!$B$62,AI60+AH61-AQ60)))</f>
        <v>429.96</v>
      </c>
      <c r="AJ61" s="14">
        <f>AI61*VLOOKUP('Données projet'!$B$10,Paramètres!$A$1:$I$88,3,0)*VLOOKUP('Données projet'!$B$10,Paramètres!$A$1:$I$88,5,0)</f>
        <v>342.07617599999998</v>
      </c>
      <c r="AK61" s="14">
        <f t="shared" si="35"/>
        <v>79.92874542769303</v>
      </c>
      <c r="AL61" s="22">
        <f t="shared" si="4"/>
        <v>734.99190481989865</v>
      </c>
      <c r="AM61" s="59">
        <f t="shared" si="5"/>
        <v>1028.325238153232</v>
      </c>
      <c r="AN61" s="59">
        <f ca="1">AVERAGE(OFFSET($AM$3,0,0,'Données projet'!$E$10+1,1))-AVERAGE(OFFSET($H$3,0,0,'Données projet'!$E$10+1,1))</f>
        <v>504.15006129790828</v>
      </c>
      <c r="AO61" s="59">
        <f t="shared" si="36"/>
        <v>374.39334457402742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10.207604994341821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10.207604994341821</v>
      </c>
      <c r="AY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9.0200000000000049</v>
      </c>
      <c r="BD61" s="13">
        <f>IF('Données projet'!$A$88&gt;35,BD60+BC61-BL60,IF(A61&lt;'Données projet'!$A$88,$BA$205^A61,IF(A61='Données projet'!$A$88,'Données projet'!$B$88,BD60+BC61-BL60)))</f>
        <v>429.96</v>
      </c>
      <c r="BE61" s="14">
        <f>BD61*VLOOKUP('Données projet'!$B$11,Paramètres!$A$1:$I$88,3,0)*VLOOKUP('Données projet'!$B$11,Paramètres!$A$1:$I$88,5,0)</f>
        <v>342.07617599999998</v>
      </c>
      <c r="BF61" s="14">
        <f t="shared" si="37"/>
        <v>79.92874542769303</v>
      </c>
      <c r="BG61" s="22">
        <f t="shared" si="7"/>
        <v>734.99190481989865</v>
      </c>
      <c r="BH61" s="59">
        <f t="shared" si="8"/>
        <v>1028.325238153232</v>
      </c>
      <c r="BI61" s="59">
        <f ca="1">AVERAGE(OFFSET($BH$3,0,0,'Données projet'!$E$11+1,1))-AVERAGE(OFFSET($H$3,0,0,'Données projet'!$E$11+1,1))</f>
        <v>504.15006129790828</v>
      </c>
      <c r="BJ61" s="59">
        <f t="shared" si="38"/>
        <v>374.39334457402742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10.207604994341821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10.207604994341821</v>
      </c>
      <c r="BT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9.0200000000000049</v>
      </c>
      <c r="BY61" s="13">
        <f>IF('Données projet'!$A$114&gt;35,BY60+BX61-CG60,IF(A61&lt;'Données projet'!$A$114,$BV$205^A61,IF(A61='Données projet'!$A$114,'Données projet'!$B$114,BY60+BX61-CG60)))</f>
        <v>429.96</v>
      </c>
      <c r="BZ61" s="14">
        <f>BY61*VLOOKUP('Données projet'!$B$12,Paramètres!$A$1:$I$88,3,0)*VLOOKUP('Données projet'!$B$12,Paramètres!$A$1:$I$88,5,0)</f>
        <v>288.41716799999995</v>
      </c>
      <c r="CA61" s="14">
        <f t="shared" si="39"/>
        <v>68.742720601352602</v>
      </c>
      <c r="CB61" s="22">
        <f t="shared" si="10"/>
        <v>622.05347264735565</v>
      </c>
      <c r="CC61" s="59">
        <f t="shared" si="11"/>
        <v>915.38680598068891</v>
      </c>
      <c r="CD61" s="59">
        <f ca="1">AVERAGE(OFFSET($CC$3,0,0,'Données projet'!$E$12+1,1))-AVERAGE(OFFSET($H$3,0,0,'Données projet'!$E$12+1,1))</f>
        <v>387.15063677712425</v>
      </c>
      <c r="CE61" s="59">
        <f t="shared" si="40"/>
        <v>313.19155394370705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8.6064120540529085</v>
      </c>
      <c r="CL61" s="23">
        <f>EXP(-LN(2)/25)*CL60+(1-EXP(-LN(2)/25))/(LN(2)/25)*Calculateur!CG61*Calculateur!CI61*VLOOKUP('Données projet'!$B$12,Paramètres!$A$1:$I$88,3,0)*0.475*44/12</f>
        <v>0</v>
      </c>
      <c r="CM61" s="23">
        <f>EXP(-LN(2)/2)*CM60+(1-EXP(-LN(2)/2))/(LN(2)/2)*CG61*CJ61*VLOOKUP('Données projet'!$B$12,Paramètres!$A$1:$I$88,3,0)*0.475*44/12</f>
        <v>0</v>
      </c>
      <c r="CN61" s="24">
        <f t="shared" si="12"/>
        <v>8.6064120540529085</v>
      </c>
      <c r="CO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>
        <f>VLOOKUP(A61,'Données projet'!$A$139:$I$159,2,0)</f>
        <v>179</v>
      </c>
      <c r="CR61" s="13">
        <f>VLOOKUP(A61,'Données projet'!$A$139:$I$159,9,0)</f>
        <v>7.875</v>
      </c>
      <c r="CS61" s="13">
        <f t="array" ref="CS61">INDEX(CR:CR,MIN(IF(ISNUMBER(CR61:CR257),ROW(CR61:CR257),"")))</f>
        <v>7.875</v>
      </c>
      <c r="CT61" s="13">
        <f>IF('Données projet'!$A$140&gt;35,CT60+CS61-DB60,IF(A61&lt;'Données projet'!$A$140,$CQ$205^A61,IF(A61='Données projet'!$A$140,'Données projet'!$B$140,CT60+CS61-DB60)))</f>
        <v>179</v>
      </c>
      <c r="CU61" s="18">
        <f>CT61*VLOOKUP('Données projet'!$B$13,Paramètres!$A$1:$I$88,3,0)*VLOOKUP('Données projet'!$B$13,Paramètres!$A$1:$I$88,5,0)</f>
        <v>173.12880000000001</v>
      </c>
      <c r="CV61" s="14">
        <f t="shared" si="41"/>
        <v>43.790025187181634</v>
      </c>
      <c r="CW61" s="22">
        <f t="shared" si="13"/>
        <v>377.80028720100808</v>
      </c>
      <c r="CX61" s="59">
        <f t="shared" si="14"/>
        <v>671.13362053434139</v>
      </c>
      <c r="CY61" s="59">
        <f ca="1">AVERAGE(OFFSET($CX$3,0,0,'Données projet'!$E$13+1,1))-AVERAGE(OFFSET($H$3,0,0,'Données projet'!$E$13+1,1))</f>
        <v>306.00894145276209</v>
      </c>
      <c r="CZ61" s="59">
        <f t="shared" si="42"/>
        <v>168.74705421228828</v>
      </c>
      <c r="DA61" s="16">
        <f>IF(ISNA(VLOOKUP(A61,'Données projet'!$A$139:$I$159,3,0)),0,VLOOKUP(A61,'Données projet'!$A$139:$I$159,3,0))</f>
        <v>3</v>
      </c>
      <c r="DB61" s="16">
        <f>IF(ISNA(VLOOKUP(A61,'Données projet'!$A$139:$I$159,4,0)),0,VLOOKUP(A61,'Données projet'!$A$139:$I$159,4,0))</f>
        <v>44</v>
      </c>
      <c r="DC61" s="17">
        <f>IF(ISNA(VLOOKUP(A61,'Données projet'!$A$139:$I$159,5,0)),0%,VLOOKUP(A61,'Données projet'!$A$139:$I$159,5,0)*VLOOKUP('Données projet'!$B$13,Paramètres!$A$1:$I$88,7,0))</f>
        <v>0.129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10.825029905583078</v>
      </c>
      <c r="DG61" s="23">
        <f>EXP(-LN(2)/25)*DG60+(1-EXP(-LN(2)/25))/(LN(2)/25)*Calculateur!DB61*Calculateur!DD61*VLOOKUP('Données projet'!$B$13,Paramètres!$A$1:$I$88,3,0)*0.475*44/12</f>
        <v>0</v>
      </c>
      <c r="DH61" s="23">
        <f>EXP(-LN(2)/2)*DH60+(1-EXP(-LN(2)/2))/(LN(2)/2)*DB61*DE61*VLOOKUP('Données projet'!$B$13,Paramètres!$A$1:$I$88,3,0)*0.475*44/12</f>
        <v>0</v>
      </c>
      <c r="DI61" s="24">
        <f t="shared" si="15"/>
        <v>10.825029905583078</v>
      </c>
      <c r="DJ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9.0200000000000049</v>
      </c>
      <c r="DO61" s="13">
        <f>IF('Données projet'!$A$166&gt;35,DO60+DN61-DW60,IF(A61&lt;'Données projet'!$A$166,$DL$205^A61,IF(A61='Données projet'!$A$166,'Données projet'!$B$166,DO60+DN61-DW60)))</f>
        <v>429.96</v>
      </c>
      <c r="DP61" s="18">
        <f>DO61*VLOOKUP('Données projet'!$B$14,Paramètres!$A$1:$I$88,3,0)*VLOOKUP('Données projet'!$B$14,Paramètres!$A$1:$I$88,5,0)</f>
        <v>335.36880000000002</v>
      </c>
      <c r="DQ61" s="14">
        <f t="shared" si="43"/>
        <v>78.542348773681553</v>
      </c>
      <c r="DR61" s="22">
        <f t="shared" si="16"/>
        <v>720.89525078082863</v>
      </c>
      <c r="DS61" s="59">
        <f t="shared" si="17"/>
        <v>1014.228584114162</v>
      </c>
      <c r="DT61" s="59">
        <f ca="1">AVERAGE(OFFSET($DS$3,0,0,'Données projet'!$E$14+1,1))-AVERAGE(OFFSET($H$3,0,0,'Données projet'!$E$14+1,1))</f>
        <v>458.14328535055694</v>
      </c>
      <c r="DU61" s="59">
        <f t="shared" si="44"/>
        <v>366.75500153675739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projet'!$B$14,Paramètres!$A$1:$I$88,3,0)*0.475*44/12</f>
        <v>8.1192566547668967</v>
      </c>
      <c r="EB61" s="23">
        <f>EXP(-LN(2)/25)*EB60+(1-EXP(-LN(2)/25))/(LN(2)/25)*Calculateur!DW61*Calculateur!DY61*VLOOKUP('Données projet'!$B$14,Paramètres!$A$1:$I$88,3,0)*0.475*44/12</f>
        <v>0</v>
      </c>
      <c r="EC61" s="23">
        <f>EXP(-LN(2)/2)*EC60+(1-EXP(-LN(2)/2))/(LN(2)/2)*DW61*DZ61*VLOOKUP('Données projet'!$B$14,Paramètres!$A$1:$I$88,3,0)*0.475*44/12</f>
        <v>0</v>
      </c>
      <c r="ED61" s="24">
        <f t="shared" si="18"/>
        <v>8.1192566547668967</v>
      </c>
      <c r="EE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12.5</v>
      </c>
      <c r="EJ61" s="13">
        <f>IF('Données projet'!$A$192&gt;35,EJ60+EI61-ER60,IF(A61&lt;'Données projet'!$A$192,$EG$205^A61,IF(A61='Données projet'!$A$192,'Données projet'!$B$192,EJ60+EI61-ER60)))</f>
        <v>438.00000000000017</v>
      </c>
      <c r="EK61" s="18">
        <f>EJ61*VLOOKUP('Données projet'!$B$15,Paramètres!$A$1:$I$88,3,0)*VLOOKUP('Données projet'!$B$15,Paramètres!$A$1:$I$88,5,0)</f>
        <v>375.8040000000002</v>
      </c>
      <c r="EL61" s="14">
        <f t="shared" si="45"/>
        <v>86.853626438441339</v>
      </c>
      <c r="EM61" s="22">
        <f t="shared" si="19"/>
        <v>805.79536604695238</v>
      </c>
      <c r="EN61" s="59">
        <f t="shared" si="20"/>
        <v>1099.1286993802858</v>
      </c>
      <c r="EO61" s="59">
        <f ca="1">AVERAGE(OFFSET($EN$3,0,0,'Données projet'!$E$15+1,1))-AVERAGE(OFFSET($H$3,0,0,'Données projet'!$E$15+1,1))</f>
        <v>462.99360395552145</v>
      </c>
      <c r="EP61" s="59">
        <f t="shared" si="46"/>
        <v>153.03880717786046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projet'!$B$15,Paramètres!$A$1:$I$88,3,0)*0.475*44/12</f>
        <v>4.33001411809144</v>
      </c>
      <c r="EW61" s="23">
        <f>EXP(-LN(2)/25)*EW60+(1-EXP(-LN(2)/25))/(LN(2)/25)*Calculateur!ER61*Calculateur!ET61*VLOOKUP('Données projet'!$B$15,Paramètres!$A$1:$I$88,3,0)*0.475*44/12</f>
        <v>0</v>
      </c>
      <c r="EX61" s="23">
        <f>EXP(-LN(2)/2)*EX60+(1-EXP(-LN(2)/2))/(LN(2)/2)*ER61*EU61*VLOOKUP('Données projet'!$B$15,Paramètres!$A$1:$I$88,3,0)*0.475*44/12</f>
        <v>0</v>
      </c>
      <c r="EY61" s="24">
        <f t="shared" si="21"/>
        <v>4.33001411809144</v>
      </c>
      <c r="EZ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7.2200000000000042</v>
      </c>
      <c r="FE61" s="13">
        <f>IF('Données projet'!$A$218&gt;35,FE60+FD61-FM60,IF(A61&lt;'Données projet'!$A$218,$FB$205^A61,IF(A61='Données projet'!$A$218,'Données projet'!$B$218,FE60+FD61-FM60)))</f>
        <v>340.56</v>
      </c>
      <c r="FF61" s="18">
        <f>FE61*VLOOKUP('Données projet'!$B$16,Paramètres!$A$1:$I$88,3,0)*VLOOKUP('Données projet'!$B$16,Paramètres!$A$1:$I$88,5,0)</f>
        <v>297.51321600000006</v>
      </c>
      <c r="FG61" s="14">
        <f t="shared" si="47"/>
        <v>70.654885745402908</v>
      </c>
      <c r="FH61" s="22">
        <f t="shared" si="22"/>
        <v>641.22611053991011</v>
      </c>
      <c r="FI61" s="59">
        <f t="shared" si="23"/>
        <v>934.55944387324348</v>
      </c>
      <c r="FJ61" s="59">
        <f ca="1">AVERAGE(OFFSET($FI$3,0,0,'Données projet'!$E$16+1,1))-AVERAGE(OFFSET($H$3,0,0,'Données projet'!$E$16+1,1))</f>
        <v>427.76895185088944</v>
      </c>
      <c r="FK61" s="59">
        <f t="shared" si="48"/>
        <v>308.32543361559135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projet'!$B$16,Paramètres!$A$1:$I$88,3,0)*0.475*44/12</f>
        <v>8.378361787823442</v>
      </c>
      <c r="FR61" s="23">
        <f>EXP(-LN(2)/25)*FR60+(1-EXP(-LN(2)/25))/(LN(2)/25)*Calculateur!FM61*Calculateur!FO61*VLOOKUP('Données projet'!$B$16,Paramètres!$A$1:$I$88,3,0)*0.475*44/12</f>
        <v>0</v>
      </c>
      <c r="FS61" s="23">
        <f>EXP(-LN(2)/2)*FS60+(1-EXP(-LN(2)/2))/(LN(2)/2)*FM61*FP61*VLOOKUP('Données projet'!$B$16,Paramètres!$A$1:$I$88,3,0)*0.475*44/12</f>
        <v>0</v>
      </c>
      <c r="FT61" s="24">
        <f t="shared" si="24"/>
        <v>8.378361787823442</v>
      </c>
      <c r="FU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6</v>
      </c>
      <c r="FZ61" s="13">
        <f>IF('Données projet'!$A$244&gt;35,FZ60+FY61-GH60,IF(A61&lt;'Données projet'!$A$244,$FW$205^A61,IF(A61='Données projet'!$A$244,'Données projet'!$B$244,FZ60+FY61-GH60)))</f>
        <v>322.00000000000023</v>
      </c>
      <c r="GA61" s="18">
        <f>FZ61*VLOOKUP('Données projet'!$B$17,Paramètres!$A$1:$I$88,3,0)*VLOOKUP('Données projet'!$B$17,Paramètres!$A$1:$I$88,5,0)</f>
        <v>200.92800000000017</v>
      </c>
      <c r="GB61" s="14">
        <f t="shared" si="49"/>
        <v>49.948059057189084</v>
      </c>
      <c r="GC61" s="22">
        <f t="shared" si="25"/>
        <v>436.94246952460458</v>
      </c>
      <c r="GD61" s="59">
        <f t="shared" si="26"/>
        <v>730.27580285793783</v>
      </c>
      <c r="GE61" s="59">
        <f ca="1">AVERAGE(OFFSET($GD$3,0,0,'Données projet'!$E$17+1,1))-AVERAGE(OFFSET($H$3,0,0,'Données projet'!$E$17+1,1))</f>
        <v>247.85542034088905</v>
      </c>
      <c r="GF61" s="59">
        <f t="shared" si="50"/>
        <v>299.52241743660352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projet'!$B$17,Paramètres!$A$1:$I$88,3,0)*0.475*44/12</f>
        <v>20.232539369957838</v>
      </c>
      <c r="GM61" s="23">
        <f>EXP(-LN(2)/25)*GM60+(1-EXP(-LN(2)/25))/(LN(2)/25)*Calculateur!GH61*Calculateur!GJ61*VLOOKUP('Données projet'!$B$17,Paramètres!$A$1:$I$88,3,0)*0.475*44/12</f>
        <v>34.753554481198506</v>
      </c>
      <c r="GN61" s="23">
        <f>EXP(-LN(2)/2)*GN60+(1-EXP(-LN(2)/2))/(LN(2)/2)*GH61*GK61*VLOOKUP('Données projet'!$B$17,Paramètres!$A$1:$I$88,3,0)*0.475*44/12</f>
        <v>1.3967682066223885</v>
      </c>
      <c r="GO61" s="23">
        <f t="shared" si="27"/>
        <v>56.382862057778731</v>
      </c>
      <c r="GP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3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6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6.875</v>
      </c>
      <c r="N62" s="14">
        <f>IF('Données projet'!$A$36&gt;35,N61+M62-V61,IF(A62&lt;'Données projet'!$A$36,$K$205^A62,IF(A62='Données projet'!$A$36,'Données projet'!$B$36,N61+M62-V61)))</f>
        <v>141.875</v>
      </c>
      <c r="O62" s="14">
        <f>N62*VLOOKUP('Données projet'!$B$9,Paramètres!$A$1:$I$88,3,0)*VLOOKUP('Données projet'!$B$9,Paramètres!$A$1:$I$88,5,0)</f>
        <v>128.36849999999998</v>
      </c>
      <c r="P62" s="14">
        <f t="shared" si="33"/>
        <v>33.619090931219688</v>
      </c>
      <c r="Q62" s="22">
        <f t="shared" si="53"/>
        <v>282.12838753854095</v>
      </c>
      <c r="R62" s="59">
        <f t="shared" si="0"/>
        <v>575.46172087187426</v>
      </c>
      <c r="S62" s="59">
        <f ca="1">AVERAGE(OFFSET($R$3,0,0,'Données projet'!$E$9+1,1))-AVERAGE(OFFSET($H$3,0,0,'Données projet'!$E$9+1,1))</f>
        <v>247.57967230773539</v>
      </c>
      <c r="T62" s="59">
        <f t="shared" si="34"/>
        <v>156.58857589533295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9.9280636284121133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9.9280636284121133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9.0200000000000049</v>
      </c>
      <c r="AI62" s="14">
        <f>IF('Données projet'!$A$62&gt;35,AI61+AH62-AQ61,IF(A62&lt;'Données projet'!$A$62,$AF$205^A62,IF(A62='Données projet'!$A$62,'Données projet'!$B$62,AI61+AH62-AQ61)))</f>
        <v>438.97999999999996</v>
      </c>
      <c r="AJ62" s="14">
        <f>AI62*VLOOKUP('Données projet'!$B$10,Paramètres!$A$1:$I$88,3,0)*VLOOKUP('Données projet'!$B$10,Paramètres!$A$1:$I$88,5,0)</f>
        <v>349.25248799999997</v>
      </c>
      <c r="AK62" s="14">
        <f t="shared" si="35"/>
        <v>81.408571606331748</v>
      </c>
      <c r="AL62" s="22">
        <f t="shared" si="4"/>
        <v>750.06801214769439</v>
      </c>
      <c r="AM62" s="59">
        <f t="shared" si="5"/>
        <v>1043.4013454810276</v>
      </c>
      <c r="AN62" s="59">
        <f ca="1">AVERAGE(OFFSET($AM$3,0,0,'Données projet'!$E$10+1,1))-AVERAGE(OFFSET($H$3,0,0,'Données projet'!$E$10+1,1))</f>
        <v>504.15006129790828</v>
      </c>
      <c r="AO62" s="59">
        <f t="shared" si="36"/>
        <v>374.39334457402742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10.007440086427057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10.007440086427057</v>
      </c>
      <c r="AY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9.0200000000000049</v>
      </c>
      <c r="BD62" s="13">
        <f>IF('Données projet'!$A$88&gt;35,BD61+BC62-BL61,IF(A62&lt;'Données projet'!$A$88,$BA$205^A62,IF(A62='Données projet'!$A$88,'Données projet'!$B$88,BD61+BC62-BL61)))</f>
        <v>438.97999999999996</v>
      </c>
      <c r="BE62" s="14">
        <f>BD62*VLOOKUP('Données projet'!$B$11,Paramètres!$A$1:$I$88,3,0)*VLOOKUP('Données projet'!$B$11,Paramètres!$A$1:$I$88,5,0)</f>
        <v>349.25248799999997</v>
      </c>
      <c r="BF62" s="14">
        <f t="shared" si="37"/>
        <v>81.408571606331748</v>
      </c>
      <c r="BG62" s="22">
        <f t="shared" si="7"/>
        <v>750.06801214769439</v>
      </c>
      <c r="BH62" s="59">
        <f t="shared" si="8"/>
        <v>1043.4013454810276</v>
      </c>
      <c r="BI62" s="59">
        <f ca="1">AVERAGE(OFFSET($BH$3,0,0,'Données projet'!$E$11+1,1))-AVERAGE(OFFSET($H$3,0,0,'Données projet'!$E$11+1,1))</f>
        <v>504.15006129790828</v>
      </c>
      <c r="BJ62" s="59">
        <f t="shared" si="38"/>
        <v>374.39334457402742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10.007440086427057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10.007440086427057</v>
      </c>
      <c r="BT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9.0200000000000049</v>
      </c>
      <c r="BY62" s="13">
        <f>IF('Données projet'!$A$114&gt;35,BY61+BX62-CG61,IF(A62&lt;'Données projet'!$A$114,$BV$205^A62,IF(A62='Données projet'!$A$114,'Données projet'!$B$114,BY61+BX62-CG61)))</f>
        <v>438.97999999999996</v>
      </c>
      <c r="BZ62" s="14">
        <f>BY62*VLOOKUP('Données projet'!$B$12,Paramètres!$A$1:$I$88,3,0)*VLOOKUP('Données projet'!$B$12,Paramètres!$A$1:$I$88,5,0)</f>
        <v>294.46778399999999</v>
      </c>
      <c r="CA62" s="14">
        <f t="shared" si="39"/>
        <v>70.015445163616079</v>
      </c>
      <c r="CB62" s="22">
        <f t="shared" si="10"/>
        <v>634.80829079329794</v>
      </c>
      <c r="CC62" s="59">
        <f t="shared" si="11"/>
        <v>928.14162412663131</v>
      </c>
      <c r="CD62" s="59">
        <f ca="1">AVERAGE(OFFSET($CC$3,0,0,'Données projet'!$E$12+1,1))-AVERAGE(OFFSET($H$3,0,0,'Données projet'!$E$12+1,1))</f>
        <v>387.15063677712425</v>
      </c>
      <c r="CE62" s="59">
        <f t="shared" si="40"/>
        <v>313.19155394370705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8.4376455630659493</v>
      </c>
      <c r="CL62" s="23">
        <f>EXP(-LN(2)/25)*CL61+(1-EXP(-LN(2)/25))/(LN(2)/25)*Calculateur!CG62*Calculateur!CI62*VLOOKUP('Données projet'!$B$12,Paramètres!$A$1:$I$88,3,0)*0.475*44/12</f>
        <v>0</v>
      </c>
      <c r="CM62" s="23">
        <f>EXP(-LN(2)/2)*CM61+(1-EXP(-LN(2)/2))/(LN(2)/2)*CG62*CJ62*VLOOKUP('Données projet'!$B$12,Paramètres!$A$1:$I$88,3,0)*0.475*44/12</f>
        <v>0</v>
      </c>
      <c r="CN62" s="24">
        <f t="shared" si="12"/>
        <v>8.4376455630659493</v>
      </c>
      <c r="CO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6.875</v>
      </c>
      <c r="CT62" s="13">
        <f>IF('Données projet'!$A$140&gt;35,CT61+CS62-DB61,IF(A62&lt;'Données projet'!$A$140,$CQ$205^A62,IF(A62='Données projet'!$A$140,'Données projet'!$B$140,CT61+CS62-DB61)))</f>
        <v>141.875</v>
      </c>
      <c r="CU62" s="18">
        <f>CT62*VLOOKUP('Données projet'!$B$13,Paramètres!$A$1:$I$88,3,0)*VLOOKUP('Données projet'!$B$13,Paramètres!$A$1:$I$88,5,0)</f>
        <v>137.22150000000002</v>
      </c>
      <c r="CV62" s="14">
        <f t="shared" si="41"/>
        <v>35.65974945954769</v>
      </c>
      <c r="CW62" s="22">
        <f t="shared" si="13"/>
        <v>301.10150947537892</v>
      </c>
      <c r="CX62" s="59">
        <f t="shared" si="14"/>
        <v>594.43484280871223</v>
      </c>
      <c r="CY62" s="59">
        <f ca="1">AVERAGE(OFFSET($CX$3,0,0,'Données projet'!$E$13+1,1))-AVERAGE(OFFSET($H$3,0,0,'Données projet'!$E$13+1,1))</f>
        <v>306.00894145276209</v>
      </c>
      <c r="CZ62" s="59">
        <f t="shared" si="42"/>
        <v>168.74705421228828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10.612757671750881</v>
      </c>
      <c r="DG62" s="23">
        <f>EXP(-LN(2)/25)*DG61+(1-EXP(-LN(2)/25))/(LN(2)/25)*Calculateur!DB62*Calculateur!DD62*VLOOKUP('Données projet'!$B$13,Paramètres!$A$1:$I$88,3,0)*0.475*44/12</f>
        <v>0</v>
      </c>
      <c r="DH62" s="23">
        <f>EXP(-LN(2)/2)*DH61+(1-EXP(-LN(2)/2))/(LN(2)/2)*DB62*DE62*VLOOKUP('Données projet'!$B$13,Paramètres!$A$1:$I$88,3,0)*0.475*44/12</f>
        <v>0</v>
      </c>
      <c r="DI62" s="24">
        <f t="shared" si="15"/>
        <v>10.612757671750881</v>
      </c>
      <c r="DJ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9.0200000000000049</v>
      </c>
      <c r="DO62" s="13">
        <f>IF('Données projet'!$A$166&gt;35,DO61+DN62-DW61,IF(A62&lt;'Données projet'!$A$166,$DL$205^A62,IF(A62='Données projet'!$A$166,'Données projet'!$B$166,DO61+DN62-DW61)))</f>
        <v>438.97999999999996</v>
      </c>
      <c r="DP62" s="18">
        <f>DO62*VLOOKUP('Données projet'!$B$14,Paramètres!$A$1:$I$88,3,0)*VLOOKUP('Données projet'!$B$14,Paramètres!$A$1:$I$88,5,0)</f>
        <v>342.40440000000001</v>
      </c>
      <c r="DQ62" s="14">
        <f t="shared" si="43"/>
        <v>79.996506764341092</v>
      </c>
      <c r="DR62" s="22">
        <f t="shared" si="16"/>
        <v>735.6815792812273</v>
      </c>
      <c r="DS62" s="59">
        <f t="shared" si="17"/>
        <v>1029.0149126145607</v>
      </c>
      <c r="DT62" s="59">
        <f ca="1">AVERAGE(OFFSET($DS$3,0,0,'Données projet'!$E$14+1,1))-AVERAGE(OFFSET($H$3,0,0,'Données projet'!$E$14+1,1))</f>
        <v>458.14328535055694</v>
      </c>
      <c r="DU62" s="59">
        <f t="shared" si="44"/>
        <v>366.75500153675739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projet'!$B$14,Paramètres!$A$1:$I$88,3,0)*0.475*44/12</f>
        <v>7.9600429840244828</v>
      </c>
      <c r="EB62" s="23">
        <f>EXP(-LN(2)/25)*EB61+(1-EXP(-LN(2)/25))/(LN(2)/25)*Calculateur!DW62*Calculateur!DY62*VLOOKUP('Données projet'!$B$14,Paramètres!$A$1:$I$88,3,0)*0.475*44/12</f>
        <v>0</v>
      </c>
      <c r="EC62" s="23">
        <f>EXP(-LN(2)/2)*EC61+(1-EXP(-LN(2)/2))/(LN(2)/2)*DW62*DZ62*VLOOKUP('Données projet'!$B$14,Paramètres!$A$1:$I$88,3,0)*0.475*44/12</f>
        <v>0</v>
      </c>
      <c r="ED62" s="24">
        <f t="shared" si="18"/>
        <v>7.9600429840244828</v>
      </c>
      <c r="EE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12.5</v>
      </c>
      <c r="EJ62" s="13">
        <f>IF('Données projet'!$A$192&gt;35,EJ61+EI62-ER61,IF(A62&lt;'Données projet'!$A$192,$EG$205^A62,IF(A62='Données projet'!$A$192,'Données projet'!$B$192,EJ61+EI62-ER61)))</f>
        <v>450.50000000000017</v>
      </c>
      <c r="EK62" s="18">
        <f>EJ62*VLOOKUP('Données projet'!$B$15,Paramètres!$A$1:$I$88,3,0)*VLOOKUP('Données projet'!$B$15,Paramètres!$A$1:$I$88,5,0)</f>
        <v>386.52900000000022</v>
      </c>
      <c r="EL62" s="14">
        <f t="shared" si="45"/>
        <v>89.040205478879585</v>
      </c>
      <c r="EM62" s="22">
        <f t="shared" si="19"/>
        <v>828.28303287571555</v>
      </c>
      <c r="EN62" s="59">
        <f t="shared" si="20"/>
        <v>1121.6163662090489</v>
      </c>
      <c r="EO62" s="59">
        <f ca="1">AVERAGE(OFFSET($EN$3,0,0,'Données projet'!$E$15+1,1))-AVERAGE(OFFSET($H$3,0,0,'Données projet'!$E$15+1,1))</f>
        <v>462.99360395552145</v>
      </c>
      <c r="EP62" s="59">
        <f t="shared" si="46"/>
        <v>153.03880717786046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projet'!$B$15,Paramètres!$A$1:$I$88,3,0)*0.475*44/12</f>
        <v>4.2451051822834973</v>
      </c>
      <c r="EW62" s="23">
        <f>EXP(-LN(2)/25)*EW61+(1-EXP(-LN(2)/25))/(LN(2)/25)*Calculateur!ER62*Calculateur!ET62*VLOOKUP('Données projet'!$B$15,Paramètres!$A$1:$I$88,3,0)*0.475*44/12</f>
        <v>0</v>
      </c>
      <c r="EX62" s="23">
        <f>EXP(-LN(2)/2)*EX61+(1-EXP(-LN(2)/2))/(LN(2)/2)*ER62*EU62*VLOOKUP('Données projet'!$B$15,Paramètres!$A$1:$I$88,3,0)*0.475*44/12</f>
        <v>0</v>
      </c>
      <c r="EY62" s="24">
        <f t="shared" si="21"/>
        <v>4.2451051822834973</v>
      </c>
      <c r="EZ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7.2200000000000042</v>
      </c>
      <c r="FE62" s="13">
        <f>IF('Données projet'!$A$218&gt;35,FE61+FD62-FM61,IF(A62&lt;'Données projet'!$A$218,$FB$205^A62,IF(A62='Données projet'!$A$218,'Données projet'!$B$218,FE61+FD62-FM61)))</f>
        <v>347.78000000000003</v>
      </c>
      <c r="FF62" s="18">
        <f>FE62*VLOOKUP('Données projet'!$B$16,Paramètres!$A$1:$I$88,3,0)*VLOOKUP('Données projet'!$B$16,Paramètres!$A$1:$I$88,5,0)</f>
        <v>303.82060800000005</v>
      </c>
      <c r="FG62" s="14">
        <f t="shared" si="47"/>
        <v>71.9768187986801</v>
      </c>
      <c r="FH62" s="22">
        <f t="shared" si="22"/>
        <v>654.51385167436786</v>
      </c>
      <c r="FI62" s="59">
        <f t="shared" si="23"/>
        <v>947.84718500770123</v>
      </c>
      <c r="FJ62" s="59">
        <f ca="1">AVERAGE(OFFSET($FI$3,0,0,'Données projet'!$E$16+1,1))-AVERAGE(OFFSET($H$3,0,0,'Données projet'!$E$16+1,1))</f>
        <v>427.76895185088944</v>
      </c>
      <c r="FK62" s="59">
        <f t="shared" si="48"/>
        <v>308.32543361559135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projet'!$B$16,Paramètres!$A$1:$I$88,3,0)*0.475*44/12</f>
        <v>8.2140672234603151</v>
      </c>
      <c r="FR62" s="23">
        <f>EXP(-LN(2)/25)*FR61+(1-EXP(-LN(2)/25))/(LN(2)/25)*Calculateur!FM62*Calculateur!FO62*VLOOKUP('Données projet'!$B$16,Paramètres!$A$1:$I$88,3,0)*0.475*44/12</f>
        <v>0</v>
      </c>
      <c r="FS62" s="23">
        <f>EXP(-LN(2)/2)*FS61+(1-EXP(-LN(2)/2))/(LN(2)/2)*FM62*FP62*VLOOKUP('Données projet'!$B$16,Paramètres!$A$1:$I$88,3,0)*0.475*44/12</f>
        <v>0</v>
      </c>
      <c r="FT62" s="24">
        <f t="shared" si="24"/>
        <v>8.2140672234603151</v>
      </c>
      <c r="FU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6</v>
      </c>
      <c r="FZ62" s="13">
        <f>IF('Données projet'!$A$244&gt;35,FZ61+FY62-GH61,IF(A62&lt;'Données projet'!$A$244,$FW$205^A62,IF(A62='Données projet'!$A$244,'Données projet'!$B$244,FZ61+FY62-GH61)))</f>
        <v>328.00000000000023</v>
      </c>
      <c r="GA62" s="18">
        <f>FZ62*VLOOKUP('Données projet'!$B$17,Paramètres!$A$1:$I$88,3,0)*VLOOKUP('Données projet'!$B$17,Paramètres!$A$1:$I$88,5,0)</f>
        <v>204.67200000000014</v>
      </c>
      <c r="GB62" s="14">
        <f t="shared" si="49"/>
        <v>50.769547965810702</v>
      </c>
      <c r="GC62" s="22">
        <f t="shared" si="25"/>
        <v>444.89402937378719</v>
      </c>
      <c r="GD62" s="59">
        <f t="shared" si="26"/>
        <v>738.22736270712051</v>
      </c>
      <c r="GE62" s="59">
        <f ca="1">AVERAGE(OFFSET($GD$3,0,0,'Données projet'!$E$17+1,1))-AVERAGE(OFFSET($H$3,0,0,'Données projet'!$E$17+1,1))</f>
        <v>247.85542034088905</v>
      </c>
      <c r="GF62" s="59">
        <f t="shared" si="50"/>
        <v>299.52241743660352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projet'!$B$17,Paramètres!$A$1:$I$88,3,0)*0.475*44/12</f>
        <v>19.835791613543446</v>
      </c>
      <c r="GM62" s="23">
        <f>EXP(-LN(2)/25)*GM61+(1-EXP(-LN(2)/25))/(LN(2)/25)*Calculateur!GH62*Calculateur!GJ62*VLOOKUP('Données projet'!$B$17,Paramètres!$A$1:$I$88,3,0)*0.475*44/12</f>
        <v>33.803216706300134</v>
      </c>
      <c r="GN62" s="23">
        <f>EXP(-LN(2)/2)*GN61+(1-EXP(-LN(2)/2))/(LN(2)/2)*GH62*GK62*VLOOKUP('Données projet'!$B$17,Paramètres!$A$1:$I$88,3,0)*0.475*44/12</f>
        <v>0.98766427064846374</v>
      </c>
      <c r="GO62" s="23">
        <f t="shared" si="27"/>
        <v>54.626672590492049</v>
      </c>
      <c r="GP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3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6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6.875</v>
      </c>
      <c r="N63" s="14">
        <f>IF('Données projet'!$A$36&gt;35,N62+M63-V62,IF(A63&lt;'Données projet'!$A$36,$K$205^A63,IF(A63='Données projet'!$A$36,'Données projet'!$B$36,N62+M63-V62)))</f>
        <v>148.75</v>
      </c>
      <c r="O63" s="14">
        <f>N63*VLOOKUP('Données projet'!$B$9,Paramètres!$A$1:$I$88,3,0)*VLOOKUP('Données projet'!$B$9,Paramètres!$A$1:$I$88,5,0)</f>
        <v>134.589</v>
      </c>
      <c r="P63" s="14">
        <f t="shared" si="33"/>
        <v>35.054592075821937</v>
      </c>
      <c r="Q63" s="22">
        <f t="shared" si="53"/>
        <v>295.46258953205654</v>
      </c>
      <c r="R63" s="59">
        <f t="shared" si="0"/>
        <v>588.79592286538991</v>
      </c>
      <c r="S63" s="59">
        <f ca="1">AVERAGE(OFFSET($R$3,0,0,'Données projet'!$E$9+1,1))-AVERAGE(OFFSET($H$3,0,0,'Données projet'!$E$9+1,1))</f>
        <v>247.57967230773539</v>
      </c>
      <c r="T63" s="59">
        <f t="shared" si="34"/>
        <v>156.58857589533295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9.7333803561798327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9.7333803561798327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448</v>
      </c>
      <c r="AG63" s="13">
        <f>VLOOKUP(A63,'Données projet'!$A$61:$I$81,9,0)</f>
        <v>9.0200000000000049</v>
      </c>
      <c r="AH63" s="13">
        <f t="array" ref="AH63">INDEX(AG:AG,MIN(IF(ISNUMBER(AG63:AG259),ROW(AG63:AG259),"")))</f>
        <v>9.0200000000000049</v>
      </c>
      <c r="AI63" s="14">
        <f>IF('Données projet'!$A$62&gt;35,AI62+AH63-AQ62,IF(A63&lt;'Données projet'!$A$62,$AF$205^A63,IF(A63='Données projet'!$A$62,'Données projet'!$B$62,AI62+AH63-AQ62)))</f>
        <v>447.99999999999994</v>
      </c>
      <c r="AJ63" s="14">
        <f>AI63*VLOOKUP('Données projet'!$B$10,Paramètres!$A$1:$I$88,3,0)*VLOOKUP('Données projet'!$B$10,Paramètres!$A$1:$I$88,5,0)</f>
        <v>356.42879999999997</v>
      </c>
      <c r="AK63" s="14">
        <f t="shared" si="35"/>
        <v>82.884862385137708</v>
      </c>
      <c r="AL63" s="22">
        <f t="shared" si="4"/>
        <v>765.13796198744819</v>
      </c>
      <c r="AM63" s="59">
        <f t="shared" si="5"/>
        <v>1058.4712953207816</v>
      </c>
      <c r="AN63" s="59">
        <f ca="1">AVERAGE(OFFSET($AM$3,0,0,'Données projet'!$E$10+1,1))-AVERAGE(OFFSET($H$3,0,0,'Données projet'!$E$10+1,1))</f>
        <v>504.15006129790828</v>
      </c>
      <c r="AO63" s="59">
        <f t="shared" si="36"/>
        <v>374.39334457402742</v>
      </c>
      <c r="AP63" s="16">
        <f>IF(ISNA(VLOOKUP(A63,'Données projet'!$A$61:$I$81,3,0)),0,VLOOKUP(A63,'Données projet'!$A$61:$I$81,3,0))</f>
        <v>10</v>
      </c>
      <c r="AQ63" s="16">
        <f>IF(ISNA(VLOOKUP(A63,'Données projet'!$A$61:$I$81,4,0)),0,VLOOKUP(A63,'Données projet'!$A$61:$I$81,4,0))</f>
        <v>15.6</v>
      </c>
      <c r="AR63" s="17">
        <f>IF(ISNA(VLOOKUP(A63,'Données projet'!$A$61:$I$81,5,0)),0%,VLOOKUP(A63,'Données projet'!$A$61:$I$81,5,0)*VLOOKUP('Données projet'!$B$10,Paramètres!$A$1:$I$88,7,0))</f>
        <v>0.21200000000000002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12.719923150408617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12.719923150408617</v>
      </c>
      <c r="AY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448</v>
      </c>
      <c r="BB63" s="13">
        <f>VLOOKUP(A63,'Données projet'!$A$87:$I$107,9,0)</f>
        <v>9.0200000000000049</v>
      </c>
      <c r="BC63" s="13">
        <f t="array" ref="BC63">INDEX(BB:BB,MIN(IF(ISNUMBER(BB63:BB259),ROW(BB63:BB259),"")))</f>
        <v>9.0200000000000049</v>
      </c>
      <c r="BD63" s="13">
        <f>IF('Données projet'!$A$88&gt;35,BD62+BC63-BL62,IF(A63&lt;'Données projet'!$A$88,$BA$205^A63,IF(A63='Données projet'!$A$88,'Données projet'!$B$88,BD62+BC63-BL62)))</f>
        <v>447.99999999999994</v>
      </c>
      <c r="BE63" s="14">
        <f>BD63*VLOOKUP('Données projet'!$B$11,Paramètres!$A$1:$I$88,3,0)*VLOOKUP('Données projet'!$B$11,Paramètres!$A$1:$I$88,5,0)</f>
        <v>356.42879999999997</v>
      </c>
      <c r="BF63" s="14">
        <f t="shared" si="37"/>
        <v>82.884862385137708</v>
      </c>
      <c r="BG63" s="22">
        <f t="shared" si="7"/>
        <v>765.13796198744819</v>
      </c>
      <c r="BH63" s="59">
        <f t="shared" si="8"/>
        <v>1058.4712953207816</v>
      </c>
      <c r="BI63" s="59">
        <f ca="1">AVERAGE(OFFSET($BH$3,0,0,'Données projet'!$E$11+1,1))-AVERAGE(OFFSET($H$3,0,0,'Données projet'!$E$11+1,1))</f>
        <v>504.15006129790828</v>
      </c>
      <c r="BJ63" s="59">
        <f t="shared" si="38"/>
        <v>374.39334457402742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15.6</v>
      </c>
      <c r="BM63" s="17">
        <f>IF(ISNA(VLOOKUP(A63,'Données projet'!$A$87:$I$107,5,0)),0%,VLOOKUP(A63,'Données projet'!$A$87:$I$107,5,0)*VLOOKUP('Données projet'!$B$11,Paramètres!$A$1:$I$88,7,0))</f>
        <v>0.21200000000000002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12.719923150408617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12.719923150408617</v>
      </c>
      <c r="BT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448</v>
      </c>
      <c r="BW63" s="13">
        <f>VLOOKUP(A63,'Données projet'!$A$113:$I$133,9,0)</f>
        <v>9.0200000000000049</v>
      </c>
      <c r="BX63" s="13">
        <f t="array" ref="BX63">INDEX(BW:BW,MIN(IF(ISNUMBER(BW63:BW259),ROW(BW63:BW259),"")))</f>
        <v>9.0200000000000049</v>
      </c>
      <c r="BY63" s="13">
        <f>IF('Données projet'!$A$114&gt;35,BY62+BX63-CG62,IF(A63&lt;'Données projet'!$A$114,$BV$205^A63,IF(A63='Données projet'!$A$114,'Données projet'!$B$114,BY62+BX63-CG62)))</f>
        <v>447.99999999999994</v>
      </c>
      <c r="BZ63" s="14">
        <f>BY63*VLOOKUP('Données projet'!$B$12,Paramètres!$A$1:$I$88,3,0)*VLOOKUP('Données projet'!$B$12,Paramètres!$A$1:$I$88,5,0)</f>
        <v>300.51839999999999</v>
      </c>
      <c r="CA63" s="14">
        <f t="shared" si="39"/>
        <v>71.285129105116411</v>
      </c>
      <c r="CB63" s="22">
        <f t="shared" si="10"/>
        <v>647.55781319141101</v>
      </c>
      <c r="CC63" s="59">
        <f t="shared" si="11"/>
        <v>940.89114652474427</v>
      </c>
      <c r="CD63" s="59">
        <f ca="1">AVERAGE(OFFSET($CC$3,0,0,'Données projet'!$E$12+1,1))-AVERAGE(OFFSET($H$3,0,0,'Données projet'!$E$12+1,1))</f>
        <v>387.15063677712425</v>
      </c>
      <c r="CE63" s="59">
        <f t="shared" si="40"/>
        <v>313.19155394370705</v>
      </c>
      <c r="CF63" s="16">
        <f>IF(ISNA(VLOOKUP(A63,'Données projet'!$A$113:$I$133,3,0)),0,VLOOKUP(A63,'Données projet'!$A$113:$I$133,3,0))</f>
        <v>10</v>
      </c>
      <c r="CG63" s="16">
        <f>IF(ISNA(VLOOKUP(A63,'Données projet'!$A$113:$I$133,4,0)),0,VLOOKUP(A63,'Données projet'!$A$113:$I$133,4,0))</f>
        <v>15.6</v>
      </c>
      <c r="CH63" s="17">
        <f>IF(ISNA(VLOOKUP(A63,'Données projet'!$A$113:$I$133,5,0)),0%,VLOOKUP(A63,'Données projet'!$A$113:$I$133,5,0)*VLOOKUP('Données projet'!$B$12,Paramètres!$A$1:$I$88,7,0))</f>
        <v>0.21200000000000002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10.724641087599421</v>
      </c>
      <c r="CL63" s="23">
        <f>EXP(-LN(2)/25)*CL62+(1-EXP(-LN(2)/25))/(LN(2)/25)*Calculateur!CG63*Calculateur!CI63*VLOOKUP('Données projet'!$B$12,Paramètres!$A$1:$I$88,3,0)*0.475*44/12</f>
        <v>0</v>
      </c>
      <c r="CM63" s="23">
        <f>EXP(-LN(2)/2)*CM62+(1-EXP(-LN(2)/2))/(LN(2)/2)*CG63*CJ63*VLOOKUP('Données projet'!$B$12,Paramètres!$A$1:$I$88,3,0)*0.475*44/12</f>
        <v>0</v>
      </c>
      <c r="CN63" s="24">
        <f t="shared" si="12"/>
        <v>10.724641087599421</v>
      </c>
      <c r="CO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6.875</v>
      </c>
      <c r="CT63" s="13">
        <f>IF('Données projet'!$A$140&gt;35,CT62+CS63-DB62,IF(A63&lt;'Données projet'!$A$140,$CQ$205^A63,IF(A63='Données projet'!$A$140,'Données projet'!$B$140,CT62+CS63-DB62)))</f>
        <v>148.75</v>
      </c>
      <c r="CU63" s="18">
        <f>CT63*VLOOKUP('Données projet'!$B$13,Paramètres!$A$1:$I$88,3,0)*VLOOKUP('Données projet'!$B$13,Paramètres!$A$1:$I$88,5,0)</f>
        <v>143.87100000000001</v>
      </c>
      <c r="CV63" s="14">
        <f t="shared" si="41"/>
        <v>37.182384657213724</v>
      </c>
      <c r="CW63" s="22">
        <f t="shared" si="13"/>
        <v>315.33464494464727</v>
      </c>
      <c r="CX63" s="59">
        <f t="shared" si="14"/>
        <v>608.66797827798064</v>
      </c>
      <c r="CY63" s="59">
        <f ca="1">AVERAGE(OFFSET($CX$3,0,0,'Données projet'!$E$13+1,1))-AVERAGE(OFFSET($H$3,0,0,'Données projet'!$E$13+1,1))</f>
        <v>306.00894145276209</v>
      </c>
      <c r="CZ63" s="59">
        <f t="shared" si="42"/>
        <v>168.74705421228828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10.404647966950856</v>
      </c>
      <c r="DG63" s="23">
        <f>EXP(-LN(2)/25)*DG62+(1-EXP(-LN(2)/25))/(LN(2)/25)*Calculateur!DB63*Calculateur!DD63*VLOOKUP('Données projet'!$B$13,Paramètres!$A$1:$I$88,3,0)*0.475*44/12</f>
        <v>0</v>
      </c>
      <c r="DH63" s="23">
        <f>EXP(-LN(2)/2)*DH62+(1-EXP(-LN(2)/2))/(LN(2)/2)*DB63*DE63*VLOOKUP('Données projet'!$B$13,Paramètres!$A$1:$I$88,3,0)*0.475*44/12</f>
        <v>0</v>
      </c>
      <c r="DI63" s="24">
        <f t="shared" si="15"/>
        <v>10.404647966950856</v>
      </c>
      <c r="DJ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448</v>
      </c>
      <c r="DM63" s="13">
        <f>VLOOKUP(A63,'Données projet'!$A$165:$I$185,9,0)</f>
        <v>9.0200000000000049</v>
      </c>
      <c r="DN63" s="13">
        <f t="array" ref="DN63">INDEX(DM:DM,MIN(IF(ISNUMBER(DM63:DM259),ROW(DM63:DM259),"")))</f>
        <v>9.0200000000000049</v>
      </c>
      <c r="DO63" s="13">
        <f>IF('Données projet'!$A$166&gt;35,DO62+DN63-DW62,IF(A63&lt;'Données projet'!$A$166,$DL$205^A63,IF(A63='Données projet'!$A$166,'Données projet'!$B$166,DO62+DN63-DW62)))</f>
        <v>447.99999999999994</v>
      </c>
      <c r="DP63" s="18">
        <f>DO63*VLOOKUP('Données projet'!$B$14,Paramètres!$A$1:$I$88,3,0)*VLOOKUP('Données projet'!$B$14,Paramètres!$A$1:$I$88,5,0)</f>
        <v>349.43999999999994</v>
      </c>
      <c r="DQ63" s="14">
        <f t="shared" si="43"/>
        <v>81.447190678118218</v>
      </c>
      <c r="DR63" s="22">
        <f t="shared" si="16"/>
        <v>750.46185709772237</v>
      </c>
      <c r="DS63" s="59">
        <f t="shared" si="17"/>
        <v>1043.7951904310557</v>
      </c>
      <c r="DT63" s="59">
        <f ca="1">AVERAGE(OFFSET($DS$3,0,0,'Données projet'!$E$14+1,1))-AVERAGE(OFFSET($H$3,0,0,'Données projet'!$E$14+1,1))</f>
        <v>458.14328535055694</v>
      </c>
      <c r="DU63" s="59">
        <f t="shared" si="44"/>
        <v>366.75500153675739</v>
      </c>
      <c r="DV63" s="16">
        <f>IF(ISNA(VLOOKUP(A63,'Données projet'!$A$165:$I$185,3,0)),0,VLOOKUP(A63,'Données projet'!$A$165:$I$185,3,0))</f>
        <v>10</v>
      </c>
      <c r="DW63" s="16">
        <f>IF(ISNA(VLOOKUP(A63,'Données projet'!$A$165:$I$185,4,0)),0,VLOOKUP(A63,'Données projet'!$A$165:$I$185,4,0))</f>
        <v>15.6</v>
      </c>
      <c r="DX63" s="17">
        <f>IF(ISNA(VLOOKUP(A63,'Données projet'!$A$165:$I$185,5,0)),0%,VLOOKUP(A63,'Données projet'!$A$165:$I$185,5,0)*VLOOKUP('Données projet'!$B$14,Paramètres!$A$1:$I$88,7,0))</f>
        <v>0.17200000000000001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projet'!$B$14,Paramètres!$A$1:$I$88,3,0)*0.475*44/12</f>
        <v>10.117585931697571</v>
      </c>
      <c r="EB63" s="23">
        <f>EXP(-LN(2)/25)*EB62+(1-EXP(-LN(2)/25))/(LN(2)/25)*Calculateur!DW63*Calculateur!DY63*VLOOKUP('Données projet'!$B$14,Paramètres!$A$1:$I$88,3,0)*0.475*44/12</f>
        <v>0</v>
      </c>
      <c r="EC63" s="23">
        <f>EXP(-LN(2)/2)*EC62+(1-EXP(-LN(2)/2))/(LN(2)/2)*DW63*DZ63*VLOOKUP('Données projet'!$B$14,Paramètres!$A$1:$I$88,3,0)*0.475*44/12</f>
        <v>0</v>
      </c>
      <c r="ED63" s="24">
        <f t="shared" si="18"/>
        <v>10.117585931697571</v>
      </c>
      <c r="EE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463</v>
      </c>
      <c r="EH63" s="13">
        <f>VLOOKUP(A63,'Données projet'!$A$191:$I$211,9,0)</f>
        <v>12.5</v>
      </c>
      <c r="EI63" s="13">
        <f t="array" ref="EI63">INDEX(EH:EH,MIN(IF(ISNUMBER(EH63:EH259),ROW(EH63:EH259),"")))</f>
        <v>12.5</v>
      </c>
      <c r="EJ63" s="13">
        <f>IF('Données projet'!$A$192&gt;35,EJ62+EI63-ER62,IF(A63&lt;'Données projet'!$A$192,$EG$205^A63,IF(A63='Données projet'!$A$192,'Données projet'!$B$192,EJ62+EI63-ER62)))</f>
        <v>463.00000000000017</v>
      </c>
      <c r="EK63" s="18">
        <f>EJ63*VLOOKUP('Données projet'!$B$15,Paramètres!$A$1:$I$88,3,0)*VLOOKUP('Données projet'!$B$15,Paramètres!$A$1:$I$88,5,0)</f>
        <v>397.25400000000019</v>
      </c>
      <c r="EL63" s="14">
        <f t="shared" si="45"/>
        <v>91.219732863167494</v>
      </c>
      <c r="EM63" s="22">
        <f t="shared" si="19"/>
        <v>850.758418070017</v>
      </c>
      <c r="EN63" s="59">
        <f t="shared" si="20"/>
        <v>1144.0917514033504</v>
      </c>
      <c r="EO63" s="59">
        <f ca="1">AVERAGE(OFFSET($EN$3,0,0,'Données projet'!$E$15+1,1))-AVERAGE(OFFSET($H$3,0,0,'Données projet'!$E$15+1,1))</f>
        <v>462.99360395552145</v>
      </c>
      <c r="EP63" s="59">
        <f t="shared" si="46"/>
        <v>153.03880717786046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64</v>
      </c>
      <c r="ES63" s="17">
        <f>IF(ISNA(VLOOKUP(A63,'Données projet'!$A$191:$I$211,5,0)),0%,VLOOKUP(A63,'Données projet'!$A$191:$I$211,5,0)*VLOOKUP('Données projet'!$B$15,Paramètres!$A$1:$I$88,7,0))</f>
        <v>0.26500000000000001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projet'!$B$15,Paramètres!$A$1:$I$88,3,0)*0.475*44/12</f>
        <v>20.248312471359451</v>
      </c>
      <c r="EW63" s="23">
        <f>EXP(-LN(2)/25)*EW62+(1-EXP(-LN(2)/25))/(LN(2)/25)*Calculateur!ER63*Calculateur!ET63*VLOOKUP('Données projet'!$B$15,Paramètres!$A$1:$I$88,3,0)*0.475*44/12</f>
        <v>0</v>
      </c>
      <c r="EX63" s="23">
        <f>EXP(-LN(2)/2)*EX62+(1-EXP(-LN(2)/2))/(LN(2)/2)*ER63*EU63*VLOOKUP('Données projet'!$B$15,Paramètres!$A$1:$I$88,3,0)*0.475*44/12</f>
        <v>0</v>
      </c>
      <c r="EY63" s="24">
        <f t="shared" si="21"/>
        <v>20.248312471359451</v>
      </c>
      <c r="EZ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355</v>
      </c>
      <c r="FC63" s="13">
        <f>VLOOKUP(A63,'Données projet'!$A$217:$I$237,9,0)</f>
        <v>7.2200000000000042</v>
      </c>
      <c r="FD63" s="13">
        <f t="array" ref="FD63">INDEX(FC:FC,MIN(IF(ISNUMBER(FC63:FC259),ROW(FC63:FC259),"")))</f>
        <v>7.2200000000000042</v>
      </c>
      <c r="FE63" s="13">
        <f>IF('Données projet'!$A$218&gt;35,FE62+FD63-FM62,IF(A63&lt;'Données projet'!$A$218,$FB$205^A63,IF(A63='Données projet'!$A$218,'Données projet'!$B$218,FE62+FD63-FM62)))</f>
        <v>355.00000000000006</v>
      </c>
      <c r="FF63" s="18">
        <f>FE63*VLOOKUP('Données projet'!$B$16,Paramètres!$A$1:$I$88,3,0)*VLOOKUP('Données projet'!$B$16,Paramètres!$A$1:$I$88,5,0)</f>
        <v>310.1280000000001</v>
      </c>
      <c r="FG63" s="14">
        <f t="shared" si="47"/>
        <v>73.295561024036147</v>
      </c>
      <c r="FH63" s="22">
        <f t="shared" si="22"/>
        <v>667.79603545019643</v>
      </c>
      <c r="FI63" s="59">
        <f t="shared" si="23"/>
        <v>961.1293687835298</v>
      </c>
      <c r="FJ63" s="59">
        <f ca="1">AVERAGE(OFFSET($FI$3,0,0,'Données projet'!$E$16+1,1))-AVERAGE(OFFSET($H$3,0,0,'Données projet'!$E$16+1,1))</f>
        <v>427.76895185088944</v>
      </c>
      <c r="FK63" s="59">
        <f t="shared" si="48"/>
        <v>308.32543361559135</v>
      </c>
      <c r="FL63" s="16">
        <f>IF(ISNA(VLOOKUP(A63,'Données projet'!$A$217:$I$237,3,0)),0,VLOOKUP(A63,'Données projet'!$A$217:$I$237,3,0))</f>
        <v>10</v>
      </c>
      <c r="FM63" s="16">
        <f>IF(ISNA(VLOOKUP(A63,'Données projet'!$A$217:$I$237,4,0)),0,VLOOKUP(A63,'Données projet'!$A$217:$I$237,4,0))</f>
        <v>12.1</v>
      </c>
      <c r="FN63" s="17">
        <f>IF(ISNA(VLOOKUP(A63,'Données projet'!$A$217:$I$237,5,0)),0%,VLOOKUP(A63,'Données projet'!$A$217:$I$237,5,0)*VLOOKUP('Données projet'!$B$16,Paramètres!$A$1:$I$88,7,0))</f>
        <v>0.21200000000000002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projet'!$B$16,Paramètres!$A$1:$I$88,3,0)*0.475*44/12</f>
        <v>10.530307862010634</v>
      </c>
      <c r="FR63" s="23">
        <f>EXP(-LN(2)/25)*FR62+(1-EXP(-LN(2)/25))/(LN(2)/25)*Calculateur!FM63*Calculateur!FO63*VLOOKUP('Données projet'!$B$16,Paramètres!$A$1:$I$88,3,0)*0.475*44/12</f>
        <v>0</v>
      </c>
      <c r="FS63" s="23">
        <f>EXP(-LN(2)/2)*FS62+(1-EXP(-LN(2)/2))/(LN(2)/2)*FM63*FP63*VLOOKUP('Données projet'!$B$16,Paramètres!$A$1:$I$88,3,0)*0.475*44/12</f>
        <v>0</v>
      </c>
      <c r="FT63" s="24">
        <f t="shared" si="24"/>
        <v>10.530307862010634</v>
      </c>
      <c r="FU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334</v>
      </c>
      <c r="FX63" s="13">
        <f>VLOOKUP(A63,'Données projet'!$A$243:$I$263,9,0)</f>
        <v>6</v>
      </c>
      <c r="FY63" s="13">
        <f t="array" ref="FY63">INDEX(FX:FX,MIN(IF(ISNUMBER(FX63:FX259),ROW(FX63:FX259),"")))</f>
        <v>6</v>
      </c>
      <c r="FZ63" s="13">
        <f>IF('Données projet'!$A$244&gt;35,FZ62+FY63-GH62,IF(A63&lt;'Données projet'!$A$244,$FW$205^A63,IF(A63='Données projet'!$A$244,'Données projet'!$B$244,FZ62+FY63-GH62)))</f>
        <v>334.00000000000023</v>
      </c>
      <c r="GA63" s="18">
        <f>FZ63*VLOOKUP('Données projet'!$B$17,Paramètres!$A$1:$I$88,3,0)*VLOOKUP('Données projet'!$B$17,Paramètres!$A$1:$I$88,5,0)</f>
        <v>208.41600000000014</v>
      </c>
      <c r="GB63" s="14">
        <f t="shared" si="49"/>
        <v>51.589289462027558</v>
      </c>
      <c r="GC63" s="22">
        <f t="shared" si="25"/>
        <v>452.84254581303156</v>
      </c>
      <c r="GD63" s="59">
        <f t="shared" si="26"/>
        <v>746.17587914636488</v>
      </c>
      <c r="GE63" s="59">
        <f ca="1">AVERAGE(OFFSET($GD$3,0,0,'Données projet'!$E$17+1,1))-AVERAGE(OFFSET($H$3,0,0,'Données projet'!$E$17+1,1))</f>
        <v>247.85542034088905</v>
      </c>
      <c r="GF63" s="59">
        <f t="shared" si="50"/>
        <v>299.52241743660352</v>
      </c>
      <c r="GG63" s="16">
        <f>IF(ISNA(VLOOKUP(A63,'Données projet'!$A$243:$I$263,3,0)),0,VLOOKUP(A63,'Données projet'!$A$243:$I$263,3,0))</f>
        <v>11</v>
      </c>
      <c r="GH63" s="16">
        <f>IF(ISNA(VLOOKUP(A63,'Données projet'!$A$243:$I$263,4,0)),0,VLOOKUP(A63,'Données projet'!$A$243:$I$263,4,0))</f>
        <v>19</v>
      </c>
      <c r="GI63" s="17">
        <f>IF(ISNA(VLOOKUP(A63,'Données projet'!$A$243:$I$263,5,0)),0%,VLOOKUP(A63,'Données projet'!$A$243:$I$263,5,0)*VLOOKUP('Données projet'!$B$17,Paramètres!$A$1:$I$88,7,0))</f>
        <v>0.36</v>
      </c>
      <c r="GJ63" s="17">
        <f>IF(ISNA(VLOOKUP(A63,'Données projet'!$A$243:$I$263,6,0)),0%,VLOOKUP(A63,'Données projet'!$A$243:$I$263,6,0)*VLOOKUP('Données projet'!$B$17,Paramètres!$A$1:$I$88,7,0))</f>
        <v>0.13440000000000002</v>
      </c>
      <c r="GK63" s="17">
        <f>IF(ISNA(VLOOKUP(A63,'Données projet'!$A$243:$I$263,7,0)),0%,VLOOKUP(A63,'Données projet'!$A$243:$I$263,7,0))</f>
        <v>0.17600000000000002</v>
      </c>
      <c r="GL63" s="23">
        <f>EXP(-LN(2)/35)*GL62+(1-EXP(-LN(2)/35))/(LN(2)/35)*GH63*GI63*VLOOKUP('Données projet'!$B$17,Paramètres!$A$1:$I$88,3,0)*0.475*44/12</f>
        <v>25.10881318476893</v>
      </c>
      <c r="GM63" s="23">
        <f>EXP(-LN(2)/25)*GM62+(1-EXP(-LN(2)/25))/(LN(2)/25)*Calculateur!GH63*Calculateur!GJ63*VLOOKUP('Données projet'!$B$17,Paramètres!$A$1:$I$88,3,0)*0.475*44/12</f>
        <v>34.984352450861898</v>
      </c>
      <c r="GN63" s="23">
        <f>EXP(-LN(2)/2)*GN62+(1-EXP(-LN(2)/2))/(LN(2)/2)*GH63*GK63*VLOOKUP('Données projet'!$B$17,Paramètres!$A$1:$I$88,3,0)*0.475*44/12</f>
        <v>3.06096342033858</v>
      </c>
      <c r="GO63" s="23">
        <f t="shared" si="27"/>
        <v>63.154129055969406</v>
      </c>
      <c r="GP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3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6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6.875</v>
      </c>
      <c r="N64" s="14">
        <f>IF('Données projet'!$A$36&gt;35,N63+M64-V63,IF(A64&lt;'Données projet'!$A$36,$K$205^A64,IF(A64='Données projet'!$A$36,'Données projet'!$B$36,N63+M64-V63)))</f>
        <v>155.625</v>
      </c>
      <c r="O64" s="14">
        <f>N64*VLOOKUP('Données projet'!$B$9,Paramètres!$A$1:$I$88,3,0)*VLOOKUP('Données projet'!$B$9,Paramètres!$A$1:$I$88,5,0)</f>
        <v>140.80949999999999</v>
      </c>
      <c r="P64" s="14">
        <f t="shared" si="33"/>
        <v>36.482388305395361</v>
      </c>
      <c r="Q64" s="22">
        <f t="shared" si="53"/>
        <v>308.78337213189684</v>
      </c>
      <c r="R64" s="59">
        <f t="shared" si="0"/>
        <v>602.1167054652301</v>
      </c>
      <c r="S64" s="59">
        <f ca="1">AVERAGE(OFFSET($R$3,0,0,'Données projet'!$E$9+1,1))-AVERAGE(OFFSET($H$3,0,0,'Données projet'!$E$9+1,1))</f>
        <v>247.57967230773539</v>
      </c>
      <c r="T64" s="59">
        <f t="shared" si="34"/>
        <v>156.58857589533295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9.542514704170955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9.542514704170955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8.3200000000000038</v>
      </c>
      <c r="AI64" s="14">
        <f>IF('Données projet'!$A$62&gt;35,AI63+AH64-AQ63,IF(A64&lt;'Données projet'!$A$62,$AF$205^A64,IF(A64='Données projet'!$A$62,'Données projet'!$B$62,AI63+AH64-AQ63)))</f>
        <v>440.71999999999991</v>
      </c>
      <c r="AJ64" s="14">
        <f>AI64*VLOOKUP('Données projet'!$B$10,Paramètres!$A$1:$I$88,3,0)*VLOOKUP('Données projet'!$B$10,Paramètres!$A$1:$I$88,5,0)</f>
        <v>350.63683199999991</v>
      </c>
      <c r="AK64" s="14">
        <f t="shared" si="35"/>
        <v>81.693627683890952</v>
      </c>
      <c r="AL64" s="22">
        <f t="shared" si="4"/>
        <v>752.9755506161099</v>
      </c>
      <c r="AM64" s="59">
        <f t="shared" si="5"/>
        <v>1046.3088839494433</v>
      </c>
      <c r="AN64" s="59">
        <f ca="1">AVERAGE(OFFSET($AM$3,0,0,'Données projet'!$E$10+1,1))-AVERAGE(OFFSET($H$3,0,0,'Données projet'!$E$10+1,1))</f>
        <v>504.15006129790828</v>
      </c>
      <c r="AO64" s="59">
        <f t="shared" si="36"/>
        <v>374.39334457402742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12.470493215816148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12.470493215816148</v>
      </c>
      <c r="AY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8.3200000000000038</v>
      </c>
      <c r="BD64" s="13">
        <f>IF('Données projet'!$A$88&gt;35,BD63+BC64-BL63,IF(A64&lt;'Données projet'!$A$88,$BA$205^A64,IF(A64='Données projet'!$A$88,'Données projet'!$B$88,BD63+BC64-BL63)))</f>
        <v>440.71999999999991</v>
      </c>
      <c r="BE64" s="14">
        <f>BD64*VLOOKUP('Données projet'!$B$11,Paramètres!$A$1:$I$88,3,0)*VLOOKUP('Données projet'!$B$11,Paramètres!$A$1:$I$88,5,0)</f>
        <v>350.63683199999991</v>
      </c>
      <c r="BF64" s="14">
        <f t="shared" si="37"/>
        <v>81.693627683890952</v>
      </c>
      <c r="BG64" s="22">
        <f t="shared" si="7"/>
        <v>752.9755506161099</v>
      </c>
      <c r="BH64" s="59">
        <f t="shared" si="8"/>
        <v>1046.3088839494433</v>
      </c>
      <c r="BI64" s="59">
        <f ca="1">AVERAGE(OFFSET($BH$3,0,0,'Données projet'!$E$11+1,1))-AVERAGE(OFFSET($H$3,0,0,'Données projet'!$E$11+1,1))</f>
        <v>504.15006129790828</v>
      </c>
      <c r="BJ64" s="59">
        <f t="shared" si="38"/>
        <v>374.39334457402742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12.470493215816148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12.470493215816148</v>
      </c>
      <c r="BT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8.3200000000000038</v>
      </c>
      <c r="BY64" s="13">
        <f>IF('Données projet'!$A$114&gt;35,BY63+BX64-CG63,IF(A64&lt;'Données projet'!$A$114,$BV$205^A64,IF(A64='Données projet'!$A$114,'Données projet'!$B$114,BY63+BX64-CG63)))</f>
        <v>440.71999999999991</v>
      </c>
      <c r="BZ64" s="14">
        <f>BY64*VLOOKUP('Données projet'!$B$12,Paramètres!$A$1:$I$88,3,0)*VLOOKUP('Données projet'!$B$12,Paramètres!$A$1:$I$88,5,0)</f>
        <v>295.63497599999994</v>
      </c>
      <c r="CA64" s="14">
        <f t="shared" si="39"/>
        <v>70.260607654163323</v>
      </c>
      <c r="CB64" s="22">
        <f t="shared" si="10"/>
        <v>637.26814153100099</v>
      </c>
      <c r="CC64" s="59">
        <f t="shared" si="11"/>
        <v>930.60147486433425</v>
      </c>
      <c r="CD64" s="59">
        <f ca="1">AVERAGE(OFFSET($CC$3,0,0,'Données projet'!$E$12+1,1))-AVERAGE(OFFSET($H$3,0,0,'Données projet'!$E$12+1,1))</f>
        <v>387.15063677712425</v>
      </c>
      <c r="CE64" s="59">
        <f t="shared" si="40"/>
        <v>313.19155394370705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10.514337417256751</v>
      </c>
      <c r="CL64" s="23">
        <f>EXP(-LN(2)/25)*CL63+(1-EXP(-LN(2)/25))/(LN(2)/25)*Calculateur!CG64*Calculateur!CI64*VLOOKUP('Données projet'!$B$12,Paramètres!$A$1:$I$88,3,0)*0.475*44/12</f>
        <v>0</v>
      </c>
      <c r="CM64" s="23">
        <f>EXP(-LN(2)/2)*CM63+(1-EXP(-LN(2)/2))/(LN(2)/2)*CG64*CJ64*VLOOKUP('Données projet'!$B$12,Paramètres!$A$1:$I$88,3,0)*0.475*44/12</f>
        <v>0</v>
      </c>
      <c r="CN64" s="24">
        <f t="shared" si="12"/>
        <v>10.514337417256751</v>
      </c>
      <c r="CO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6.875</v>
      </c>
      <c r="CT64" s="13">
        <f>IF('Données projet'!$A$140&gt;35,CT63+CS64-DB63,IF(A64&lt;'Données projet'!$A$140,$CQ$205^A64,IF(A64='Données projet'!$A$140,'Données projet'!$B$140,CT63+CS64-DB63)))</f>
        <v>155.625</v>
      </c>
      <c r="CU64" s="18">
        <f>CT64*VLOOKUP('Données projet'!$B$13,Paramètres!$A$1:$I$88,3,0)*VLOOKUP('Données projet'!$B$13,Paramètres!$A$1:$I$88,5,0)</f>
        <v>150.5205</v>
      </c>
      <c r="CV64" s="14">
        <f t="shared" si="41"/>
        <v>38.696847256159117</v>
      </c>
      <c r="CW64" s="22">
        <f t="shared" si="13"/>
        <v>329.55354647114376</v>
      </c>
      <c r="CX64" s="59">
        <f t="shared" si="14"/>
        <v>622.88687980447708</v>
      </c>
      <c r="CY64" s="59">
        <f ca="1">AVERAGE(OFFSET($CX$3,0,0,'Données projet'!$E$13+1,1))-AVERAGE(OFFSET($H$3,0,0,'Données projet'!$E$13+1,1))</f>
        <v>306.00894145276209</v>
      </c>
      <c r="CZ64" s="59">
        <f t="shared" si="42"/>
        <v>168.74705421228828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10.200619166527574</v>
      </c>
      <c r="DG64" s="23">
        <f>EXP(-LN(2)/25)*DG63+(1-EXP(-LN(2)/25))/(LN(2)/25)*Calculateur!DB64*Calculateur!DD64*VLOOKUP('Données projet'!$B$13,Paramètres!$A$1:$I$88,3,0)*0.475*44/12</f>
        <v>0</v>
      </c>
      <c r="DH64" s="23">
        <f>EXP(-LN(2)/2)*DH63+(1-EXP(-LN(2)/2))/(LN(2)/2)*DB64*DE64*VLOOKUP('Données projet'!$B$13,Paramètres!$A$1:$I$88,3,0)*0.475*44/12</f>
        <v>0</v>
      </c>
      <c r="DI64" s="24">
        <f t="shared" si="15"/>
        <v>10.200619166527574</v>
      </c>
      <c r="DJ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8.3200000000000038</v>
      </c>
      <c r="DO64" s="13">
        <f>IF('Données projet'!$A$166&gt;35,DO63+DN64-DW63,IF(A64&lt;'Données projet'!$A$166,$DL$205^A64,IF(A64='Données projet'!$A$166,'Données projet'!$B$166,DO63+DN64-DW63)))</f>
        <v>440.71999999999991</v>
      </c>
      <c r="DP64" s="18">
        <f>DO64*VLOOKUP('Données projet'!$B$14,Paramètres!$A$1:$I$88,3,0)*VLOOKUP('Données projet'!$B$14,Paramètres!$A$1:$I$88,5,0)</f>
        <v>343.76159999999993</v>
      </c>
      <c r="DQ64" s="14">
        <f t="shared" si="43"/>
        <v>80.276618428097422</v>
      </c>
      <c r="DR64" s="22">
        <f t="shared" si="16"/>
        <v>738.53323042893624</v>
      </c>
      <c r="DS64" s="59">
        <f t="shared" si="17"/>
        <v>1031.8665637622696</v>
      </c>
      <c r="DT64" s="59">
        <f ca="1">AVERAGE(OFFSET($DS$3,0,0,'Données projet'!$E$14+1,1))-AVERAGE(OFFSET($H$3,0,0,'Données projet'!$E$14+1,1))</f>
        <v>458.14328535055694</v>
      </c>
      <c r="DU64" s="59">
        <f t="shared" si="44"/>
        <v>366.75500153675739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projet'!$B$14,Paramètres!$A$1:$I$88,3,0)*0.475*44/12</f>
        <v>9.9191862426950532</v>
      </c>
      <c r="EB64" s="23">
        <f>EXP(-LN(2)/25)*EB63+(1-EXP(-LN(2)/25))/(LN(2)/25)*Calculateur!DW64*Calculateur!DY64*VLOOKUP('Données projet'!$B$14,Paramètres!$A$1:$I$88,3,0)*0.475*44/12</f>
        <v>0</v>
      </c>
      <c r="EC64" s="23">
        <f>EXP(-LN(2)/2)*EC63+(1-EXP(-LN(2)/2))/(LN(2)/2)*DW64*DZ64*VLOOKUP('Données projet'!$B$14,Paramètres!$A$1:$I$88,3,0)*0.475*44/12</f>
        <v>0</v>
      </c>
      <c r="ED64" s="24">
        <f t="shared" si="18"/>
        <v>9.9191862426950532</v>
      </c>
      <c r="EE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14.5</v>
      </c>
      <c r="EJ64" s="13">
        <f>IF('Données projet'!$A$192&gt;35,EJ63+EI64-ER63,IF(A64&lt;'Données projet'!$A$192,$EG$205^A64,IF(A64='Données projet'!$A$192,'Données projet'!$B$192,EJ63+EI64-ER63)))</f>
        <v>413.50000000000017</v>
      </c>
      <c r="EK64" s="18">
        <f>EJ64*VLOOKUP('Données projet'!$B$15,Paramètres!$A$1:$I$88,3,0)*VLOOKUP('Données projet'!$B$15,Paramètres!$A$1:$I$88,5,0)</f>
        <v>354.78300000000019</v>
      </c>
      <c r="EL64" s="14">
        <f t="shared" si="45"/>
        <v>82.546601256399583</v>
      </c>
      <c r="EM64" s="22">
        <f t="shared" si="19"/>
        <v>761.6823888548962</v>
      </c>
      <c r="EN64" s="59">
        <f t="shared" si="20"/>
        <v>1055.0157221882296</v>
      </c>
      <c r="EO64" s="59">
        <f ca="1">AVERAGE(OFFSET($EN$3,0,0,'Données projet'!$E$15+1,1))-AVERAGE(OFFSET($H$3,0,0,'Données projet'!$E$15+1,1))</f>
        <v>462.99360395552145</v>
      </c>
      <c r="EP64" s="59">
        <f t="shared" si="46"/>
        <v>153.03880717786046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projet'!$B$15,Paramètres!$A$1:$I$88,3,0)*0.475*44/12</f>
        <v>19.851255414047213</v>
      </c>
      <c r="EW64" s="23">
        <f>EXP(-LN(2)/25)*EW63+(1-EXP(-LN(2)/25))/(LN(2)/25)*Calculateur!ER64*Calculateur!ET64*VLOOKUP('Données projet'!$B$15,Paramètres!$A$1:$I$88,3,0)*0.475*44/12</f>
        <v>0</v>
      </c>
      <c r="EX64" s="23">
        <f>EXP(-LN(2)/2)*EX63+(1-EXP(-LN(2)/2))/(LN(2)/2)*ER64*EU64*VLOOKUP('Données projet'!$B$15,Paramètres!$A$1:$I$88,3,0)*0.475*44/12</f>
        <v>0</v>
      </c>
      <c r="EY64" s="24">
        <f t="shared" si="21"/>
        <v>19.851255414047213</v>
      </c>
      <c r="EZ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6.6200000000000045</v>
      </c>
      <c r="FE64" s="13">
        <f>IF('Données projet'!$A$218&gt;35,FE63+FD64-FM63,IF(A64&lt;'Données projet'!$A$218,$FB$205^A64,IF(A64='Données projet'!$A$218,'Données projet'!$B$218,FE63+FD64-FM63)))</f>
        <v>349.52000000000004</v>
      </c>
      <c r="FF64" s="18">
        <f>FE64*VLOOKUP('Données projet'!$B$16,Paramètres!$A$1:$I$88,3,0)*VLOOKUP('Données projet'!$B$16,Paramètres!$A$1:$I$88,5,0)</f>
        <v>305.34067200000004</v>
      </c>
      <c r="FG64" s="14">
        <f t="shared" si="47"/>
        <v>72.294921060535287</v>
      </c>
      <c r="FH64" s="22">
        <f t="shared" si="22"/>
        <v>657.71532458043225</v>
      </c>
      <c r="FI64" s="59">
        <f t="shared" si="23"/>
        <v>951.04865791376551</v>
      </c>
      <c r="FJ64" s="59">
        <f ca="1">AVERAGE(OFFSET($FI$3,0,0,'Données projet'!$E$16+1,1))-AVERAGE(OFFSET($H$3,0,0,'Données projet'!$E$16+1,1))</f>
        <v>427.76895185088944</v>
      </c>
      <c r="FK64" s="59">
        <f t="shared" si="48"/>
        <v>308.32543361559135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projet'!$B$16,Paramètres!$A$1:$I$88,3,0)*0.475*44/12</f>
        <v>10.323814947690197</v>
      </c>
      <c r="FR64" s="23">
        <f>EXP(-LN(2)/25)*FR63+(1-EXP(-LN(2)/25))/(LN(2)/25)*Calculateur!FM64*Calculateur!FO64*VLOOKUP('Données projet'!$B$16,Paramètres!$A$1:$I$88,3,0)*0.475*44/12</f>
        <v>0</v>
      </c>
      <c r="FS64" s="23">
        <f>EXP(-LN(2)/2)*FS63+(1-EXP(-LN(2)/2))/(LN(2)/2)*FM64*FP64*VLOOKUP('Données projet'!$B$16,Paramètres!$A$1:$I$88,3,0)*0.475*44/12</f>
        <v>0</v>
      </c>
      <c r="FT64" s="24">
        <f t="shared" si="24"/>
        <v>10.323814947690197</v>
      </c>
      <c r="FU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5.2</v>
      </c>
      <c r="FZ64" s="13">
        <f>IF('Données projet'!$A$244&gt;35,FZ63+FY64-GH63,IF(A64&lt;'Données projet'!$A$244,$FW$205^A64,IF(A64='Données projet'!$A$244,'Données projet'!$B$244,FZ63+FY64-GH63)))</f>
        <v>320.20000000000022</v>
      </c>
      <c r="GA64" s="18">
        <f>FZ64*VLOOKUP('Données projet'!$B$17,Paramètres!$A$1:$I$88,3,0)*VLOOKUP('Données projet'!$B$17,Paramètres!$A$1:$I$88,5,0)</f>
        <v>199.80480000000014</v>
      </c>
      <c r="GB64" s="14">
        <f t="shared" si="49"/>
        <v>49.701266235810579</v>
      </c>
      <c r="GC64" s="22">
        <f t="shared" si="25"/>
        <v>434.55639869403694</v>
      </c>
      <c r="GD64" s="59">
        <f t="shared" si="26"/>
        <v>727.8897320273702</v>
      </c>
      <c r="GE64" s="59">
        <f ca="1">AVERAGE(OFFSET($GD$3,0,0,'Données projet'!$E$17+1,1))-AVERAGE(OFFSET($H$3,0,0,'Données projet'!$E$17+1,1))</f>
        <v>247.85542034088905</v>
      </c>
      <c r="GF64" s="59">
        <f t="shared" si="50"/>
        <v>299.52241743660352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projet'!$B$17,Paramètres!$A$1:$I$88,3,0)*0.475*44/12</f>
        <v>24.616444673079439</v>
      </c>
      <c r="GM64" s="23">
        <f>EXP(-LN(2)/25)*GM63+(1-EXP(-LN(2)/25))/(LN(2)/25)*Calculateur!GH64*Calculateur!GJ64*VLOOKUP('Données projet'!$B$17,Paramètres!$A$1:$I$88,3,0)*0.475*44/12</f>
        <v>34.027703493345939</v>
      </c>
      <c r="GN64" s="23">
        <f>EXP(-LN(2)/2)*GN63+(1-EXP(-LN(2)/2))/(LN(2)/2)*GH64*GK64*VLOOKUP('Données projet'!$B$17,Paramètres!$A$1:$I$88,3,0)*0.475*44/12</f>
        <v>2.1644279914853786</v>
      </c>
      <c r="GO64" s="23">
        <f t="shared" si="27"/>
        <v>60.808576157910757</v>
      </c>
      <c r="GP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3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6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6.875</v>
      </c>
      <c r="N65" s="14">
        <f>IF('Données projet'!$A$36&gt;35,N64+M65-V64,IF(A65&lt;'Données projet'!$A$36,$K$205^A65,IF(A65='Données projet'!$A$36,'Données projet'!$B$36,N64+M65-V64)))</f>
        <v>162.5</v>
      </c>
      <c r="O65" s="14">
        <f>N65*VLOOKUP('Données projet'!$B$9,Paramètres!$A$1:$I$88,3,0)*VLOOKUP('Données projet'!$B$9,Paramètres!$A$1:$I$88,5,0)</f>
        <v>147.03</v>
      </c>
      <c r="P65" s="14">
        <f t="shared" si="33"/>
        <v>37.90285889427615</v>
      </c>
      <c r="Q65" s="22">
        <f t="shared" si="53"/>
        <v>322.09139590753097</v>
      </c>
      <c r="R65" s="59">
        <f t="shared" si="0"/>
        <v>615.42472924086428</v>
      </c>
      <c r="S65" s="59">
        <f ca="1">AVERAGE(OFFSET($R$3,0,0,'Données projet'!$E$9+1,1))-AVERAGE(OFFSET($H$3,0,0,'Données projet'!$E$9+1,1))</f>
        <v>247.57967230773539</v>
      </c>
      <c r="T65" s="59">
        <f t="shared" si="34"/>
        <v>156.58857589533295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9.3553918111814198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9.3553918111814198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8.3200000000000038</v>
      </c>
      <c r="AI65" s="14">
        <f>IF('Données projet'!$A$62&gt;35,AI64+AH65-AQ64,IF(A65&lt;'Données projet'!$A$62,$AF$205^A65,IF(A65='Données projet'!$A$62,'Données projet'!$B$62,AI64+AH65-AQ64)))</f>
        <v>449.03999999999991</v>
      </c>
      <c r="AJ65" s="14">
        <f>AI65*VLOOKUP('Données projet'!$B$10,Paramètres!$A$1:$I$88,3,0)*VLOOKUP('Données projet'!$B$10,Paramètres!$A$1:$I$88,5,0)</f>
        <v>357.25622399999992</v>
      </c>
      <c r="AK65" s="14">
        <f t="shared" si="35"/>
        <v>83.05485404856195</v>
      </c>
      <c r="AL65" s="22">
        <f t="shared" si="4"/>
        <v>766.87512760124525</v>
      </c>
      <c r="AM65" s="59">
        <f t="shared" si="5"/>
        <v>1060.2084609345786</v>
      </c>
      <c r="AN65" s="59">
        <f ca="1">AVERAGE(OFFSET($AM$3,0,0,'Données projet'!$E$10+1,1))-AVERAGE(OFFSET($H$3,0,0,'Données projet'!$E$10+1,1))</f>
        <v>504.15006129790828</v>
      </c>
      <c r="AO65" s="59">
        <f t="shared" si="36"/>
        <v>374.39334457402742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12.225954450103801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12.225954450103801</v>
      </c>
      <c r="AY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8.3200000000000038</v>
      </c>
      <c r="BD65" s="13">
        <f>IF('Données projet'!$A$88&gt;35,BD64+BC65-BL64,IF(A65&lt;'Données projet'!$A$88,$BA$205^A65,IF(A65='Données projet'!$A$88,'Données projet'!$B$88,BD64+BC65-BL64)))</f>
        <v>449.03999999999991</v>
      </c>
      <c r="BE65" s="14">
        <f>BD65*VLOOKUP('Données projet'!$B$11,Paramètres!$A$1:$I$88,3,0)*VLOOKUP('Données projet'!$B$11,Paramètres!$A$1:$I$88,5,0)</f>
        <v>357.25622399999992</v>
      </c>
      <c r="BF65" s="14">
        <f t="shared" si="37"/>
        <v>83.05485404856195</v>
      </c>
      <c r="BG65" s="22">
        <f t="shared" si="7"/>
        <v>766.87512760124525</v>
      </c>
      <c r="BH65" s="59">
        <f t="shared" si="8"/>
        <v>1060.2084609345786</v>
      </c>
      <c r="BI65" s="59">
        <f ca="1">AVERAGE(OFFSET($BH$3,0,0,'Données projet'!$E$11+1,1))-AVERAGE(OFFSET($H$3,0,0,'Données projet'!$E$11+1,1))</f>
        <v>504.15006129790828</v>
      </c>
      <c r="BJ65" s="59">
        <f t="shared" si="38"/>
        <v>374.39334457402742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12.225954450103801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12.225954450103801</v>
      </c>
      <c r="BT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8.3200000000000038</v>
      </c>
      <c r="BY65" s="13">
        <f>IF('Données projet'!$A$114&gt;35,BY64+BX65-CG64,IF(A65&lt;'Données projet'!$A$114,$BV$205^A65,IF(A65='Données projet'!$A$114,'Données projet'!$B$114,BY64+BX65-CG64)))</f>
        <v>449.03999999999991</v>
      </c>
      <c r="BZ65" s="14">
        <f>BY65*VLOOKUP('Données projet'!$B$12,Paramètres!$A$1:$I$88,3,0)*VLOOKUP('Données projet'!$B$12,Paramètres!$A$1:$I$88,5,0)</f>
        <v>301.21603199999998</v>
      </c>
      <c r="CA65" s="14">
        <f t="shared" si="39"/>
        <v>71.431330441829616</v>
      </c>
      <c r="CB65" s="22">
        <f t="shared" si="10"/>
        <v>649.02748958618656</v>
      </c>
      <c r="CC65" s="59">
        <f t="shared" si="11"/>
        <v>942.36082291951993</v>
      </c>
      <c r="CD65" s="59">
        <f ca="1">AVERAGE(OFFSET($CC$3,0,0,'Données projet'!$E$12+1,1))-AVERAGE(OFFSET($H$3,0,0,'Données projet'!$E$12+1,1))</f>
        <v>387.15063677712425</v>
      </c>
      <c r="CE65" s="59">
        <f t="shared" si="40"/>
        <v>313.19155394370705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10.308157673616929</v>
      </c>
      <c r="CL65" s="23">
        <f>EXP(-LN(2)/25)*CL64+(1-EXP(-LN(2)/25))/(LN(2)/25)*Calculateur!CG65*Calculateur!CI65*VLOOKUP('Données projet'!$B$12,Paramètres!$A$1:$I$88,3,0)*0.475*44/12</f>
        <v>0</v>
      </c>
      <c r="CM65" s="23">
        <f>EXP(-LN(2)/2)*CM64+(1-EXP(-LN(2)/2))/(LN(2)/2)*CG65*CJ65*VLOOKUP('Données projet'!$B$12,Paramètres!$A$1:$I$88,3,0)*0.475*44/12</f>
        <v>0</v>
      </c>
      <c r="CN65" s="24">
        <f t="shared" si="12"/>
        <v>10.308157673616929</v>
      </c>
      <c r="CO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6.875</v>
      </c>
      <c r="CT65" s="13">
        <f>IF('Données projet'!$A$140&gt;35,CT64+CS65-DB64,IF(A65&lt;'Données projet'!$A$140,$CQ$205^A65,IF(A65='Données projet'!$A$140,'Données projet'!$B$140,CT64+CS65-DB64)))</f>
        <v>162.5</v>
      </c>
      <c r="CU65" s="18">
        <f>CT65*VLOOKUP('Données projet'!$B$13,Paramètres!$A$1:$I$88,3,0)*VLOOKUP('Données projet'!$B$13,Paramètres!$A$1:$I$88,5,0)</f>
        <v>157.17000000000002</v>
      </c>
      <c r="CV65" s="14">
        <f t="shared" si="41"/>
        <v>40.203539552443232</v>
      </c>
      <c r="CW65" s="22">
        <f t="shared" si="13"/>
        <v>343.75891472050535</v>
      </c>
      <c r="CX65" s="59">
        <f t="shared" si="14"/>
        <v>637.0922480538386</v>
      </c>
      <c r="CY65" s="59">
        <f ca="1">AVERAGE(OFFSET($CX$3,0,0,'Données projet'!$E$13+1,1))-AVERAGE(OFFSET($H$3,0,0,'Données projet'!$E$13+1,1))</f>
        <v>306.00894145276209</v>
      </c>
      <c r="CZ65" s="59">
        <f t="shared" si="42"/>
        <v>168.74705421228828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projet'!$B$13,Paramètres!$A$1:$I$88,3,0)*0.475*44/12</f>
        <v>10.000591246435311</v>
      </c>
      <c r="DG65" s="23">
        <f>EXP(-LN(2)/25)*DG64+(1-EXP(-LN(2)/25))/(LN(2)/25)*Calculateur!DB65*Calculateur!DD65*VLOOKUP('Données projet'!$B$13,Paramètres!$A$1:$I$88,3,0)*0.475*44/12</f>
        <v>0</v>
      </c>
      <c r="DH65" s="23">
        <f>EXP(-LN(2)/2)*DH64+(1-EXP(-LN(2)/2))/(LN(2)/2)*DB65*DE65*VLOOKUP('Données projet'!$B$13,Paramètres!$A$1:$I$88,3,0)*0.475*44/12</f>
        <v>0</v>
      </c>
      <c r="DI65" s="24">
        <f t="shared" si="15"/>
        <v>10.000591246435311</v>
      </c>
      <c r="DJ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8.3200000000000038</v>
      </c>
      <c r="DO65" s="13">
        <f>IF('Données projet'!$A$166&gt;35,DO64+DN65-DW64,IF(A65&lt;'Données projet'!$A$166,$DL$205^A65,IF(A65='Données projet'!$A$166,'Données projet'!$B$166,DO64+DN65-DW64)))</f>
        <v>449.03999999999991</v>
      </c>
      <c r="DP65" s="18">
        <f>DO65*VLOOKUP('Données projet'!$B$14,Paramètres!$A$1:$I$88,3,0)*VLOOKUP('Données projet'!$B$14,Paramètres!$A$1:$I$88,5,0)</f>
        <v>350.25119999999993</v>
      </c>
      <c r="DQ65" s="14">
        <f t="shared" si="43"/>
        <v>81.61423376688245</v>
      </c>
      <c r="DR65" s="22">
        <f t="shared" si="16"/>
        <v>752.16563047732006</v>
      </c>
      <c r="DS65" s="59">
        <f t="shared" si="17"/>
        <v>1045.4989638106533</v>
      </c>
      <c r="DT65" s="59">
        <f ca="1">AVERAGE(OFFSET($DS$3,0,0,'Données projet'!$E$14+1,1))-AVERAGE(OFFSET($H$3,0,0,'Données projet'!$E$14+1,1))</f>
        <v>458.14328535055694</v>
      </c>
      <c r="DU65" s="59">
        <f t="shared" si="44"/>
        <v>366.75500153675739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projet'!$B$14,Paramètres!$A$1:$I$88,3,0)*0.475*44/12</f>
        <v>9.724677050582013</v>
      </c>
      <c r="EB65" s="23">
        <f>EXP(-LN(2)/25)*EB64+(1-EXP(-LN(2)/25))/(LN(2)/25)*Calculateur!DW65*Calculateur!DY65*VLOOKUP('Données projet'!$B$14,Paramètres!$A$1:$I$88,3,0)*0.475*44/12</f>
        <v>0</v>
      </c>
      <c r="EC65" s="23">
        <f>EXP(-LN(2)/2)*EC64+(1-EXP(-LN(2)/2))/(LN(2)/2)*DW65*DZ65*VLOOKUP('Données projet'!$B$14,Paramètres!$A$1:$I$88,3,0)*0.475*44/12</f>
        <v>0</v>
      </c>
      <c r="ED65" s="24">
        <f t="shared" si="18"/>
        <v>9.724677050582013</v>
      </c>
      <c r="EE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14.5</v>
      </c>
      <c r="EJ65" s="13">
        <f>IF('Données projet'!$A$192&gt;35,EJ64+EI65-ER64,IF(A65&lt;'Données projet'!$A$192,$EG$205^A65,IF(A65='Données projet'!$A$192,'Données projet'!$B$192,EJ64+EI65-ER64)))</f>
        <v>428.00000000000017</v>
      </c>
      <c r="EK65" s="18">
        <f>EJ65*VLOOKUP('Données projet'!$B$15,Paramètres!$A$1:$I$88,3,0)*VLOOKUP('Données projet'!$B$15,Paramètres!$A$1:$I$88,5,0)</f>
        <v>367.22400000000022</v>
      </c>
      <c r="EL65" s="14">
        <f t="shared" si="45"/>
        <v>85.099135204211791</v>
      </c>
      <c r="EM65" s="22">
        <f t="shared" si="19"/>
        <v>787.79612714733594</v>
      </c>
      <c r="EN65" s="59">
        <f t="shared" si="20"/>
        <v>1081.1294604806692</v>
      </c>
      <c r="EO65" s="59">
        <f ca="1">AVERAGE(OFFSET($EN$3,0,0,'Données projet'!$E$15+1,1))-AVERAGE(OFFSET($H$3,0,0,'Données projet'!$E$15+1,1))</f>
        <v>462.99360395552145</v>
      </c>
      <c r="EP65" s="59">
        <f t="shared" si="46"/>
        <v>153.03880717786046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projet'!$B$15,Paramètres!$A$1:$I$88,3,0)*0.475*44/12</f>
        <v>19.461984403447978</v>
      </c>
      <c r="EW65" s="23">
        <f>EXP(-LN(2)/25)*EW64+(1-EXP(-LN(2)/25))/(LN(2)/25)*Calculateur!ER65*Calculateur!ET65*VLOOKUP('Données projet'!$B$15,Paramètres!$A$1:$I$88,3,0)*0.475*44/12</f>
        <v>0</v>
      </c>
      <c r="EX65" s="23">
        <f>EXP(-LN(2)/2)*EX64+(1-EXP(-LN(2)/2))/(LN(2)/2)*ER65*EU65*VLOOKUP('Données projet'!$B$15,Paramètres!$A$1:$I$88,3,0)*0.475*44/12</f>
        <v>0</v>
      </c>
      <c r="EY65" s="24">
        <f t="shared" si="21"/>
        <v>19.461984403447978</v>
      </c>
      <c r="EZ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6.6200000000000045</v>
      </c>
      <c r="FE65" s="13">
        <f>IF('Données projet'!$A$218&gt;35,FE64+FD65-FM64,IF(A65&lt;'Données projet'!$A$218,$FB$205^A65,IF(A65='Données projet'!$A$218,'Données projet'!$B$218,FE64+FD65-FM64)))</f>
        <v>356.14000000000004</v>
      </c>
      <c r="FF65" s="18">
        <f>FE65*VLOOKUP('Données projet'!$B$16,Paramètres!$A$1:$I$88,3,0)*VLOOKUP('Données projet'!$B$16,Paramètres!$A$1:$I$88,5,0)</f>
        <v>311.12390400000004</v>
      </c>
      <c r="FG65" s="14">
        <f t="shared" si="47"/>
        <v>73.503496600312275</v>
      </c>
      <c r="FH65" s="22">
        <f t="shared" si="22"/>
        <v>669.89272271221057</v>
      </c>
      <c r="FI65" s="59">
        <f t="shared" si="23"/>
        <v>963.22605604554383</v>
      </c>
      <c r="FJ65" s="59">
        <f ca="1">AVERAGE(OFFSET($FI$3,0,0,'Données projet'!$E$16+1,1))-AVERAGE(OFFSET($H$3,0,0,'Données projet'!$E$16+1,1))</f>
        <v>427.76895185088944</v>
      </c>
      <c r="FK65" s="59">
        <f t="shared" si="48"/>
        <v>308.32543361559135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projet'!$B$16,Paramètres!$A$1:$I$88,3,0)*0.475*44/12</f>
        <v>10.121371233471342</v>
      </c>
      <c r="FR65" s="23">
        <f>EXP(-LN(2)/25)*FR64+(1-EXP(-LN(2)/25))/(LN(2)/25)*Calculateur!FM65*Calculateur!FO65*VLOOKUP('Données projet'!$B$16,Paramètres!$A$1:$I$88,3,0)*0.475*44/12</f>
        <v>0</v>
      </c>
      <c r="FS65" s="23">
        <f>EXP(-LN(2)/2)*FS64+(1-EXP(-LN(2)/2))/(LN(2)/2)*FM65*FP65*VLOOKUP('Données projet'!$B$16,Paramètres!$A$1:$I$88,3,0)*0.475*44/12</f>
        <v>0</v>
      </c>
      <c r="FT65" s="24">
        <f t="shared" si="24"/>
        <v>10.121371233471342</v>
      </c>
      <c r="FU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5.2</v>
      </c>
      <c r="FZ65" s="13">
        <f>IF('Données projet'!$A$244&gt;35,FZ64+FY65-GH64,IF(A65&lt;'Données projet'!$A$244,$FW$205^A65,IF(A65='Données projet'!$A$244,'Données projet'!$B$244,FZ64+FY65-GH64)))</f>
        <v>325.4000000000002</v>
      </c>
      <c r="GA65" s="18">
        <f>FZ65*VLOOKUP('Données projet'!$B$17,Paramètres!$A$1:$I$88,3,0)*VLOOKUP('Données projet'!$B$17,Paramètres!$A$1:$I$88,5,0)</f>
        <v>203.04960000000014</v>
      </c>
      <c r="GB65" s="14">
        <f t="shared" si="49"/>
        <v>50.413786084403476</v>
      </c>
      <c r="GC65" s="22">
        <f t="shared" si="25"/>
        <v>441.44873076366963</v>
      </c>
      <c r="GD65" s="59">
        <f t="shared" si="26"/>
        <v>734.78206409700294</v>
      </c>
      <c r="GE65" s="59">
        <f ca="1">AVERAGE(OFFSET($GD$3,0,0,'Données projet'!$E$17+1,1))-AVERAGE(OFFSET($H$3,0,0,'Données projet'!$E$17+1,1))</f>
        <v>247.85542034088905</v>
      </c>
      <c r="GF65" s="59">
        <f t="shared" si="50"/>
        <v>299.52241743660352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projet'!$B$17,Paramètres!$A$1:$I$88,3,0)*0.475*44/12</f>
        <v>24.133731207589037</v>
      </c>
      <c r="GM65" s="23">
        <f>EXP(-LN(2)/25)*GM64+(1-EXP(-LN(2)/25))/(LN(2)/25)*Calculateur!GH65*Calculateur!GJ65*VLOOKUP('Données projet'!$B$17,Paramètres!$A$1:$I$88,3,0)*0.475*44/12</f>
        <v>33.097214151881239</v>
      </c>
      <c r="GN65" s="23">
        <f>EXP(-LN(2)/2)*GN64+(1-EXP(-LN(2)/2))/(LN(2)/2)*GH65*GK65*VLOOKUP('Données projet'!$B$17,Paramètres!$A$1:$I$88,3,0)*0.475*44/12</f>
        <v>1.5304817101692902</v>
      </c>
      <c r="GO65" s="23">
        <f t="shared" si="27"/>
        <v>58.761427069639566</v>
      </c>
      <c r="GP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3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6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6.875</v>
      </c>
      <c r="N66" s="14">
        <f>IF('Données projet'!$A$36&gt;35,N65+M66-V65,IF(A66&lt;'Données projet'!$A$36,$K$205^A66,IF(A66='Données projet'!$A$36,'Données projet'!$B$36,N65+M66-V65)))</f>
        <v>169.375</v>
      </c>
      <c r="O66" s="14">
        <f>N66*VLOOKUP('Données projet'!$B$9,Paramètres!$A$1:$I$88,3,0)*VLOOKUP('Données projet'!$B$9,Paramètres!$A$1:$I$88,5,0)</f>
        <v>153.25049999999999</v>
      </c>
      <c r="P66" s="14">
        <f t="shared" si="33"/>
        <v>39.316349209004791</v>
      </c>
      <c r="Q66" s="22">
        <f t="shared" si="53"/>
        <v>335.38726237234994</v>
      </c>
      <c r="R66" s="59">
        <f t="shared" si="0"/>
        <v>628.72059570568331</v>
      </c>
      <c r="S66" s="59">
        <f ca="1">AVERAGE(OFFSET($R$3,0,0,'Données projet'!$E$9+1,1))-AVERAGE(OFFSET($H$3,0,0,'Données projet'!$E$9+1,1))</f>
        <v>247.57967230773539</v>
      </c>
      <c r="T66" s="59">
        <f t="shared" si="34"/>
        <v>156.58857589533295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9.1719382839897143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9.1719382839897143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8.3200000000000038</v>
      </c>
      <c r="AI66" s="14">
        <f>IF('Données projet'!$A$62&gt;35,AI65+AH66-AQ65,IF(A66&lt;'Données projet'!$A$62,$AF$205^A66,IF(A66='Données projet'!$A$62,'Données projet'!$B$62,AI65+AH66-AQ65)))</f>
        <v>457.3599999999999</v>
      </c>
      <c r="AJ66" s="14">
        <f>AI66*VLOOKUP('Données projet'!$B$10,Paramètres!$A$1:$I$88,3,0)*VLOOKUP('Données projet'!$B$10,Paramètres!$A$1:$I$88,5,0)</f>
        <v>363.87561599999992</v>
      </c>
      <c r="AK66" s="14">
        <f t="shared" si="35"/>
        <v>84.413147632055086</v>
      </c>
      <c r="AL66" s="22">
        <f t="shared" si="4"/>
        <v>780.7695966591624</v>
      </c>
      <c r="AM66" s="59">
        <f t="shared" si="5"/>
        <v>1074.1029299924958</v>
      </c>
      <c r="AN66" s="59">
        <f ca="1">AVERAGE(OFFSET($AM$3,0,0,'Données projet'!$E$10+1,1))-AVERAGE(OFFSET($H$3,0,0,'Données projet'!$E$10+1,1))</f>
        <v>504.15006129790828</v>
      </c>
      <c r="AO66" s="59">
        <f t="shared" si="36"/>
        <v>374.39334457402742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11.986210940433153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11.986210940433153</v>
      </c>
      <c r="AY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8.3200000000000038</v>
      </c>
      <c r="BD66" s="13">
        <f>IF('Données projet'!$A$88&gt;35,BD65+BC66-BL65,IF(A66&lt;'Données projet'!$A$88,$BA$205^A66,IF(A66='Données projet'!$A$88,'Données projet'!$B$88,BD65+BC66-BL65)))</f>
        <v>457.3599999999999</v>
      </c>
      <c r="BE66" s="14">
        <f>BD66*VLOOKUP('Données projet'!$B$11,Paramètres!$A$1:$I$88,3,0)*VLOOKUP('Données projet'!$B$11,Paramètres!$A$1:$I$88,5,0)</f>
        <v>363.87561599999992</v>
      </c>
      <c r="BF66" s="14">
        <f t="shared" si="37"/>
        <v>84.413147632055086</v>
      </c>
      <c r="BG66" s="22">
        <f t="shared" si="7"/>
        <v>780.7695966591624</v>
      </c>
      <c r="BH66" s="59">
        <f t="shared" si="8"/>
        <v>1074.1029299924958</v>
      </c>
      <c r="BI66" s="59">
        <f ca="1">AVERAGE(OFFSET($BH$3,0,0,'Données projet'!$E$11+1,1))-AVERAGE(OFFSET($H$3,0,0,'Données projet'!$E$11+1,1))</f>
        <v>504.15006129790828</v>
      </c>
      <c r="BJ66" s="59">
        <f t="shared" si="38"/>
        <v>374.39334457402742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11.986210940433153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11.986210940433153</v>
      </c>
      <c r="BT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8.3200000000000038</v>
      </c>
      <c r="BY66" s="13">
        <f>IF('Données projet'!$A$114&gt;35,BY65+BX66-CG65,IF(A66&lt;'Données projet'!$A$114,$BV$205^A66,IF(A66='Données projet'!$A$114,'Données projet'!$B$114,BY65+BX66-CG65)))</f>
        <v>457.3599999999999</v>
      </c>
      <c r="BZ66" s="14">
        <f>BY66*VLOOKUP('Données projet'!$B$12,Paramètres!$A$1:$I$88,3,0)*VLOOKUP('Données projet'!$B$12,Paramètres!$A$1:$I$88,5,0)</f>
        <v>306.79708799999992</v>
      </c>
      <c r="CA66" s="14">
        <f t="shared" si="39"/>
        <v>72.59953089093014</v>
      </c>
      <c r="CB66" s="22">
        <f t="shared" si="10"/>
        <v>660.7824445683699</v>
      </c>
      <c r="CC66" s="59">
        <f t="shared" si="11"/>
        <v>954.11577790170327</v>
      </c>
      <c r="CD66" s="59">
        <f ca="1">AVERAGE(OFFSET($CC$3,0,0,'Données projet'!$E$12+1,1))-AVERAGE(OFFSET($H$3,0,0,'Données projet'!$E$12+1,1))</f>
        <v>387.15063677712425</v>
      </c>
      <c r="CE66" s="59">
        <f t="shared" si="40"/>
        <v>313.19155394370705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10.106020988992658</v>
      </c>
      <c r="CL66" s="23">
        <f>EXP(-LN(2)/25)*CL65+(1-EXP(-LN(2)/25))/(LN(2)/25)*Calculateur!CG66*Calculateur!CI66*VLOOKUP('Données projet'!$B$12,Paramètres!$A$1:$I$88,3,0)*0.475*44/12</f>
        <v>0</v>
      </c>
      <c r="CM66" s="23">
        <f>EXP(-LN(2)/2)*CM65+(1-EXP(-LN(2)/2))/(LN(2)/2)*CG66*CJ66*VLOOKUP('Données projet'!$B$12,Paramètres!$A$1:$I$88,3,0)*0.475*44/12</f>
        <v>0</v>
      </c>
      <c r="CN66" s="24">
        <f t="shared" si="12"/>
        <v>10.106020988992658</v>
      </c>
      <c r="CO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6.875</v>
      </c>
      <c r="CT66" s="13">
        <f>IF('Données projet'!$A$140&gt;35,CT65+CS66-DB65,IF(A66&lt;'Données projet'!$A$140,$CQ$205^A66,IF(A66='Données projet'!$A$140,'Données projet'!$B$140,CT65+CS66-DB65)))</f>
        <v>169.375</v>
      </c>
      <c r="CU66" s="18">
        <f>CT66*VLOOKUP('Données projet'!$B$13,Paramètres!$A$1:$I$88,3,0)*VLOOKUP('Données projet'!$B$13,Paramètres!$A$1:$I$88,5,0)</f>
        <v>163.81950000000001</v>
      </c>
      <c r="CV66" s="14">
        <f t="shared" si="41"/>
        <v>41.702827876147225</v>
      </c>
      <c r="CW66" s="22">
        <f t="shared" si="13"/>
        <v>357.95138771762305</v>
      </c>
      <c r="CX66" s="59">
        <f t="shared" si="14"/>
        <v>651.28472105095636</v>
      </c>
      <c r="CY66" s="59">
        <f ca="1">AVERAGE(OFFSET($CX$3,0,0,'Données projet'!$E$13+1,1))-AVERAGE(OFFSET($H$3,0,0,'Données projet'!$E$13+1,1))</f>
        <v>306.00894145276209</v>
      </c>
      <c r="CZ66" s="59">
        <f t="shared" si="42"/>
        <v>168.74705421228828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9.8044857518510735</v>
      </c>
      <c r="DG66" s="23">
        <f>EXP(-LN(2)/25)*DG65+(1-EXP(-LN(2)/25))/(LN(2)/25)*Calculateur!DB66*Calculateur!DD66*VLOOKUP('Données projet'!$B$13,Paramètres!$A$1:$I$88,3,0)*0.475*44/12</f>
        <v>0</v>
      </c>
      <c r="DH66" s="23">
        <f>EXP(-LN(2)/2)*DH65+(1-EXP(-LN(2)/2))/(LN(2)/2)*DB66*DE66*VLOOKUP('Données projet'!$B$13,Paramètres!$A$1:$I$88,3,0)*0.475*44/12</f>
        <v>0</v>
      </c>
      <c r="DI66" s="24">
        <f t="shared" si="15"/>
        <v>9.8044857518510735</v>
      </c>
      <c r="DJ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8.3200000000000038</v>
      </c>
      <c r="DO66" s="13">
        <f>IF('Données projet'!$A$166&gt;35,DO65+DN66-DW65,IF(A66&lt;'Données projet'!$A$166,$DL$205^A66,IF(A66='Données projet'!$A$166,'Données projet'!$B$166,DO65+DN66-DW65)))</f>
        <v>457.3599999999999</v>
      </c>
      <c r="DP66" s="18">
        <f>DO66*VLOOKUP('Données projet'!$B$14,Paramètres!$A$1:$I$88,3,0)*VLOOKUP('Données projet'!$B$14,Paramètres!$A$1:$I$88,5,0)</f>
        <v>356.74079999999992</v>
      </c>
      <c r="DQ66" s="14">
        <f t="shared" si="43"/>
        <v>82.948967194773871</v>
      </c>
      <c r="DR66" s="22">
        <f t="shared" si="16"/>
        <v>765.7930111975644</v>
      </c>
      <c r="DS66" s="59">
        <f t="shared" si="17"/>
        <v>1059.1263445308978</v>
      </c>
      <c r="DT66" s="59">
        <f ca="1">AVERAGE(OFFSET($DS$3,0,0,'Données projet'!$E$14+1,1))-AVERAGE(OFFSET($H$3,0,0,'Données projet'!$E$14+1,1))</f>
        <v>458.14328535055694</v>
      </c>
      <c r="DU66" s="59">
        <f t="shared" si="44"/>
        <v>366.75500153675739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projet'!$B$14,Paramètres!$A$1:$I$88,3,0)*0.475*44/12</f>
        <v>9.5339820650874163</v>
      </c>
      <c r="EB66" s="23">
        <f>EXP(-LN(2)/25)*EB65+(1-EXP(-LN(2)/25))/(LN(2)/25)*Calculateur!DW66*Calculateur!DY66*VLOOKUP('Données projet'!$B$14,Paramètres!$A$1:$I$88,3,0)*0.475*44/12</f>
        <v>0</v>
      </c>
      <c r="EC66" s="23">
        <f>EXP(-LN(2)/2)*EC65+(1-EXP(-LN(2)/2))/(LN(2)/2)*DW66*DZ66*VLOOKUP('Données projet'!$B$14,Paramètres!$A$1:$I$88,3,0)*0.475*44/12</f>
        <v>0</v>
      </c>
      <c r="ED66" s="24">
        <f t="shared" si="18"/>
        <v>9.5339820650874163</v>
      </c>
      <c r="EE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14.5</v>
      </c>
      <c r="EJ66" s="13">
        <f>IF('Données projet'!$A$192&gt;35,EJ65+EI66-ER65,IF(A66&lt;'Données projet'!$A$192,$EG$205^A66,IF(A66='Données projet'!$A$192,'Données projet'!$B$192,EJ65+EI66-ER65)))</f>
        <v>442.50000000000017</v>
      </c>
      <c r="EK66" s="18">
        <f>EJ66*VLOOKUP('Données projet'!$B$15,Paramètres!$A$1:$I$88,3,0)*VLOOKUP('Données projet'!$B$15,Paramètres!$A$1:$I$88,5,0)</f>
        <v>379.66500000000019</v>
      </c>
      <c r="EL66" s="14">
        <f t="shared" si="45"/>
        <v>87.6416211322056</v>
      </c>
      <c r="EM66" s="22">
        <f t="shared" si="19"/>
        <v>813.89236513859169</v>
      </c>
      <c r="EN66" s="59">
        <f t="shared" si="20"/>
        <v>1107.2256984719249</v>
      </c>
      <c r="EO66" s="59">
        <f ca="1">AVERAGE(OFFSET($EN$3,0,0,'Données projet'!$E$15+1,1))-AVERAGE(OFFSET($H$3,0,0,'Données projet'!$E$15+1,1))</f>
        <v>462.99360395552145</v>
      </c>
      <c r="EP66" s="59">
        <f t="shared" si="46"/>
        <v>153.03880717786046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projet'!$B$15,Paramètres!$A$1:$I$88,3,0)*0.475*44/12</f>
        <v>19.08034675993472</v>
      </c>
      <c r="EW66" s="23">
        <f>EXP(-LN(2)/25)*EW65+(1-EXP(-LN(2)/25))/(LN(2)/25)*Calculateur!ER66*Calculateur!ET66*VLOOKUP('Données projet'!$B$15,Paramètres!$A$1:$I$88,3,0)*0.475*44/12</f>
        <v>0</v>
      </c>
      <c r="EX66" s="23">
        <f>EXP(-LN(2)/2)*EX65+(1-EXP(-LN(2)/2))/(LN(2)/2)*ER66*EU66*VLOOKUP('Données projet'!$B$15,Paramètres!$A$1:$I$88,3,0)*0.475*44/12</f>
        <v>0</v>
      </c>
      <c r="EY66" s="24">
        <f t="shared" si="21"/>
        <v>19.08034675993472</v>
      </c>
      <c r="EZ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6.6200000000000045</v>
      </c>
      <c r="FE66" s="13">
        <f>IF('Données projet'!$A$218&gt;35,FE65+FD66-FM65,IF(A66&lt;'Données projet'!$A$218,$FB$205^A66,IF(A66='Données projet'!$A$218,'Données projet'!$B$218,FE65+FD66-FM65)))</f>
        <v>362.76000000000005</v>
      </c>
      <c r="FF66" s="18">
        <f>FE66*VLOOKUP('Données projet'!$B$16,Paramètres!$A$1:$I$88,3,0)*VLOOKUP('Données projet'!$B$16,Paramètres!$A$1:$I$88,5,0)</f>
        <v>316.90713600000009</v>
      </c>
      <c r="FG66" s="14">
        <f t="shared" si="47"/>
        <v>74.709459854191053</v>
      </c>
      <c r="FH66" s="22">
        <f t="shared" si="22"/>
        <v>682.06557111271616</v>
      </c>
      <c r="FI66" s="59">
        <f t="shared" si="23"/>
        <v>975.39890444604953</v>
      </c>
      <c r="FJ66" s="59">
        <f ca="1">AVERAGE(OFFSET($FI$3,0,0,'Données projet'!$E$16+1,1))-AVERAGE(OFFSET($H$3,0,0,'Données projet'!$E$16+1,1))</f>
        <v>427.76895185088944</v>
      </c>
      <c r="FK66" s="59">
        <f t="shared" si="48"/>
        <v>308.32543361559135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projet'!$B$16,Paramètres!$A$1:$I$88,3,0)*0.475*44/12</f>
        <v>9.9228973170098467</v>
      </c>
      <c r="FR66" s="23">
        <f>EXP(-LN(2)/25)*FR65+(1-EXP(-LN(2)/25))/(LN(2)/25)*Calculateur!FM66*Calculateur!FO66*VLOOKUP('Données projet'!$B$16,Paramètres!$A$1:$I$88,3,0)*0.475*44/12</f>
        <v>0</v>
      </c>
      <c r="FS66" s="23">
        <f>EXP(-LN(2)/2)*FS65+(1-EXP(-LN(2)/2))/(LN(2)/2)*FM66*FP66*VLOOKUP('Données projet'!$B$16,Paramètres!$A$1:$I$88,3,0)*0.475*44/12</f>
        <v>0</v>
      </c>
      <c r="FT66" s="24">
        <f t="shared" si="24"/>
        <v>9.9228973170098467</v>
      </c>
      <c r="FU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5.2</v>
      </c>
      <c r="FZ66" s="13">
        <f>IF('Données projet'!$A$244&gt;35,FZ65+FY66-GH65,IF(A66&lt;'Données projet'!$A$244,$FW$205^A66,IF(A66='Données projet'!$A$244,'Données projet'!$B$244,FZ65+FY66-GH65)))</f>
        <v>330.60000000000019</v>
      </c>
      <c r="GA66" s="18">
        <f>FZ66*VLOOKUP('Données projet'!$B$17,Paramètres!$A$1:$I$88,3,0)*VLOOKUP('Données projet'!$B$17,Paramètres!$A$1:$I$88,5,0)</f>
        <v>206.29440000000011</v>
      </c>
      <c r="GB66" s="14">
        <f t="shared" si="49"/>
        <v>51.124981739560724</v>
      </c>
      <c r="GC66" s="22">
        <f t="shared" si="25"/>
        <v>448.33875652973512</v>
      </c>
      <c r="GD66" s="59">
        <f t="shared" si="26"/>
        <v>741.67208986306844</v>
      </c>
      <c r="GE66" s="59">
        <f ca="1">AVERAGE(OFFSET($GD$3,0,0,'Données projet'!$E$17+1,1))-AVERAGE(OFFSET($H$3,0,0,'Données projet'!$E$17+1,1))</f>
        <v>247.85542034088905</v>
      </c>
      <c r="GF66" s="59">
        <f t="shared" si="50"/>
        <v>299.52241743660352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projet'!$B$17,Paramètres!$A$1:$I$88,3,0)*0.475*44/12</f>
        <v>23.660483458730759</v>
      </c>
      <c r="GM66" s="23">
        <f>EXP(-LN(2)/25)*GM65+(1-EXP(-LN(2)/25))/(LN(2)/25)*Calculateur!GH66*Calculateur!GJ66*VLOOKUP('Données projet'!$B$17,Paramètres!$A$1:$I$88,3,0)*0.475*44/12</f>
        <v>32.192169090391197</v>
      </c>
      <c r="GN66" s="23">
        <f>EXP(-LN(2)/2)*GN65+(1-EXP(-LN(2)/2))/(LN(2)/2)*GH66*GK66*VLOOKUP('Données projet'!$B$17,Paramètres!$A$1:$I$88,3,0)*0.475*44/12</f>
        <v>1.0822139957426895</v>
      </c>
      <c r="GO66" s="23">
        <f t="shared" si="27"/>
        <v>56.934866544864647</v>
      </c>
      <c r="GP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3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6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6.875</v>
      </c>
      <c r="N67" s="14">
        <f>IF('Données projet'!$A$36&gt;35,N66+M67-V66,IF(A67&lt;'Données projet'!$A$36,$K$205^A67,IF(A67='Données projet'!$A$36,'Données projet'!$B$36,N66+M67-V66)))</f>
        <v>176.25</v>
      </c>
      <c r="O67" s="14">
        <f>N67*VLOOKUP('Données projet'!$B$9,Paramètres!$A$1:$I$88,3,0)*VLOOKUP('Données projet'!$B$9,Paramètres!$A$1:$I$88,5,0)</f>
        <v>159.471</v>
      </c>
      <c r="P67" s="14">
        <f t="shared" si="33"/>
        <v>40.723174992275638</v>
      </c>
      <c r="Q67" s="22">
        <f t="shared" ref="Q67:Q98" si="54">(O67+P67)*0.475*44/12</f>
        <v>348.67152144488006</v>
      </c>
      <c r="R67" s="59">
        <f t="shared" ref="R67:R130" si="55">Q67+(I67+J67)*44/12</f>
        <v>642.00485477821337</v>
      </c>
      <c r="S67" s="59">
        <f ca="1">AVERAGE(OFFSET($R$3,0,0,'Données projet'!$E$9+1,1))-AVERAGE(OFFSET($H$3,0,0,'Données projet'!$E$9+1,1))</f>
        <v>247.57967230773539</v>
      </c>
      <c r="T67" s="59">
        <f t="shared" si="34"/>
        <v>156.58857589533295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8.9920821685706347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8.9920821685706347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8.3200000000000038</v>
      </c>
      <c r="AI67" s="14">
        <f>IF('Données projet'!$A$62&gt;35,AI66+AH67-AQ66,IF(A67&lt;'Données projet'!$A$62,$AF$205^A67,IF(A67='Données projet'!$A$62,'Données projet'!$B$62,AI66+AH67-AQ66)))</f>
        <v>465.67999999999989</v>
      </c>
      <c r="AJ67" s="14">
        <f>AI67*VLOOKUP('Données projet'!$B$10,Paramètres!$A$1:$I$88,3,0)*VLOOKUP('Données projet'!$B$10,Paramètres!$A$1:$I$88,5,0)</f>
        <v>370.49500799999993</v>
      </c>
      <c r="AK67" s="14">
        <f t="shared" si="35"/>
        <v>85.768567939337217</v>
      </c>
      <c r="AL67" s="22">
        <f t="shared" si="4"/>
        <v>794.65906142767881</v>
      </c>
      <c r="AM67" s="59">
        <f t="shared" si="5"/>
        <v>1087.9923947610121</v>
      </c>
      <c r="AN67" s="59">
        <f ca="1">AVERAGE(OFFSET($AM$3,0,0,'Données projet'!$E$10+1,1))-AVERAGE(OFFSET($H$3,0,0,'Données projet'!$E$10+1,1))</f>
        <v>504.15006129790828</v>
      </c>
      <c r="AO67" s="59">
        <f t="shared" si="36"/>
        <v>374.39334457402742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11.751168654758045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11.751168654758045</v>
      </c>
      <c r="AY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8.3200000000000038</v>
      </c>
      <c r="BD67" s="13">
        <f>IF('Données projet'!$A$88&gt;35,BD66+BC67-BL66,IF(A67&lt;'Données projet'!$A$88,$BA$205^A67,IF(A67='Données projet'!$A$88,'Données projet'!$B$88,BD66+BC67-BL66)))</f>
        <v>465.67999999999989</v>
      </c>
      <c r="BE67" s="14">
        <f>BD67*VLOOKUP('Données projet'!$B$11,Paramètres!$A$1:$I$88,3,0)*VLOOKUP('Données projet'!$B$11,Paramètres!$A$1:$I$88,5,0)</f>
        <v>370.49500799999993</v>
      </c>
      <c r="BF67" s="14">
        <f t="shared" si="37"/>
        <v>85.768567939337217</v>
      </c>
      <c r="BG67" s="22">
        <f t="shared" si="7"/>
        <v>794.65906142767881</v>
      </c>
      <c r="BH67" s="59">
        <f t="shared" si="8"/>
        <v>1087.9923947610121</v>
      </c>
      <c r="BI67" s="59">
        <f ca="1">AVERAGE(OFFSET($BH$3,0,0,'Données projet'!$E$11+1,1))-AVERAGE(OFFSET($H$3,0,0,'Données projet'!$E$11+1,1))</f>
        <v>504.15006129790828</v>
      </c>
      <c r="BJ67" s="59">
        <f t="shared" si="38"/>
        <v>374.39334457402742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11.751168654758045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11.751168654758045</v>
      </c>
      <c r="BT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8.3200000000000038</v>
      </c>
      <c r="BY67" s="13">
        <f>IF('Données projet'!$A$114&gt;35,BY66+BX67-CG66,IF(A67&lt;'Données projet'!$A$114,$BV$205^A67,IF(A67='Données projet'!$A$114,'Données projet'!$B$114,BY66+BX67-CG66)))</f>
        <v>465.67999999999989</v>
      </c>
      <c r="BZ67" s="14">
        <f>BY67*VLOOKUP('Données projet'!$B$12,Paramètres!$A$1:$I$88,3,0)*VLOOKUP('Données projet'!$B$12,Paramètres!$A$1:$I$88,5,0)</f>
        <v>312.37814399999991</v>
      </c>
      <c r="CA67" s="14">
        <f t="shared" si="39"/>
        <v>73.765260178714101</v>
      </c>
      <c r="CB67" s="22">
        <f t="shared" si="10"/>
        <v>672.53309561126025</v>
      </c>
      <c r="CC67" s="59">
        <f t="shared" si="11"/>
        <v>965.86642894459351</v>
      </c>
      <c r="CD67" s="59">
        <f ca="1">AVERAGE(OFFSET($CC$3,0,0,'Données projet'!$E$12+1,1))-AVERAGE(OFFSET($H$3,0,0,'Données projet'!$E$12+1,1))</f>
        <v>387.15063677712425</v>
      </c>
      <c r="CE67" s="59">
        <f t="shared" si="40"/>
        <v>313.19155394370705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9.9078480814626637</v>
      </c>
      <c r="CL67" s="23">
        <f>EXP(-LN(2)/25)*CL66+(1-EXP(-LN(2)/25))/(LN(2)/25)*Calculateur!CG67*Calculateur!CI67*VLOOKUP('Données projet'!$B$12,Paramètres!$A$1:$I$88,3,0)*0.475*44/12</f>
        <v>0</v>
      </c>
      <c r="CM67" s="23">
        <f>EXP(-LN(2)/2)*CM66+(1-EXP(-LN(2)/2))/(LN(2)/2)*CG67*CJ67*VLOOKUP('Données projet'!$B$12,Paramètres!$A$1:$I$88,3,0)*0.475*44/12</f>
        <v>0</v>
      </c>
      <c r="CN67" s="24">
        <f t="shared" si="12"/>
        <v>9.9078480814626637</v>
      </c>
      <c r="CO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6.875</v>
      </c>
      <c r="CT67" s="13">
        <f>IF('Données projet'!$A$140&gt;35,CT66+CS67-DB66,IF(A67&lt;'Données projet'!$A$140,$CQ$205^A67,IF(A67='Données projet'!$A$140,'Données projet'!$B$140,CT66+CS67-DB66)))</f>
        <v>176.25</v>
      </c>
      <c r="CU67" s="18">
        <f>CT67*VLOOKUP('Données projet'!$B$13,Paramètres!$A$1:$I$88,3,0)*VLOOKUP('Données projet'!$B$13,Paramètres!$A$1:$I$88,5,0)</f>
        <v>170.46900000000002</v>
      </c>
      <c r="CV67" s="14">
        <f t="shared" si="41"/>
        <v>43.195047135356397</v>
      </c>
      <c r="CW67" s="22">
        <f t="shared" si="13"/>
        <v>372.13154876074577</v>
      </c>
      <c r="CX67" s="59">
        <f t="shared" si="14"/>
        <v>665.46488209407903</v>
      </c>
      <c r="CY67" s="59">
        <f ca="1">AVERAGE(OFFSET($CX$3,0,0,'Données projet'!$E$13+1,1))-AVERAGE(OFFSET($H$3,0,0,'Données projet'!$E$13+1,1))</f>
        <v>306.00894145276209</v>
      </c>
      <c r="CZ67" s="59">
        <f t="shared" si="42"/>
        <v>168.74705421228828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9.6122257664030926</v>
      </c>
      <c r="DG67" s="23">
        <f>EXP(-LN(2)/25)*DG66+(1-EXP(-LN(2)/25))/(LN(2)/25)*Calculateur!DB67*Calculateur!DD67*VLOOKUP('Données projet'!$B$13,Paramètres!$A$1:$I$88,3,0)*0.475*44/12</f>
        <v>0</v>
      </c>
      <c r="DH67" s="23">
        <f>EXP(-LN(2)/2)*DH66+(1-EXP(-LN(2)/2))/(LN(2)/2)*DB67*DE67*VLOOKUP('Données projet'!$B$13,Paramètres!$A$1:$I$88,3,0)*0.475*44/12</f>
        <v>0</v>
      </c>
      <c r="DI67" s="24">
        <f t="shared" si="15"/>
        <v>9.6122257664030926</v>
      </c>
      <c r="DJ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8.3200000000000038</v>
      </c>
      <c r="DO67" s="13">
        <f>IF('Données projet'!$A$166&gt;35,DO66+DN67-DW66,IF(A67&lt;'Données projet'!$A$166,$DL$205^A67,IF(A67='Données projet'!$A$166,'Données projet'!$B$166,DO66+DN67-DW66)))</f>
        <v>465.67999999999989</v>
      </c>
      <c r="DP67" s="18">
        <f>DO67*VLOOKUP('Données projet'!$B$14,Paramètres!$A$1:$I$88,3,0)*VLOOKUP('Données projet'!$B$14,Paramètres!$A$1:$I$88,5,0)</f>
        <v>363.23039999999992</v>
      </c>
      <c r="DQ67" s="14">
        <f t="shared" si="43"/>
        <v>84.280877184600868</v>
      </c>
      <c r="DR67" s="22">
        <f t="shared" si="16"/>
        <v>779.41547442984631</v>
      </c>
      <c r="DS67" s="59">
        <f t="shared" si="17"/>
        <v>1072.7488077631797</v>
      </c>
      <c r="DT67" s="59">
        <f ca="1">AVERAGE(OFFSET($DS$3,0,0,'Données projet'!$E$14+1,1))-AVERAGE(OFFSET($H$3,0,0,'Données projet'!$E$14+1,1))</f>
        <v>458.14328535055694</v>
      </c>
      <c r="DU67" s="59">
        <f t="shared" si="44"/>
        <v>366.75500153675739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projet'!$B$14,Paramètres!$A$1:$I$88,3,0)*0.475*44/12</f>
        <v>9.347026491945913</v>
      </c>
      <c r="EB67" s="23">
        <f>EXP(-LN(2)/25)*EB66+(1-EXP(-LN(2)/25))/(LN(2)/25)*Calculateur!DW67*Calculateur!DY67*VLOOKUP('Données projet'!$B$14,Paramètres!$A$1:$I$88,3,0)*0.475*44/12</f>
        <v>0</v>
      </c>
      <c r="EC67" s="23">
        <f>EXP(-LN(2)/2)*EC66+(1-EXP(-LN(2)/2))/(LN(2)/2)*DW67*DZ67*VLOOKUP('Données projet'!$B$14,Paramètres!$A$1:$I$88,3,0)*0.475*44/12</f>
        <v>0</v>
      </c>
      <c r="ED67" s="24">
        <f t="shared" si="18"/>
        <v>9.347026491945913</v>
      </c>
      <c r="EE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14.5</v>
      </c>
      <c r="EJ67" s="13">
        <f>IF('Données projet'!$A$192&gt;35,EJ66+EI67-ER66,IF(A67&lt;'Données projet'!$A$192,$EG$205^A67,IF(A67='Données projet'!$A$192,'Données projet'!$B$192,EJ66+EI67-ER66)))</f>
        <v>457.00000000000017</v>
      </c>
      <c r="EK67" s="18">
        <f>EJ67*VLOOKUP('Données projet'!$B$15,Paramètres!$A$1:$I$88,3,0)*VLOOKUP('Données projet'!$B$15,Paramètres!$A$1:$I$88,5,0)</f>
        <v>392.10600000000017</v>
      </c>
      <c r="EL67" s="14">
        <f t="shared" si="45"/>
        <v>90.174426056298898</v>
      </c>
      <c r="EM67" s="22">
        <f t="shared" si="19"/>
        <v>839.97174204805413</v>
      </c>
      <c r="EN67" s="59">
        <f t="shared" si="20"/>
        <v>1133.3050753813875</v>
      </c>
      <c r="EO67" s="59">
        <f ca="1">AVERAGE(OFFSET($EN$3,0,0,'Données projet'!$E$15+1,1))-AVERAGE(OFFSET($H$3,0,0,'Données projet'!$E$15+1,1))</f>
        <v>462.99360395552145</v>
      </c>
      <c r="EP67" s="59">
        <f t="shared" si="46"/>
        <v>153.03880717786046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projet'!$B$15,Paramètres!$A$1:$I$88,3,0)*0.475*44/12</f>
        <v>18.706192797834781</v>
      </c>
      <c r="EW67" s="23">
        <f>EXP(-LN(2)/25)*EW66+(1-EXP(-LN(2)/25))/(LN(2)/25)*Calculateur!ER67*Calculateur!ET67*VLOOKUP('Données projet'!$B$15,Paramètres!$A$1:$I$88,3,0)*0.475*44/12</f>
        <v>0</v>
      </c>
      <c r="EX67" s="23">
        <f>EXP(-LN(2)/2)*EX66+(1-EXP(-LN(2)/2))/(LN(2)/2)*ER67*EU67*VLOOKUP('Données projet'!$B$15,Paramètres!$A$1:$I$88,3,0)*0.475*44/12</f>
        <v>0</v>
      </c>
      <c r="EY67" s="24">
        <f t="shared" si="21"/>
        <v>18.706192797834781</v>
      </c>
      <c r="EZ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6.6200000000000045</v>
      </c>
      <c r="FE67" s="13">
        <f>IF('Données projet'!$A$218&gt;35,FE66+FD67-FM66,IF(A67&lt;'Données projet'!$A$218,$FB$205^A67,IF(A67='Données projet'!$A$218,'Données projet'!$B$218,FE66+FD67-FM66)))</f>
        <v>369.38000000000005</v>
      </c>
      <c r="FF67" s="18">
        <f>FE67*VLOOKUP('Données projet'!$B$16,Paramètres!$A$1:$I$88,3,0)*VLOOKUP('Données projet'!$B$16,Paramètres!$A$1:$I$88,5,0)</f>
        <v>322.69036800000009</v>
      </c>
      <c r="FG67" s="14">
        <f t="shared" si="47"/>
        <v>75.912863992160112</v>
      </c>
      <c r="FH67" s="22">
        <f t="shared" si="22"/>
        <v>694.23396238634575</v>
      </c>
      <c r="FI67" s="59">
        <f t="shared" si="23"/>
        <v>987.56729571967912</v>
      </c>
      <c r="FJ67" s="59">
        <f ca="1">AVERAGE(OFFSET($FI$3,0,0,'Données projet'!$E$16+1,1))-AVERAGE(OFFSET($H$3,0,0,'Données projet'!$E$16+1,1))</f>
        <v>427.76895185088944</v>
      </c>
      <c r="FK67" s="59">
        <f t="shared" si="48"/>
        <v>308.32543361559135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projet'!$B$16,Paramètres!$A$1:$I$88,3,0)*0.475*44/12</f>
        <v>9.7283153529930253</v>
      </c>
      <c r="FR67" s="23">
        <f>EXP(-LN(2)/25)*FR66+(1-EXP(-LN(2)/25))/(LN(2)/25)*Calculateur!FM67*Calculateur!FO67*VLOOKUP('Données projet'!$B$16,Paramètres!$A$1:$I$88,3,0)*0.475*44/12</f>
        <v>0</v>
      </c>
      <c r="FS67" s="23">
        <f>EXP(-LN(2)/2)*FS66+(1-EXP(-LN(2)/2))/(LN(2)/2)*FM67*FP67*VLOOKUP('Données projet'!$B$16,Paramètres!$A$1:$I$88,3,0)*0.475*44/12</f>
        <v>0</v>
      </c>
      <c r="FT67" s="24">
        <f t="shared" si="24"/>
        <v>9.7283153529930253</v>
      </c>
      <c r="FU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5.2</v>
      </c>
      <c r="FZ67" s="13">
        <f>IF('Données projet'!$A$244&gt;35,FZ66+FY67-GH66,IF(A67&lt;'Données projet'!$A$244,$FW$205^A67,IF(A67='Données projet'!$A$244,'Données projet'!$B$244,FZ66+FY67-GH66)))</f>
        <v>335.80000000000018</v>
      </c>
      <c r="GA67" s="18">
        <f>FZ67*VLOOKUP('Données projet'!$B$17,Paramètres!$A$1:$I$88,3,0)*VLOOKUP('Données projet'!$B$17,Paramètres!$A$1:$I$88,5,0)</f>
        <v>209.53920000000011</v>
      </c>
      <c r="GB67" s="14">
        <f t="shared" si="49"/>
        <v>51.83487643455139</v>
      </c>
      <c r="GC67" s="22">
        <f t="shared" si="25"/>
        <v>455.22651645684391</v>
      </c>
      <c r="GD67" s="59">
        <f t="shared" si="26"/>
        <v>748.55984979017717</v>
      </c>
      <c r="GE67" s="59">
        <f ca="1">AVERAGE(OFFSET($GD$3,0,0,'Données projet'!$E$17+1,1))-AVERAGE(OFFSET($H$3,0,0,'Données projet'!$E$17+1,1))</f>
        <v>247.85542034088905</v>
      </c>
      <c r="GF67" s="59">
        <f t="shared" si="50"/>
        <v>299.52241743660352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projet'!$B$17,Paramètres!$A$1:$I$88,3,0)*0.475*44/12</f>
        <v>23.196515809574969</v>
      </c>
      <c r="GM67" s="23">
        <f>EXP(-LN(2)/25)*GM66+(1-EXP(-LN(2)/25))/(LN(2)/25)*Calculateur!GH67*Calculateur!GJ67*VLOOKUP('Données projet'!$B$17,Paramètres!$A$1:$I$88,3,0)*0.475*44/12</f>
        <v>31.311872533701852</v>
      </c>
      <c r="GN67" s="23">
        <f>EXP(-LN(2)/2)*GN66+(1-EXP(-LN(2)/2))/(LN(2)/2)*GH67*GK67*VLOOKUP('Données projet'!$B$17,Paramètres!$A$1:$I$88,3,0)*0.475*44/12</f>
        <v>0.76524085508464523</v>
      </c>
      <c r="GO67" s="23">
        <f t="shared" si="27"/>
        <v>55.273629198361462</v>
      </c>
      <c r="GP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3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6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6.875</v>
      </c>
      <c r="N68" s="14">
        <f>IF('Données projet'!$A$36&gt;35,N67+M68-V67,IF(A68&lt;'Données projet'!$A$36,$K$205^A68,IF(A68='Données projet'!$A$36,'Données projet'!$B$36,N67+M68-V67)))</f>
        <v>183.125</v>
      </c>
      <c r="O68" s="14">
        <f>N68*VLOOKUP('Données projet'!$B$9,Paramètres!$A$1:$I$88,3,0)*VLOOKUP('Données projet'!$B$9,Paramètres!$A$1:$I$88,5,0)</f>
        <v>165.69149999999999</v>
      </c>
      <c r="P68" s="14">
        <f t="shared" si="33"/>
        <v>42.123625959662853</v>
      </c>
      <c r="Q68" s="22">
        <f t="shared" si="54"/>
        <v>361.94467771307944</v>
      </c>
      <c r="R68" s="59">
        <f t="shared" si="55"/>
        <v>655.27801104641276</v>
      </c>
      <c r="S68" s="59">
        <f ca="1">AVERAGE(OFFSET($R$3,0,0,'Données projet'!$E$9+1,1))-AVERAGE(OFFSET($H$3,0,0,'Données projet'!$E$9+1,1))</f>
        <v>247.57967230773539</v>
      </c>
      <c r="T68" s="59">
        <f t="shared" si="34"/>
        <v>156.58857589533295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8.8157529218735249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8.8157529218735249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474</v>
      </c>
      <c r="AG68" s="13">
        <f>VLOOKUP(A68,'Données projet'!$A$61:$I$81,9,0)</f>
        <v>8.3200000000000038</v>
      </c>
      <c r="AH68" s="13">
        <f t="array" ref="AH68">INDEX(AG:AG,MIN(IF(ISNUMBER(AG68:AG264),ROW(AG68:AG264),"")))</f>
        <v>8.3200000000000038</v>
      </c>
      <c r="AI68" s="14">
        <f>IF('Données projet'!$A$62&gt;35,AI67+AH68-AQ67,IF(A68&lt;'Données projet'!$A$62,$AF$205^A68,IF(A68='Données projet'!$A$62,'Données projet'!$B$62,AI67+AH68-AQ67)))</f>
        <v>473.99999999999989</v>
      </c>
      <c r="AJ68" s="14">
        <f>AI68*VLOOKUP('Données projet'!$B$10,Paramètres!$A$1:$I$88,3,0)*VLOOKUP('Données projet'!$B$10,Paramètres!$A$1:$I$88,5,0)</f>
        <v>377.11439999999993</v>
      </c>
      <c r="AK68" s="14">
        <f t="shared" si="35"/>
        <v>87.12117222733346</v>
      </c>
      <c r="AL68" s="22">
        <f t="shared" ref="AL68:AL131" si="58">(AJ68+AK68)*0.475*44/12</f>
        <v>808.54362162927225</v>
      </c>
      <c r="AM68" s="59">
        <f t="shared" ref="AM68:AM131" si="59">AL68+(AD68+AE68)*44/12</f>
        <v>1101.8769549626056</v>
      </c>
      <c r="AN68" s="59">
        <f ca="1">AVERAGE(OFFSET($AM$3,0,0,'Données projet'!$E$10+1,1))-AVERAGE(OFFSET($H$3,0,0,'Données projet'!$E$10+1,1))</f>
        <v>504.15006129790828</v>
      </c>
      <c r="AO68" s="59">
        <f t="shared" si="36"/>
        <v>374.39334457402742</v>
      </c>
      <c r="AP68" s="16">
        <f>IF(ISNA(VLOOKUP(A68,'Données projet'!$A$61:$I$81,3,0)),0,VLOOKUP(A68,'Données projet'!$A$61:$I$81,3,0))</f>
        <v>11</v>
      </c>
      <c r="AQ68" s="16">
        <f>IF(ISNA(VLOOKUP(A68,'Données projet'!$A$61:$I$81,4,0)),0,VLOOKUP(A68,'Données projet'!$A$61:$I$81,4,0))</f>
        <v>14.2</v>
      </c>
      <c r="AR68" s="17">
        <f>IF(ISNA(VLOOKUP(A68,'Données projet'!$A$61:$I$81,5,0)),0%,VLOOKUP(A68,'Données projet'!$A$61:$I$81,5,0)*VLOOKUP('Données projet'!$B$10,Paramètres!$A$1:$I$88,7,0))</f>
        <v>0.26500000000000001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14.830339941321377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14.830339941321377</v>
      </c>
      <c r="AY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474</v>
      </c>
      <c r="BB68" s="13">
        <f>VLOOKUP(A68,'Données projet'!$A$87:$I$107,9,0)</f>
        <v>8.3200000000000038</v>
      </c>
      <c r="BC68" s="13">
        <f t="array" ref="BC68">INDEX(BB:BB,MIN(IF(ISNUMBER(BB68:BB264),ROW(BB68:BB264),"")))</f>
        <v>8.3200000000000038</v>
      </c>
      <c r="BD68" s="13">
        <f>IF('Données projet'!$A$88&gt;35,BD67+BC68-BL67,IF(A68&lt;'Données projet'!$A$88,$BA$205^A68,IF(A68='Données projet'!$A$88,'Données projet'!$B$88,BD67+BC68-BL67)))</f>
        <v>473.99999999999989</v>
      </c>
      <c r="BE68" s="14">
        <f>BD68*VLOOKUP('Données projet'!$B$11,Paramètres!$A$1:$I$88,3,0)*VLOOKUP('Données projet'!$B$11,Paramètres!$A$1:$I$88,5,0)</f>
        <v>377.11439999999993</v>
      </c>
      <c r="BF68" s="14">
        <f t="shared" si="37"/>
        <v>87.12117222733346</v>
      </c>
      <c r="BG68" s="22">
        <f t="shared" ref="BG68:BG131" si="61">(BE68+BF68)*0.475*44/12</f>
        <v>808.54362162927225</v>
      </c>
      <c r="BH68" s="59">
        <f t="shared" ref="BH68:BH131" si="62">BG68+(AY68+AZ68)*44/12</f>
        <v>1101.8769549626056</v>
      </c>
      <c r="BI68" s="59">
        <f ca="1">AVERAGE(OFFSET($BH$3,0,0,'Données projet'!$E$11+1,1))-AVERAGE(OFFSET($H$3,0,0,'Données projet'!$E$11+1,1))</f>
        <v>504.15006129790828</v>
      </c>
      <c r="BJ68" s="59">
        <f t="shared" si="38"/>
        <v>374.39334457402742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14.2</v>
      </c>
      <c r="BM68" s="17">
        <f>IF(ISNA(VLOOKUP(A68,'Données projet'!$A$87:$I$107,5,0)),0%,VLOOKUP(A68,'Données projet'!$A$87:$I$107,5,0)*VLOOKUP('Données projet'!$B$11,Paramètres!$A$1:$I$88,7,0))</f>
        <v>0.26500000000000001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14.830339941321377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14.830339941321377</v>
      </c>
      <c r="BT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474</v>
      </c>
      <c r="BW68" s="13">
        <f>VLOOKUP(A68,'Données projet'!$A$113:$I$133,9,0)</f>
        <v>8.3200000000000038</v>
      </c>
      <c r="BX68" s="13">
        <f t="array" ref="BX68">INDEX(BW:BW,MIN(IF(ISNUMBER(BW68:BW264),ROW(BW68:BW264),"")))</f>
        <v>8.3200000000000038</v>
      </c>
      <c r="BY68" s="13">
        <f>IF('Données projet'!$A$114&gt;35,BY67+BX68-CG67,IF(A68&lt;'Données projet'!$A$114,$BV$205^A68,IF(A68='Données projet'!$A$114,'Données projet'!$B$114,BY67+BX68-CG67)))</f>
        <v>473.99999999999989</v>
      </c>
      <c r="BZ68" s="14">
        <f>BY68*VLOOKUP('Données projet'!$B$12,Paramètres!$A$1:$I$88,3,0)*VLOOKUP('Données projet'!$B$12,Paramètres!$A$1:$I$88,5,0)</f>
        <v>317.9591999999999</v>
      </c>
      <c r="CA68" s="14">
        <f t="shared" si="39"/>
        <v>74.928567549002281</v>
      </c>
      <c r="CB68" s="22">
        <f t="shared" ref="CB68:CB131" si="64">(BZ68+CA68)*0.475*44/12</f>
        <v>684.27952848117877</v>
      </c>
      <c r="CC68" s="59">
        <f t="shared" ref="CC68:CC131" si="65">CB68+(BT68+BU68)*44/12</f>
        <v>977.61286181451214</v>
      </c>
      <c r="CD68" s="59">
        <f ca="1">AVERAGE(OFFSET($CC$3,0,0,'Données projet'!$E$12+1,1))-AVERAGE(OFFSET($H$3,0,0,'Données projet'!$E$12+1,1))</f>
        <v>387.15063677712425</v>
      </c>
      <c r="CE68" s="59">
        <f t="shared" si="40"/>
        <v>313.19155394370705</v>
      </c>
      <c r="CF68" s="16">
        <f>IF(ISNA(VLOOKUP(A68,'Données projet'!$A$113:$I$133,3,0)),0,VLOOKUP(A68,'Données projet'!$A$113:$I$133,3,0))</f>
        <v>11</v>
      </c>
      <c r="CG68" s="16">
        <f>IF(ISNA(VLOOKUP(A68,'Données projet'!$A$113:$I$133,4,0)),0,VLOOKUP(A68,'Données projet'!$A$113:$I$133,4,0))</f>
        <v>14.2</v>
      </c>
      <c r="CH68" s="17">
        <f>IF(ISNA(VLOOKUP(A68,'Données projet'!$A$113:$I$133,5,0)),0%,VLOOKUP(A68,'Données projet'!$A$113:$I$133,5,0)*VLOOKUP('Données projet'!$B$12,Paramètres!$A$1:$I$88,7,0))</f>
        <v>0.26500000000000001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12.504012107388609</v>
      </c>
      <c r="CL68" s="23">
        <f>EXP(-LN(2)/25)*CL67+(1-EXP(-LN(2)/25))/(LN(2)/25)*Calculateur!CG68*Calculateur!CI68*VLOOKUP('Données projet'!$B$12,Paramètres!$A$1:$I$88,3,0)*0.475*44/12</f>
        <v>0</v>
      </c>
      <c r="CM68" s="23">
        <f>EXP(-LN(2)/2)*CM67+(1-EXP(-LN(2)/2))/(LN(2)/2)*CG68*CJ68*VLOOKUP('Données projet'!$B$12,Paramètres!$A$1:$I$88,3,0)*0.475*44/12</f>
        <v>0</v>
      </c>
      <c r="CN68" s="24">
        <f t="shared" ref="CN68:CN131" si="66">SUM(CK68:CM68)</f>
        <v>12.504012107388609</v>
      </c>
      <c r="CO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6.875</v>
      </c>
      <c r="CT68" s="13">
        <f>IF('Données projet'!$A$140&gt;35,CT67+CS68-DB67,IF(A68&lt;'Données projet'!$A$140,$CQ$205^A68,IF(A68='Données projet'!$A$140,'Données projet'!$B$140,CT67+CS68-DB67)))</f>
        <v>183.125</v>
      </c>
      <c r="CU68" s="18">
        <f>CT68*VLOOKUP('Données projet'!$B$13,Paramètres!$A$1:$I$88,3,0)*VLOOKUP('Données projet'!$B$13,Paramètres!$A$1:$I$88,5,0)</f>
        <v>177.11849999999998</v>
      </c>
      <c r="CV68" s="14">
        <f t="shared" si="41"/>
        <v>44.680504631205395</v>
      </c>
      <c r="CW68" s="22">
        <f t="shared" ref="CW68:CW131" si="67">(CU68+CV68)*0.475*44/12</f>
        <v>386.29993306601608</v>
      </c>
      <c r="CX68" s="59">
        <f t="shared" ref="CX68:CX131" si="68">CW68+(CO68+CP68)*44/12</f>
        <v>679.6332663993494</v>
      </c>
      <c r="CY68" s="59">
        <f ca="1">AVERAGE(OFFSET($CX$3,0,0,'Données projet'!$E$13+1,1))-AVERAGE(OFFSET($H$3,0,0,'Données projet'!$E$13+1,1))</f>
        <v>306.00894145276209</v>
      </c>
      <c r="CZ68" s="59">
        <f t="shared" si="42"/>
        <v>168.74705421228828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9.4237358820027346</v>
      </c>
      <c r="DG68" s="23">
        <f>EXP(-LN(2)/25)*DG67+(1-EXP(-LN(2)/25))/(LN(2)/25)*Calculateur!DB68*Calculateur!DD68*VLOOKUP('Données projet'!$B$13,Paramètres!$A$1:$I$88,3,0)*0.475*44/12</f>
        <v>0</v>
      </c>
      <c r="DH68" s="23">
        <f>EXP(-LN(2)/2)*DH67+(1-EXP(-LN(2)/2))/(LN(2)/2)*DB68*DE68*VLOOKUP('Données projet'!$B$13,Paramètres!$A$1:$I$88,3,0)*0.475*44/12</f>
        <v>0</v>
      </c>
      <c r="DI68" s="24">
        <f t="shared" ref="DI68:DI131" si="69">SUM(DF68:DH68)</f>
        <v>9.4237358820027346</v>
      </c>
      <c r="DJ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474</v>
      </c>
      <c r="DM68" s="13">
        <f>VLOOKUP(A68,'Données projet'!$A$165:$I$185,9,0)</f>
        <v>8.3200000000000038</v>
      </c>
      <c r="DN68" s="13">
        <f t="array" ref="DN68">INDEX(DM:DM,MIN(IF(ISNUMBER(DM68:DM264),ROW(DM68:DM264),"")))</f>
        <v>8.3200000000000038</v>
      </c>
      <c r="DO68" s="13">
        <f>IF('Données projet'!$A$166&gt;35,DO67+DN68-DW67,IF(A68&lt;'Données projet'!$A$166,$DL$205^A68,IF(A68='Données projet'!$A$166,'Données projet'!$B$166,DO67+DN68-DW67)))</f>
        <v>473.99999999999989</v>
      </c>
      <c r="DP68" s="18">
        <f>DO68*VLOOKUP('Données projet'!$B$14,Paramètres!$A$1:$I$88,3,0)*VLOOKUP('Données projet'!$B$14,Paramètres!$A$1:$I$88,5,0)</f>
        <v>369.71999999999991</v>
      </c>
      <c r="DQ68" s="14">
        <f t="shared" si="43"/>
        <v>85.610020000143891</v>
      </c>
      <c r="DR68" s="22">
        <f t="shared" ref="DR68:DR131" si="70">(DP68+DQ68)*0.475*44/12</f>
        <v>793.03311816691712</v>
      </c>
      <c r="DS68" s="59">
        <f t="shared" ref="DS68:DS131" si="71">DR68+(DJ68+DK68)*44/12</f>
        <v>1086.3664515002504</v>
      </c>
      <c r="DT68" s="59">
        <f ca="1">AVERAGE(OFFSET($DS$3,0,0,'Données projet'!$E$14+1,1))-AVERAGE(OFFSET($H$3,0,0,'Données projet'!$E$14+1,1))</f>
        <v>458.14328535055694</v>
      </c>
      <c r="DU68" s="59">
        <f t="shared" si="44"/>
        <v>366.75500153675739</v>
      </c>
      <c r="DV68" s="16">
        <f>IF(ISNA(VLOOKUP(A68,'Données projet'!$A$165:$I$185,3,0)),0,VLOOKUP(A68,'Données projet'!$A$165:$I$185,3,0))</f>
        <v>11</v>
      </c>
      <c r="DW68" s="16">
        <f>IF(ISNA(VLOOKUP(A68,'Données projet'!$A$165:$I$185,4,0)),0,VLOOKUP(A68,'Données projet'!$A$165:$I$185,4,0))</f>
        <v>14.2</v>
      </c>
      <c r="DX68" s="17">
        <f>IF(ISNA(VLOOKUP(A68,'Données projet'!$A$165:$I$185,5,0)),0%,VLOOKUP(A68,'Données projet'!$A$165:$I$185,5,0)*VLOOKUP('Données projet'!$B$14,Paramètres!$A$1:$I$88,7,0))</f>
        <v>0.215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projet'!$B$14,Paramètres!$A$1:$I$88,3,0)*0.475*44/12</f>
        <v>11.796237837159069</v>
      </c>
      <c r="EB68" s="23">
        <f>EXP(-LN(2)/25)*EB67+(1-EXP(-LN(2)/25))/(LN(2)/25)*Calculateur!DW68*Calculateur!DY68*VLOOKUP('Données projet'!$B$14,Paramètres!$A$1:$I$88,3,0)*0.475*44/12</f>
        <v>0</v>
      </c>
      <c r="EC68" s="23">
        <f>EXP(-LN(2)/2)*EC67+(1-EXP(-LN(2)/2))/(LN(2)/2)*DW68*DZ68*VLOOKUP('Données projet'!$B$14,Paramètres!$A$1:$I$88,3,0)*0.475*44/12</f>
        <v>0</v>
      </c>
      <c r="ED68" s="24">
        <f t="shared" ref="ED68:ED131" si="72">SUM(EA68:EC68)</f>
        <v>11.796237837159069</v>
      </c>
      <c r="EE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14.5</v>
      </c>
      <c r="EJ68" s="13">
        <f>IF('Données projet'!$A$192&gt;35,EJ67+EI68-ER67,IF(A68&lt;'Données projet'!$A$192,$EG$205^A68,IF(A68='Données projet'!$A$192,'Données projet'!$B$192,EJ67+EI68-ER67)))</f>
        <v>471.50000000000017</v>
      </c>
      <c r="EK68" s="18">
        <f>EJ68*VLOOKUP('Données projet'!$B$15,Paramètres!$A$1:$I$88,3,0)*VLOOKUP('Données projet'!$B$15,Paramètres!$A$1:$I$88,5,0)</f>
        <v>404.5470000000002</v>
      </c>
      <c r="EL68" s="14">
        <f t="shared" si="45"/>
        <v>92.697892380008213</v>
      </c>
      <c r="EM68" s="22">
        <f t="shared" ref="EM68:EM131" si="73">(EK68+EL68)*0.475*44/12</f>
        <v>866.03485422851463</v>
      </c>
      <c r="EN68" s="59">
        <f t="shared" ref="EN68:EN131" si="74">EM68+(EE68+EF68)*44/12</f>
        <v>1159.3681875618479</v>
      </c>
      <c r="EO68" s="59">
        <f ca="1">AVERAGE(OFFSET($EN$3,0,0,'Données projet'!$E$15+1,1))-AVERAGE(OFFSET($H$3,0,0,'Données projet'!$E$15+1,1))</f>
        <v>462.99360395552145</v>
      </c>
      <c r="EP68" s="59">
        <f t="shared" si="46"/>
        <v>153.03880717786046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projet'!$B$15,Paramètres!$A$1:$I$88,3,0)*0.475*44/12</f>
        <v>18.339375766720238</v>
      </c>
      <c r="EW68" s="23">
        <f>EXP(-LN(2)/25)*EW67+(1-EXP(-LN(2)/25))/(LN(2)/25)*Calculateur!ER68*Calculateur!ET68*VLOOKUP('Données projet'!$B$15,Paramètres!$A$1:$I$88,3,0)*0.475*44/12</f>
        <v>0</v>
      </c>
      <c r="EX68" s="23">
        <f>EXP(-LN(2)/2)*EX67+(1-EXP(-LN(2)/2))/(LN(2)/2)*ER68*EU68*VLOOKUP('Données projet'!$B$15,Paramètres!$A$1:$I$88,3,0)*0.475*44/12</f>
        <v>0</v>
      </c>
      <c r="EY68" s="24">
        <f t="shared" ref="EY68:EY131" si="75">SUM(EV68:EX68)</f>
        <v>18.339375766720238</v>
      </c>
      <c r="EZ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376</v>
      </c>
      <c r="FC68" s="13">
        <f>VLOOKUP(A68,'Données projet'!$A$217:$I$237,9,0)</f>
        <v>6.6200000000000045</v>
      </c>
      <c r="FD68" s="13">
        <f t="array" ref="FD68">INDEX(FC:FC,MIN(IF(ISNUMBER(FC68:FC264),ROW(FC68:FC264),"")))</f>
        <v>6.6200000000000045</v>
      </c>
      <c r="FE68" s="13">
        <f>IF('Données projet'!$A$218&gt;35,FE67+FD68-FM67,IF(A68&lt;'Données projet'!$A$218,$FB$205^A68,IF(A68='Données projet'!$A$218,'Données projet'!$B$218,FE67+FD68-FM67)))</f>
        <v>376.00000000000006</v>
      </c>
      <c r="FF68" s="18">
        <f>FE68*VLOOKUP('Données projet'!$B$16,Paramètres!$A$1:$I$88,3,0)*VLOOKUP('Données projet'!$B$16,Paramètres!$A$1:$I$88,5,0)</f>
        <v>328.47360000000009</v>
      </c>
      <c r="FG68" s="14">
        <f t="shared" si="47"/>
        <v>77.113760169251421</v>
      </c>
      <c r="FH68" s="22">
        <f t="shared" ref="FH68:FH131" si="76">(FF68+FG68)*0.475*44/12</f>
        <v>706.39798562811302</v>
      </c>
      <c r="FI68" s="59">
        <f t="shared" ref="FI68:FI131" si="77">FH68+(EZ68+FA68)*44/12</f>
        <v>999.73131896144628</v>
      </c>
      <c r="FJ68" s="59">
        <f ca="1">AVERAGE(OFFSET($FI$3,0,0,'Données projet'!$E$16+1,1))-AVERAGE(OFFSET($H$3,0,0,'Données projet'!$E$16+1,1))</f>
        <v>427.76895185088944</v>
      </c>
      <c r="FK68" s="59">
        <f t="shared" si="48"/>
        <v>308.32543361559135</v>
      </c>
      <c r="FL68" s="16">
        <f>IF(ISNA(VLOOKUP(A68,'Données projet'!$A$217:$I$237,3,0)),0,VLOOKUP(A68,'Données projet'!$A$217:$I$237,3,0))</f>
        <v>11</v>
      </c>
      <c r="FM68" s="16">
        <f>IF(ISNA(VLOOKUP(A68,'Données projet'!$A$217:$I$237,4,0)),0,VLOOKUP(A68,'Données projet'!$A$217:$I$237,4,0))</f>
        <v>11.1</v>
      </c>
      <c r="FN68" s="17">
        <f>IF(ISNA(VLOOKUP(A68,'Données projet'!$A$217:$I$237,5,0)),0%,VLOOKUP(A68,'Données projet'!$A$217:$I$237,5,0)*VLOOKUP('Données projet'!$B$16,Paramètres!$A$1:$I$88,7,0))</f>
        <v>0.26500000000000001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projet'!$B$16,Paramètres!$A$1:$I$88,3,0)*0.475*44/12</f>
        <v>12.378270066258992</v>
      </c>
      <c r="FR68" s="23">
        <f>EXP(-LN(2)/25)*FR67+(1-EXP(-LN(2)/25))/(LN(2)/25)*Calculateur!FM68*Calculateur!FO68*VLOOKUP('Données projet'!$B$16,Paramètres!$A$1:$I$88,3,0)*0.475*44/12</f>
        <v>0</v>
      </c>
      <c r="FS68" s="23">
        <f>EXP(-LN(2)/2)*FS67+(1-EXP(-LN(2)/2))/(LN(2)/2)*FM68*FP68*VLOOKUP('Données projet'!$B$16,Paramètres!$A$1:$I$88,3,0)*0.475*44/12</f>
        <v>0</v>
      </c>
      <c r="FT68" s="24">
        <f t="shared" ref="FT68:FT131" si="78">SUM(FQ68:FS68)</f>
        <v>12.378270066258992</v>
      </c>
      <c r="FU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341</v>
      </c>
      <c r="FX68" s="13">
        <f>VLOOKUP(A68,'Données projet'!$A$243:$I$263,9,0)</f>
        <v>5.2</v>
      </c>
      <c r="FY68" s="13">
        <f t="array" ref="FY68">INDEX(FX:FX,MIN(IF(ISNUMBER(FX68:FX264),ROW(FX68:FX264),"")))</f>
        <v>5.2</v>
      </c>
      <c r="FZ68" s="13">
        <f>IF('Données projet'!$A$244&gt;35,FZ67+FY68-GH67,IF(A68&lt;'Données projet'!$A$244,$FW$205^A68,IF(A68='Données projet'!$A$244,'Données projet'!$B$244,FZ67+FY68-GH67)))</f>
        <v>341.00000000000017</v>
      </c>
      <c r="GA68" s="18">
        <f>FZ68*VLOOKUP('Données projet'!$B$17,Paramètres!$A$1:$I$88,3,0)*VLOOKUP('Données projet'!$B$17,Paramètres!$A$1:$I$88,5,0)</f>
        <v>212.78400000000008</v>
      </c>
      <c r="GB68" s="14">
        <f t="shared" si="49"/>
        <v>52.543492641808108</v>
      </c>
      <c r="GC68" s="22">
        <f t="shared" ref="GC68:GC131" si="79">(GA68+GB68)*0.475*44/12</f>
        <v>462.1120496844826</v>
      </c>
      <c r="GD68" s="59">
        <f t="shared" ref="GD68:GD131" si="80">GC68+(FU68+FV68)*44/12</f>
        <v>755.44538301781586</v>
      </c>
      <c r="GE68" s="59">
        <f ca="1">AVERAGE(OFFSET($GD$3,0,0,'Données projet'!$E$17+1,1))-AVERAGE(OFFSET($H$3,0,0,'Données projet'!$E$17+1,1))</f>
        <v>247.85542034088905</v>
      </c>
      <c r="GF68" s="59">
        <f t="shared" si="50"/>
        <v>299.52241743660352</v>
      </c>
      <c r="GG68" s="16">
        <f>IF(ISNA(VLOOKUP(A68,'Données projet'!$A$243:$I$263,3,0)),0,VLOOKUP(A68,'Données projet'!$A$243:$I$263,3,0))</f>
        <v>12</v>
      </c>
      <c r="GH68" s="16">
        <f>IF(ISNA(VLOOKUP(A68,'Données projet'!$A$243:$I$263,4,0)),0,VLOOKUP(A68,'Données projet'!$A$243:$I$263,4,0))</f>
        <v>16</v>
      </c>
      <c r="GI68" s="17">
        <f>IF(ISNA(VLOOKUP(A68,'Données projet'!$A$243:$I$263,5,0)),0%,VLOOKUP(A68,'Données projet'!$A$243:$I$263,5,0)*VLOOKUP('Données projet'!$B$17,Paramètres!$A$1:$I$88,7,0))</f>
        <v>0.36</v>
      </c>
      <c r="GJ68" s="17">
        <f>IF(ISNA(VLOOKUP(A68,'Données projet'!$A$243:$I$263,6,0)),0%,VLOOKUP(A68,'Données projet'!$A$243:$I$263,6,0)*VLOOKUP('Données projet'!$B$17,Paramètres!$A$1:$I$88,7,0))</f>
        <v>0.13440000000000002</v>
      </c>
      <c r="GK68" s="17">
        <f>IF(ISNA(VLOOKUP(A68,'Données projet'!$A$243:$I$263,7,0)),0%,VLOOKUP(A68,'Données projet'!$A$243:$I$263,7,0))</f>
        <v>0.17600000000000002</v>
      </c>
      <c r="GL68" s="23">
        <f>EXP(-LN(2)/35)*GL67+(1-EXP(-LN(2)/35))/(LN(2)/35)*GH68*GI68*VLOOKUP('Données projet'!$B$17,Paramètres!$A$1:$I$88,3,0)*0.475*44/12</f>
        <v>27.509637311345813</v>
      </c>
      <c r="GM68" s="23">
        <f>EXP(-LN(2)/25)*GM67+(1-EXP(-LN(2)/25))/(LN(2)/25)*Calculateur!GH68*Calculateur!GJ68*VLOOKUP('Données projet'!$B$17,Paramètres!$A$1:$I$88,3,0)*0.475*44/12</f>
        <v>32.228688981514871</v>
      </c>
      <c r="GN68" s="23">
        <f>EXP(-LN(2)/2)*GN67+(1-EXP(-LN(2)/2))/(LN(2)/2)*GH68*GK68*VLOOKUP('Données projet'!$B$17,Paramètres!$A$1:$I$88,3,0)*0.475*44/12</f>
        <v>2.5306474753680899</v>
      </c>
      <c r="GO68" s="23">
        <f t="shared" ref="GO68:GO131" si="81">SUM(GL68:GN68)</f>
        <v>62.268973768228776</v>
      </c>
      <c r="GP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3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6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190</v>
      </c>
      <c r="L69" s="13">
        <f>VLOOKUP(A69,'Données projet'!$A$35:$I$55,9,0)</f>
        <v>6.875</v>
      </c>
      <c r="M69" s="13">
        <f t="array" ref="M69">INDEX(L:L,MIN(IF(ISNUMBER(L69:L265),ROW(L69:L265),"")))</f>
        <v>6.875</v>
      </c>
      <c r="N69" s="14">
        <f>IF('Données projet'!$A$36&gt;35,N68+M69-V68,IF(A69&lt;'Données projet'!$A$36,$K$205^A69,IF(A69='Données projet'!$A$36,'Données projet'!$B$36,N68+M69-V68)))</f>
        <v>190</v>
      </c>
      <c r="O69" s="14">
        <f>N69*VLOOKUP('Données projet'!$B$9,Paramètres!$A$1:$I$88,3,0)*VLOOKUP('Données projet'!$B$9,Paramètres!$A$1:$I$88,5,0)</f>
        <v>171.91199999999998</v>
      </c>
      <c r="P69" s="14">
        <f t="shared" ref="P69:P132" si="87">EXP(-1.0587+0.8836*LN(O69)+0.284)</f>
        <v>43.517968841037288</v>
      </c>
      <c r="Q69" s="22">
        <f t="shared" si="54"/>
        <v>375.20719573147318</v>
      </c>
      <c r="R69" s="59">
        <f t="shared" si="55"/>
        <v>668.54052906480649</v>
      </c>
      <c r="S69" s="59">
        <f ca="1">AVERAGE(OFFSET($R$3,0,0,'Données projet'!$E$9+1,1))-AVERAGE(OFFSET($H$3,0,0,'Données projet'!$E$9+1,1))</f>
        <v>247.57967230773539</v>
      </c>
      <c r="T69" s="59">
        <f t="shared" ref="T69:T132" si="88">$T$3</f>
        <v>156.58857589533295</v>
      </c>
      <c r="U69" s="16">
        <f>IF(ISNA(VLOOKUP(A69,'Données projet'!$A$35:$I$55,3,0)),0,VLOOKUP(A69,'Données projet'!$A$35:$I$55,3,0))</f>
        <v>4</v>
      </c>
      <c r="V69" s="16">
        <f>IF(ISNA(VLOOKUP(A69,'Données projet'!$A$35:$I$55,4,0)),0,VLOOKUP(A69,'Données projet'!$A$35:$I$55,4,0))</f>
        <v>38</v>
      </c>
      <c r="W69" s="17">
        <f>IF(ISNA(VLOOKUP(A69,'Données projet'!$A$35:$I$55,5,0)),0%,VLOOKUP(A69,'Données projet'!$A$35:$I$55,5,0)*VLOOKUP('Données projet'!$B$9,Paramètres!$A$1:$I$88,7,0))</f>
        <v>0.129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13.546006880419654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13.546006880419654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7.2399999999999975</v>
      </c>
      <c r="AI69" s="14">
        <f>IF('Données projet'!$A$62&gt;35,AI68+AH69-AQ68,IF(A69&lt;'Données projet'!$A$62,$AF$205^A69,IF(A69='Données projet'!$A$62,'Données projet'!$B$62,AI68+AH69-AQ68)))</f>
        <v>467.03999999999991</v>
      </c>
      <c r="AJ69" s="14">
        <f>AI69*VLOOKUP('Données projet'!$B$10,Paramètres!$A$1:$I$88,3,0)*VLOOKUP('Données projet'!$B$10,Paramètres!$A$1:$I$88,5,0)</f>
        <v>371.57702399999994</v>
      </c>
      <c r="AK69" s="14">
        <f t="shared" ref="AK69:AK132" si="89">EXP(-1.0587+0.8836*LN(AJ69)+0.284)</f>
        <v>85.989857763941146</v>
      </c>
      <c r="AL69" s="22">
        <f t="shared" si="58"/>
        <v>796.92898573886396</v>
      </c>
      <c r="AM69" s="59">
        <f t="shared" si="59"/>
        <v>1090.2623190721972</v>
      </c>
      <c r="AN69" s="59">
        <f ca="1">AVERAGE(OFFSET($AM$3,0,0,'Données projet'!$E$10+1,1))-AVERAGE(OFFSET($H$3,0,0,'Données projet'!$E$10+1,1))</f>
        <v>504.15006129790828</v>
      </c>
      <c r="AO69" s="59">
        <f t="shared" ref="AO69:AO132" si="90">$AO$3</f>
        <v>374.39334457402742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14.539526020686248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14.539526020686248</v>
      </c>
      <c r="AY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7.2399999999999975</v>
      </c>
      <c r="BD69" s="13">
        <f>IF('Données projet'!$A$88&gt;35,BD68+BC69-BL68,IF(A69&lt;'Données projet'!$A$88,$BA$205^A69,IF(A69='Données projet'!$A$88,'Données projet'!$B$88,BD68+BC69-BL68)))</f>
        <v>467.03999999999991</v>
      </c>
      <c r="BE69" s="14">
        <f>BD69*VLOOKUP('Données projet'!$B$11,Paramètres!$A$1:$I$88,3,0)*VLOOKUP('Données projet'!$B$11,Paramètres!$A$1:$I$88,5,0)</f>
        <v>371.57702399999994</v>
      </c>
      <c r="BF69" s="14">
        <f t="shared" ref="BF69:BF132" si="91">EXP(-1.0587+0.8836*LN(BE69)+0.284)</f>
        <v>85.989857763941146</v>
      </c>
      <c r="BG69" s="22">
        <f t="shared" si="61"/>
        <v>796.92898573886396</v>
      </c>
      <c r="BH69" s="59">
        <f t="shared" si="62"/>
        <v>1090.2623190721972</v>
      </c>
      <c r="BI69" s="59">
        <f ca="1">AVERAGE(OFFSET($BH$3,0,0,'Données projet'!$E$11+1,1))-AVERAGE(OFFSET($H$3,0,0,'Données projet'!$E$11+1,1))</f>
        <v>504.15006129790828</v>
      </c>
      <c r="BJ69" s="59">
        <f t="shared" ref="BJ69:BJ132" si="92">$BJ$3</f>
        <v>374.39334457402742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14.539526020686248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14.539526020686248</v>
      </c>
      <c r="BT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7.2399999999999975</v>
      </c>
      <c r="BY69" s="13">
        <f>IF('Données projet'!$A$114&gt;35,BY68+BX69-CG68,IF(A69&lt;'Données projet'!$A$114,$BV$205^A69,IF(A69='Données projet'!$A$114,'Données projet'!$B$114,BY68+BX69-CG68)))</f>
        <v>467.03999999999991</v>
      </c>
      <c r="BZ69" s="14">
        <f>BY69*VLOOKUP('Données projet'!$B$12,Paramètres!$A$1:$I$88,3,0)*VLOOKUP('Données projet'!$B$12,Paramètres!$A$1:$I$88,5,0)</f>
        <v>313.29043199999995</v>
      </c>
      <c r="CA69" s="14">
        <f t="shared" ref="CA69:CA132" si="93">EXP(-1.0587+0.8836*LN(BZ69)+0.284)</f>
        <v>73.95558050093706</v>
      </c>
      <c r="CB69" s="22">
        <f t="shared" si="64"/>
        <v>674.45347177246526</v>
      </c>
      <c r="CC69" s="59">
        <f t="shared" si="65"/>
        <v>967.78680510579852</v>
      </c>
      <c r="CD69" s="59">
        <f ca="1">AVERAGE(OFFSET($CC$3,0,0,'Données projet'!$E$12+1,1))-AVERAGE(OFFSET($H$3,0,0,'Données projet'!$E$12+1,1))</f>
        <v>387.15063677712425</v>
      </c>
      <c r="CE69" s="59">
        <f t="shared" ref="CE69:CE132" si="94">$CE$3</f>
        <v>313.19155394370705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12.258816056657031</v>
      </c>
      <c r="CL69" s="23">
        <f>EXP(-LN(2)/25)*CL68+(1-EXP(-LN(2)/25))/(LN(2)/25)*Calculateur!CG69*Calculateur!CI69*VLOOKUP('Données projet'!$B$12,Paramètres!$A$1:$I$88,3,0)*0.475*44/12</f>
        <v>0</v>
      </c>
      <c r="CM69" s="23">
        <f>EXP(-LN(2)/2)*CM68+(1-EXP(-LN(2)/2))/(LN(2)/2)*CG69*CJ69*VLOOKUP('Données projet'!$B$12,Paramètres!$A$1:$I$88,3,0)*0.475*44/12</f>
        <v>0</v>
      </c>
      <c r="CN69" s="24">
        <f t="shared" si="66"/>
        <v>12.258816056657031</v>
      </c>
      <c r="CO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>
        <f>VLOOKUP(A69,'Données projet'!$A$139:$I$159,2,0)</f>
        <v>190</v>
      </c>
      <c r="CR69" s="13">
        <f>VLOOKUP(A69,'Données projet'!$A$139:$I$159,9,0)</f>
        <v>6.875</v>
      </c>
      <c r="CS69" s="13">
        <f t="array" ref="CS69">INDEX(CR:CR,MIN(IF(ISNUMBER(CR69:CR265),ROW(CR69:CR265),"")))</f>
        <v>6.875</v>
      </c>
      <c r="CT69" s="13">
        <f>IF('Données projet'!$A$140&gt;35,CT68+CS69-DB68,IF(A69&lt;'Données projet'!$A$140,$CQ$205^A69,IF(A69='Données projet'!$A$140,'Données projet'!$B$140,CT68+CS69-DB68)))</f>
        <v>190</v>
      </c>
      <c r="CU69" s="18">
        <f>CT69*VLOOKUP('Données projet'!$B$13,Paramètres!$A$1:$I$88,3,0)*VLOOKUP('Données projet'!$B$13,Paramètres!$A$1:$I$88,5,0)</f>
        <v>183.768</v>
      </c>
      <c r="CV69" s="14">
        <f t="shared" ref="CV69:CV132" si="95">EXP(-1.0587+0.8836*LN(CU69)+0.284)</f>
        <v>46.159483283907285</v>
      </c>
      <c r="CW69" s="22">
        <f t="shared" si="67"/>
        <v>400.45703338613856</v>
      </c>
      <c r="CX69" s="59">
        <f t="shared" si="68"/>
        <v>693.79036671947188</v>
      </c>
      <c r="CY69" s="59">
        <f ca="1">AVERAGE(OFFSET($CX$3,0,0,'Données projet'!$E$13+1,1))-AVERAGE(OFFSET($H$3,0,0,'Données projet'!$E$13+1,1))</f>
        <v>306.00894145276209</v>
      </c>
      <c r="CZ69" s="59">
        <f t="shared" ref="CZ69:CZ132" si="96">$CZ$3</f>
        <v>168.74705421228828</v>
      </c>
      <c r="DA69" s="16">
        <f>IF(ISNA(VLOOKUP(A69,'Données projet'!$A$139:$I$159,3,0)),0,VLOOKUP(A69,'Données projet'!$A$139:$I$159,3,0))</f>
        <v>4</v>
      </c>
      <c r="DB69" s="16">
        <f>IF(ISNA(VLOOKUP(A69,'Données projet'!$A$139:$I$159,4,0)),0,VLOOKUP(A69,'Données projet'!$A$139:$I$159,4,0))</f>
        <v>38</v>
      </c>
      <c r="DC69" s="17">
        <f>IF(ISNA(VLOOKUP(A69,'Données projet'!$A$139:$I$159,5,0)),0%,VLOOKUP(A69,'Données projet'!$A$139:$I$159,5,0)*VLOOKUP('Données projet'!$B$13,Paramètres!$A$1:$I$88,7,0))</f>
        <v>0.129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14.480214251483078</v>
      </c>
      <c r="DG69" s="23">
        <f>EXP(-LN(2)/25)*DG68+(1-EXP(-LN(2)/25))/(LN(2)/25)*Calculateur!DB69*Calculateur!DD69*VLOOKUP('Données projet'!$B$13,Paramètres!$A$1:$I$88,3,0)*0.475*44/12</f>
        <v>0</v>
      </c>
      <c r="DH69" s="23">
        <f>EXP(-LN(2)/2)*DH68+(1-EXP(-LN(2)/2))/(LN(2)/2)*DB69*DE69*VLOOKUP('Données projet'!$B$13,Paramètres!$A$1:$I$88,3,0)*0.475*44/12</f>
        <v>0</v>
      </c>
      <c r="DI69" s="24">
        <f t="shared" si="69"/>
        <v>14.480214251483078</v>
      </c>
      <c r="DJ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7.2399999999999975</v>
      </c>
      <c r="DO69" s="13">
        <f>IF('Données projet'!$A$166&gt;35,DO68+DN69-DW68,IF(A69&lt;'Données projet'!$A$166,$DL$205^A69,IF(A69='Données projet'!$A$166,'Données projet'!$B$166,DO68+DN69-DW68)))</f>
        <v>467.03999999999991</v>
      </c>
      <c r="DP69" s="18">
        <f>DO69*VLOOKUP('Données projet'!$B$14,Paramètres!$A$1:$I$88,3,0)*VLOOKUP('Données projet'!$B$14,Paramètres!$A$1:$I$88,5,0)</f>
        <v>364.29119999999995</v>
      </c>
      <c r="DQ69" s="14">
        <f t="shared" ref="DQ69:DQ132" si="97">EXP(-1.0587+0.8836*LN(DP69)+0.284)</f>
        <v>84.498328647039145</v>
      </c>
      <c r="DR69" s="22">
        <f t="shared" si="70"/>
        <v>781.64176239359313</v>
      </c>
      <c r="DS69" s="59">
        <f t="shared" si="71"/>
        <v>1074.9750957269264</v>
      </c>
      <c r="DT69" s="59">
        <f ca="1">AVERAGE(OFFSET($DS$3,0,0,'Données projet'!$E$14+1,1))-AVERAGE(OFFSET($H$3,0,0,'Données projet'!$E$14+1,1))</f>
        <v>458.14328535055694</v>
      </c>
      <c r="DU69" s="59">
        <f t="shared" ref="DU69:DU132" si="98">$DU$3</f>
        <v>366.75500153675739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projet'!$B$14,Paramètres!$A$1:$I$88,3,0)*0.475*44/12</f>
        <v>11.564920808167013</v>
      </c>
      <c r="EB69" s="23">
        <f>EXP(-LN(2)/25)*EB68+(1-EXP(-LN(2)/25))/(LN(2)/25)*Calculateur!DW69*Calculateur!DY69*VLOOKUP('Données projet'!$B$14,Paramètres!$A$1:$I$88,3,0)*0.475*44/12</f>
        <v>0</v>
      </c>
      <c r="EC69" s="23">
        <f>EXP(-LN(2)/2)*EC68+(1-EXP(-LN(2)/2))/(LN(2)/2)*DW69*DZ69*VLOOKUP('Données projet'!$B$14,Paramètres!$A$1:$I$88,3,0)*0.475*44/12</f>
        <v>0</v>
      </c>
      <c r="ED69" s="24">
        <f t="shared" si="72"/>
        <v>11.564920808167013</v>
      </c>
      <c r="EE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14.5</v>
      </c>
      <c r="EJ69" s="13">
        <f>IF('Données projet'!$A$192&gt;35,EJ68+EI69-ER68,IF(A69&lt;'Données projet'!$A$192,$EG$205^A69,IF(A69='Données projet'!$A$192,'Données projet'!$B$192,EJ68+EI69-ER68)))</f>
        <v>486.00000000000017</v>
      </c>
      <c r="EK69" s="18">
        <f>EJ69*VLOOKUP('Données projet'!$B$15,Paramètres!$A$1:$I$88,3,0)*VLOOKUP('Données projet'!$B$15,Paramètres!$A$1:$I$88,5,0)</f>
        <v>416.98800000000023</v>
      </c>
      <c r="EL69" s="14">
        <f t="shared" ref="EL69:EL132" si="99">EXP(-1.0587+0.8836*LN(EK69)+0.284)</f>
        <v>95.212340250556068</v>
      </c>
      <c r="EM69" s="22">
        <f t="shared" si="73"/>
        <v>892.08225926971897</v>
      </c>
      <c r="EN69" s="59">
        <f t="shared" si="74"/>
        <v>1185.4155926030523</v>
      </c>
      <c r="EO69" s="59">
        <f ca="1">AVERAGE(OFFSET($EN$3,0,0,'Données projet'!$E$15+1,1))-AVERAGE(OFFSET($H$3,0,0,'Données projet'!$E$15+1,1))</f>
        <v>462.99360395552145</v>
      </c>
      <c r="EP69" s="59">
        <f t="shared" ref="EP69:EP132" si="100">$EP$3</f>
        <v>153.03880717786046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projet'!$B$15,Paramètres!$A$1:$I$88,3,0)*0.475*44/12</f>
        <v>17.979751793849555</v>
      </c>
      <c r="EW69" s="23">
        <f>EXP(-LN(2)/25)*EW68+(1-EXP(-LN(2)/25))/(LN(2)/25)*Calculateur!ER69*Calculateur!ET69*VLOOKUP('Données projet'!$B$15,Paramètres!$A$1:$I$88,3,0)*0.475*44/12</f>
        <v>0</v>
      </c>
      <c r="EX69" s="23">
        <f>EXP(-LN(2)/2)*EX68+(1-EXP(-LN(2)/2))/(LN(2)/2)*ER69*EU69*VLOOKUP('Données projet'!$B$15,Paramètres!$A$1:$I$88,3,0)*0.475*44/12</f>
        <v>0</v>
      </c>
      <c r="EY69" s="24">
        <f t="shared" si="75"/>
        <v>17.979751793849555</v>
      </c>
      <c r="EZ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6.0200000000000049</v>
      </c>
      <c r="FE69" s="13">
        <f>IF('Données projet'!$A$218&gt;35,FE68+FD69-FM68,IF(A69&lt;'Données projet'!$A$218,$FB$205^A69,IF(A69='Données projet'!$A$218,'Données projet'!$B$218,FE68+FD69-FM68)))</f>
        <v>370.92</v>
      </c>
      <c r="FF69" s="18">
        <f>FE69*VLOOKUP('Données projet'!$B$16,Paramètres!$A$1:$I$88,3,0)*VLOOKUP('Données projet'!$B$16,Paramètres!$A$1:$I$88,5,0)</f>
        <v>324.03571200000005</v>
      </c>
      <c r="FG69" s="14">
        <f t="shared" ref="FG69:FG132" si="101">EXP(-1.0587+0.8836*LN(FF69)+0.284)</f>
        <v>76.192448561773304</v>
      </c>
      <c r="FH69" s="22">
        <f t="shared" si="76"/>
        <v>697.06404631175519</v>
      </c>
      <c r="FI69" s="59">
        <f t="shared" si="77"/>
        <v>990.39737964508845</v>
      </c>
      <c r="FJ69" s="59">
        <f ca="1">AVERAGE(OFFSET($FI$3,0,0,'Données projet'!$E$16+1,1))-AVERAGE(OFFSET($H$3,0,0,'Données projet'!$E$16+1,1))</f>
        <v>427.76895185088944</v>
      </c>
      <c r="FK69" s="59">
        <f t="shared" ref="FK69:FK132" si="102">$FK$3</f>
        <v>308.32543361559135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projet'!$B$16,Paramètres!$A$1:$I$88,3,0)*0.475*44/12</f>
        <v>12.135539740258892</v>
      </c>
      <c r="FR69" s="23">
        <f>EXP(-LN(2)/25)*FR68+(1-EXP(-LN(2)/25))/(LN(2)/25)*Calculateur!FM69*Calculateur!FO69*VLOOKUP('Données projet'!$B$16,Paramètres!$A$1:$I$88,3,0)*0.475*44/12</f>
        <v>0</v>
      </c>
      <c r="FS69" s="23">
        <f>EXP(-LN(2)/2)*FS68+(1-EXP(-LN(2)/2))/(LN(2)/2)*FM69*FP69*VLOOKUP('Données projet'!$B$16,Paramètres!$A$1:$I$88,3,0)*0.475*44/12</f>
        <v>0</v>
      </c>
      <c r="FT69" s="24">
        <f t="shared" si="78"/>
        <v>12.135539740258892</v>
      </c>
      <c r="FU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4.4000000000000004</v>
      </c>
      <c r="FZ69" s="13">
        <f>IF('Données projet'!$A$244&gt;35,FZ68+FY69-GH68,IF(A69&lt;'Données projet'!$A$244,$FW$205^A69,IF(A69='Données projet'!$A$244,'Données projet'!$B$244,FZ68+FY69-GH68)))</f>
        <v>329.40000000000015</v>
      </c>
      <c r="GA69" s="18">
        <f>FZ69*VLOOKUP('Données projet'!$B$17,Paramètres!$A$1:$I$88,3,0)*VLOOKUP('Données projet'!$B$17,Paramètres!$A$1:$I$88,5,0)</f>
        <v>205.54560000000006</v>
      </c>
      <c r="GB69" s="14">
        <f t="shared" ref="GB69:GB132" si="103">EXP(-1.0587+0.8836*LN(GA69)+0.284)</f>
        <v>50.960975968608146</v>
      </c>
      <c r="GC69" s="22">
        <f t="shared" si="79"/>
        <v>446.74895314532591</v>
      </c>
      <c r="GD69" s="59">
        <f t="shared" si="80"/>
        <v>740.08228647865917</v>
      </c>
      <c r="GE69" s="59">
        <f ca="1">AVERAGE(OFFSET($GD$3,0,0,'Données projet'!$E$17+1,1))-AVERAGE(OFFSET($H$3,0,0,'Données projet'!$E$17+1,1))</f>
        <v>247.85542034088905</v>
      </c>
      <c r="GF69" s="59">
        <f t="shared" ref="GF69:GF132" si="104">$GF$3</f>
        <v>299.52241743660352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projet'!$B$17,Paramètres!$A$1:$I$88,3,0)*0.475*44/12</f>
        <v>26.970190102892271</v>
      </c>
      <c r="GM69" s="23">
        <f>EXP(-LN(2)/25)*GM68+(1-EXP(-LN(2)/25))/(LN(2)/25)*Calculateur!GH69*Calculateur!GJ69*VLOOKUP('Données projet'!$B$17,Paramètres!$A$1:$I$88,3,0)*0.475*44/12</f>
        <v>31.347393786482254</v>
      </c>
      <c r="GN69" s="23">
        <f>EXP(-LN(2)/2)*GN68+(1-EXP(-LN(2)/2))/(LN(2)/2)*GH69*GK69*VLOOKUP('Données projet'!$B$17,Paramètres!$A$1:$I$88,3,0)*0.475*44/12</f>
        <v>1.789437990625393</v>
      </c>
      <c r="GO69" s="23">
        <f t="shared" si="81"/>
        <v>60.10702187999992</v>
      </c>
      <c r="GP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3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6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6.2222222222222223</v>
      </c>
      <c r="N70" s="14">
        <f>IF('Données projet'!$A$36&gt;35,N69+M70-V69,IF(A70&lt;'Données projet'!$A$36,$K$205^A70,IF(A70='Données projet'!$A$36,'Données projet'!$B$36,N69+M70-V69)))</f>
        <v>158.22222222222223</v>
      </c>
      <c r="O70" s="14">
        <f>N70*VLOOKUP('Données projet'!$B$9,Paramètres!$A$1:$I$88,3,0)*VLOOKUP('Données projet'!$B$9,Paramètres!$A$1:$I$88,5,0)</f>
        <v>143.15946666666665</v>
      </c>
      <c r="P70" s="14">
        <f t="shared" si="87"/>
        <v>37.019852180660742</v>
      </c>
      <c r="Q70" s="22">
        <f t="shared" si="54"/>
        <v>313.81231365909514</v>
      </c>
      <c r="R70" s="59">
        <f t="shared" si="55"/>
        <v>607.14564699242851</v>
      </c>
      <c r="S70" s="59">
        <f ca="1">AVERAGE(OFFSET($R$3,0,0,'Données projet'!$E$9+1,1))-AVERAGE(OFFSET($H$3,0,0,'Données projet'!$E$9+1,1))</f>
        <v>247.57967230773539</v>
      </c>
      <c r="T70" s="59">
        <f t="shared" si="88"/>
        <v>156.58857589533295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13.280377947742993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13.280377947742993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7.2399999999999975</v>
      </c>
      <c r="AI70" s="14">
        <f>IF('Données projet'!$A$62&gt;35,AI69+AH70-AQ69,IF(A70&lt;'Données projet'!$A$62,$AF$205^A70,IF(A70='Données projet'!$A$62,'Données projet'!$B$62,AI69+AH70-AQ69)))</f>
        <v>474.27999999999992</v>
      </c>
      <c r="AJ70" s="14">
        <f>AI70*VLOOKUP('Données projet'!$B$10,Paramètres!$A$1:$I$88,3,0)*VLOOKUP('Données projet'!$B$10,Paramètres!$A$1:$I$88,5,0)</f>
        <v>377.33716799999996</v>
      </c>
      <c r="AK70" s="14">
        <f t="shared" si="89"/>
        <v>87.166644240210843</v>
      </c>
      <c r="AL70" s="22">
        <f t="shared" si="58"/>
        <v>809.01080631836703</v>
      </c>
      <c r="AM70" s="59">
        <f t="shared" si="59"/>
        <v>1102.3441396517003</v>
      </c>
      <c r="AN70" s="59">
        <f ca="1">AVERAGE(OFFSET($AM$3,0,0,'Données projet'!$E$10+1,1))-AVERAGE(OFFSET($H$3,0,0,'Données projet'!$E$10+1,1))</f>
        <v>504.15006129790828</v>
      </c>
      <c r="AO70" s="59">
        <f t="shared" si="90"/>
        <v>374.39334457402742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14.254414783655797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14.254414783655797</v>
      </c>
      <c r="AY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7.2399999999999975</v>
      </c>
      <c r="BD70" s="13">
        <f>IF('Données projet'!$A$88&gt;35,BD69+BC70-BL69,IF(A70&lt;'Données projet'!$A$88,$BA$205^A70,IF(A70='Données projet'!$A$88,'Données projet'!$B$88,BD69+BC70-BL69)))</f>
        <v>474.27999999999992</v>
      </c>
      <c r="BE70" s="14">
        <f>BD70*VLOOKUP('Données projet'!$B$11,Paramètres!$A$1:$I$88,3,0)*VLOOKUP('Données projet'!$B$11,Paramètres!$A$1:$I$88,5,0)</f>
        <v>377.33716799999996</v>
      </c>
      <c r="BF70" s="14">
        <f t="shared" si="91"/>
        <v>87.166644240210843</v>
      </c>
      <c r="BG70" s="22">
        <f t="shared" si="61"/>
        <v>809.01080631836703</v>
      </c>
      <c r="BH70" s="59">
        <f t="shared" si="62"/>
        <v>1102.3441396517003</v>
      </c>
      <c r="BI70" s="59">
        <f ca="1">AVERAGE(OFFSET($BH$3,0,0,'Données projet'!$E$11+1,1))-AVERAGE(OFFSET($H$3,0,0,'Données projet'!$E$11+1,1))</f>
        <v>504.15006129790828</v>
      </c>
      <c r="BJ70" s="59">
        <f t="shared" si="92"/>
        <v>374.39334457402742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14.254414783655797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14.254414783655797</v>
      </c>
      <c r="BT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7.2399999999999975</v>
      </c>
      <c r="BY70" s="13">
        <f>IF('Données projet'!$A$114&gt;35,BY69+BX70-CG69,IF(A70&lt;'Données projet'!$A$114,$BV$205^A70,IF(A70='Données projet'!$A$114,'Données projet'!$B$114,BY69+BX70-CG69)))</f>
        <v>474.27999999999992</v>
      </c>
      <c r="BZ70" s="14">
        <f>BY70*VLOOKUP('Données projet'!$B$12,Paramètres!$A$1:$I$88,3,0)*VLOOKUP('Données projet'!$B$12,Paramètres!$A$1:$I$88,5,0)</f>
        <v>318.14702399999993</v>
      </c>
      <c r="CA70" s="14">
        <f t="shared" si="93"/>
        <v>74.967675755438947</v>
      </c>
      <c r="CB70" s="22">
        <f t="shared" si="64"/>
        <v>684.6747687407227</v>
      </c>
      <c r="CC70" s="59">
        <f t="shared" si="65"/>
        <v>978.00810207405607</v>
      </c>
      <c r="CD70" s="59">
        <f ca="1">AVERAGE(OFFSET($CC$3,0,0,'Données projet'!$E$12+1,1))-AVERAGE(OFFSET($H$3,0,0,'Données projet'!$E$12+1,1))</f>
        <v>387.15063677712425</v>
      </c>
      <c r="CE70" s="59">
        <f t="shared" si="94"/>
        <v>313.19155394370705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12.018428150925475</v>
      </c>
      <c r="CL70" s="23">
        <f>EXP(-LN(2)/25)*CL69+(1-EXP(-LN(2)/25))/(LN(2)/25)*Calculateur!CG70*Calculateur!CI70*VLOOKUP('Données projet'!$B$12,Paramètres!$A$1:$I$88,3,0)*0.475*44/12</f>
        <v>0</v>
      </c>
      <c r="CM70" s="23">
        <f>EXP(-LN(2)/2)*CM69+(1-EXP(-LN(2)/2))/(LN(2)/2)*CG70*CJ70*VLOOKUP('Données projet'!$B$12,Paramètres!$A$1:$I$88,3,0)*0.475*44/12</f>
        <v>0</v>
      </c>
      <c r="CN70" s="24">
        <f t="shared" si="66"/>
        <v>12.018428150925475</v>
      </c>
      <c r="CO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6.2222222222222223</v>
      </c>
      <c r="CT70" s="13">
        <f>IF('Données projet'!$A$140&gt;35,CT69+CS70-DB69,IF(A70&lt;'Données projet'!$A$140,$CQ$205^A70,IF(A70='Données projet'!$A$140,'Données projet'!$B$140,CT69+CS70-DB69)))</f>
        <v>158.22222222222223</v>
      </c>
      <c r="CU70" s="18">
        <f>CT70*VLOOKUP('Données projet'!$B$13,Paramètres!$A$1:$I$88,3,0)*VLOOKUP('Données projet'!$B$13,Paramètres!$A$1:$I$88,5,0)</f>
        <v>153.03253333333333</v>
      </c>
      <c r="CV70" s="14">
        <f t="shared" si="95"/>
        <v>39.266934864260406</v>
      </c>
      <c r="CW70" s="22">
        <f t="shared" si="67"/>
        <v>334.92157377747577</v>
      </c>
      <c r="CX70" s="59">
        <f t="shared" si="68"/>
        <v>628.25490711080909</v>
      </c>
      <c r="CY70" s="59">
        <f ca="1">AVERAGE(OFFSET($CX$3,0,0,'Données projet'!$E$13+1,1))-AVERAGE(OFFSET($H$3,0,0,'Données projet'!$E$13+1,1))</f>
        <v>306.00894145276209</v>
      </c>
      <c r="CZ70" s="59">
        <f t="shared" si="96"/>
        <v>168.74705421228828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14.196266082070094</v>
      </c>
      <c r="DG70" s="23">
        <f>EXP(-LN(2)/25)*DG69+(1-EXP(-LN(2)/25))/(LN(2)/25)*Calculateur!DB70*Calculateur!DD70*VLOOKUP('Données projet'!$B$13,Paramètres!$A$1:$I$88,3,0)*0.475*44/12</f>
        <v>0</v>
      </c>
      <c r="DH70" s="23">
        <f>EXP(-LN(2)/2)*DH69+(1-EXP(-LN(2)/2))/(LN(2)/2)*DB70*DE70*VLOOKUP('Données projet'!$B$13,Paramètres!$A$1:$I$88,3,0)*0.475*44/12</f>
        <v>0</v>
      </c>
      <c r="DI70" s="24">
        <f t="shared" si="69"/>
        <v>14.196266082070094</v>
      </c>
      <c r="DJ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7.2399999999999975</v>
      </c>
      <c r="DO70" s="13">
        <f>IF('Données projet'!$A$166&gt;35,DO69+DN70-DW69,IF(A70&lt;'Données projet'!$A$166,$DL$205^A70,IF(A70='Données projet'!$A$166,'Données projet'!$B$166,DO69+DN70-DW69)))</f>
        <v>474.27999999999992</v>
      </c>
      <c r="DP70" s="18">
        <f>DO70*VLOOKUP('Données projet'!$B$14,Paramètres!$A$1:$I$88,3,0)*VLOOKUP('Données projet'!$B$14,Paramètres!$A$1:$I$88,5,0)</f>
        <v>369.93839999999994</v>
      </c>
      <c r="DQ70" s="14">
        <f t="shared" si="97"/>
        <v>85.654703282431612</v>
      </c>
      <c r="DR70" s="22">
        <f t="shared" si="70"/>
        <v>793.49132155023483</v>
      </c>
      <c r="DS70" s="59">
        <f t="shared" si="71"/>
        <v>1086.8246548835682</v>
      </c>
      <c r="DT70" s="59">
        <f ca="1">AVERAGE(OFFSET($DS$3,0,0,'Données projet'!$E$14+1,1))-AVERAGE(OFFSET($H$3,0,0,'Données projet'!$E$14+1,1))</f>
        <v>458.14328535055694</v>
      </c>
      <c r="DU70" s="59">
        <f t="shared" si="98"/>
        <v>366.75500153675739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projet'!$B$14,Paramètres!$A$1:$I$88,3,0)*0.475*44/12</f>
        <v>11.338139765024035</v>
      </c>
      <c r="EB70" s="23">
        <f>EXP(-LN(2)/25)*EB69+(1-EXP(-LN(2)/25))/(LN(2)/25)*Calculateur!DW70*Calculateur!DY70*VLOOKUP('Données projet'!$B$14,Paramètres!$A$1:$I$88,3,0)*0.475*44/12</f>
        <v>0</v>
      </c>
      <c r="EC70" s="23">
        <f>EXP(-LN(2)/2)*EC69+(1-EXP(-LN(2)/2))/(LN(2)/2)*DW70*DZ70*VLOOKUP('Données projet'!$B$14,Paramètres!$A$1:$I$88,3,0)*0.475*44/12</f>
        <v>0</v>
      </c>
      <c r="ED70" s="24">
        <f t="shared" si="72"/>
        <v>11.338139765024035</v>
      </c>
      <c r="EE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14.5</v>
      </c>
      <c r="EJ70" s="13">
        <f>IF('Données projet'!$A$192&gt;35,EJ69+EI70-ER69,IF(A70&lt;'Données projet'!$A$192,$EG$205^A70,IF(A70='Données projet'!$A$192,'Données projet'!$B$192,EJ69+EI70-ER69)))</f>
        <v>500.50000000000017</v>
      </c>
      <c r="EK70" s="18">
        <f>EJ70*VLOOKUP('Données projet'!$B$15,Paramètres!$A$1:$I$88,3,0)*VLOOKUP('Données projet'!$B$15,Paramètres!$A$1:$I$88,5,0)</f>
        <v>429.42900000000014</v>
      </c>
      <c r="EL70" s="14">
        <f t="shared" si="99"/>
        <v>97.718069625896945</v>
      </c>
      <c r="EM70" s="22">
        <f t="shared" si="73"/>
        <v>918.11447959843736</v>
      </c>
      <c r="EN70" s="59">
        <f t="shared" si="74"/>
        <v>1211.4478129317706</v>
      </c>
      <c r="EO70" s="59">
        <f ca="1">AVERAGE(OFFSET($EN$3,0,0,'Données projet'!$E$15+1,1))-AVERAGE(OFFSET($H$3,0,0,'Données projet'!$E$15+1,1))</f>
        <v>462.99360395552145</v>
      </c>
      <c r="EP70" s="59">
        <f t="shared" si="100"/>
        <v>153.03880717786046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projet'!$B$15,Paramètres!$A$1:$I$88,3,0)*0.475*44/12</f>
        <v>17.627179827737901</v>
      </c>
      <c r="EW70" s="23">
        <f>EXP(-LN(2)/25)*EW69+(1-EXP(-LN(2)/25))/(LN(2)/25)*Calculateur!ER70*Calculateur!ET70*VLOOKUP('Données projet'!$B$15,Paramètres!$A$1:$I$88,3,0)*0.475*44/12</f>
        <v>0</v>
      </c>
      <c r="EX70" s="23">
        <f>EXP(-LN(2)/2)*EX69+(1-EXP(-LN(2)/2))/(LN(2)/2)*ER70*EU70*VLOOKUP('Données projet'!$B$15,Paramètres!$A$1:$I$88,3,0)*0.475*44/12</f>
        <v>0</v>
      </c>
      <c r="EY70" s="24">
        <f t="shared" si="75"/>
        <v>17.627179827737901</v>
      </c>
      <c r="EZ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6.0200000000000049</v>
      </c>
      <c r="FE70" s="13">
        <f>IF('Données projet'!$A$218&gt;35,FE69+FD70-FM69,IF(A70&lt;'Données projet'!$A$218,$FB$205^A70,IF(A70='Données projet'!$A$218,'Données projet'!$B$218,FE69+FD70-FM69)))</f>
        <v>376.94</v>
      </c>
      <c r="FF70" s="18">
        <f>FE70*VLOOKUP('Données projet'!$B$16,Paramètres!$A$1:$I$88,3,0)*VLOOKUP('Données projet'!$B$16,Paramètres!$A$1:$I$88,5,0)</f>
        <v>329.29478400000005</v>
      </c>
      <c r="FG70" s="14">
        <f t="shared" si="101"/>
        <v>77.284079703398149</v>
      </c>
      <c r="FH70" s="22">
        <f t="shared" si="76"/>
        <v>708.12485428341859</v>
      </c>
      <c r="FI70" s="59">
        <f t="shared" si="77"/>
        <v>1001.458187616752</v>
      </c>
      <c r="FJ70" s="59">
        <f ca="1">AVERAGE(OFFSET($FI$3,0,0,'Données projet'!$E$16+1,1))-AVERAGE(OFFSET($H$3,0,0,'Données projet'!$E$16+1,1))</f>
        <v>427.76895185088944</v>
      </c>
      <c r="FK70" s="59">
        <f t="shared" si="102"/>
        <v>308.32543361559135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projet'!$B$16,Paramètres!$A$1:$I$88,3,0)*0.475*44/12</f>
        <v>11.897569207900775</v>
      </c>
      <c r="FR70" s="23">
        <f>EXP(-LN(2)/25)*FR69+(1-EXP(-LN(2)/25))/(LN(2)/25)*Calculateur!FM70*Calculateur!FO70*VLOOKUP('Données projet'!$B$16,Paramètres!$A$1:$I$88,3,0)*0.475*44/12</f>
        <v>0</v>
      </c>
      <c r="FS70" s="23">
        <f>EXP(-LN(2)/2)*FS69+(1-EXP(-LN(2)/2))/(LN(2)/2)*FM70*FP70*VLOOKUP('Données projet'!$B$16,Paramètres!$A$1:$I$88,3,0)*0.475*44/12</f>
        <v>0</v>
      </c>
      <c r="FT70" s="24">
        <f t="shared" si="78"/>
        <v>11.897569207900775</v>
      </c>
      <c r="FU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4.4000000000000004</v>
      </c>
      <c r="FZ70" s="13">
        <f>IF('Données projet'!$A$244&gt;35,FZ69+FY70-GH69,IF(A70&lt;'Données projet'!$A$244,$FW$205^A70,IF(A70='Données projet'!$A$244,'Données projet'!$B$244,FZ69+FY70-GH69)))</f>
        <v>333.80000000000013</v>
      </c>
      <c r="GA70" s="18">
        <f>FZ70*VLOOKUP('Données projet'!$B$17,Paramètres!$A$1:$I$88,3,0)*VLOOKUP('Données projet'!$B$17,Paramètres!$A$1:$I$88,5,0)</f>
        <v>208.29120000000006</v>
      </c>
      <c r="GB70" s="14">
        <f t="shared" si="103"/>
        <v>51.561992524812467</v>
      </c>
      <c r="GC70" s="22">
        <f t="shared" si="79"/>
        <v>452.57764364738176</v>
      </c>
      <c r="GD70" s="59">
        <f t="shared" si="80"/>
        <v>745.91097698071508</v>
      </c>
      <c r="GE70" s="59">
        <f ca="1">AVERAGE(OFFSET($GD$3,0,0,'Données projet'!$E$17+1,1))-AVERAGE(OFFSET($H$3,0,0,'Données projet'!$E$17+1,1))</f>
        <v>247.85542034088905</v>
      </c>
      <c r="GF70" s="59">
        <f t="shared" si="104"/>
        <v>299.52241743660352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projet'!$B$17,Paramètres!$A$1:$I$88,3,0)*0.475*44/12</f>
        <v>26.441321125166194</v>
      </c>
      <c r="GM70" s="23">
        <f>EXP(-LN(2)/25)*GM69+(1-EXP(-LN(2)/25))/(LN(2)/25)*Calculateur!GH70*Calculateur!GJ70*VLOOKUP('Données projet'!$B$17,Paramètres!$A$1:$I$88,3,0)*0.475*44/12</f>
        <v>30.490197654903103</v>
      </c>
      <c r="GN70" s="23">
        <f>EXP(-LN(2)/2)*GN69+(1-EXP(-LN(2)/2))/(LN(2)/2)*GH70*GK70*VLOOKUP('Données projet'!$B$17,Paramètres!$A$1:$I$88,3,0)*0.475*44/12</f>
        <v>1.2653237376840452</v>
      </c>
      <c r="GO70" s="23">
        <f t="shared" si="81"/>
        <v>58.196842517753339</v>
      </c>
      <c r="GP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3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6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6.2222222222222223</v>
      </c>
      <c r="N71" s="14">
        <f>IF('Données projet'!$A$36&gt;35,N70+M71-V70,IF(A71&lt;'Données projet'!$A$36,$K$205^A71,IF(A71='Données projet'!$A$36,'Données projet'!$B$36,N70+M71-V70)))</f>
        <v>164.44444444444446</v>
      </c>
      <c r="O71" s="14">
        <f>N71*VLOOKUP('Données projet'!$B$9,Paramètres!$A$1:$I$88,3,0)*VLOOKUP('Données projet'!$B$9,Paramètres!$A$1:$I$88,5,0)</f>
        <v>148.78933333333333</v>
      </c>
      <c r="P71" s="14">
        <f t="shared" si="87"/>
        <v>38.303327648282028</v>
      </c>
      <c r="Q71" s="22">
        <f t="shared" si="54"/>
        <v>325.85305120964671</v>
      </c>
      <c r="R71" s="59">
        <f t="shared" si="55"/>
        <v>619.18638454298002</v>
      </c>
      <c r="S71" s="59">
        <f ca="1">AVERAGE(OFFSET($R$3,0,0,'Données projet'!$E$9+1,1))-AVERAGE(OFFSET($H$3,0,0,'Données projet'!$E$9+1,1))</f>
        <v>247.57967230773539</v>
      </c>
      <c r="T71" s="59">
        <f t="shared" si="88"/>
        <v>156.58857589533295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13.01995783641847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13.01995783641847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7.2399999999999975</v>
      </c>
      <c r="AI71" s="14">
        <f>IF('Données projet'!$A$62&gt;35,AI70+AH71-AQ70,IF(A71&lt;'Données projet'!$A$62,$AF$205^A71,IF(A71='Données projet'!$A$62,'Données projet'!$B$62,AI70+AH71-AQ70)))</f>
        <v>481.51999999999992</v>
      </c>
      <c r="AJ71" s="14">
        <f>AI71*VLOOKUP('Données projet'!$B$10,Paramètres!$A$1:$I$88,3,0)*VLOOKUP('Données projet'!$B$10,Paramètres!$A$1:$I$88,5,0)</f>
        <v>383.09731199999999</v>
      </c>
      <c r="AK71" s="14">
        <f t="shared" si="89"/>
        <v>88.34134148552441</v>
      </c>
      <c r="AL71" s="22">
        <f t="shared" si="58"/>
        <v>821.08898815395503</v>
      </c>
      <c r="AM71" s="59">
        <f t="shared" si="59"/>
        <v>1114.4223214872884</v>
      </c>
      <c r="AN71" s="59">
        <f ca="1">AVERAGE(OFFSET($AM$3,0,0,'Données projet'!$E$10+1,1))-AVERAGE(OFFSET($H$3,0,0,'Données projet'!$E$10+1,1))</f>
        <v>504.15006129790828</v>
      </c>
      <c r="AO71" s="59">
        <f t="shared" si="90"/>
        <v>374.39334457402742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13.97489440408283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13.97489440408283</v>
      </c>
      <c r="AY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7.2399999999999975</v>
      </c>
      <c r="BD71" s="13">
        <f>IF('Données projet'!$A$88&gt;35,BD70+BC71-BL70,IF(A71&lt;'Données projet'!$A$88,$BA$205^A71,IF(A71='Données projet'!$A$88,'Données projet'!$B$88,BD70+BC71-BL70)))</f>
        <v>481.51999999999992</v>
      </c>
      <c r="BE71" s="14">
        <f>BD71*VLOOKUP('Données projet'!$B$11,Paramètres!$A$1:$I$88,3,0)*VLOOKUP('Données projet'!$B$11,Paramètres!$A$1:$I$88,5,0)</f>
        <v>383.09731199999999</v>
      </c>
      <c r="BF71" s="14">
        <f t="shared" si="91"/>
        <v>88.34134148552441</v>
      </c>
      <c r="BG71" s="22">
        <f t="shared" si="61"/>
        <v>821.08898815395503</v>
      </c>
      <c r="BH71" s="59">
        <f t="shared" si="62"/>
        <v>1114.4223214872884</v>
      </c>
      <c r="BI71" s="59">
        <f ca="1">AVERAGE(OFFSET($BH$3,0,0,'Données projet'!$E$11+1,1))-AVERAGE(OFFSET($H$3,0,0,'Données projet'!$E$11+1,1))</f>
        <v>504.15006129790828</v>
      </c>
      <c r="BJ71" s="59">
        <f t="shared" si="92"/>
        <v>374.39334457402742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13.97489440408283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13.97489440408283</v>
      </c>
      <c r="BT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7.2399999999999975</v>
      </c>
      <c r="BY71" s="13">
        <f>IF('Données projet'!$A$114&gt;35,BY70+BX71-CG70,IF(A71&lt;'Données projet'!$A$114,$BV$205^A71,IF(A71='Données projet'!$A$114,'Données projet'!$B$114,BY70+BX71-CG70)))</f>
        <v>481.51999999999992</v>
      </c>
      <c r="BZ71" s="14">
        <f>BY71*VLOOKUP('Données projet'!$B$12,Paramètres!$A$1:$I$88,3,0)*VLOOKUP('Données projet'!$B$12,Paramètres!$A$1:$I$88,5,0)</f>
        <v>323.00361599999997</v>
      </c>
      <c r="CA71" s="14">
        <f t="shared" si="93"/>
        <v>75.977974166776022</v>
      </c>
      <c r="CB71" s="22">
        <f t="shared" si="64"/>
        <v>694.89293620713477</v>
      </c>
      <c r="CC71" s="59">
        <f t="shared" si="65"/>
        <v>988.22626954046814</v>
      </c>
      <c r="CD71" s="59">
        <f ca="1">AVERAGE(OFFSET($CC$3,0,0,'Données projet'!$E$12+1,1))-AVERAGE(OFFSET($H$3,0,0,'Données projet'!$E$12+1,1))</f>
        <v>387.15063677712425</v>
      </c>
      <c r="CE71" s="59">
        <f t="shared" si="94"/>
        <v>313.19155394370705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11.782754105403169</v>
      </c>
      <c r="CL71" s="23">
        <f>EXP(-LN(2)/25)*CL70+(1-EXP(-LN(2)/25))/(LN(2)/25)*Calculateur!CG71*Calculateur!CI71*VLOOKUP('Données projet'!$B$12,Paramètres!$A$1:$I$88,3,0)*0.475*44/12</f>
        <v>0</v>
      </c>
      <c r="CM71" s="23">
        <f>EXP(-LN(2)/2)*CM70+(1-EXP(-LN(2)/2))/(LN(2)/2)*CG71*CJ71*VLOOKUP('Données projet'!$B$12,Paramètres!$A$1:$I$88,3,0)*0.475*44/12</f>
        <v>0</v>
      </c>
      <c r="CN71" s="24">
        <f t="shared" si="66"/>
        <v>11.782754105403169</v>
      </c>
      <c r="CO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6.2222222222222223</v>
      </c>
      <c r="CT71" s="13">
        <f>IF('Données projet'!$A$140&gt;35,CT70+CS71-DB70,IF(A71&lt;'Données projet'!$A$140,$CQ$205^A71,IF(A71='Données projet'!$A$140,'Données projet'!$B$140,CT70+CS71-DB70)))</f>
        <v>164.44444444444446</v>
      </c>
      <c r="CU71" s="18">
        <f>CT71*VLOOKUP('Données projet'!$B$13,Paramètres!$A$1:$I$88,3,0)*VLOOKUP('Données projet'!$B$13,Paramètres!$A$1:$I$88,5,0)</f>
        <v>159.05066666666667</v>
      </c>
      <c r="CV71" s="14">
        <f t="shared" si="95"/>
        <v>40.628316518109685</v>
      </c>
      <c r="CW71" s="22">
        <f t="shared" si="67"/>
        <v>347.77422904681885</v>
      </c>
      <c r="CX71" s="59">
        <f t="shared" si="68"/>
        <v>641.1075623801521</v>
      </c>
      <c r="CY71" s="59">
        <f ca="1">AVERAGE(OFFSET($CX$3,0,0,'Données projet'!$E$13+1,1))-AVERAGE(OFFSET($H$3,0,0,'Données projet'!$E$13+1,1))</f>
        <v>306.00894145276209</v>
      </c>
      <c r="CZ71" s="59">
        <f t="shared" si="96"/>
        <v>168.74705421228828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13.917885963068018</v>
      </c>
      <c r="DG71" s="23">
        <f>EXP(-LN(2)/25)*DG70+(1-EXP(-LN(2)/25))/(LN(2)/25)*Calculateur!DB71*Calculateur!DD71*VLOOKUP('Données projet'!$B$13,Paramètres!$A$1:$I$88,3,0)*0.475*44/12</f>
        <v>0</v>
      </c>
      <c r="DH71" s="23">
        <f>EXP(-LN(2)/2)*DH70+(1-EXP(-LN(2)/2))/(LN(2)/2)*DB71*DE71*VLOOKUP('Données projet'!$B$13,Paramètres!$A$1:$I$88,3,0)*0.475*44/12</f>
        <v>0</v>
      </c>
      <c r="DI71" s="24">
        <f t="shared" si="69"/>
        <v>13.917885963068018</v>
      </c>
      <c r="DJ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7.2399999999999975</v>
      </c>
      <c r="DO71" s="13">
        <f>IF('Données projet'!$A$166&gt;35,DO70+DN71-DW70,IF(A71&lt;'Données projet'!$A$166,$DL$205^A71,IF(A71='Données projet'!$A$166,'Données projet'!$B$166,DO70+DN71-DW70)))</f>
        <v>481.51999999999992</v>
      </c>
      <c r="DP71" s="18">
        <f>DO71*VLOOKUP('Données projet'!$B$14,Paramètres!$A$1:$I$88,3,0)*VLOOKUP('Données projet'!$B$14,Paramètres!$A$1:$I$88,5,0)</f>
        <v>375.58559999999994</v>
      </c>
      <c r="DQ71" s="14">
        <f t="shared" si="97"/>
        <v>86.809024925430094</v>
      </c>
      <c r="DR71" s="22">
        <f t="shared" si="70"/>
        <v>805.33730507845723</v>
      </c>
      <c r="DS71" s="59">
        <f t="shared" si="71"/>
        <v>1098.6706384117906</v>
      </c>
      <c r="DT71" s="59">
        <f ca="1">AVERAGE(OFFSET($DS$3,0,0,'Données projet'!$E$14+1,1))-AVERAGE(OFFSET($H$3,0,0,'Données projet'!$E$14+1,1))</f>
        <v>458.14328535055694</v>
      </c>
      <c r="DU71" s="59">
        <f t="shared" si="98"/>
        <v>366.75500153675739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projet'!$B$14,Paramètres!$A$1:$I$88,3,0)*0.475*44/12</f>
        <v>11.115805759814313</v>
      </c>
      <c r="EB71" s="23">
        <f>EXP(-LN(2)/25)*EB70+(1-EXP(-LN(2)/25))/(LN(2)/25)*Calculateur!DW71*Calculateur!DY71*VLOOKUP('Données projet'!$B$14,Paramètres!$A$1:$I$88,3,0)*0.475*44/12</f>
        <v>0</v>
      </c>
      <c r="EC71" s="23">
        <f>EXP(-LN(2)/2)*EC70+(1-EXP(-LN(2)/2))/(LN(2)/2)*DW71*DZ71*VLOOKUP('Données projet'!$B$14,Paramètres!$A$1:$I$88,3,0)*0.475*44/12</f>
        <v>0</v>
      </c>
      <c r="ED71" s="24">
        <f t="shared" si="72"/>
        <v>11.115805759814313</v>
      </c>
      <c r="EE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14.5</v>
      </c>
      <c r="EJ71" s="13">
        <f>IF('Données projet'!$A$192&gt;35,EJ70+EI71-ER70,IF(A71&lt;'Données projet'!$A$192,$EG$205^A71,IF(A71='Données projet'!$A$192,'Données projet'!$B$192,EJ70+EI71-ER70)))</f>
        <v>515.00000000000023</v>
      </c>
      <c r="EK71" s="18">
        <f>EJ71*VLOOKUP('Données projet'!$B$15,Paramètres!$A$1:$I$88,3,0)*VLOOKUP('Données projet'!$B$15,Paramètres!$A$1:$I$88,5,0)</f>
        <v>441.87000000000029</v>
      </c>
      <c r="EL71" s="14">
        <f t="shared" si="99"/>
        <v>100.21536209547534</v>
      </c>
      <c r="EM71" s="22">
        <f t="shared" si="73"/>
        <v>944.13200564961983</v>
      </c>
      <c r="EN71" s="59">
        <f t="shared" si="74"/>
        <v>1237.4653389829532</v>
      </c>
      <c r="EO71" s="59">
        <f ca="1">AVERAGE(OFFSET($EN$3,0,0,'Données projet'!$E$15+1,1))-AVERAGE(OFFSET($H$3,0,0,'Données projet'!$E$15+1,1))</f>
        <v>462.99360395552145</v>
      </c>
      <c r="EP71" s="59">
        <f t="shared" si="100"/>
        <v>153.03880717786046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projet'!$B$15,Paramètres!$A$1:$I$88,3,0)*0.475*44/12</f>
        <v>17.281521582834031</v>
      </c>
      <c r="EW71" s="23">
        <f>EXP(-LN(2)/25)*EW70+(1-EXP(-LN(2)/25))/(LN(2)/25)*Calculateur!ER71*Calculateur!ET71*VLOOKUP('Données projet'!$B$15,Paramètres!$A$1:$I$88,3,0)*0.475*44/12</f>
        <v>0</v>
      </c>
      <c r="EX71" s="23">
        <f>EXP(-LN(2)/2)*EX70+(1-EXP(-LN(2)/2))/(LN(2)/2)*ER71*EU71*VLOOKUP('Données projet'!$B$15,Paramètres!$A$1:$I$88,3,0)*0.475*44/12</f>
        <v>0</v>
      </c>
      <c r="EY71" s="24">
        <f t="shared" si="75"/>
        <v>17.281521582834031</v>
      </c>
      <c r="EZ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6.0200000000000049</v>
      </c>
      <c r="FE71" s="13">
        <f>IF('Données projet'!$A$218&gt;35,FE70+FD71-FM70,IF(A71&lt;'Données projet'!$A$218,$FB$205^A71,IF(A71='Données projet'!$A$218,'Données projet'!$B$218,FE70+FD71-FM70)))</f>
        <v>382.96</v>
      </c>
      <c r="FF71" s="18">
        <f>FE71*VLOOKUP('Données projet'!$B$16,Paramètres!$A$1:$I$88,3,0)*VLOOKUP('Données projet'!$B$16,Paramètres!$A$1:$I$88,5,0)</f>
        <v>334.55385600000005</v>
      </c>
      <c r="FG71" s="14">
        <f t="shared" si="101"/>
        <v>78.373683306708628</v>
      </c>
      <c r="FH71" s="22">
        <f t="shared" si="76"/>
        <v>719.18213095918429</v>
      </c>
      <c r="FI71" s="59">
        <f t="shared" si="77"/>
        <v>1012.5154642925177</v>
      </c>
      <c r="FJ71" s="59">
        <f ca="1">AVERAGE(OFFSET($FI$3,0,0,'Données projet'!$E$16+1,1))-AVERAGE(OFFSET($H$3,0,0,'Données projet'!$E$16+1,1))</f>
        <v>427.76895185088944</v>
      </c>
      <c r="FK71" s="59">
        <f t="shared" si="102"/>
        <v>308.32543361559135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projet'!$B$16,Paramètres!$A$1:$I$88,3,0)*0.475*44/12</f>
        <v>11.664265132534508</v>
      </c>
      <c r="FR71" s="23">
        <f>EXP(-LN(2)/25)*FR70+(1-EXP(-LN(2)/25))/(LN(2)/25)*Calculateur!FM71*Calculateur!FO71*VLOOKUP('Données projet'!$B$16,Paramètres!$A$1:$I$88,3,0)*0.475*44/12</f>
        <v>0</v>
      </c>
      <c r="FS71" s="23">
        <f>EXP(-LN(2)/2)*FS70+(1-EXP(-LN(2)/2))/(LN(2)/2)*FM71*FP71*VLOOKUP('Données projet'!$B$16,Paramètres!$A$1:$I$88,3,0)*0.475*44/12</f>
        <v>0</v>
      </c>
      <c r="FT71" s="24">
        <f t="shared" si="78"/>
        <v>11.664265132534508</v>
      </c>
      <c r="FU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4.4000000000000004</v>
      </c>
      <c r="FZ71" s="13">
        <f>IF('Données projet'!$A$244&gt;35,FZ70+FY71-GH70,IF(A71&lt;'Données projet'!$A$244,$FW$205^A71,IF(A71='Données projet'!$A$244,'Données projet'!$B$244,FZ70+FY71-GH70)))</f>
        <v>338.2000000000001</v>
      </c>
      <c r="GA71" s="18">
        <f>FZ71*VLOOKUP('Données projet'!$B$17,Paramètres!$A$1:$I$88,3,0)*VLOOKUP('Données projet'!$B$17,Paramètres!$A$1:$I$88,5,0)</f>
        <v>211.03680000000006</v>
      </c>
      <c r="GB71" s="14">
        <f t="shared" si="103"/>
        <v>52.162087600990631</v>
      </c>
      <c r="GC71" s="22">
        <f t="shared" si="79"/>
        <v>458.40472923839212</v>
      </c>
      <c r="GD71" s="59">
        <f t="shared" si="80"/>
        <v>751.73806257172544</v>
      </c>
      <c r="GE71" s="59">
        <f ca="1">AVERAGE(OFFSET($GD$3,0,0,'Données projet'!$E$17+1,1))-AVERAGE(OFFSET($H$3,0,0,'Données projet'!$E$17+1,1))</f>
        <v>247.85542034088905</v>
      </c>
      <c r="GF71" s="59">
        <f t="shared" si="104"/>
        <v>299.52241743660352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projet'!$B$17,Paramètres!$A$1:$I$88,3,0)*0.475*44/12</f>
        <v>25.922822945515101</v>
      </c>
      <c r="GM71" s="23">
        <f>EXP(-LN(2)/25)*GM70+(1-EXP(-LN(2)/25))/(LN(2)/25)*Calculateur!GH71*Calculateur!GJ71*VLOOKUP('Données projet'!$B$17,Paramètres!$A$1:$I$88,3,0)*0.475*44/12</f>
        <v>29.65644159661997</v>
      </c>
      <c r="GN71" s="23">
        <f>EXP(-LN(2)/2)*GN70+(1-EXP(-LN(2)/2))/(LN(2)/2)*GH71*GK71*VLOOKUP('Données projet'!$B$17,Paramètres!$A$1:$I$88,3,0)*0.475*44/12</f>
        <v>0.89471899531269661</v>
      </c>
      <c r="GO71" s="23">
        <f t="shared" si="81"/>
        <v>56.473983537447765</v>
      </c>
      <c r="GP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3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6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6.2222222222222223</v>
      </c>
      <c r="N72" s="14">
        <f>IF('Données projet'!$A$36&gt;35,N71+M72-V71,IF(A72&lt;'Données projet'!$A$36,$K$205^A72,IF(A72='Données projet'!$A$36,'Données projet'!$B$36,N71+M72-V71)))</f>
        <v>170.66666666666669</v>
      </c>
      <c r="O72" s="14">
        <f>N72*VLOOKUP('Données projet'!$B$9,Paramètres!$A$1:$I$88,3,0)*VLOOKUP('Données projet'!$B$9,Paramètres!$A$1:$I$88,5,0)</f>
        <v>154.41919999999999</v>
      </c>
      <c r="P72" s="14">
        <f t="shared" si="87"/>
        <v>39.581161281954074</v>
      </c>
      <c r="Q72" s="22">
        <f t="shared" si="54"/>
        <v>337.88396256607001</v>
      </c>
      <c r="R72" s="59">
        <f t="shared" si="55"/>
        <v>631.21729589940333</v>
      </c>
      <c r="S72" s="59">
        <f ca="1">AVERAGE(OFFSET($R$3,0,0,'Données projet'!$E$9+1,1))-AVERAGE(OFFSET($H$3,0,0,'Données projet'!$E$9+1,1))</f>
        <v>247.57967230773539</v>
      </c>
      <c r="T72" s="59">
        <f t="shared" si="88"/>
        <v>156.58857589533295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12.764644404636437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12.764644404636437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7.2399999999999975</v>
      </c>
      <c r="AI72" s="14">
        <f>IF('Données projet'!$A$62&gt;35,AI71+AH72-AQ71,IF(A72&lt;'Données projet'!$A$62,$AF$205^A72,IF(A72='Données projet'!$A$62,'Données projet'!$B$62,AI71+AH72-AQ71)))</f>
        <v>488.75999999999993</v>
      </c>
      <c r="AJ72" s="14">
        <f>AI72*VLOOKUP('Données projet'!$B$10,Paramètres!$A$1:$I$88,3,0)*VLOOKUP('Données projet'!$B$10,Paramètres!$A$1:$I$88,5,0)</f>
        <v>388.85745599999996</v>
      </c>
      <c r="AK72" s="14">
        <f t="shared" si="89"/>
        <v>89.513984541445581</v>
      </c>
      <c r="AL72" s="22">
        <f t="shared" si="58"/>
        <v>833.16359227635087</v>
      </c>
      <c r="AM72" s="59">
        <f t="shared" si="59"/>
        <v>1126.4969256096842</v>
      </c>
      <c r="AN72" s="59">
        <f ca="1">AVERAGE(OFFSET($AM$3,0,0,'Données projet'!$E$10+1,1))-AVERAGE(OFFSET($H$3,0,0,'Données projet'!$E$10+1,1))</f>
        <v>504.15006129790828</v>
      </c>
      <c r="AO72" s="59">
        <f t="shared" si="90"/>
        <v>374.39334457402742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13.700855248662693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13.700855248662693</v>
      </c>
      <c r="AY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7.2399999999999975</v>
      </c>
      <c r="BD72" s="13">
        <f>IF('Données projet'!$A$88&gt;35,BD71+BC72-BL71,IF(A72&lt;'Données projet'!$A$88,$BA$205^A72,IF(A72='Données projet'!$A$88,'Données projet'!$B$88,BD71+BC72-BL71)))</f>
        <v>488.75999999999993</v>
      </c>
      <c r="BE72" s="14">
        <f>BD72*VLOOKUP('Données projet'!$B$11,Paramètres!$A$1:$I$88,3,0)*VLOOKUP('Données projet'!$B$11,Paramètres!$A$1:$I$88,5,0)</f>
        <v>388.85745599999996</v>
      </c>
      <c r="BF72" s="14">
        <f t="shared" si="91"/>
        <v>89.513984541445581</v>
      </c>
      <c r="BG72" s="22">
        <f t="shared" si="61"/>
        <v>833.16359227635087</v>
      </c>
      <c r="BH72" s="59">
        <f t="shared" si="62"/>
        <v>1126.4969256096842</v>
      </c>
      <c r="BI72" s="59">
        <f ca="1">AVERAGE(OFFSET($BH$3,0,0,'Données projet'!$E$11+1,1))-AVERAGE(OFFSET($H$3,0,0,'Données projet'!$E$11+1,1))</f>
        <v>504.15006129790828</v>
      </c>
      <c r="BJ72" s="59">
        <f t="shared" si="92"/>
        <v>374.39334457402742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13.700855248662693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13.700855248662693</v>
      </c>
      <c r="BT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7.2399999999999975</v>
      </c>
      <c r="BY72" s="13">
        <f>IF('Données projet'!$A$114&gt;35,BY71+BX72-CG71,IF(A72&lt;'Données projet'!$A$114,$BV$205^A72,IF(A72='Données projet'!$A$114,'Données projet'!$B$114,BY71+BX72-CG71)))</f>
        <v>488.75999999999993</v>
      </c>
      <c r="BZ72" s="14">
        <f>BY72*VLOOKUP('Données projet'!$B$12,Paramètres!$A$1:$I$88,3,0)*VLOOKUP('Données projet'!$B$12,Paramètres!$A$1:$I$88,5,0)</f>
        <v>327.86020799999994</v>
      </c>
      <c r="CA72" s="14">
        <f t="shared" si="93"/>
        <v>76.986505872446742</v>
      </c>
      <c r="CB72" s="22">
        <f t="shared" si="64"/>
        <v>705.10802666117797</v>
      </c>
      <c r="CC72" s="59">
        <f t="shared" si="65"/>
        <v>998.44135999451123</v>
      </c>
      <c r="CD72" s="59">
        <f ca="1">AVERAGE(OFFSET($CC$3,0,0,'Données projet'!$E$12+1,1))-AVERAGE(OFFSET($H$3,0,0,'Données projet'!$E$12+1,1))</f>
        <v>387.15063677712425</v>
      </c>
      <c r="CE72" s="59">
        <f t="shared" si="94"/>
        <v>313.19155394370705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11.551701484166584</v>
      </c>
      <c r="CL72" s="23">
        <f>EXP(-LN(2)/25)*CL71+(1-EXP(-LN(2)/25))/(LN(2)/25)*Calculateur!CG72*Calculateur!CI72*VLOOKUP('Données projet'!$B$12,Paramètres!$A$1:$I$88,3,0)*0.475*44/12</f>
        <v>0</v>
      </c>
      <c r="CM72" s="23">
        <f>EXP(-LN(2)/2)*CM71+(1-EXP(-LN(2)/2))/(LN(2)/2)*CG72*CJ72*VLOOKUP('Données projet'!$B$12,Paramètres!$A$1:$I$88,3,0)*0.475*44/12</f>
        <v>0</v>
      </c>
      <c r="CN72" s="24">
        <f t="shared" si="66"/>
        <v>11.551701484166584</v>
      </c>
      <c r="CO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6.2222222222222223</v>
      </c>
      <c r="CT72" s="13">
        <f>IF('Données projet'!$A$140&gt;35,CT71+CS72-DB71,IF(A72&lt;'Données projet'!$A$140,$CQ$205^A72,IF(A72='Données projet'!$A$140,'Données projet'!$B$140,CT71+CS72-DB71)))</f>
        <v>170.66666666666669</v>
      </c>
      <c r="CU72" s="18">
        <f>CT72*VLOOKUP('Données projet'!$B$13,Paramètres!$A$1:$I$88,3,0)*VLOOKUP('Données projet'!$B$13,Paramètres!$A$1:$I$88,5,0)</f>
        <v>165.06880000000004</v>
      </c>
      <c r="CV72" s="14">
        <f t="shared" si="95"/>
        <v>41.983713882094101</v>
      </c>
      <c r="CW72" s="22">
        <f t="shared" si="67"/>
        <v>360.61646167798062</v>
      </c>
      <c r="CX72" s="59">
        <f t="shared" si="68"/>
        <v>653.94979501131388</v>
      </c>
      <c r="CY72" s="59">
        <f ca="1">AVERAGE(OFFSET($CX$3,0,0,'Données projet'!$E$13+1,1))-AVERAGE(OFFSET($H$3,0,0,'Données projet'!$E$13+1,1))</f>
        <v>306.00894145276209</v>
      </c>
      <c r="CZ72" s="59">
        <f t="shared" si="96"/>
        <v>168.74705421228828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13.644964708404466</v>
      </c>
      <c r="DG72" s="23">
        <f>EXP(-LN(2)/25)*DG71+(1-EXP(-LN(2)/25))/(LN(2)/25)*Calculateur!DB72*Calculateur!DD72*VLOOKUP('Données projet'!$B$13,Paramètres!$A$1:$I$88,3,0)*0.475*44/12</f>
        <v>0</v>
      </c>
      <c r="DH72" s="23">
        <f>EXP(-LN(2)/2)*DH71+(1-EXP(-LN(2)/2))/(LN(2)/2)*DB72*DE72*VLOOKUP('Données projet'!$B$13,Paramètres!$A$1:$I$88,3,0)*0.475*44/12</f>
        <v>0</v>
      </c>
      <c r="DI72" s="24">
        <f t="shared" si="69"/>
        <v>13.644964708404466</v>
      </c>
      <c r="DJ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7.2399999999999975</v>
      </c>
      <c r="DO72" s="13">
        <f>IF('Données projet'!$A$166&gt;35,DO71+DN72-DW71,IF(A72&lt;'Données projet'!$A$166,$DL$205^A72,IF(A72='Données projet'!$A$166,'Données projet'!$B$166,DO71+DN72-DW71)))</f>
        <v>488.75999999999993</v>
      </c>
      <c r="DP72" s="18">
        <f>DO72*VLOOKUP('Données projet'!$B$14,Paramètres!$A$1:$I$88,3,0)*VLOOKUP('Données projet'!$B$14,Paramètres!$A$1:$I$88,5,0)</f>
        <v>381.23279999999994</v>
      </c>
      <c r="DQ72" s="14">
        <f t="shared" si="97"/>
        <v>87.96132800978809</v>
      </c>
      <c r="DR72" s="22">
        <f t="shared" si="70"/>
        <v>817.17977295038065</v>
      </c>
      <c r="DS72" s="59">
        <f t="shared" si="71"/>
        <v>1110.513106283714</v>
      </c>
      <c r="DT72" s="59">
        <f ca="1">AVERAGE(OFFSET($DS$3,0,0,'Données projet'!$E$14+1,1))-AVERAGE(OFFSET($H$3,0,0,'Données projet'!$E$14+1,1))</f>
        <v>458.14328535055694</v>
      </c>
      <c r="DU72" s="59">
        <f t="shared" si="98"/>
        <v>366.75500153675739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projet'!$B$14,Paramètres!$A$1:$I$88,3,0)*0.475*44/12</f>
        <v>10.8978315888364</v>
      </c>
      <c r="EB72" s="23">
        <f>EXP(-LN(2)/25)*EB71+(1-EXP(-LN(2)/25))/(LN(2)/25)*Calculateur!DW72*Calculateur!DY72*VLOOKUP('Données projet'!$B$14,Paramètres!$A$1:$I$88,3,0)*0.475*44/12</f>
        <v>0</v>
      </c>
      <c r="EC72" s="23">
        <f>EXP(-LN(2)/2)*EC71+(1-EXP(-LN(2)/2))/(LN(2)/2)*DW72*DZ72*VLOOKUP('Données projet'!$B$14,Paramètres!$A$1:$I$88,3,0)*0.475*44/12</f>
        <v>0</v>
      </c>
      <c r="ED72" s="24">
        <f t="shared" si="72"/>
        <v>10.8978315888364</v>
      </c>
      <c r="EE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14.5</v>
      </c>
      <c r="EJ72" s="13">
        <f>IF('Données projet'!$A$192&gt;35,EJ71+EI72-ER71,IF(A72&lt;'Données projet'!$A$192,$EG$205^A72,IF(A72='Données projet'!$A$192,'Données projet'!$B$192,EJ71+EI72-ER71)))</f>
        <v>529.50000000000023</v>
      </c>
      <c r="EK72" s="18">
        <f>EJ72*VLOOKUP('Données projet'!$B$15,Paramètres!$A$1:$I$88,3,0)*VLOOKUP('Données projet'!$B$15,Paramètres!$A$1:$I$88,5,0)</f>
        <v>454.31100000000021</v>
      </c>
      <c r="EL72" s="14">
        <f t="shared" si="99"/>
        <v>102.70448249016322</v>
      </c>
      <c r="EM72" s="22">
        <f t="shared" si="73"/>
        <v>970.13529867036789</v>
      </c>
      <c r="EN72" s="59">
        <f t="shared" si="74"/>
        <v>1263.4686320037013</v>
      </c>
      <c r="EO72" s="59">
        <f ca="1">AVERAGE(OFFSET($EN$3,0,0,'Données projet'!$E$15+1,1))-AVERAGE(OFFSET($H$3,0,0,'Données projet'!$E$15+1,1))</f>
        <v>462.99360395552145</v>
      </c>
      <c r="EP72" s="59">
        <f t="shared" si="100"/>
        <v>153.03880717786046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projet'!$B$15,Paramètres!$A$1:$I$88,3,0)*0.475*44/12</f>
        <v>16.942641485282014</v>
      </c>
      <c r="EW72" s="23">
        <f>EXP(-LN(2)/25)*EW71+(1-EXP(-LN(2)/25))/(LN(2)/25)*Calculateur!ER72*Calculateur!ET72*VLOOKUP('Données projet'!$B$15,Paramètres!$A$1:$I$88,3,0)*0.475*44/12</f>
        <v>0</v>
      </c>
      <c r="EX72" s="23">
        <f>EXP(-LN(2)/2)*EX71+(1-EXP(-LN(2)/2))/(LN(2)/2)*ER72*EU72*VLOOKUP('Données projet'!$B$15,Paramètres!$A$1:$I$88,3,0)*0.475*44/12</f>
        <v>0</v>
      </c>
      <c r="EY72" s="24">
        <f t="shared" si="75"/>
        <v>16.942641485282014</v>
      </c>
      <c r="EZ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6.0200000000000049</v>
      </c>
      <c r="FE72" s="13">
        <f>IF('Données projet'!$A$218&gt;35,FE71+FD72-FM71,IF(A72&lt;'Données projet'!$A$218,$FB$205^A72,IF(A72='Données projet'!$A$218,'Données projet'!$B$218,FE71+FD72-FM71)))</f>
        <v>388.97999999999996</v>
      </c>
      <c r="FF72" s="18">
        <f>FE72*VLOOKUP('Données projet'!$B$16,Paramètres!$A$1:$I$88,3,0)*VLOOKUP('Données projet'!$B$16,Paramètres!$A$1:$I$88,5,0)</f>
        <v>339.812928</v>
      </c>
      <c r="FG72" s="14">
        <f t="shared" si="101"/>
        <v>79.461294924252911</v>
      </c>
      <c r="FH72" s="22">
        <f t="shared" si="76"/>
        <v>730.23593825974046</v>
      </c>
      <c r="FI72" s="59">
        <f t="shared" si="77"/>
        <v>1023.5692715930738</v>
      </c>
      <c r="FJ72" s="59">
        <f ca="1">AVERAGE(OFFSET($FI$3,0,0,'Données projet'!$E$16+1,1))-AVERAGE(OFFSET($H$3,0,0,'Données projet'!$E$16+1,1))</f>
        <v>427.76895185088944</v>
      </c>
      <c r="FK72" s="59">
        <f t="shared" si="102"/>
        <v>308.32543361559135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projet'!$B$16,Paramètres!$A$1:$I$88,3,0)*0.475*44/12</f>
        <v>11.435536007784739</v>
      </c>
      <c r="FR72" s="23">
        <f>EXP(-LN(2)/25)*FR71+(1-EXP(-LN(2)/25))/(LN(2)/25)*Calculateur!FM72*Calculateur!FO72*VLOOKUP('Données projet'!$B$16,Paramètres!$A$1:$I$88,3,0)*0.475*44/12</f>
        <v>0</v>
      </c>
      <c r="FS72" s="23">
        <f>EXP(-LN(2)/2)*FS71+(1-EXP(-LN(2)/2))/(LN(2)/2)*FM72*FP72*VLOOKUP('Données projet'!$B$16,Paramètres!$A$1:$I$88,3,0)*0.475*44/12</f>
        <v>0</v>
      </c>
      <c r="FT72" s="24">
        <f t="shared" si="78"/>
        <v>11.435536007784739</v>
      </c>
      <c r="FU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4.4000000000000004</v>
      </c>
      <c r="FZ72" s="13">
        <f>IF('Données projet'!$A$244&gt;35,FZ71+FY72-GH71,IF(A72&lt;'Données projet'!$A$244,$FW$205^A72,IF(A72='Données projet'!$A$244,'Données projet'!$B$244,FZ71+FY72-GH71)))</f>
        <v>342.60000000000008</v>
      </c>
      <c r="GA72" s="18">
        <f>FZ72*VLOOKUP('Données projet'!$B$17,Paramètres!$A$1:$I$88,3,0)*VLOOKUP('Données projet'!$B$17,Paramètres!$A$1:$I$88,5,0)</f>
        <v>213.78240000000005</v>
      </c>
      <c r="GB72" s="14">
        <f t="shared" si="103"/>
        <v>52.761274571738639</v>
      </c>
      <c r="GC72" s="22">
        <f t="shared" si="79"/>
        <v>464.23023321244483</v>
      </c>
      <c r="GD72" s="59">
        <f t="shared" si="80"/>
        <v>757.56356654577814</v>
      </c>
      <c r="GE72" s="59">
        <f ca="1">AVERAGE(OFFSET($GD$3,0,0,'Données projet'!$E$17+1,1))-AVERAGE(OFFSET($H$3,0,0,'Données projet'!$E$17+1,1))</f>
        <v>247.85542034088905</v>
      </c>
      <c r="GF72" s="59">
        <f t="shared" si="104"/>
        <v>299.52241743660352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projet'!$B$17,Paramètres!$A$1:$I$88,3,0)*0.475*44/12</f>
        <v>25.414492198914303</v>
      </c>
      <c r="GM72" s="23">
        <f>EXP(-LN(2)/25)*GM71+(1-EXP(-LN(2)/25))/(LN(2)/25)*Calculateur!GH72*Calculateur!GJ72*VLOOKUP('Données projet'!$B$17,Paramètres!$A$1:$I$88,3,0)*0.475*44/12</f>
        <v>28.845484641595913</v>
      </c>
      <c r="GN72" s="23">
        <f>EXP(-LN(2)/2)*GN71+(1-EXP(-LN(2)/2))/(LN(2)/2)*GH72*GK72*VLOOKUP('Données projet'!$B$17,Paramètres!$A$1:$I$88,3,0)*0.475*44/12</f>
        <v>0.63266186884202269</v>
      </c>
      <c r="GO72" s="23">
        <f t="shared" si="81"/>
        <v>54.892638709352241</v>
      </c>
      <c r="GP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3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6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6.2222222222222223</v>
      </c>
      <c r="N73" s="14">
        <f>IF('Données projet'!$A$36&gt;35,N72+M73-V72,IF(A73&lt;'Données projet'!$A$36,$K$205^A73,IF(A73='Données projet'!$A$36,'Données projet'!$B$36,N72+M73-V72)))</f>
        <v>176.88888888888891</v>
      </c>
      <c r="O73" s="14">
        <f>N73*VLOOKUP('Données projet'!$B$9,Paramètres!$A$1:$I$88,3,0)*VLOOKUP('Données projet'!$B$9,Paramètres!$A$1:$I$88,5,0)</f>
        <v>160.04906666666668</v>
      </c>
      <c r="P73" s="14">
        <f t="shared" si="87"/>
        <v>40.853582332820466</v>
      </c>
      <c r="Q73" s="22">
        <f t="shared" si="54"/>
        <v>349.90544700744005</v>
      </c>
      <c r="R73" s="59">
        <f t="shared" si="55"/>
        <v>643.23878034077336</v>
      </c>
      <c r="S73" s="59">
        <f ca="1">AVERAGE(OFFSET($R$3,0,0,'Données projet'!$E$9+1,1))-AVERAGE(OFFSET($H$3,0,0,'Données projet'!$E$9+1,1))</f>
        <v>247.57967230773539</v>
      </c>
      <c r="T73" s="59">
        <f t="shared" si="88"/>
        <v>156.58857589533295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12.514337513525833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12.514337513525833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496</v>
      </c>
      <c r="AG73" s="13">
        <f>VLOOKUP(A73,'Données projet'!$A$61:$I$81,9,0)</f>
        <v>7.2399999999999975</v>
      </c>
      <c r="AH73" s="13">
        <f t="array" ref="AH73">INDEX(AG:AG,MIN(IF(ISNUMBER(AG73:AG269),ROW(AG73:AG269),"")))</f>
        <v>7.2399999999999975</v>
      </c>
      <c r="AI73" s="14">
        <f>IF('Données projet'!$A$62&gt;35,AI72+AH73-AQ72,IF(A73&lt;'Données projet'!$A$62,$AF$205^A73,IF(A73='Données projet'!$A$62,'Données projet'!$B$62,AI72+AH73-AQ72)))</f>
        <v>495.99999999999994</v>
      </c>
      <c r="AJ73" s="14">
        <f>AI73*VLOOKUP('Données projet'!$B$10,Paramètres!$A$1:$I$88,3,0)*VLOOKUP('Données projet'!$B$10,Paramètres!$A$1:$I$88,5,0)</f>
        <v>394.61759999999998</v>
      </c>
      <c r="AK73" s="14">
        <f t="shared" si="89"/>
        <v>90.68460735180436</v>
      </c>
      <c r="AL73" s="22">
        <f t="shared" si="58"/>
        <v>845.2346778043925</v>
      </c>
      <c r="AM73" s="59">
        <f t="shared" si="59"/>
        <v>1138.5680111377258</v>
      </c>
      <c r="AN73" s="59">
        <f ca="1">AVERAGE(OFFSET($AM$3,0,0,'Données projet'!$E$10+1,1))-AVERAGE(OFFSET($H$3,0,0,'Données projet'!$E$10+1,1))</f>
        <v>504.15006129790828</v>
      </c>
      <c r="AO73" s="59">
        <f t="shared" si="90"/>
        <v>374.39334457402742</v>
      </c>
      <c r="AP73" s="16">
        <f>IF(ISNA(VLOOKUP(A73,'Données projet'!$A$61:$I$81,3,0)),0,VLOOKUP(A73,'Données projet'!$A$61:$I$81,3,0))</f>
        <v>12</v>
      </c>
      <c r="AQ73" s="16">
        <f>IF(ISNA(VLOOKUP(A73,'Données projet'!$A$61:$I$81,4,0)),0,VLOOKUP(A73,'Données projet'!$A$61:$I$81,4,0))</f>
        <v>12.9</v>
      </c>
      <c r="AR73" s="17">
        <f>IF(ISNA(VLOOKUP(A73,'Données projet'!$A$61:$I$81,5,0)),0%,VLOOKUP(A73,'Données projet'!$A$61:$I$81,5,0)*VLOOKUP('Données projet'!$B$10,Paramètres!$A$1:$I$88,7,0))</f>
        <v>0.26500000000000001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16.43880240571297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16.43880240571297</v>
      </c>
      <c r="AY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496</v>
      </c>
      <c r="BB73" s="13">
        <f>VLOOKUP(A73,'Données projet'!$A$87:$I$107,9,0)</f>
        <v>7.2399999999999975</v>
      </c>
      <c r="BC73" s="13">
        <f t="array" ref="BC73">INDEX(BB:BB,MIN(IF(ISNUMBER(BB73:BB269),ROW(BB73:BB269),"")))</f>
        <v>7.2399999999999975</v>
      </c>
      <c r="BD73" s="13">
        <f>IF('Données projet'!$A$88&gt;35,BD72+BC73-BL72,IF(A73&lt;'Données projet'!$A$88,$BA$205^A73,IF(A73='Données projet'!$A$88,'Données projet'!$B$88,BD72+BC73-BL72)))</f>
        <v>495.99999999999994</v>
      </c>
      <c r="BE73" s="14">
        <f>BD73*VLOOKUP('Données projet'!$B$11,Paramètres!$A$1:$I$88,3,0)*VLOOKUP('Données projet'!$B$11,Paramètres!$A$1:$I$88,5,0)</f>
        <v>394.61759999999998</v>
      </c>
      <c r="BF73" s="14">
        <f t="shared" si="91"/>
        <v>90.68460735180436</v>
      </c>
      <c r="BG73" s="22">
        <f t="shared" si="61"/>
        <v>845.2346778043925</v>
      </c>
      <c r="BH73" s="59">
        <f t="shared" si="62"/>
        <v>1138.5680111377258</v>
      </c>
      <c r="BI73" s="59">
        <f ca="1">AVERAGE(OFFSET($BH$3,0,0,'Données projet'!$E$11+1,1))-AVERAGE(OFFSET($H$3,0,0,'Données projet'!$E$11+1,1))</f>
        <v>504.15006129790828</v>
      </c>
      <c r="BJ73" s="59">
        <f t="shared" si="92"/>
        <v>374.39334457402742</v>
      </c>
      <c r="BK73" s="16">
        <f>IF(ISNA(VLOOKUP(A73,'Données projet'!$A$87:$I$107,3,0)),0,VLOOKUP(A73,'Données projet'!$A$87:$I$107,3,0))</f>
        <v>12</v>
      </c>
      <c r="BL73" s="16">
        <f>IF(ISNA(VLOOKUP(A73,'Données projet'!$A$87:$I$107,4,0)),0,VLOOKUP(A73,'Données projet'!$A$87:$I$107,4,0))</f>
        <v>12.9</v>
      </c>
      <c r="BM73" s="17">
        <f>IF(ISNA(VLOOKUP(A73,'Données projet'!$A$87:$I$107,5,0)),0%,VLOOKUP(A73,'Données projet'!$A$87:$I$107,5,0)*VLOOKUP('Données projet'!$B$11,Paramètres!$A$1:$I$88,7,0))</f>
        <v>0.26500000000000001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16.43880240571297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16.43880240571297</v>
      </c>
      <c r="BT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496</v>
      </c>
      <c r="BW73" s="13">
        <f>VLOOKUP(A73,'Données projet'!$A$113:$I$133,9,0)</f>
        <v>7.2399999999999975</v>
      </c>
      <c r="BX73" s="13">
        <f t="array" ref="BX73">INDEX(BW:BW,MIN(IF(ISNUMBER(BW73:BW269),ROW(BW73:BW269),"")))</f>
        <v>7.2399999999999975</v>
      </c>
      <c r="BY73" s="13">
        <f>IF('Données projet'!$A$114&gt;35,BY72+BX73-CG72,IF(A73&lt;'Données projet'!$A$114,$BV$205^A73,IF(A73='Données projet'!$A$114,'Données projet'!$B$114,BY72+BX73-CG72)))</f>
        <v>495.99999999999994</v>
      </c>
      <c r="BZ73" s="14">
        <f>BY73*VLOOKUP('Données projet'!$B$12,Paramètres!$A$1:$I$88,3,0)*VLOOKUP('Données projet'!$B$12,Paramètres!$A$1:$I$88,5,0)</f>
        <v>332.71679999999998</v>
      </c>
      <c r="CA73" s="14">
        <f t="shared" si="93"/>
        <v>77.993300065843115</v>
      </c>
      <c r="CB73" s="22">
        <f t="shared" si="64"/>
        <v>715.32009094801003</v>
      </c>
      <c r="CC73" s="59">
        <f t="shared" si="65"/>
        <v>1008.6534242813434</v>
      </c>
      <c r="CD73" s="59">
        <f ca="1">AVERAGE(OFFSET($CC$3,0,0,'Données projet'!$E$12+1,1))-AVERAGE(OFFSET($H$3,0,0,'Données projet'!$E$12+1,1))</f>
        <v>387.15063677712425</v>
      </c>
      <c r="CE73" s="59">
        <f t="shared" si="94"/>
        <v>313.19155394370705</v>
      </c>
      <c r="CF73" s="16">
        <f>IF(ISNA(VLOOKUP(A73,'Données projet'!$A$113:$I$133,3,0)),0,VLOOKUP(A73,'Données projet'!$A$113:$I$133,3,0))</f>
        <v>12</v>
      </c>
      <c r="CG73" s="16">
        <f>IF(ISNA(VLOOKUP(A73,'Données projet'!$A$113:$I$133,4,0)),0,VLOOKUP(A73,'Données projet'!$A$113:$I$133,4,0))</f>
        <v>12.9</v>
      </c>
      <c r="CH73" s="17">
        <f>IF(ISNA(VLOOKUP(A73,'Données projet'!$A$113:$I$133,5,0)),0%,VLOOKUP(A73,'Données projet'!$A$113:$I$133,5,0)*VLOOKUP('Données projet'!$B$12,Paramètres!$A$1:$I$88,7,0))</f>
        <v>0.26500000000000001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13.860166734228581</v>
      </c>
      <c r="CL73" s="23">
        <f>EXP(-LN(2)/25)*CL72+(1-EXP(-LN(2)/25))/(LN(2)/25)*Calculateur!CG73*Calculateur!CI73*VLOOKUP('Données projet'!$B$12,Paramètres!$A$1:$I$88,3,0)*0.475*44/12</f>
        <v>0</v>
      </c>
      <c r="CM73" s="23">
        <f>EXP(-LN(2)/2)*CM72+(1-EXP(-LN(2)/2))/(LN(2)/2)*CG73*CJ73*VLOOKUP('Données projet'!$B$12,Paramètres!$A$1:$I$88,3,0)*0.475*44/12</f>
        <v>0</v>
      </c>
      <c r="CN73" s="24">
        <f t="shared" si="66"/>
        <v>13.860166734228581</v>
      </c>
      <c r="CO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6.2222222222222223</v>
      </c>
      <c r="CT73" s="13">
        <f>IF('Données projet'!$A$140&gt;35,CT72+CS73-DB72,IF(A73&lt;'Données projet'!$A$140,$CQ$205^A73,IF(A73='Données projet'!$A$140,'Données projet'!$B$140,CT72+CS73-DB72)))</f>
        <v>176.88888888888891</v>
      </c>
      <c r="CU73" s="18">
        <f>CT73*VLOOKUP('Données projet'!$B$13,Paramètres!$A$1:$I$88,3,0)*VLOOKUP('Données projet'!$B$13,Paramètres!$A$1:$I$88,5,0)</f>
        <v>171.08693333333338</v>
      </c>
      <c r="CV73" s="14">
        <f t="shared" si="95"/>
        <v>43.333370122763419</v>
      </c>
      <c r="CW73" s="22">
        <f t="shared" si="67"/>
        <v>373.44869518603531</v>
      </c>
      <c r="CX73" s="59">
        <f t="shared" si="68"/>
        <v>666.78202851936862</v>
      </c>
      <c r="CY73" s="59">
        <f ca="1">AVERAGE(OFFSET($CX$3,0,0,'Données projet'!$E$13+1,1))-AVERAGE(OFFSET($H$3,0,0,'Données projet'!$E$13+1,1))</f>
        <v>306.00894145276209</v>
      </c>
      <c r="CZ73" s="59">
        <f t="shared" si="96"/>
        <v>168.74705421228828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13.377395273079337</v>
      </c>
      <c r="DG73" s="23">
        <f>EXP(-LN(2)/25)*DG72+(1-EXP(-LN(2)/25))/(LN(2)/25)*Calculateur!DB73*Calculateur!DD73*VLOOKUP('Données projet'!$B$13,Paramètres!$A$1:$I$88,3,0)*0.475*44/12</f>
        <v>0</v>
      </c>
      <c r="DH73" s="23">
        <f>EXP(-LN(2)/2)*DH72+(1-EXP(-LN(2)/2))/(LN(2)/2)*DB73*DE73*VLOOKUP('Données projet'!$B$13,Paramètres!$A$1:$I$88,3,0)*0.475*44/12</f>
        <v>0</v>
      </c>
      <c r="DI73" s="24">
        <f t="shared" si="69"/>
        <v>13.377395273079337</v>
      </c>
      <c r="DJ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496</v>
      </c>
      <c r="DM73" s="13">
        <f>VLOOKUP(A73,'Données projet'!$A$165:$I$185,9,0)</f>
        <v>7.2399999999999975</v>
      </c>
      <c r="DN73" s="13">
        <f t="array" ref="DN73">INDEX(DM:DM,MIN(IF(ISNUMBER(DM73:DM269),ROW(DM73:DM269),"")))</f>
        <v>7.2399999999999975</v>
      </c>
      <c r="DO73" s="13">
        <f>IF('Données projet'!$A$166&gt;35,DO72+DN73-DW72,IF(A73&lt;'Données projet'!$A$166,$DL$205^A73,IF(A73='Données projet'!$A$166,'Données projet'!$B$166,DO72+DN73-DW72)))</f>
        <v>495.99999999999994</v>
      </c>
      <c r="DP73" s="18">
        <f>DO73*VLOOKUP('Données projet'!$B$14,Paramètres!$A$1:$I$88,3,0)*VLOOKUP('Données projet'!$B$14,Paramètres!$A$1:$I$88,5,0)</f>
        <v>386.88</v>
      </c>
      <c r="DQ73" s="14">
        <f t="shared" si="97"/>
        <v>89.111645890566081</v>
      </c>
      <c r="DR73" s="22">
        <f t="shared" si="70"/>
        <v>829.01878325940254</v>
      </c>
      <c r="DS73" s="59">
        <f t="shared" si="71"/>
        <v>1122.3521165927359</v>
      </c>
      <c r="DT73" s="59">
        <f ca="1">AVERAGE(OFFSET($DS$3,0,0,'Données projet'!$E$14+1,1))-AVERAGE(OFFSET($H$3,0,0,'Données projet'!$E$14+1,1))</f>
        <v>458.14328535055694</v>
      </c>
      <c r="DU73" s="59">
        <f t="shared" si="98"/>
        <v>366.75500153675739</v>
      </c>
      <c r="DV73" s="16">
        <f>IF(ISNA(VLOOKUP(A73,'Données projet'!$A$165:$I$185,3,0)),0,VLOOKUP(A73,'Données projet'!$A$165:$I$185,3,0))</f>
        <v>12</v>
      </c>
      <c r="DW73" s="16">
        <f>IF(ISNA(VLOOKUP(A73,'Données projet'!$A$165:$I$185,4,0)),0,VLOOKUP(A73,'Données projet'!$A$165:$I$185,4,0))</f>
        <v>12.9</v>
      </c>
      <c r="DX73" s="17">
        <f>IF(ISNA(VLOOKUP(A73,'Données projet'!$A$165:$I$185,5,0)),0%,VLOOKUP(A73,'Données projet'!$A$165:$I$185,5,0)*VLOOKUP('Données projet'!$B$14,Paramètres!$A$1:$I$88,7,0))</f>
        <v>0.215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projet'!$B$14,Paramètres!$A$1:$I$88,3,0)*0.475*44/12</f>
        <v>13.075628994555267</v>
      </c>
      <c r="EB73" s="23">
        <f>EXP(-LN(2)/25)*EB72+(1-EXP(-LN(2)/25))/(LN(2)/25)*Calculateur!DW73*Calculateur!DY73*VLOOKUP('Données projet'!$B$14,Paramètres!$A$1:$I$88,3,0)*0.475*44/12</f>
        <v>0</v>
      </c>
      <c r="EC73" s="23">
        <f>EXP(-LN(2)/2)*EC72+(1-EXP(-LN(2)/2))/(LN(2)/2)*DW73*DZ73*VLOOKUP('Données projet'!$B$14,Paramètres!$A$1:$I$88,3,0)*0.475*44/12</f>
        <v>0</v>
      </c>
      <c r="ED73" s="24">
        <f t="shared" si="72"/>
        <v>13.075628994555267</v>
      </c>
      <c r="EE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544</v>
      </c>
      <c r="EH73" s="13">
        <f>VLOOKUP(A73,'Données projet'!$A$191:$I$211,9,0)</f>
        <v>14.5</v>
      </c>
      <c r="EI73" s="13">
        <f t="array" ref="EI73">INDEX(EH:EH,MIN(IF(ISNUMBER(EH73:EH269),ROW(EH73:EH269),"")))</f>
        <v>14.5</v>
      </c>
      <c r="EJ73" s="13">
        <f>IF('Données projet'!$A$192&gt;35,EJ72+EI73-ER72,IF(A73&lt;'Données projet'!$A$192,$EG$205^A73,IF(A73='Données projet'!$A$192,'Données projet'!$B$192,EJ72+EI73-ER72)))</f>
        <v>544.00000000000023</v>
      </c>
      <c r="EK73" s="18">
        <f>EJ73*VLOOKUP('Données projet'!$B$15,Paramètres!$A$1:$I$88,3,0)*VLOOKUP('Données projet'!$B$15,Paramètres!$A$1:$I$88,5,0)</f>
        <v>466.75200000000024</v>
      </c>
      <c r="EL73" s="14">
        <f t="shared" si="99"/>
        <v>105.18568031089193</v>
      </c>
      <c r="EM73" s="22">
        <f t="shared" si="73"/>
        <v>996.12479320813691</v>
      </c>
      <c r="EN73" s="59">
        <f t="shared" si="74"/>
        <v>1289.4581265414702</v>
      </c>
      <c r="EO73" s="59">
        <f ca="1">AVERAGE(OFFSET($EN$3,0,0,'Données projet'!$E$15+1,1))-AVERAGE(OFFSET($H$3,0,0,'Données projet'!$E$15+1,1))</f>
        <v>462.99360395552145</v>
      </c>
      <c r="EP73" s="59">
        <f t="shared" si="100"/>
        <v>153.03880717786046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75</v>
      </c>
      <c r="ES73" s="17">
        <f>IF(ISNA(VLOOKUP(A73,'Données projet'!$A$191:$I$211,5,0)),0%,VLOOKUP(A73,'Données projet'!$A$191:$I$211,5,0)*VLOOKUP('Données projet'!$B$15,Paramètres!$A$1:$I$88,7,0))</f>
        <v>0.318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projet'!$B$15,Paramètres!$A$1:$I$88,3,0)*0.475*44/12</f>
        <v>39.231978637243159</v>
      </c>
      <c r="EW73" s="23">
        <f>EXP(-LN(2)/25)*EW72+(1-EXP(-LN(2)/25))/(LN(2)/25)*Calculateur!ER73*Calculateur!ET73*VLOOKUP('Données projet'!$B$15,Paramètres!$A$1:$I$88,3,0)*0.475*44/12</f>
        <v>0</v>
      </c>
      <c r="EX73" s="23">
        <f>EXP(-LN(2)/2)*EX72+(1-EXP(-LN(2)/2))/(LN(2)/2)*ER73*EU73*VLOOKUP('Données projet'!$B$15,Paramètres!$A$1:$I$88,3,0)*0.475*44/12</f>
        <v>0</v>
      </c>
      <c r="EY73" s="24">
        <f t="shared" si="75"/>
        <v>39.231978637243159</v>
      </c>
      <c r="EZ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395</v>
      </c>
      <c r="FC73" s="13">
        <f>VLOOKUP(A73,'Données projet'!$A$217:$I$237,9,0)</f>
        <v>6.0200000000000049</v>
      </c>
      <c r="FD73" s="13">
        <f t="array" ref="FD73">INDEX(FC:FC,MIN(IF(ISNUMBER(FC73:FC269),ROW(FC73:FC269),"")))</f>
        <v>6.0200000000000049</v>
      </c>
      <c r="FE73" s="13">
        <f>IF('Données projet'!$A$218&gt;35,FE72+FD73-FM72,IF(A73&lt;'Données projet'!$A$218,$FB$205^A73,IF(A73='Données projet'!$A$218,'Données projet'!$B$218,FE72+FD73-FM72)))</f>
        <v>394.99999999999994</v>
      </c>
      <c r="FF73" s="18">
        <f>FE73*VLOOKUP('Données projet'!$B$16,Paramètres!$A$1:$I$88,3,0)*VLOOKUP('Données projet'!$B$16,Paramètres!$A$1:$I$88,5,0)</f>
        <v>345.072</v>
      </c>
      <c r="FG73" s="14">
        <f t="shared" si="101"/>
        <v>80.546948944993559</v>
      </c>
      <c r="FH73" s="22">
        <f t="shared" si="76"/>
        <v>741.2863360791971</v>
      </c>
      <c r="FI73" s="59">
        <f t="shared" si="77"/>
        <v>1034.6196694125304</v>
      </c>
      <c r="FJ73" s="59">
        <f ca="1">AVERAGE(OFFSET($FI$3,0,0,'Données projet'!$E$16+1,1))-AVERAGE(OFFSET($H$3,0,0,'Données projet'!$E$16+1,1))</f>
        <v>427.76895185088944</v>
      </c>
      <c r="FK73" s="59">
        <f t="shared" si="102"/>
        <v>308.32543361559135</v>
      </c>
      <c r="FL73" s="16">
        <f>IF(ISNA(VLOOKUP(A73,'Données projet'!$A$217:$I$237,3,0)),0,VLOOKUP(A73,'Données projet'!$A$217:$I$237,3,0))</f>
        <v>12</v>
      </c>
      <c r="FM73" s="16">
        <f>IF(ISNA(VLOOKUP(A73,'Données projet'!$A$217:$I$237,4,0)),0,VLOOKUP(A73,'Données projet'!$A$217:$I$237,4,0))</f>
        <v>10.1</v>
      </c>
      <c r="FN73" s="17">
        <f>IF(ISNA(VLOOKUP(A73,'Données projet'!$A$217:$I$237,5,0)),0%,VLOOKUP(A73,'Données projet'!$A$217:$I$237,5,0)*VLOOKUP('Données projet'!$B$16,Paramètres!$A$1:$I$88,7,0))</f>
        <v>0.26500000000000001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projet'!$B$16,Paramètres!$A$1:$I$88,3,0)*0.475*44/12</f>
        <v>13.796092350568625</v>
      </c>
      <c r="FR73" s="23">
        <f>EXP(-LN(2)/25)*FR72+(1-EXP(-LN(2)/25))/(LN(2)/25)*Calculateur!FM73*Calculateur!FO73*VLOOKUP('Données projet'!$B$16,Paramètres!$A$1:$I$88,3,0)*0.475*44/12</f>
        <v>0</v>
      </c>
      <c r="FS73" s="23">
        <f>EXP(-LN(2)/2)*FS72+(1-EXP(-LN(2)/2))/(LN(2)/2)*FM73*FP73*VLOOKUP('Données projet'!$B$16,Paramètres!$A$1:$I$88,3,0)*0.475*44/12</f>
        <v>0</v>
      </c>
      <c r="FT73" s="24">
        <f t="shared" si="78"/>
        <v>13.796092350568625</v>
      </c>
      <c r="FU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347</v>
      </c>
      <c r="FX73" s="13">
        <f>VLOOKUP(A73,'Données projet'!$A$243:$I$263,9,0)</f>
        <v>4.4000000000000004</v>
      </c>
      <c r="FY73" s="13">
        <f t="array" ref="FY73">INDEX(FX:FX,MIN(IF(ISNUMBER(FX73:FX269),ROW(FX73:FX269),"")))</f>
        <v>4.4000000000000004</v>
      </c>
      <c r="FZ73" s="13">
        <f>IF('Données projet'!$A$244&gt;35,FZ72+FY73-GH72,IF(A73&lt;'Données projet'!$A$244,$FW$205^A73,IF(A73='Données projet'!$A$244,'Données projet'!$B$244,FZ72+FY73-GH72)))</f>
        <v>347.00000000000006</v>
      </c>
      <c r="GA73" s="18">
        <f>FZ73*VLOOKUP('Données projet'!$B$17,Paramètres!$A$1:$I$88,3,0)*VLOOKUP('Données projet'!$B$17,Paramètres!$A$1:$I$88,5,0)</f>
        <v>216.52800000000005</v>
      </c>
      <c r="GB73" s="14">
        <f t="shared" si="103"/>
        <v>53.359566448361591</v>
      </c>
      <c r="GC73" s="22">
        <f t="shared" si="79"/>
        <v>470.05417823089664</v>
      </c>
      <c r="GD73" s="59">
        <f t="shared" si="80"/>
        <v>763.38751156422995</v>
      </c>
      <c r="GE73" s="59">
        <f ca="1">AVERAGE(OFFSET($GD$3,0,0,'Données projet'!$E$17+1,1))-AVERAGE(OFFSET($H$3,0,0,'Données projet'!$E$17+1,1))</f>
        <v>247.85542034088905</v>
      </c>
      <c r="GF73" s="59">
        <f t="shared" si="104"/>
        <v>299.52241743660352</v>
      </c>
      <c r="GG73" s="16">
        <f>IF(ISNA(VLOOKUP(A73,'Données projet'!$A$243:$I$263,3,0)),0,VLOOKUP(A73,'Données projet'!$A$243:$I$263,3,0))</f>
        <v>13</v>
      </c>
      <c r="GH73" s="16">
        <f>IF(ISNA(VLOOKUP(A73,'Données projet'!$A$243:$I$263,4,0)),0,VLOOKUP(A73,'Données projet'!$A$243:$I$263,4,0))</f>
        <v>14</v>
      </c>
      <c r="GI73" s="17">
        <f>IF(ISNA(VLOOKUP(A73,'Données projet'!$A$243:$I$263,5,0)),0%,VLOOKUP(A73,'Données projet'!$A$243:$I$263,5,0)*VLOOKUP('Données projet'!$B$17,Paramètres!$A$1:$I$88,7,0))</f>
        <v>0.48</v>
      </c>
      <c r="GJ73" s="17">
        <f>IF(ISNA(VLOOKUP(A73,'Données projet'!$A$243:$I$263,6,0)),0%,VLOOKUP(A73,'Données projet'!$A$243:$I$263,6,0)*VLOOKUP('Données projet'!$B$17,Paramètres!$A$1:$I$88,7,0))</f>
        <v>6.6000000000000003E-2</v>
      </c>
      <c r="GK73" s="17">
        <f>IF(ISNA(VLOOKUP(A73,'Données projet'!$A$243:$I$263,7,0)),0%,VLOOKUP(A73,'Données projet'!$A$243:$I$263,7,0))</f>
        <v>0.09</v>
      </c>
      <c r="GL73" s="23">
        <f>EXP(-LN(2)/35)*GL72+(1-EXP(-LN(2)/35))/(LN(2)/35)*GH73*GI73*VLOOKUP('Données projet'!$B$17,Paramètres!$A$1:$I$88,3,0)*0.475*44/12</f>
        <v>30.478785707908724</v>
      </c>
      <c r="GM73" s="23">
        <f>EXP(-LN(2)/25)*GM72+(1-EXP(-LN(2)/25))/(LN(2)/25)*Calculateur!GH73*Calculateur!GJ73*VLOOKUP('Données projet'!$B$17,Paramètres!$A$1:$I$88,3,0)*0.475*44/12</f>
        <v>28.818557008775862</v>
      </c>
      <c r="GN73" s="23">
        <f>EXP(-LN(2)/2)*GN72+(1-EXP(-LN(2)/2))/(LN(2)/2)*GH73*GK73*VLOOKUP('Données projet'!$B$17,Paramètres!$A$1:$I$88,3,0)*0.475*44/12</f>
        <v>1.3375658192635571</v>
      </c>
      <c r="GO73" s="23">
        <f t="shared" si="81"/>
        <v>60.634908535948142</v>
      </c>
      <c r="GP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3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6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6.2222222222222223</v>
      </c>
      <c r="N74" s="14">
        <f>IF('Données projet'!$A$36&gt;35,N73+M74-V73,IF(A74&lt;'Données projet'!$A$36,$K$205^A74,IF(A74='Données projet'!$A$36,'Données projet'!$B$36,N73+M74-V73)))</f>
        <v>183.11111111111114</v>
      </c>
      <c r="O74" s="14">
        <f>N74*VLOOKUP('Données projet'!$B$9,Paramètres!$A$1:$I$88,3,0)*VLOOKUP('Données projet'!$B$9,Paramètres!$A$1:$I$88,5,0)</f>
        <v>165.67893333333336</v>
      </c>
      <c r="P74" s="14">
        <f t="shared" si="87"/>
        <v>42.120803009325556</v>
      </c>
      <c r="Q74" s="22">
        <f t="shared" si="54"/>
        <v>361.91787413013094</v>
      </c>
      <c r="R74" s="59">
        <f t="shared" si="55"/>
        <v>655.2512074634642</v>
      </c>
      <c r="S74" s="59">
        <f ca="1">AVERAGE(OFFSET($R$3,0,0,'Données projet'!$E$9+1,1))-AVERAGE(OFFSET($H$3,0,0,'Données projet'!$E$9+1,1))</f>
        <v>247.57967230773539</v>
      </c>
      <c r="T74" s="59">
        <f t="shared" si="88"/>
        <v>156.58857589533295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12.26893898787778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12.26893898787778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6.7799999999999958</v>
      </c>
      <c r="AI74" s="14">
        <f>IF('Données projet'!$A$62&gt;35,AI73+AH74-AQ73,IF(A74&lt;'Données projet'!$A$62,$AF$205^A74,IF(A74='Données projet'!$A$62,'Données projet'!$B$62,AI73+AH74-AQ73)))</f>
        <v>489.87999999999994</v>
      </c>
      <c r="AJ74" s="14">
        <f>AI74*VLOOKUP('Données projet'!$B$10,Paramètres!$A$1:$I$88,3,0)*VLOOKUP('Données projet'!$B$10,Paramètres!$A$1:$I$88,5,0)</f>
        <v>389.74852799999996</v>
      </c>
      <c r="AK74" s="14">
        <f t="shared" si="89"/>
        <v>89.695206612111079</v>
      </c>
      <c r="AL74" s="22">
        <f t="shared" si="58"/>
        <v>835.03117111609333</v>
      </c>
      <c r="AM74" s="59">
        <f t="shared" si="59"/>
        <v>1128.3645044494267</v>
      </c>
      <c r="AN74" s="59">
        <f ca="1">AVERAGE(OFFSET($AM$3,0,0,'Données projet'!$E$10+1,1))-AVERAGE(OFFSET($H$3,0,0,'Données projet'!$E$10+1,1))</f>
        <v>504.15006129790828</v>
      </c>
      <c r="AO74" s="59">
        <f t="shared" si="90"/>
        <v>374.39334457402742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16.116447517216354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16.116447517216354</v>
      </c>
      <c r="AY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6.7799999999999958</v>
      </c>
      <c r="BD74" s="13">
        <f>IF('Données projet'!$A$88&gt;35,BD73+BC74-BL73,IF(A74&lt;'Données projet'!$A$88,$BA$205^A74,IF(A74='Données projet'!$A$88,'Données projet'!$B$88,BD73+BC74-BL73)))</f>
        <v>489.87999999999994</v>
      </c>
      <c r="BE74" s="14">
        <f>BD74*VLOOKUP('Données projet'!$B$11,Paramètres!$A$1:$I$88,3,0)*VLOOKUP('Données projet'!$B$11,Paramètres!$A$1:$I$88,5,0)</f>
        <v>389.74852799999996</v>
      </c>
      <c r="BF74" s="14">
        <f t="shared" si="91"/>
        <v>89.695206612111079</v>
      </c>
      <c r="BG74" s="22">
        <f t="shared" si="61"/>
        <v>835.03117111609333</v>
      </c>
      <c r="BH74" s="59">
        <f t="shared" si="62"/>
        <v>1128.3645044494267</v>
      </c>
      <c r="BI74" s="59">
        <f ca="1">AVERAGE(OFFSET($BH$3,0,0,'Données projet'!$E$11+1,1))-AVERAGE(OFFSET($H$3,0,0,'Données projet'!$E$11+1,1))</f>
        <v>504.15006129790828</v>
      </c>
      <c r="BJ74" s="59">
        <f t="shared" si="92"/>
        <v>374.39334457402742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16.116447517216354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16.116447517216354</v>
      </c>
      <c r="BT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6.7799999999999958</v>
      </c>
      <c r="BY74" s="13">
        <f>IF('Données projet'!$A$114&gt;35,BY73+BX74-CG73,IF(A74&lt;'Données projet'!$A$114,$BV$205^A74,IF(A74='Données projet'!$A$114,'Données projet'!$B$114,BY73+BX74-CG73)))</f>
        <v>489.87999999999994</v>
      </c>
      <c r="BZ74" s="14">
        <f>BY74*VLOOKUP('Données projet'!$B$12,Paramètres!$A$1:$I$88,3,0)*VLOOKUP('Données projet'!$B$12,Paramètres!$A$1:$I$88,5,0)</f>
        <v>328.61150399999997</v>
      </c>
      <c r="CA74" s="14">
        <f t="shared" si="93"/>
        <v>77.142365921342744</v>
      </c>
      <c r="CB74" s="22">
        <f t="shared" si="64"/>
        <v>706.68799011300507</v>
      </c>
      <c r="CC74" s="59">
        <f t="shared" si="65"/>
        <v>1000.0213234463383</v>
      </c>
      <c r="CD74" s="59">
        <f ca="1">AVERAGE(OFFSET($CC$3,0,0,'Données projet'!$E$12+1,1))-AVERAGE(OFFSET($H$3,0,0,'Données projet'!$E$12+1,1))</f>
        <v>387.15063677712425</v>
      </c>
      <c r="CE74" s="59">
        <f t="shared" si="94"/>
        <v>313.19155394370705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13.588377318437317</v>
      </c>
      <c r="CL74" s="23">
        <f>EXP(-LN(2)/25)*CL73+(1-EXP(-LN(2)/25))/(LN(2)/25)*Calculateur!CG74*Calculateur!CI74*VLOOKUP('Données projet'!$B$12,Paramètres!$A$1:$I$88,3,0)*0.475*44/12</f>
        <v>0</v>
      </c>
      <c r="CM74" s="23">
        <f>EXP(-LN(2)/2)*CM73+(1-EXP(-LN(2)/2))/(LN(2)/2)*CG74*CJ74*VLOOKUP('Données projet'!$B$12,Paramètres!$A$1:$I$88,3,0)*0.475*44/12</f>
        <v>0</v>
      </c>
      <c r="CN74" s="24">
        <f t="shared" si="66"/>
        <v>13.588377318437317</v>
      </c>
      <c r="CO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6.2222222222222223</v>
      </c>
      <c r="CT74" s="13">
        <f>IF('Données projet'!$A$140&gt;35,CT73+CS74-DB73,IF(A74&lt;'Données projet'!$A$140,$CQ$205^A74,IF(A74='Données projet'!$A$140,'Données projet'!$B$140,CT73+CS74-DB73)))</f>
        <v>183.11111111111114</v>
      </c>
      <c r="CU74" s="18">
        <f>CT74*VLOOKUP('Données projet'!$B$13,Paramètres!$A$1:$I$88,3,0)*VLOOKUP('Données projet'!$B$13,Paramètres!$A$1:$I$88,5,0)</f>
        <v>177.10506666666672</v>
      </c>
      <c r="CV74" s="14">
        <f t="shared" si="95"/>
        <v>44.677510329486402</v>
      </c>
      <c r="CW74" s="22">
        <f t="shared" si="67"/>
        <v>386.27132160163336</v>
      </c>
      <c r="CX74" s="59">
        <f t="shared" si="68"/>
        <v>679.60465493496667</v>
      </c>
      <c r="CY74" s="59">
        <f ca="1">AVERAGE(OFFSET($CX$3,0,0,'Données projet'!$E$13+1,1))-AVERAGE(OFFSET($H$3,0,0,'Données projet'!$E$13+1,1))</f>
        <v>306.00894145276209</v>
      </c>
      <c r="CZ74" s="59">
        <f t="shared" si="96"/>
        <v>168.74705421228828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13.115072711179693</v>
      </c>
      <c r="DG74" s="23">
        <f>EXP(-LN(2)/25)*DG73+(1-EXP(-LN(2)/25))/(LN(2)/25)*Calculateur!DB74*Calculateur!DD74*VLOOKUP('Données projet'!$B$13,Paramètres!$A$1:$I$88,3,0)*0.475*44/12</f>
        <v>0</v>
      </c>
      <c r="DH74" s="23">
        <f>EXP(-LN(2)/2)*DH73+(1-EXP(-LN(2)/2))/(LN(2)/2)*DB74*DE74*VLOOKUP('Données projet'!$B$13,Paramètres!$A$1:$I$88,3,0)*0.475*44/12</f>
        <v>0</v>
      </c>
      <c r="DI74" s="24">
        <f t="shared" si="69"/>
        <v>13.115072711179693</v>
      </c>
      <c r="DJ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6.7799999999999958</v>
      </c>
      <c r="DO74" s="13">
        <f>IF('Données projet'!$A$166&gt;35,DO73+DN74-DW73,IF(A74&lt;'Données projet'!$A$166,$DL$205^A74,IF(A74='Données projet'!$A$166,'Données projet'!$B$166,DO73+DN74-DW73)))</f>
        <v>489.87999999999994</v>
      </c>
      <c r="DP74" s="18">
        <f>DO74*VLOOKUP('Données projet'!$B$14,Paramètres!$A$1:$I$88,3,0)*VLOOKUP('Données projet'!$B$14,Paramètres!$A$1:$I$88,5,0)</f>
        <v>382.10639999999995</v>
      </c>
      <c r="DQ74" s="14">
        <f t="shared" si="97"/>
        <v>88.139406709804405</v>
      </c>
      <c r="DR74" s="22">
        <f t="shared" si="70"/>
        <v>819.01144668624249</v>
      </c>
      <c r="DS74" s="59">
        <f t="shared" si="71"/>
        <v>1112.3447800195759</v>
      </c>
      <c r="DT74" s="59">
        <f ca="1">AVERAGE(OFFSET($DS$3,0,0,'Données projet'!$E$14+1,1))-AVERAGE(OFFSET($H$3,0,0,'Données projet'!$E$14+1,1))</f>
        <v>458.14328535055694</v>
      </c>
      <c r="DU74" s="59">
        <f t="shared" si="98"/>
        <v>366.75500153675739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projet'!$B$14,Paramètres!$A$1:$I$88,3,0)*0.475*44/12</f>
        <v>12.819223885318225</v>
      </c>
      <c r="EB74" s="23">
        <f>EXP(-LN(2)/25)*EB73+(1-EXP(-LN(2)/25))/(LN(2)/25)*Calculateur!DW74*Calculateur!DY74*VLOOKUP('Données projet'!$B$14,Paramètres!$A$1:$I$88,3,0)*0.475*44/12</f>
        <v>0</v>
      </c>
      <c r="EC74" s="23">
        <f>EXP(-LN(2)/2)*EC73+(1-EXP(-LN(2)/2))/(LN(2)/2)*DW74*DZ74*VLOOKUP('Données projet'!$B$14,Paramètres!$A$1:$I$88,3,0)*0.475*44/12</f>
        <v>0</v>
      </c>
      <c r="ED74" s="24">
        <f t="shared" si="72"/>
        <v>12.819223885318225</v>
      </c>
      <c r="EE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14.1</v>
      </c>
      <c r="EJ74" s="13">
        <f>IF('Données projet'!$A$192&gt;35,EJ73+EI74-ER73,IF(A74&lt;'Données projet'!$A$192,$EG$205^A74,IF(A74='Données projet'!$A$192,'Données projet'!$B$192,EJ73+EI74-ER73)))</f>
        <v>483.10000000000025</v>
      </c>
      <c r="EK74" s="18">
        <f>EJ74*VLOOKUP('Données projet'!$B$15,Paramètres!$A$1:$I$88,3,0)*VLOOKUP('Données projet'!$B$15,Paramètres!$A$1:$I$88,5,0)</f>
        <v>414.49980000000028</v>
      </c>
      <c r="EL74" s="14">
        <f t="shared" si="99"/>
        <v>94.710157479341845</v>
      </c>
      <c r="EM74" s="22">
        <f t="shared" si="73"/>
        <v>886.87400927652072</v>
      </c>
      <c r="EN74" s="59">
        <f t="shared" si="74"/>
        <v>1180.2073426098541</v>
      </c>
      <c r="EO74" s="59">
        <f ca="1">AVERAGE(OFFSET($EN$3,0,0,'Données projet'!$E$15+1,1))-AVERAGE(OFFSET($H$3,0,0,'Données projet'!$E$15+1,1))</f>
        <v>462.99360395552145</v>
      </c>
      <c r="EP74" s="59">
        <f t="shared" si="100"/>
        <v>153.03880717786046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projet'!$B$15,Paramètres!$A$1:$I$88,3,0)*0.475*44/12</f>
        <v>38.462663465310982</v>
      </c>
      <c r="EW74" s="23">
        <f>EXP(-LN(2)/25)*EW73+(1-EXP(-LN(2)/25))/(LN(2)/25)*Calculateur!ER74*Calculateur!ET74*VLOOKUP('Données projet'!$B$15,Paramètres!$A$1:$I$88,3,0)*0.475*44/12</f>
        <v>0</v>
      </c>
      <c r="EX74" s="23">
        <f>EXP(-LN(2)/2)*EX73+(1-EXP(-LN(2)/2))/(LN(2)/2)*ER74*EU74*VLOOKUP('Données projet'!$B$15,Paramètres!$A$1:$I$88,3,0)*0.475*44/12</f>
        <v>0</v>
      </c>
      <c r="EY74" s="24">
        <f t="shared" si="75"/>
        <v>38.462663465310982</v>
      </c>
      <c r="EZ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5.4200000000000044</v>
      </c>
      <c r="FE74" s="13">
        <f>IF('Données projet'!$A$218&gt;35,FE73+FD74-FM73,IF(A74&lt;'Données projet'!$A$218,$FB$205^A74,IF(A74='Données projet'!$A$218,'Données projet'!$B$218,FE73+FD74-FM73)))</f>
        <v>390.31999999999994</v>
      </c>
      <c r="FF74" s="18">
        <f>FE74*VLOOKUP('Données projet'!$B$16,Paramètres!$A$1:$I$88,3,0)*VLOOKUP('Données projet'!$B$16,Paramètres!$A$1:$I$88,5,0)</f>
        <v>340.98355199999997</v>
      </c>
      <c r="FG74" s="14">
        <f t="shared" si="101"/>
        <v>79.703120316673093</v>
      </c>
      <c r="FH74" s="22">
        <f t="shared" si="76"/>
        <v>732.6959542848723</v>
      </c>
      <c r="FI74" s="59">
        <f t="shared" si="77"/>
        <v>1026.0292876182057</v>
      </c>
      <c r="FJ74" s="59">
        <f ca="1">AVERAGE(OFFSET($FI$3,0,0,'Données projet'!$E$16+1,1))-AVERAGE(OFFSET($H$3,0,0,'Données projet'!$E$16+1,1))</f>
        <v>427.76895185088944</v>
      </c>
      <c r="FK74" s="59">
        <f t="shared" si="102"/>
        <v>308.32543361559135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projet'!$B$16,Paramètres!$A$1:$I$88,3,0)*0.475*44/12</f>
        <v>13.525559394359417</v>
      </c>
      <c r="FR74" s="23">
        <f>EXP(-LN(2)/25)*FR73+(1-EXP(-LN(2)/25))/(LN(2)/25)*Calculateur!FM74*Calculateur!FO74*VLOOKUP('Données projet'!$B$16,Paramètres!$A$1:$I$88,3,0)*0.475*44/12</f>
        <v>0</v>
      </c>
      <c r="FS74" s="23">
        <f>EXP(-LN(2)/2)*FS73+(1-EXP(-LN(2)/2))/(LN(2)/2)*FM74*FP74*VLOOKUP('Données projet'!$B$16,Paramètres!$A$1:$I$88,3,0)*0.475*44/12</f>
        <v>0</v>
      </c>
      <c r="FT74" s="24">
        <f t="shared" si="78"/>
        <v>13.525559394359417</v>
      </c>
      <c r="FU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333.00000000000006</v>
      </c>
      <c r="GA74" s="18">
        <f>FZ74*VLOOKUP('Données projet'!$B$17,Paramètres!$A$1:$I$88,3,0)*VLOOKUP('Données projet'!$B$17,Paramètres!$A$1:$I$88,5,0)</f>
        <v>207.79200000000006</v>
      </c>
      <c r="GB74" s="14">
        <f t="shared" si="103"/>
        <v>51.452785725007907</v>
      </c>
      <c r="GC74" s="22">
        <f t="shared" si="79"/>
        <v>451.5180018043888</v>
      </c>
      <c r="GD74" s="59">
        <f t="shared" si="80"/>
        <v>744.85133513772212</v>
      </c>
      <c r="GE74" s="59">
        <f ca="1">AVERAGE(OFFSET($GD$3,0,0,'Données projet'!$E$17+1,1))-AVERAGE(OFFSET($H$3,0,0,'Données projet'!$E$17+1,1))</f>
        <v>247.85542034088905</v>
      </c>
      <c r="GF74" s="59">
        <f t="shared" si="104"/>
        <v>299.52241743660352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projet'!$B$17,Paramètres!$A$1:$I$88,3,0)*0.475*44/12</f>
        <v>29.881115310400283</v>
      </c>
      <c r="GM74" s="23">
        <f>EXP(-LN(2)/25)*GM73+(1-EXP(-LN(2)/25))/(LN(2)/25)*Calculateur!GH74*Calculateur!GJ74*VLOOKUP('Données projet'!$B$17,Paramètres!$A$1:$I$88,3,0)*0.475*44/12</f>
        <v>28.03051205186884</v>
      </c>
      <c r="GN74" s="23">
        <f>EXP(-LN(2)/2)*GN73+(1-EXP(-LN(2)/2))/(LN(2)/2)*GH74*GK74*VLOOKUP('Données projet'!$B$17,Paramètres!$A$1:$I$88,3,0)*0.475*44/12</f>
        <v>0.94580186108460129</v>
      </c>
      <c r="GO74" s="23">
        <f t="shared" si="81"/>
        <v>58.857429223353726</v>
      </c>
      <c r="GP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3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6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6.2222222222222223</v>
      </c>
      <c r="N75" s="14">
        <f>IF('Données projet'!$A$36&gt;35,N74+M75-V74,IF(A75&lt;'Données projet'!$A$36,$K$205^A75,IF(A75='Données projet'!$A$36,'Données projet'!$B$36,N74+M75-V74)))</f>
        <v>189.33333333333337</v>
      </c>
      <c r="O75" s="14">
        <f>N75*VLOOKUP('Données projet'!$B$9,Paramètres!$A$1:$I$88,3,0)*VLOOKUP('Données projet'!$B$9,Paramètres!$A$1:$I$88,5,0)</f>
        <v>171.30880000000002</v>
      </c>
      <c r="P75" s="14">
        <f t="shared" si="87"/>
        <v>43.383020279841645</v>
      </c>
      <c r="Q75" s="22">
        <f t="shared" si="54"/>
        <v>373.92158698739087</v>
      </c>
      <c r="R75" s="59">
        <f t="shared" si="55"/>
        <v>667.25492032072418</v>
      </c>
      <c r="S75" s="59">
        <f ca="1">AVERAGE(OFFSET($R$3,0,0,'Données projet'!$E$9+1,1))-AVERAGE(OFFSET($H$3,0,0,'Données projet'!$E$9+1,1))</f>
        <v>247.57967230773539</v>
      </c>
      <c r="T75" s="59">
        <f t="shared" si="88"/>
        <v>156.58857589533295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12.028352577639364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12.028352577639364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6.7799999999999958</v>
      </c>
      <c r="AI75" s="14">
        <f>IF('Données projet'!$A$62&gt;35,AI74+AH75-AQ74,IF(A75&lt;'Données projet'!$A$62,$AF$205^A75,IF(A75='Données projet'!$A$62,'Données projet'!$B$62,AI74+AH75-AQ74)))</f>
        <v>496.65999999999991</v>
      </c>
      <c r="AJ75" s="14">
        <f>AI75*VLOOKUP('Données projet'!$B$10,Paramètres!$A$1:$I$88,3,0)*VLOOKUP('Données projet'!$B$10,Paramètres!$A$1:$I$88,5,0)</f>
        <v>395.14269599999994</v>
      </c>
      <c r="AK75" s="14">
        <f t="shared" si="89"/>
        <v>90.79122225703594</v>
      </c>
      <c r="AL75" s="22">
        <f t="shared" si="58"/>
        <v>846.33490763100417</v>
      </c>
      <c r="AM75" s="59">
        <f t="shared" si="59"/>
        <v>1139.6682409643374</v>
      </c>
      <c r="AN75" s="59">
        <f ca="1">AVERAGE(OFFSET($AM$3,0,0,'Données projet'!$E$10+1,1))-AVERAGE(OFFSET($H$3,0,0,'Données projet'!$E$10+1,1))</f>
        <v>504.15006129790828</v>
      </c>
      <c r="AO75" s="59">
        <f t="shared" si="90"/>
        <v>374.39334457402742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15.80041381146609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15.80041381146609</v>
      </c>
      <c r="AY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6.7799999999999958</v>
      </c>
      <c r="BD75" s="13">
        <f>IF('Données projet'!$A$88&gt;35,BD74+BC75-BL74,IF(A75&lt;'Données projet'!$A$88,$BA$205^A75,IF(A75='Données projet'!$A$88,'Données projet'!$B$88,BD74+BC75-BL74)))</f>
        <v>496.65999999999991</v>
      </c>
      <c r="BE75" s="14">
        <f>BD75*VLOOKUP('Données projet'!$B$11,Paramètres!$A$1:$I$88,3,0)*VLOOKUP('Données projet'!$B$11,Paramètres!$A$1:$I$88,5,0)</f>
        <v>395.14269599999994</v>
      </c>
      <c r="BF75" s="14">
        <f t="shared" si="91"/>
        <v>90.79122225703594</v>
      </c>
      <c r="BG75" s="22">
        <f t="shared" si="61"/>
        <v>846.33490763100417</v>
      </c>
      <c r="BH75" s="59">
        <f t="shared" si="62"/>
        <v>1139.6682409643374</v>
      </c>
      <c r="BI75" s="59">
        <f ca="1">AVERAGE(OFFSET($BH$3,0,0,'Données projet'!$E$11+1,1))-AVERAGE(OFFSET($H$3,0,0,'Données projet'!$E$11+1,1))</f>
        <v>504.15006129790828</v>
      </c>
      <c r="BJ75" s="59">
        <f t="shared" si="92"/>
        <v>374.39334457402742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15.80041381146609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15.80041381146609</v>
      </c>
      <c r="BT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6.7799999999999958</v>
      </c>
      <c r="BY75" s="13">
        <f>IF('Données projet'!$A$114&gt;35,BY74+BX75-CG74,IF(A75&lt;'Données projet'!$A$114,$BV$205^A75,IF(A75='Données projet'!$A$114,'Données projet'!$B$114,BY74+BX75-CG74)))</f>
        <v>496.65999999999991</v>
      </c>
      <c r="BZ75" s="14">
        <f>BY75*VLOOKUP('Données projet'!$B$12,Paramètres!$A$1:$I$88,3,0)*VLOOKUP('Données projet'!$B$12,Paramètres!$A$1:$I$88,5,0)</f>
        <v>333.15952799999997</v>
      </c>
      <c r="CA75" s="14">
        <f t="shared" si="93"/>
        <v>78.084994219217563</v>
      </c>
      <c r="CB75" s="22">
        <f t="shared" si="64"/>
        <v>716.25087619847045</v>
      </c>
      <c r="CC75" s="59">
        <f t="shared" si="65"/>
        <v>1009.5842095318037</v>
      </c>
      <c r="CD75" s="59">
        <f ca="1">AVERAGE(OFFSET($CC$3,0,0,'Données projet'!$E$12+1,1))-AVERAGE(OFFSET($H$3,0,0,'Données projet'!$E$12+1,1))</f>
        <v>387.15063677712425</v>
      </c>
      <c r="CE75" s="59">
        <f t="shared" si="94"/>
        <v>313.19155394370705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13.321917527314545</v>
      </c>
      <c r="CL75" s="23">
        <f>EXP(-LN(2)/25)*CL74+(1-EXP(-LN(2)/25))/(LN(2)/25)*Calculateur!CG75*Calculateur!CI75*VLOOKUP('Données projet'!$B$12,Paramètres!$A$1:$I$88,3,0)*0.475*44/12</f>
        <v>0</v>
      </c>
      <c r="CM75" s="23">
        <f>EXP(-LN(2)/2)*CM74+(1-EXP(-LN(2)/2))/(LN(2)/2)*CG75*CJ75*VLOOKUP('Données projet'!$B$12,Paramètres!$A$1:$I$88,3,0)*0.475*44/12</f>
        <v>0</v>
      </c>
      <c r="CN75" s="24">
        <f t="shared" si="66"/>
        <v>13.321917527314545</v>
      </c>
      <c r="CO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6.2222222222222223</v>
      </c>
      <c r="CT75" s="13">
        <f>IF('Données projet'!$A$140&gt;35,CT74+CS75-DB74,IF(A75&lt;'Données projet'!$A$140,$CQ$205^A75,IF(A75='Données projet'!$A$140,'Données projet'!$B$140,CT74+CS75-DB74)))</f>
        <v>189.33333333333337</v>
      </c>
      <c r="CU75" s="18">
        <f>CT75*VLOOKUP('Données projet'!$B$13,Paramètres!$A$1:$I$88,3,0)*VLOOKUP('Données projet'!$B$13,Paramètres!$A$1:$I$88,5,0)</f>
        <v>183.12320000000003</v>
      </c>
      <c r="CV75" s="14">
        <f t="shared" si="95"/>
        <v>46.016343426496853</v>
      </c>
      <c r="CW75" s="22">
        <f t="shared" si="67"/>
        <v>399.08470480114869</v>
      </c>
      <c r="CX75" s="59">
        <f t="shared" si="68"/>
        <v>692.418038134482</v>
      </c>
      <c r="CY75" s="59">
        <f ca="1">AVERAGE(OFFSET($CX$3,0,0,'Données projet'!$E$13+1,1))-AVERAGE(OFFSET($H$3,0,0,'Données projet'!$E$13+1,1))</f>
        <v>306.00894145276209</v>
      </c>
      <c r="CZ75" s="59">
        <f t="shared" si="96"/>
        <v>168.74705421228828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12.857894134717936</v>
      </c>
      <c r="DG75" s="23">
        <f>EXP(-LN(2)/25)*DG74+(1-EXP(-LN(2)/25))/(LN(2)/25)*Calculateur!DB75*Calculateur!DD75*VLOOKUP('Données projet'!$B$13,Paramètres!$A$1:$I$88,3,0)*0.475*44/12</f>
        <v>0</v>
      </c>
      <c r="DH75" s="23">
        <f>EXP(-LN(2)/2)*DH74+(1-EXP(-LN(2)/2))/(LN(2)/2)*DB75*DE75*VLOOKUP('Données projet'!$B$13,Paramètres!$A$1:$I$88,3,0)*0.475*44/12</f>
        <v>0</v>
      </c>
      <c r="DI75" s="24">
        <f t="shared" si="69"/>
        <v>12.857894134717936</v>
      </c>
      <c r="DJ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6.7799999999999958</v>
      </c>
      <c r="DO75" s="13">
        <f>IF('Données projet'!$A$166&gt;35,DO74+DN75-DW74,IF(A75&lt;'Données projet'!$A$166,$DL$205^A75,IF(A75='Données projet'!$A$166,'Données projet'!$B$166,DO74+DN75-DW74)))</f>
        <v>496.65999999999991</v>
      </c>
      <c r="DP75" s="18">
        <f>DO75*VLOOKUP('Données projet'!$B$14,Paramètres!$A$1:$I$88,3,0)*VLOOKUP('Données projet'!$B$14,Paramètres!$A$1:$I$88,5,0)</f>
        <v>387.39479999999992</v>
      </c>
      <c r="DQ75" s="14">
        <f t="shared" si="97"/>
        <v>89.216411516829382</v>
      </c>
      <c r="DR75" s="22">
        <f t="shared" si="70"/>
        <v>830.09786005847764</v>
      </c>
      <c r="DS75" s="59">
        <f t="shared" si="71"/>
        <v>1123.4311933918109</v>
      </c>
      <c r="DT75" s="59">
        <f ca="1">AVERAGE(OFFSET($DS$3,0,0,'Données projet'!$E$14+1,1))-AVERAGE(OFFSET($H$3,0,0,'Données projet'!$E$14+1,1))</f>
        <v>458.14328535055694</v>
      </c>
      <c r="DU75" s="59">
        <f t="shared" si="98"/>
        <v>366.75500153675739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projet'!$B$14,Paramètres!$A$1:$I$88,3,0)*0.475*44/12</f>
        <v>12.567846723881647</v>
      </c>
      <c r="EB75" s="23">
        <f>EXP(-LN(2)/25)*EB74+(1-EXP(-LN(2)/25))/(LN(2)/25)*Calculateur!DW75*Calculateur!DY75*VLOOKUP('Données projet'!$B$14,Paramètres!$A$1:$I$88,3,0)*0.475*44/12</f>
        <v>0</v>
      </c>
      <c r="EC75" s="23">
        <f>EXP(-LN(2)/2)*EC74+(1-EXP(-LN(2)/2))/(LN(2)/2)*DW75*DZ75*VLOOKUP('Données projet'!$B$14,Paramètres!$A$1:$I$88,3,0)*0.475*44/12</f>
        <v>0</v>
      </c>
      <c r="ED75" s="24">
        <f t="shared" si="72"/>
        <v>12.567846723881647</v>
      </c>
      <c r="EE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14.1</v>
      </c>
      <c r="EJ75" s="13">
        <f>IF('Données projet'!$A$192&gt;35,EJ74+EI75-ER74,IF(A75&lt;'Données projet'!$A$192,$EG$205^A75,IF(A75='Données projet'!$A$192,'Données projet'!$B$192,EJ74+EI75-ER74)))</f>
        <v>497.20000000000027</v>
      </c>
      <c r="EK75" s="18">
        <f>EJ75*VLOOKUP('Données projet'!$B$15,Paramètres!$A$1:$I$88,3,0)*VLOOKUP('Données projet'!$B$15,Paramètres!$A$1:$I$88,5,0)</f>
        <v>426.59760000000023</v>
      </c>
      <c r="EL75" s="14">
        <f t="shared" si="99"/>
        <v>97.148551596624628</v>
      </c>
      <c r="EM75" s="22">
        <f t="shared" si="73"/>
        <v>912.19121403078816</v>
      </c>
      <c r="EN75" s="59">
        <f t="shared" si="74"/>
        <v>1205.5245473641214</v>
      </c>
      <c r="EO75" s="59">
        <f ca="1">AVERAGE(OFFSET($EN$3,0,0,'Données projet'!$E$15+1,1))-AVERAGE(OFFSET($H$3,0,0,'Données projet'!$E$15+1,1))</f>
        <v>462.99360395552145</v>
      </c>
      <c r="EP75" s="59">
        <f t="shared" si="100"/>
        <v>153.03880717786046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projet'!$B$15,Paramètres!$A$1:$I$88,3,0)*0.475*44/12</f>
        <v>37.708434094664476</v>
      </c>
      <c r="EW75" s="23">
        <f>EXP(-LN(2)/25)*EW74+(1-EXP(-LN(2)/25))/(LN(2)/25)*Calculateur!ER75*Calculateur!ET75*VLOOKUP('Données projet'!$B$15,Paramètres!$A$1:$I$88,3,0)*0.475*44/12</f>
        <v>0</v>
      </c>
      <c r="EX75" s="23">
        <f>EXP(-LN(2)/2)*EX74+(1-EXP(-LN(2)/2))/(LN(2)/2)*ER75*EU75*VLOOKUP('Données projet'!$B$15,Paramètres!$A$1:$I$88,3,0)*0.475*44/12</f>
        <v>0</v>
      </c>
      <c r="EY75" s="24">
        <f t="shared" si="75"/>
        <v>37.708434094664476</v>
      </c>
      <c r="EZ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5.4200000000000044</v>
      </c>
      <c r="FE75" s="13">
        <f>IF('Données projet'!$A$218&gt;35,FE74+FD75-FM74,IF(A75&lt;'Données projet'!$A$218,$FB$205^A75,IF(A75='Données projet'!$A$218,'Données projet'!$B$218,FE74+FD75-FM74)))</f>
        <v>395.73999999999995</v>
      </c>
      <c r="FF75" s="18">
        <f>FE75*VLOOKUP('Données projet'!$B$16,Paramètres!$A$1:$I$88,3,0)*VLOOKUP('Données projet'!$B$16,Paramètres!$A$1:$I$88,5,0)</f>
        <v>345.71846399999998</v>
      </c>
      <c r="FG75" s="14">
        <f t="shared" si="101"/>
        <v>80.680267962247427</v>
      </c>
      <c r="FH75" s="22">
        <f t="shared" si="76"/>
        <v>742.64445816758086</v>
      </c>
      <c r="FI75" s="59">
        <f t="shared" si="77"/>
        <v>1035.9777915009142</v>
      </c>
      <c r="FJ75" s="59">
        <f ca="1">AVERAGE(OFFSET($FI$3,0,0,'Données projet'!$E$16+1,1))-AVERAGE(OFFSET($H$3,0,0,'Données projet'!$E$16+1,1))</f>
        <v>427.76895185088944</v>
      </c>
      <c r="FK75" s="59">
        <f t="shared" si="102"/>
        <v>308.32543361559135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projet'!$B$16,Paramètres!$A$1:$I$88,3,0)*0.475*44/12</f>
        <v>13.260331424412662</v>
      </c>
      <c r="FR75" s="23">
        <f>EXP(-LN(2)/25)*FR74+(1-EXP(-LN(2)/25))/(LN(2)/25)*Calculateur!FM75*Calculateur!FO75*VLOOKUP('Données projet'!$B$16,Paramètres!$A$1:$I$88,3,0)*0.475*44/12</f>
        <v>0</v>
      </c>
      <c r="FS75" s="23">
        <f>EXP(-LN(2)/2)*FS74+(1-EXP(-LN(2)/2))/(LN(2)/2)*FM75*FP75*VLOOKUP('Données projet'!$B$16,Paramètres!$A$1:$I$88,3,0)*0.475*44/12</f>
        <v>0</v>
      </c>
      <c r="FT75" s="24">
        <f t="shared" si="78"/>
        <v>13.260331424412662</v>
      </c>
      <c r="FU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333.00000000000006</v>
      </c>
      <c r="GA75" s="18">
        <f>FZ75*VLOOKUP('Données projet'!$B$17,Paramètres!$A$1:$I$88,3,0)*VLOOKUP('Données projet'!$B$17,Paramètres!$A$1:$I$88,5,0)</f>
        <v>207.79200000000006</v>
      </c>
      <c r="GB75" s="14">
        <f t="shared" si="103"/>
        <v>51.452785725007907</v>
      </c>
      <c r="GC75" s="22">
        <f t="shared" si="79"/>
        <v>451.5180018043888</v>
      </c>
      <c r="GD75" s="59">
        <f t="shared" si="80"/>
        <v>744.85133513772212</v>
      </c>
      <c r="GE75" s="59">
        <f ca="1">AVERAGE(OFFSET($GD$3,0,0,'Données projet'!$E$17+1,1))-AVERAGE(OFFSET($H$3,0,0,'Données projet'!$E$17+1,1))</f>
        <v>247.85542034088905</v>
      </c>
      <c r="GF75" s="59">
        <f t="shared" si="104"/>
        <v>299.52241743660352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projet'!$B$17,Paramètres!$A$1:$I$88,3,0)*0.475*44/12</f>
        <v>29.295164864844036</v>
      </c>
      <c r="GM75" s="23">
        <f>EXP(-LN(2)/25)*GM74+(1-EXP(-LN(2)/25))/(LN(2)/25)*Calculateur!GH75*Calculateur!GJ75*VLOOKUP('Données projet'!$B$17,Paramètres!$A$1:$I$88,3,0)*0.475*44/12</f>
        <v>27.264016225749923</v>
      </c>
      <c r="GN75" s="23">
        <f>EXP(-LN(2)/2)*GN74+(1-EXP(-LN(2)/2))/(LN(2)/2)*GH75*GK75*VLOOKUP('Données projet'!$B$17,Paramètres!$A$1:$I$88,3,0)*0.475*44/12</f>
        <v>0.66878290963177867</v>
      </c>
      <c r="GO75" s="23">
        <f t="shared" si="81"/>
        <v>57.227964000225739</v>
      </c>
      <c r="GP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3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6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6.2222222222222223</v>
      </c>
      <c r="N76" s="14">
        <f>IF('Données projet'!$A$36&gt;35,N75+M76-V75,IF(A76&lt;'Données projet'!$A$36,$K$205^A76,IF(A76='Données projet'!$A$36,'Données projet'!$B$36,N75+M76-V75)))</f>
        <v>195.5555555555556</v>
      </c>
      <c r="O76" s="14">
        <f>N76*VLOOKUP('Données projet'!$B$9,Paramètres!$A$1:$I$88,3,0)*VLOOKUP('Données projet'!$B$9,Paramètres!$A$1:$I$88,5,0)</f>
        <v>176.93866666666671</v>
      </c>
      <c r="P76" s="14">
        <f t="shared" si="87"/>
        <v>44.640417431674805</v>
      </c>
      <c r="Q76" s="22">
        <f t="shared" si="54"/>
        <v>385.91690480461148</v>
      </c>
      <c r="R76" s="59">
        <f t="shared" si="55"/>
        <v>679.25023813794473</v>
      </c>
      <c r="S76" s="59">
        <f ca="1">AVERAGE(OFFSET($R$3,0,0,'Données projet'!$E$9+1,1))-AVERAGE(OFFSET($H$3,0,0,'Données projet'!$E$9+1,1))</f>
        <v>247.57967230773539</v>
      </c>
      <c r="T76" s="59">
        <f t="shared" si="88"/>
        <v>156.58857589533295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11.792483920162502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11.792483920162502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6.7799999999999958</v>
      </c>
      <c r="AI76" s="14">
        <f>IF('Données projet'!$A$62&gt;35,AI75+AH76-AQ75,IF(A76&lt;'Données projet'!$A$62,$AF$205^A76,IF(A76='Données projet'!$A$62,'Données projet'!$B$62,AI75+AH76-AQ75)))</f>
        <v>503.43999999999988</v>
      </c>
      <c r="AJ76" s="14">
        <f>AI76*VLOOKUP('Données projet'!$B$10,Paramètres!$A$1:$I$88,3,0)*VLOOKUP('Données projet'!$B$10,Paramètres!$A$1:$I$88,5,0)</f>
        <v>400.53686399999987</v>
      </c>
      <c r="AK76" s="14">
        <f t="shared" si="89"/>
        <v>91.885497660521835</v>
      </c>
      <c r="AL76" s="22">
        <f t="shared" si="58"/>
        <v>857.63561322540863</v>
      </c>
      <c r="AM76" s="59">
        <f t="shared" si="59"/>
        <v>1150.9689465587419</v>
      </c>
      <c r="AN76" s="59">
        <f ca="1">AVERAGE(OFFSET($AM$3,0,0,'Données projet'!$E$10+1,1))-AVERAGE(OFFSET($H$3,0,0,'Données projet'!$E$10+1,1))</f>
        <v>504.15006129790828</v>
      </c>
      <c r="AO76" s="59">
        <f t="shared" si="90"/>
        <v>374.39334457402742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15.49057733392406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15.49057733392406</v>
      </c>
      <c r="AY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6.7799999999999958</v>
      </c>
      <c r="BD76" s="13">
        <f>IF('Données projet'!$A$88&gt;35,BD75+BC76-BL75,IF(A76&lt;'Données projet'!$A$88,$BA$205^A76,IF(A76='Données projet'!$A$88,'Données projet'!$B$88,BD75+BC76-BL75)))</f>
        <v>503.43999999999988</v>
      </c>
      <c r="BE76" s="14">
        <f>BD76*VLOOKUP('Données projet'!$B$11,Paramètres!$A$1:$I$88,3,0)*VLOOKUP('Données projet'!$B$11,Paramètres!$A$1:$I$88,5,0)</f>
        <v>400.53686399999987</v>
      </c>
      <c r="BF76" s="14">
        <f t="shared" si="91"/>
        <v>91.885497660521835</v>
      </c>
      <c r="BG76" s="22">
        <f t="shared" si="61"/>
        <v>857.63561322540863</v>
      </c>
      <c r="BH76" s="59">
        <f t="shared" si="62"/>
        <v>1150.9689465587419</v>
      </c>
      <c r="BI76" s="59">
        <f ca="1">AVERAGE(OFFSET($BH$3,0,0,'Données projet'!$E$11+1,1))-AVERAGE(OFFSET($H$3,0,0,'Données projet'!$E$11+1,1))</f>
        <v>504.15006129790828</v>
      </c>
      <c r="BJ76" s="59">
        <f t="shared" si="92"/>
        <v>374.39334457402742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15.49057733392406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15.49057733392406</v>
      </c>
      <c r="BT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6.7799999999999958</v>
      </c>
      <c r="BY76" s="13">
        <f>IF('Données projet'!$A$114&gt;35,BY75+BX76-CG75,IF(A76&lt;'Données projet'!$A$114,$BV$205^A76,IF(A76='Données projet'!$A$114,'Données projet'!$B$114,BY75+BX76-CG75)))</f>
        <v>503.43999999999988</v>
      </c>
      <c r="BZ76" s="14">
        <f>BY76*VLOOKUP('Données projet'!$B$12,Paramètres!$A$1:$I$88,3,0)*VLOOKUP('Données projet'!$B$12,Paramètres!$A$1:$I$88,5,0)</f>
        <v>337.70755199999991</v>
      </c>
      <c r="CA76" s="14">
        <f t="shared" si="93"/>
        <v>79.026125822375576</v>
      </c>
      <c r="CB76" s="22">
        <f t="shared" si="64"/>
        <v>725.81115554063729</v>
      </c>
      <c r="CC76" s="59">
        <f t="shared" si="65"/>
        <v>1019.1444888739707</v>
      </c>
      <c r="CD76" s="59">
        <f ca="1">AVERAGE(OFFSET($CC$3,0,0,'Données projet'!$E$12+1,1))-AVERAGE(OFFSET($H$3,0,0,'Données projet'!$E$12+1,1))</f>
        <v>387.15063677712425</v>
      </c>
      <c r="CE76" s="59">
        <f t="shared" si="94"/>
        <v>313.19155394370705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13.060682850171265</v>
      </c>
      <c r="CL76" s="23">
        <f>EXP(-LN(2)/25)*CL75+(1-EXP(-LN(2)/25))/(LN(2)/25)*Calculateur!CG76*Calculateur!CI76*VLOOKUP('Données projet'!$B$12,Paramètres!$A$1:$I$88,3,0)*0.475*44/12</f>
        <v>0</v>
      </c>
      <c r="CM76" s="23">
        <f>EXP(-LN(2)/2)*CM75+(1-EXP(-LN(2)/2))/(LN(2)/2)*CG76*CJ76*VLOOKUP('Données projet'!$B$12,Paramètres!$A$1:$I$88,3,0)*0.475*44/12</f>
        <v>0</v>
      </c>
      <c r="CN76" s="24">
        <f t="shared" si="66"/>
        <v>13.060682850171265</v>
      </c>
      <c r="CO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6.2222222222222223</v>
      </c>
      <c r="CT76" s="13">
        <f>IF('Données projet'!$A$140&gt;35,CT75+CS76-DB75,IF(A76&lt;'Données projet'!$A$140,$CQ$205^A76,IF(A76='Données projet'!$A$140,'Données projet'!$B$140,CT75+CS76-DB75)))</f>
        <v>195.5555555555556</v>
      </c>
      <c r="CU76" s="18">
        <f>CT76*VLOOKUP('Données projet'!$B$13,Paramètres!$A$1:$I$88,3,0)*VLOOKUP('Données projet'!$B$13,Paramètres!$A$1:$I$88,5,0)</f>
        <v>189.14133333333336</v>
      </c>
      <c r="CV76" s="14">
        <f t="shared" si="95"/>
        <v>47.350063826529428</v>
      </c>
      <c r="CW76" s="22">
        <f t="shared" si="67"/>
        <v>411.88918338676103</v>
      </c>
      <c r="CX76" s="59">
        <f t="shared" si="68"/>
        <v>705.22251672009429</v>
      </c>
      <c r="CY76" s="59">
        <f ca="1">AVERAGE(OFFSET($CX$3,0,0,'Données projet'!$E$13+1,1))-AVERAGE(OFFSET($H$3,0,0,'Données projet'!$E$13+1,1))</f>
        <v>306.00894145276209</v>
      </c>
      <c r="CZ76" s="59">
        <f t="shared" si="96"/>
        <v>168.74705421228828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12.605758673277153</v>
      </c>
      <c r="DG76" s="23">
        <f>EXP(-LN(2)/25)*DG75+(1-EXP(-LN(2)/25))/(LN(2)/25)*Calculateur!DB76*Calculateur!DD76*VLOOKUP('Données projet'!$B$13,Paramètres!$A$1:$I$88,3,0)*0.475*44/12</f>
        <v>0</v>
      </c>
      <c r="DH76" s="23">
        <f>EXP(-LN(2)/2)*DH75+(1-EXP(-LN(2)/2))/(LN(2)/2)*DB76*DE76*VLOOKUP('Données projet'!$B$13,Paramètres!$A$1:$I$88,3,0)*0.475*44/12</f>
        <v>0</v>
      </c>
      <c r="DI76" s="24">
        <f t="shared" si="69"/>
        <v>12.605758673277153</v>
      </c>
      <c r="DJ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6.7799999999999958</v>
      </c>
      <c r="DO76" s="13">
        <f>IF('Données projet'!$A$166&gt;35,DO75+DN76-DW75,IF(A76&lt;'Données projet'!$A$166,$DL$205^A76,IF(A76='Données projet'!$A$166,'Données projet'!$B$166,DO75+DN76-DW75)))</f>
        <v>503.43999999999988</v>
      </c>
      <c r="DP76" s="18">
        <f>DO76*VLOOKUP('Données projet'!$B$14,Paramètres!$A$1:$I$88,3,0)*VLOOKUP('Données projet'!$B$14,Paramètres!$A$1:$I$88,5,0)</f>
        <v>392.68319999999994</v>
      </c>
      <c r="DQ76" s="14">
        <f t="shared" si="97"/>
        <v>90.291706267612213</v>
      </c>
      <c r="DR76" s="22">
        <f t="shared" si="70"/>
        <v>841.18129508275786</v>
      </c>
      <c r="DS76" s="59">
        <f t="shared" si="71"/>
        <v>1134.5146284160912</v>
      </c>
      <c r="DT76" s="59">
        <f ca="1">AVERAGE(OFFSET($DS$3,0,0,'Données projet'!$E$14+1,1))-AVERAGE(OFFSET($H$3,0,0,'Données projet'!$E$14+1,1))</f>
        <v>458.14328535055694</v>
      </c>
      <c r="DU76" s="59">
        <f t="shared" si="98"/>
        <v>366.75500153675739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projet'!$B$14,Paramètres!$A$1:$I$88,3,0)*0.475*44/12</f>
        <v>12.321398915255912</v>
      </c>
      <c r="EB76" s="23">
        <f>EXP(-LN(2)/25)*EB75+(1-EXP(-LN(2)/25))/(LN(2)/25)*Calculateur!DW76*Calculateur!DY76*VLOOKUP('Données projet'!$B$14,Paramètres!$A$1:$I$88,3,0)*0.475*44/12</f>
        <v>0</v>
      </c>
      <c r="EC76" s="23">
        <f>EXP(-LN(2)/2)*EC75+(1-EXP(-LN(2)/2))/(LN(2)/2)*DW76*DZ76*VLOOKUP('Données projet'!$B$14,Paramètres!$A$1:$I$88,3,0)*0.475*44/12</f>
        <v>0</v>
      </c>
      <c r="ED76" s="24">
        <f t="shared" si="72"/>
        <v>12.321398915255912</v>
      </c>
      <c r="EE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14.1</v>
      </c>
      <c r="EJ76" s="13">
        <f>IF('Données projet'!$A$192&gt;35,EJ75+EI76-ER75,IF(A76&lt;'Données projet'!$A$192,$EG$205^A76,IF(A76='Données projet'!$A$192,'Données projet'!$B$192,EJ75+EI76-ER75)))</f>
        <v>511.3000000000003</v>
      </c>
      <c r="EK76" s="18">
        <f>EJ76*VLOOKUP('Données projet'!$B$15,Paramètres!$A$1:$I$88,3,0)*VLOOKUP('Données projet'!$B$15,Paramètres!$A$1:$I$88,5,0)</f>
        <v>438.69540000000035</v>
      </c>
      <c r="EL76" s="14">
        <f t="shared" si="99"/>
        <v>99.57890879121706</v>
      </c>
      <c r="EM76" s="22">
        <f t="shared" si="73"/>
        <v>937.49442114470367</v>
      </c>
      <c r="EN76" s="59">
        <f t="shared" si="74"/>
        <v>1230.8277544780369</v>
      </c>
      <c r="EO76" s="59">
        <f ca="1">AVERAGE(OFFSET($EN$3,0,0,'Données projet'!$E$15+1,1))-AVERAGE(OFFSET($H$3,0,0,'Données projet'!$E$15+1,1))</f>
        <v>462.99360395552145</v>
      </c>
      <c r="EP76" s="59">
        <f t="shared" si="100"/>
        <v>153.03880717786046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projet'!$B$15,Paramètres!$A$1:$I$88,3,0)*0.475*44/12</f>
        <v>36.968994701941853</v>
      </c>
      <c r="EW76" s="23">
        <f>EXP(-LN(2)/25)*EW75+(1-EXP(-LN(2)/25))/(LN(2)/25)*Calculateur!ER76*Calculateur!ET76*VLOOKUP('Données projet'!$B$15,Paramètres!$A$1:$I$88,3,0)*0.475*44/12</f>
        <v>0</v>
      </c>
      <c r="EX76" s="23">
        <f>EXP(-LN(2)/2)*EX75+(1-EXP(-LN(2)/2))/(LN(2)/2)*ER76*EU76*VLOOKUP('Données projet'!$B$15,Paramètres!$A$1:$I$88,3,0)*0.475*44/12</f>
        <v>0</v>
      </c>
      <c r="EY76" s="24">
        <f t="shared" si="75"/>
        <v>36.968994701941853</v>
      </c>
      <c r="EZ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5.4200000000000044</v>
      </c>
      <c r="FE76" s="13">
        <f>IF('Données projet'!$A$218&gt;35,FE75+FD76-FM75,IF(A76&lt;'Données projet'!$A$218,$FB$205^A76,IF(A76='Données projet'!$A$218,'Données projet'!$B$218,FE75+FD76-FM75)))</f>
        <v>401.15999999999997</v>
      </c>
      <c r="FF76" s="18">
        <f>FE76*VLOOKUP('Données projet'!$B$16,Paramètres!$A$1:$I$88,3,0)*VLOOKUP('Données projet'!$B$16,Paramètres!$A$1:$I$88,5,0)</f>
        <v>350.45337599999999</v>
      </c>
      <c r="FG76" s="14">
        <f t="shared" si="101"/>
        <v>81.655859030372199</v>
      </c>
      <c r="FH76" s="22">
        <f t="shared" si="76"/>
        <v>752.59025101123143</v>
      </c>
      <c r="FI76" s="59">
        <f t="shared" si="77"/>
        <v>1045.9235843445647</v>
      </c>
      <c r="FJ76" s="59">
        <f ca="1">AVERAGE(OFFSET($FI$3,0,0,'Données projet'!$E$16+1,1))-AVERAGE(OFFSET($H$3,0,0,'Données projet'!$E$16+1,1))</f>
        <v>427.76895185088944</v>
      </c>
      <c r="FK76" s="59">
        <f t="shared" si="102"/>
        <v>308.32543361559135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projet'!$B$16,Paramètres!$A$1:$I$88,3,0)*0.475*44/12</f>
        <v>13.000304413183475</v>
      </c>
      <c r="FR76" s="23">
        <f>EXP(-LN(2)/25)*FR75+(1-EXP(-LN(2)/25))/(LN(2)/25)*Calculateur!FM76*Calculateur!FO76*VLOOKUP('Données projet'!$B$16,Paramètres!$A$1:$I$88,3,0)*0.475*44/12</f>
        <v>0</v>
      </c>
      <c r="FS76" s="23">
        <f>EXP(-LN(2)/2)*FS75+(1-EXP(-LN(2)/2))/(LN(2)/2)*FM76*FP76*VLOOKUP('Données projet'!$B$16,Paramètres!$A$1:$I$88,3,0)*0.475*44/12</f>
        <v>0</v>
      </c>
      <c r="FT76" s="24">
        <f t="shared" si="78"/>
        <v>13.000304413183475</v>
      </c>
      <c r="FU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333.00000000000006</v>
      </c>
      <c r="GA76" s="18">
        <f>FZ76*VLOOKUP('Données projet'!$B$17,Paramètres!$A$1:$I$88,3,0)*VLOOKUP('Données projet'!$B$17,Paramètres!$A$1:$I$88,5,0)</f>
        <v>207.79200000000006</v>
      </c>
      <c r="GB76" s="14">
        <f t="shared" si="103"/>
        <v>51.452785725007907</v>
      </c>
      <c r="GC76" s="22">
        <f t="shared" si="79"/>
        <v>451.5180018043888</v>
      </c>
      <c r="GD76" s="59">
        <f t="shared" si="80"/>
        <v>744.85133513772212</v>
      </c>
      <c r="GE76" s="59">
        <f ca="1">AVERAGE(OFFSET($GD$3,0,0,'Données projet'!$E$17+1,1))-AVERAGE(OFFSET($H$3,0,0,'Données projet'!$E$17+1,1))</f>
        <v>247.85542034088905</v>
      </c>
      <c r="GF76" s="59">
        <f t="shared" si="104"/>
        <v>299.52241743660352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projet'!$B$17,Paramètres!$A$1:$I$88,3,0)*0.475*44/12</f>
        <v>28.720704550130666</v>
      </c>
      <c r="GM76" s="23">
        <f>EXP(-LN(2)/25)*GM75+(1-EXP(-LN(2)/25))/(LN(2)/25)*Calculateur!GH76*Calculateur!GJ76*VLOOKUP('Données projet'!$B$17,Paramètres!$A$1:$I$88,3,0)*0.475*44/12</f>
        <v>26.51848026830449</v>
      </c>
      <c r="GN76" s="23">
        <f>EXP(-LN(2)/2)*GN75+(1-EXP(-LN(2)/2))/(LN(2)/2)*GH76*GK76*VLOOKUP('Données projet'!$B$17,Paramètres!$A$1:$I$88,3,0)*0.475*44/12</f>
        <v>0.47290093054230076</v>
      </c>
      <c r="GO76" s="23">
        <f t="shared" si="81"/>
        <v>55.712085748977458</v>
      </c>
      <c r="GP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3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6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6.2222222222222223</v>
      </c>
      <c r="N77" s="14">
        <f>IF('Données projet'!$A$36&gt;35,N76+M77-V76,IF(A77&lt;'Données projet'!$A$36,$K$205^A77,IF(A77='Données projet'!$A$36,'Données projet'!$B$36,N76+M77-V76)))</f>
        <v>201.77777777777783</v>
      </c>
      <c r="O77" s="14">
        <f>N77*VLOOKUP('Données projet'!$B$9,Paramètres!$A$1:$I$88,3,0)*VLOOKUP('Données projet'!$B$9,Paramètres!$A$1:$I$88,5,0)</f>
        <v>182.56853333333336</v>
      </c>
      <c r="P77" s="14">
        <f t="shared" si="87"/>
        <v>45.893165426077466</v>
      </c>
      <c r="Q77" s="22">
        <f t="shared" si="54"/>
        <v>397.9041253393072</v>
      </c>
      <c r="R77" s="59">
        <f t="shared" si="55"/>
        <v>691.23745867264051</v>
      </c>
      <c r="S77" s="59">
        <f ca="1">AVERAGE(OFFSET($R$3,0,0,'Données projet'!$E$9+1,1))-AVERAGE(OFFSET($H$3,0,0,'Données projet'!$E$9+1,1))</f>
        <v>247.57967230773539</v>
      </c>
      <c r="T77" s="59">
        <f t="shared" si="88"/>
        <v>156.58857589533295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11.561240503193085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11.561240503193085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6.7799999999999958</v>
      </c>
      <c r="AI77" s="14">
        <f>IF('Données projet'!$A$62&gt;35,AI76+AH77-AQ76,IF(A77&lt;'Données projet'!$A$62,$AF$205^A77,IF(A77='Données projet'!$A$62,'Données projet'!$B$62,AI76+AH77-AQ76)))</f>
        <v>510.21999999999986</v>
      </c>
      <c r="AJ77" s="14">
        <f>AI77*VLOOKUP('Données projet'!$B$10,Paramètres!$A$1:$I$88,3,0)*VLOOKUP('Données projet'!$B$10,Paramètres!$A$1:$I$88,5,0)</f>
        <v>405.9310319999999</v>
      </c>
      <c r="AK77" s="14">
        <f t="shared" si="89"/>
        <v>92.978058968094217</v>
      </c>
      <c r="AL77" s="22">
        <f t="shared" si="58"/>
        <v>868.9333334360972</v>
      </c>
      <c r="AM77" s="59">
        <f t="shared" si="59"/>
        <v>1162.2666667694305</v>
      </c>
      <c r="AN77" s="59">
        <f ca="1">AVERAGE(OFFSET($AM$3,0,0,'Données projet'!$E$10+1,1))-AVERAGE(OFFSET($H$3,0,0,'Données projet'!$E$10+1,1))</f>
        <v>504.15006129790828</v>
      </c>
      <c r="AO77" s="59">
        <f t="shared" si="90"/>
        <v>374.39334457402742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15.186816560725038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15.186816560725038</v>
      </c>
      <c r="AY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6.7799999999999958</v>
      </c>
      <c r="BD77" s="13">
        <f>IF('Données projet'!$A$88&gt;35,BD76+BC77-BL76,IF(A77&lt;'Données projet'!$A$88,$BA$205^A77,IF(A77='Données projet'!$A$88,'Données projet'!$B$88,BD76+BC77-BL76)))</f>
        <v>510.21999999999986</v>
      </c>
      <c r="BE77" s="14">
        <f>BD77*VLOOKUP('Données projet'!$B$11,Paramètres!$A$1:$I$88,3,0)*VLOOKUP('Données projet'!$B$11,Paramètres!$A$1:$I$88,5,0)</f>
        <v>405.9310319999999</v>
      </c>
      <c r="BF77" s="14">
        <f t="shared" si="91"/>
        <v>92.978058968094217</v>
      </c>
      <c r="BG77" s="22">
        <f t="shared" si="61"/>
        <v>868.9333334360972</v>
      </c>
      <c r="BH77" s="59">
        <f t="shared" si="62"/>
        <v>1162.2666667694305</v>
      </c>
      <c r="BI77" s="59">
        <f ca="1">AVERAGE(OFFSET($BH$3,0,0,'Données projet'!$E$11+1,1))-AVERAGE(OFFSET($H$3,0,0,'Données projet'!$E$11+1,1))</f>
        <v>504.15006129790828</v>
      </c>
      <c r="BJ77" s="59">
        <f t="shared" si="92"/>
        <v>374.39334457402742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15.186816560725038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15.186816560725038</v>
      </c>
      <c r="BT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6.7799999999999958</v>
      </c>
      <c r="BY77" s="13">
        <f>IF('Données projet'!$A$114&gt;35,BY76+BX77-CG76,IF(A77&lt;'Données projet'!$A$114,$BV$205^A77,IF(A77='Données projet'!$A$114,'Données projet'!$B$114,BY76+BX77-CG76)))</f>
        <v>510.21999999999986</v>
      </c>
      <c r="BZ77" s="14">
        <f>BY77*VLOOKUP('Données projet'!$B$12,Paramètres!$A$1:$I$88,3,0)*VLOOKUP('Données projet'!$B$12,Paramètres!$A$1:$I$88,5,0)</f>
        <v>342.25557599999991</v>
      </c>
      <c r="CA77" s="14">
        <f t="shared" si="93"/>
        <v>79.96578321727651</v>
      </c>
      <c r="CB77" s="22">
        <f t="shared" si="64"/>
        <v>735.36886730342303</v>
      </c>
      <c r="CC77" s="59">
        <f t="shared" si="65"/>
        <v>1028.7022006367563</v>
      </c>
      <c r="CD77" s="59">
        <f ca="1">AVERAGE(OFFSET($CC$3,0,0,'Données projet'!$E$12+1,1))-AVERAGE(OFFSET($H$3,0,0,'Données projet'!$E$12+1,1))</f>
        <v>387.15063677712425</v>
      </c>
      <c r="CE77" s="59">
        <f t="shared" si="94"/>
        <v>313.19155394370705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12.804570825709344</v>
      </c>
      <c r="CL77" s="23">
        <f>EXP(-LN(2)/25)*CL76+(1-EXP(-LN(2)/25))/(LN(2)/25)*Calculateur!CG77*Calculateur!CI77*VLOOKUP('Données projet'!$B$12,Paramètres!$A$1:$I$88,3,0)*0.475*44/12</f>
        <v>0</v>
      </c>
      <c r="CM77" s="23">
        <f>EXP(-LN(2)/2)*CM76+(1-EXP(-LN(2)/2))/(LN(2)/2)*CG77*CJ77*VLOOKUP('Données projet'!$B$12,Paramètres!$A$1:$I$88,3,0)*0.475*44/12</f>
        <v>0</v>
      </c>
      <c r="CN77" s="24">
        <f t="shared" si="66"/>
        <v>12.804570825709344</v>
      </c>
      <c r="CO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6.2222222222222223</v>
      </c>
      <c r="CT77" s="13">
        <f>IF('Données projet'!$A$140&gt;35,CT76+CS77-DB76,IF(A77&lt;'Données projet'!$A$140,$CQ$205^A77,IF(A77='Données projet'!$A$140,'Données projet'!$B$140,CT76+CS77-DB76)))</f>
        <v>201.77777777777783</v>
      </c>
      <c r="CU77" s="18">
        <f>CT77*VLOOKUP('Données projet'!$B$13,Paramètres!$A$1:$I$88,3,0)*VLOOKUP('Données projet'!$B$13,Paramètres!$A$1:$I$88,5,0)</f>
        <v>195.15946666666673</v>
      </c>
      <c r="CV77" s="14">
        <f t="shared" si="95"/>
        <v>48.67885286808162</v>
      </c>
      <c r="CW77" s="22">
        <f t="shared" si="67"/>
        <v>424.68507318968665</v>
      </c>
      <c r="CX77" s="59">
        <f t="shared" si="68"/>
        <v>718.01840652301996</v>
      </c>
      <c r="CY77" s="59">
        <f ca="1">AVERAGE(OFFSET($CX$3,0,0,'Données projet'!$E$13+1,1))-AVERAGE(OFFSET($H$3,0,0,'Données projet'!$E$13+1,1))</f>
        <v>306.00894145276209</v>
      </c>
      <c r="CZ77" s="59">
        <f t="shared" si="96"/>
        <v>168.74705421228828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12.358567434447778</v>
      </c>
      <c r="DG77" s="23">
        <f>EXP(-LN(2)/25)*DG76+(1-EXP(-LN(2)/25))/(LN(2)/25)*Calculateur!DB77*Calculateur!DD77*VLOOKUP('Données projet'!$B$13,Paramètres!$A$1:$I$88,3,0)*0.475*44/12</f>
        <v>0</v>
      </c>
      <c r="DH77" s="23">
        <f>EXP(-LN(2)/2)*DH76+(1-EXP(-LN(2)/2))/(LN(2)/2)*DB77*DE77*VLOOKUP('Données projet'!$B$13,Paramètres!$A$1:$I$88,3,0)*0.475*44/12</f>
        <v>0</v>
      </c>
      <c r="DI77" s="24">
        <f t="shared" si="69"/>
        <v>12.358567434447778</v>
      </c>
      <c r="DJ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6.7799999999999958</v>
      </c>
      <c r="DO77" s="13">
        <f>IF('Données projet'!$A$166&gt;35,DO76+DN77-DW76,IF(A77&lt;'Données projet'!$A$166,$DL$205^A77,IF(A77='Données projet'!$A$166,'Données projet'!$B$166,DO76+DN77-DW76)))</f>
        <v>510.21999999999986</v>
      </c>
      <c r="DP77" s="18">
        <f>DO77*VLOOKUP('Données projet'!$B$14,Paramètres!$A$1:$I$88,3,0)*VLOOKUP('Données projet'!$B$14,Paramètres!$A$1:$I$88,5,0)</f>
        <v>397.97159999999991</v>
      </c>
      <c r="DQ77" s="14">
        <f t="shared" si="97"/>
        <v>91.36531665417337</v>
      </c>
      <c r="DR77" s="22">
        <f t="shared" si="70"/>
        <v>852.26179650601841</v>
      </c>
      <c r="DS77" s="59">
        <f t="shared" si="71"/>
        <v>1145.5951298393518</v>
      </c>
      <c r="DT77" s="59">
        <f ca="1">AVERAGE(OFFSET($DS$3,0,0,'Données projet'!$E$14+1,1))-AVERAGE(OFFSET($H$3,0,0,'Données projet'!$E$14+1,1))</f>
        <v>458.14328535055694</v>
      </c>
      <c r="DU77" s="59">
        <f t="shared" si="98"/>
        <v>366.75500153675739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projet'!$B$14,Paramètres!$A$1:$I$88,3,0)*0.475*44/12</f>
        <v>12.079783797839006</v>
      </c>
      <c r="EB77" s="23">
        <f>EXP(-LN(2)/25)*EB76+(1-EXP(-LN(2)/25))/(LN(2)/25)*Calculateur!DW77*Calculateur!DY77*VLOOKUP('Données projet'!$B$14,Paramètres!$A$1:$I$88,3,0)*0.475*44/12</f>
        <v>0</v>
      </c>
      <c r="EC77" s="23">
        <f>EXP(-LN(2)/2)*EC76+(1-EXP(-LN(2)/2))/(LN(2)/2)*DW77*DZ77*VLOOKUP('Données projet'!$B$14,Paramètres!$A$1:$I$88,3,0)*0.475*44/12</f>
        <v>0</v>
      </c>
      <c r="ED77" s="24">
        <f t="shared" si="72"/>
        <v>12.079783797839006</v>
      </c>
      <c r="EE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14.1</v>
      </c>
      <c r="EJ77" s="13">
        <f>IF('Données projet'!$A$192&gt;35,EJ76+EI77-ER76,IF(A77&lt;'Données projet'!$A$192,$EG$205^A77,IF(A77='Données projet'!$A$192,'Données projet'!$B$192,EJ76+EI77-ER76)))</f>
        <v>525.40000000000032</v>
      </c>
      <c r="EK77" s="18">
        <f>EJ77*VLOOKUP('Données projet'!$B$15,Paramètres!$A$1:$I$88,3,0)*VLOOKUP('Données projet'!$B$15,Paramètres!$A$1:$I$88,5,0)</f>
        <v>450.7932000000003</v>
      </c>
      <c r="EL77" s="14">
        <f t="shared" si="99"/>
        <v>102.0014761601945</v>
      </c>
      <c r="EM77" s="22">
        <f t="shared" si="73"/>
        <v>962.78406097900586</v>
      </c>
      <c r="EN77" s="59">
        <f t="shared" si="74"/>
        <v>1256.1173943123392</v>
      </c>
      <c r="EO77" s="59">
        <f ca="1">AVERAGE(OFFSET($EN$3,0,0,'Données projet'!$E$15+1,1))-AVERAGE(OFFSET($H$3,0,0,'Données projet'!$E$15+1,1))</f>
        <v>462.99360395552145</v>
      </c>
      <c r="EP77" s="59">
        <f t="shared" si="100"/>
        <v>153.03880717786046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projet'!$B$15,Paramètres!$A$1:$I$88,3,0)*0.475*44/12</f>
        <v>36.244055264697025</v>
      </c>
      <c r="EW77" s="23">
        <f>EXP(-LN(2)/25)*EW76+(1-EXP(-LN(2)/25))/(LN(2)/25)*Calculateur!ER77*Calculateur!ET77*VLOOKUP('Données projet'!$B$15,Paramètres!$A$1:$I$88,3,0)*0.475*44/12</f>
        <v>0</v>
      </c>
      <c r="EX77" s="23">
        <f>EXP(-LN(2)/2)*EX76+(1-EXP(-LN(2)/2))/(LN(2)/2)*ER77*EU77*VLOOKUP('Données projet'!$B$15,Paramètres!$A$1:$I$88,3,0)*0.475*44/12</f>
        <v>0</v>
      </c>
      <c r="EY77" s="24">
        <f t="shared" si="75"/>
        <v>36.244055264697025</v>
      </c>
      <c r="EZ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5.4200000000000044</v>
      </c>
      <c r="FE77" s="13">
        <f>IF('Données projet'!$A$218&gt;35,FE76+FD77-FM76,IF(A77&lt;'Données projet'!$A$218,$FB$205^A77,IF(A77='Données projet'!$A$218,'Données projet'!$B$218,FE76+FD77-FM76)))</f>
        <v>406.58</v>
      </c>
      <c r="FF77" s="18">
        <f>FE77*VLOOKUP('Données projet'!$B$16,Paramètres!$A$1:$I$88,3,0)*VLOOKUP('Données projet'!$B$16,Paramètres!$A$1:$I$88,5,0)</f>
        <v>355.18828800000006</v>
      </c>
      <c r="FG77" s="14">
        <f t="shared" si="101"/>
        <v>82.629916982632849</v>
      </c>
      <c r="FH77" s="22">
        <f t="shared" si="76"/>
        <v>762.5333736780857</v>
      </c>
      <c r="FI77" s="59">
        <f t="shared" si="77"/>
        <v>1055.8667070114191</v>
      </c>
      <c r="FJ77" s="59">
        <f ca="1">AVERAGE(OFFSET($FI$3,0,0,'Données projet'!$E$16+1,1))-AVERAGE(OFFSET($H$3,0,0,'Données projet'!$E$16+1,1))</f>
        <v>427.76895185088944</v>
      </c>
      <c r="FK77" s="59">
        <f t="shared" si="102"/>
        <v>308.32543361559135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projet'!$B$16,Paramètres!$A$1:$I$88,3,0)*0.475*44/12</f>
        <v>12.745376373043676</v>
      </c>
      <c r="FR77" s="23">
        <f>EXP(-LN(2)/25)*FR76+(1-EXP(-LN(2)/25))/(LN(2)/25)*Calculateur!FM77*Calculateur!FO77*VLOOKUP('Données projet'!$B$16,Paramètres!$A$1:$I$88,3,0)*0.475*44/12</f>
        <v>0</v>
      </c>
      <c r="FS77" s="23">
        <f>EXP(-LN(2)/2)*FS76+(1-EXP(-LN(2)/2))/(LN(2)/2)*FM77*FP77*VLOOKUP('Données projet'!$B$16,Paramètres!$A$1:$I$88,3,0)*0.475*44/12</f>
        <v>0</v>
      </c>
      <c r="FT77" s="24">
        <f t="shared" si="78"/>
        <v>12.745376373043676</v>
      </c>
      <c r="FU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333.00000000000006</v>
      </c>
      <c r="GA77" s="18">
        <f>FZ77*VLOOKUP('Données projet'!$B$17,Paramètres!$A$1:$I$88,3,0)*VLOOKUP('Données projet'!$B$17,Paramètres!$A$1:$I$88,5,0)</f>
        <v>207.79200000000006</v>
      </c>
      <c r="GB77" s="14">
        <f t="shared" si="103"/>
        <v>51.452785725007907</v>
      </c>
      <c r="GC77" s="22">
        <f t="shared" si="79"/>
        <v>451.5180018043888</v>
      </c>
      <c r="GD77" s="59">
        <f t="shared" si="80"/>
        <v>744.85133513772212</v>
      </c>
      <c r="GE77" s="59">
        <f ca="1">AVERAGE(OFFSET($GD$3,0,0,'Données projet'!$E$17+1,1))-AVERAGE(OFFSET($H$3,0,0,'Données projet'!$E$17+1,1))</f>
        <v>247.85542034088905</v>
      </c>
      <c r="GF77" s="59">
        <f t="shared" si="104"/>
        <v>299.52241743660352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projet'!$B$17,Paramètres!$A$1:$I$88,3,0)*0.475*44/12</f>
        <v>28.157509051802631</v>
      </c>
      <c r="GM77" s="23">
        <f>EXP(-LN(2)/25)*GM76+(1-EXP(-LN(2)/25))/(LN(2)/25)*Calculateur!GH77*Calculateur!GJ77*VLOOKUP('Données projet'!$B$17,Paramètres!$A$1:$I$88,3,0)*0.475*44/12</f>
        <v>25.793331030821435</v>
      </c>
      <c r="GN77" s="23">
        <f>EXP(-LN(2)/2)*GN76+(1-EXP(-LN(2)/2))/(LN(2)/2)*GH77*GK77*VLOOKUP('Données projet'!$B$17,Paramètres!$A$1:$I$88,3,0)*0.475*44/12</f>
        <v>0.33439145481588939</v>
      </c>
      <c r="GO77" s="23">
        <f t="shared" si="81"/>
        <v>54.285231537439955</v>
      </c>
      <c r="GP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3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6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208</v>
      </c>
      <c r="L78" s="13">
        <f>VLOOKUP(A78,'Données projet'!$A$35:$I$55,9,0)</f>
        <v>6.2222222222222223</v>
      </c>
      <c r="M78" s="13">
        <f t="array" ref="M78">INDEX(L:L,MIN(IF(ISNUMBER(L78:L274),ROW(L78:L274),"")))</f>
        <v>6.2222222222222223</v>
      </c>
      <c r="N78" s="14">
        <f>IF('Données projet'!$A$36&gt;35,N77+M78-V77,IF(A78&lt;'Données projet'!$A$36,$K$205^A78,IF(A78='Données projet'!$A$36,'Données projet'!$B$36,N77+M78-V77)))</f>
        <v>208.00000000000006</v>
      </c>
      <c r="O78" s="14">
        <f>N78*VLOOKUP('Données projet'!$B$9,Paramètres!$A$1:$I$88,3,0)*VLOOKUP('Données projet'!$B$9,Paramètres!$A$1:$I$88,5,0)</f>
        <v>188.19840000000005</v>
      </c>
      <c r="P78" s="14">
        <f t="shared" si="87"/>
        <v>47.141424081428056</v>
      </c>
      <c r="Q78" s="22">
        <f t="shared" si="54"/>
        <v>409.88352694182055</v>
      </c>
      <c r="R78" s="59">
        <f t="shared" si="55"/>
        <v>703.21686027515386</v>
      </c>
      <c r="S78" s="59">
        <f ca="1">AVERAGE(OFFSET($R$3,0,0,'Données projet'!$E$9+1,1))-AVERAGE(OFFSET($H$3,0,0,'Données projet'!$E$9+1,1))</f>
        <v>247.57967230773539</v>
      </c>
      <c r="T78" s="59">
        <f t="shared" si="88"/>
        <v>156.58857589533295</v>
      </c>
      <c r="U78" s="16">
        <f>IF(ISNA(VLOOKUP(A78,'Données projet'!$A$35:$I$55,3,0)),0,VLOOKUP(A78,'Données projet'!$A$35:$I$55,3,0))</f>
        <v>5</v>
      </c>
      <c r="V78" s="16">
        <f>IF(ISNA(VLOOKUP(A78,'Données projet'!$A$35:$I$55,4,0)),0,VLOOKUP(A78,'Données projet'!$A$35:$I$55,4,0))</f>
        <v>37</v>
      </c>
      <c r="W78" s="17">
        <f>IF(ISNA(VLOOKUP(A78,'Données projet'!$A$35:$I$55,5,0)),0%,VLOOKUP(A78,'Données projet'!$A$35:$I$55,5,0)*VLOOKUP('Données projet'!$B$9,Paramètres!$A$1:$I$88,7,0))</f>
        <v>0.17200000000000001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17.699992799176478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17.699992799176478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517</v>
      </c>
      <c r="AG78" s="13">
        <f>VLOOKUP(A78,'Données projet'!$A$61:$I$81,9,0)</f>
        <v>6.7799999999999958</v>
      </c>
      <c r="AH78" s="13">
        <f t="array" ref="AH78">INDEX(AG:AG,MIN(IF(ISNUMBER(AG78:AG274),ROW(AG78:AG274),"")))</f>
        <v>6.7799999999999958</v>
      </c>
      <c r="AI78" s="14">
        <f>IF('Données projet'!$A$62&gt;35,AI77+AH78-AQ77,IF(A78&lt;'Données projet'!$A$62,$AF$205^A78,IF(A78='Données projet'!$A$62,'Données projet'!$B$62,AI77+AH78-AQ77)))</f>
        <v>516.99999999999989</v>
      </c>
      <c r="AJ78" s="14">
        <f>AI78*VLOOKUP('Données projet'!$B$10,Paramètres!$A$1:$I$88,3,0)*VLOOKUP('Données projet'!$B$10,Paramètres!$A$1:$I$88,5,0)</f>
        <v>411.32519999999994</v>
      </c>
      <c r="AK78" s="14">
        <f t="shared" si="89"/>
        <v>94.068931590477291</v>
      </c>
      <c r="AL78" s="22">
        <f t="shared" si="58"/>
        <v>880.22811252008114</v>
      </c>
      <c r="AM78" s="59">
        <f t="shared" si="59"/>
        <v>1173.5614458534144</v>
      </c>
      <c r="AN78" s="59">
        <f ca="1">AVERAGE(OFFSET($AM$3,0,0,'Données projet'!$E$10+1,1))-AVERAGE(OFFSET($H$3,0,0,'Données projet'!$E$10+1,1))</f>
        <v>504.15006129790828</v>
      </c>
      <c r="AO78" s="59">
        <f t="shared" si="90"/>
        <v>374.39334457402742</v>
      </c>
      <c r="AP78" s="16">
        <f>IF(ISNA(VLOOKUP(A78,'Données projet'!$A$61:$I$81,3,0)),0,VLOOKUP(A78,'Données projet'!$A$61:$I$81,3,0))</f>
        <v>13</v>
      </c>
      <c r="AQ78" s="16">
        <f>IF(ISNA(VLOOKUP(A78,'Données projet'!$A$61:$I$81,4,0)),0,VLOOKUP(A78,'Données projet'!$A$61:$I$81,4,0))</f>
        <v>11.7</v>
      </c>
      <c r="AR78" s="17">
        <f>IF(ISNA(VLOOKUP(A78,'Données projet'!$A$61:$I$81,5,0)),0%,VLOOKUP(A78,'Données projet'!$A$61:$I$81,5,0)*VLOOKUP('Données projet'!$B$10,Paramètres!$A$1:$I$88,7,0))</f>
        <v>0.318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18.161325568670911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18.161325568670911</v>
      </c>
      <c r="AY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517</v>
      </c>
      <c r="BB78" s="13">
        <f>VLOOKUP(A78,'Données projet'!$A$87:$I$107,9,0)</f>
        <v>6.7799999999999958</v>
      </c>
      <c r="BC78" s="13">
        <f t="array" ref="BC78">INDEX(BB:BB,MIN(IF(ISNUMBER(BB78:BB274),ROW(BB78:BB274),"")))</f>
        <v>6.7799999999999958</v>
      </c>
      <c r="BD78" s="13">
        <f>IF('Données projet'!$A$88&gt;35,BD77+BC78-BL77,IF(A78&lt;'Données projet'!$A$88,$BA$205^A78,IF(A78='Données projet'!$A$88,'Données projet'!$B$88,BD77+BC78-BL77)))</f>
        <v>516.99999999999989</v>
      </c>
      <c r="BE78" s="14">
        <f>BD78*VLOOKUP('Données projet'!$B$11,Paramètres!$A$1:$I$88,3,0)*VLOOKUP('Données projet'!$B$11,Paramètres!$A$1:$I$88,5,0)</f>
        <v>411.32519999999994</v>
      </c>
      <c r="BF78" s="14">
        <f t="shared" si="91"/>
        <v>94.068931590477291</v>
      </c>
      <c r="BG78" s="22">
        <f t="shared" si="61"/>
        <v>880.22811252008114</v>
      </c>
      <c r="BH78" s="59">
        <f t="shared" si="62"/>
        <v>1173.5614458534144</v>
      </c>
      <c r="BI78" s="59">
        <f ca="1">AVERAGE(OFFSET($BH$3,0,0,'Données projet'!$E$11+1,1))-AVERAGE(OFFSET($H$3,0,0,'Données projet'!$E$11+1,1))</f>
        <v>504.15006129790828</v>
      </c>
      <c r="BJ78" s="59">
        <f t="shared" si="92"/>
        <v>374.39334457402742</v>
      </c>
      <c r="BK78" s="16">
        <f>IF(ISNA(VLOOKUP(A78,'Données projet'!$A$87:$I$107,3,0)),0,VLOOKUP(A78,'Données projet'!$A$87:$I$107,3,0))</f>
        <v>13</v>
      </c>
      <c r="BL78" s="16">
        <f>IF(ISNA(VLOOKUP(A78,'Données projet'!$A$87:$I$107,4,0)),0,VLOOKUP(A78,'Données projet'!$A$87:$I$107,4,0))</f>
        <v>11.7</v>
      </c>
      <c r="BM78" s="17">
        <f>IF(ISNA(VLOOKUP(A78,'Données projet'!$A$87:$I$107,5,0)),0%,VLOOKUP(A78,'Données projet'!$A$87:$I$107,5,0)*VLOOKUP('Données projet'!$B$11,Paramètres!$A$1:$I$88,7,0))</f>
        <v>0.318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18.161325568670911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18.161325568670911</v>
      </c>
      <c r="BT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517</v>
      </c>
      <c r="BW78" s="13">
        <f>VLOOKUP(A78,'Données projet'!$A$113:$I$133,9,0)</f>
        <v>6.7799999999999958</v>
      </c>
      <c r="BX78" s="13">
        <f t="array" ref="BX78">INDEX(BW:BW,MIN(IF(ISNUMBER(BW78:BW274),ROW(BW78:BW274),"")))</f>
        <v>6.7799999999999958</v>
      </c>
      <c r="BY78" s="13">
        <f>IF('Données projet'!$A$114&gt;35,BY77+BX78-CG77,IF(A78&lt;'Données projet'!$A$114,$BV$205^A78,IF(A78='Données projet'!$A$114,'Données projet'!$B$114,BY77+BX78-CG77)))</f>
        <v>516.99999999999989</v>
      </c>
      <c r="BZ78" s="14">
        <f>BY78*VLOOKUP('Données projet'!$B$12,Paramètres!$A$1:$I$88,3,0)*VLOOKUP('Données projet'!$B$12,Paramètres!$A$1:$I$88,5,0)</f>
        <v>346.8035999999999</v>
      </c>
      <c r="CA78" s="14">
        <f t="shared" si="93"/>
        <v>80.903988258415168</v>
      </c>
      <c r="CB78" s="22">
        <f t="shared" si="64"/>
        <v>744.92404955007294</v>
      </c>
      <c r="CC78" s="59">
        <f t="shared" si="65"/>
        <v>1038.2573828834063</v>
      </c>
      <c r="CD78" s="59">
        <f ca="1">AVERAGE(OFFSET($CC$3,0,0,'Données projet'!$E$12+1,1))-AVERAGE(OFFSET($H$3,0,0,'Données projet'!$E$12+1,1))</f>
        <v>387.15063677712425</v>
      </c>
      <c r="CE78" s="59">
        <f t="shared" si="94"/>
        <v>313.19155394370705</v>
      </c>
      <c r="CF78" s="16">
        <f>IF(ISNA(VLOOKUP(A78,'Données projet'!$A$113:$I$133,3,0)),0,VLOOKUP(A78,'Données projet'!$A$113:$I$133,3,0))</f>
        <v>13</v>
      </c>
      <c r="CG78" s="16">
        <f>IF(ISNA(VLOOKUP(A78,'Données projet'!$A$113:$I$133,4,0)),0,VLOOKUP(A78,'Données projet'!$A$113:$I$133,4,0))</f>
        <v>11.7</v>
      </c>
      <c r="CH78" s="17">
        <f>IF(ISNA(VLOOKUP(A78,'Données projet'!$A$113:$I$133,5,0)),0%,VLOOKUP(A78,'Données projet'!$A$113:$I$133,5,0)*VLOOKUP('Données projet'!$B$12,Paramètres!$A$1:$I$88,7,0))</f>
        <v>0.318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15.312490185349981</v>
      </c>
      <c r="CL78" s="23">
        <f>EXP(-LN(2)/25)*CL77+(1-EXP(-LN(2)/25))/(LN(2)/25)*Calculateur!CG78*Calculateur!CI78*VLOOKUP('Données projet'!$B$12,Paramètres!$A$1:$I$88,3,0)*0.475*44/12</f>
        <v>0</v>
      </c>
      <c r="CM78" s="23">
        <f>EXP(-LN(2)/2)*CM77+(1-EXP(-LN(2)/2))/(LN(2)/2)*CG78*CJ78*VLOOKUP('Données projet'!$B$12,Paramètres!$A$1:$I$88,3,0)*0.475*44/12</f>
        <v>0</v>
      </c>
      <c r="CN78" s="24">
        <f t="shared" si="66"/>
        <v>15.312490185349981</v>
      </c>
      <c r="CO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208</v>
      </c>
      <c r="CR78" s="13">
        <f>VLOOKUP(A78,'Données projet'!$A$139:$I$159,9,0)</f>
        <v>6.2222222222222223</v>
      </c>
      <c r="CS78" s="13">
        <f t="array" ref="CS78">INDEX(CR:CR,MIN(IF(ISNUMBER(CR78:CR274),ROW(CR78:CR274),"")))</f>
        <v>6.2222222222222223</v>
      </c>
      <c r="CT78" s="13">
        <f>IF('Données projet'!$A$140&gt;35,CT77+CS78-DB77,IF(A78&lt;'Données projet'!$A$140,$CQ$205^A78,IF(A78='Données projet'!$A$140,'Données projet'!$B$140,CT77+CS78-DB77)))</f>
        <v>208.00000000000006</v>
      </c>
      <c r="CU78" s="18">
        <f>CT78*VLOOKUP('Données projet'!$B$13,Paramètres!$A$1:$I$88,3,0)*VLOOKUP('Données projet'!$B$13,Paramètres!$A$1:$I$88,5,0)</f>
        <v>201.17760000000007</v>
      </c>
      <c r="CV78" s="14">
        <f t="shared" si="95"/>
        <v>50.002880070410733</v>
      </c>
      <c r="CW78" s="22">
        <f t="shared" si="67"/>
        <v>437.47266945596539</v>
      </c>
      <c r="CX78" s="59">
        <f t="shared" si="68"/>
        <v>730.80600278929865</v>
      </c>
      <c r="CY78" s="59">
        <f ca="1">AVERAGE(OFFSET($CX$3,0,0,'Données projet'!$E$13+1,1))-AVERAGE(OFFSET($H$3,0,0,'Données projet'!$E$13+1,1))</f>
        <v>306.00894145276209</v>
      </c>
      <c r="CZ78" s="59">
        <f t="shared" si="96"/>
        <v>168.74705421228828</v>
      </c>
      <c r="DA78" s="16">
        <f>IF(ISNA(VLOOKUP(A78,'Données projet'!$A$139:$I$159,3,0)),0,VLOOKUP(A78,'Données projet'!$A$139:$I$159,3,0))</f>
        <v>5</v>
      </c>
      <c r="DB78" s="16">
        <f>IF(ISNA(VLOOKUP(A78,'Données projet'!$A$139:$I$159,4,0)),0,VLOOKUP(A78,'Données projet'!$A$139:$I$159,4,0))</f>
        <v>37</v>
      </c>
      <c r="DC78" s="17">
        <f>IF(ISNA(VLOOKUP(A78,'Données projet'!$A$139:$I$159,5,0)),0%,VLOOKUP(A78,'Données projet'!$A$139:$I$159,5,0)*VLOOKUP('Données projet'!$B$13,Paramètres!$A$1:$I$88,7,0))</f>
        <v>0.17200000000000001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18.920681957740371</v>
      </c>
      <c r="DG78" s="23">
        <f>EXP(-LN(2)/25)*DG77+(1-EXP(-LN(2)/25))/(LN(2)/25)*Calculateur!DB78*Calculateur!DD78*VLOOKUP('Données projet'!$B$13,Paramètres!$A$1:$I$88,3,0)*0.475*44/12</f>
        <v>0</v>
      </c>
      <c r="DH78" s="23">
        <f>EXP(-LN(2)/2)*DH77+(1-EXP(-LN(2)/2))/(LN(2)/2)*DB78*DE78*VLOOKUP('Données projet'!$B$13,Paramètres!$A$1:$I$88,3,0)*0.475*44/12</f>
        <v>0</v>
      </c>
      <c r="DI78" s="24">
        <f t="shared" si="69"/>
        <v>18.920681957740371</v>
      </c>
      <c r="DJ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517</v>
      </c>
      <c r="DM78" s="13">
        <f>VLOOKUP(A78,'Données projet'!$A$165:$I$185,9,0)</f>
        <v>6.7799999999999958</v>
      </c>
      <c r="DN78" s="13">
        <f t="array" ref="DN78">INDEX(DM:DM,MIN(IF(ISNUMBER(DM78:DM274),ROW(DM78:DM274),"")))</f>
        <v>6.7799999999999958</v>
      </c>
      <c r="DO78" s="13">
        <f>IF('Données projet'!$A$166&gt;35,DO77+DN78-DW77,IF(A78&lt;'Données projet'!$A$166,$DL$205^A78,IF(A78='Données projet'!$A$166,'Données projet'!$B$166,DO77+DN78-DW77)))</f>
        <v>516.99999999999989</v>
      </c>
      <c r="DP78" s="18">
        <f>DO78*VLOOKUP('Données projet'!$B$14,Paramètres!$A$1:$I$88,3,0)*VLOOKUP('Données projet'!$B$14,Paramètres!$A$1:$I$88,5,0)</f>
        <v>403.25999999999993</v>
      </c>
      <c r="DQ78" s="14">
        <f t="shared" si="97"/>
        <v>92.437267646477892</v>
      </c>
      <c r="DR78" s="22">
        <f t="shared" si="70"/>
        <v>863.33940781761555</v>
      </c>
      <c r="DS78" s="59">
        <f t="shared" si="71"/>
        <v>1156.6727411509489</v>
      </c>
      <c r="DT78" s="59">
        <f ca="1">AVERAGE(OFFSET($DS$3,0,0,'Données projet'!$E$14+1,1))-AVERAGE(OFFSET($H$3,0,0,'Données projet'!$E$14+1,1))</f>
        <v>458.14328535055694</v>
      </c>
      <c r="DU78" s="59">
        <f t="shared" si="98"/>
        <v>366.75500153675739</v>
      </c>
      <c r="DV78" s="16">
        <f>IF(ISNA(VLOOKUP(A78,'Données projet'!$A$165:$I$185,3,0)),0,VLOOKUP(A78,'Données projet'!$A$165:$I$185,3,0))</f>
        <v>13</v>
      </c>
      <c r="DW78" s="16">
        <f>IF(ISNA(VLOOKUP(A78,'Données projet'!$A$165:$I$185,4,0)),0,VLOOKUP(A78,'Données projet'!$A$165:$I$185,4,0))</f>
        <v>11.7</v>
      </c>
      <c r="DX78" s="17">
        <f>IF(ISNA(VLOOKUP(A78,'Données projet'!$A$165:$I$185,5,0)),0%,VLOOKUP(A78,'Données projet'!$A$165:$I$185,5,0)*VLOOKUP('Données projet'!$B$14,Paramètres!$A$1:$I$88,7,0))</f>
        <v>0.25800000000000001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projet'!$B$14,Paramètres!$A$1:$I$88,3,0)*0.475*44/12</f>
        <v>14.445745457877344</v>
      </c>
      <c r="EB78" s="23">
        <f>EXP(-LN(2)/25)*EB77+(1-EXP(-LN(2)/25))/(LN(2)/25)*Calculateur!DW78*Calculateur!DY78*VLOOKUP('Données projet'!$B$14,Paramètres!$A$1:$I$88,3,0)*0.475*44/12</f>
        <v>0</v>
      </c>
      <c r="EC78" s="23">
        <f>EXP(-LN(2)/2)*EC77+(1-EXP(-LN(2)/2))/(LN(2)/2)*DW78*DZ78*VLOOKUP('Données projet'!$B$14,Paramètres!$A$1:$I$88,3,0)*0.475*44/12</f>
        <v>0</v>
      </c>
      <c r="ED78" s="24">
        <f t="shared" si="72"/>
        <v>14.445745457877344</v>
      </c>
      <c r="EE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14.1</v>
      </c>
      <c r="EJ78" s="13">
        <f>IF('Données projet'!$A$192&gt;35,EJ77+EI78-ER77,IF(A78&lt;'Données projet'!$A$192,$EG$205^A78,IF(A78='Données projet'!$A$192,'Données projet'!$B$192,EJ77+EI78-ER77)))</f>
        <v>539.50000000000034</v>
      </c>
      <c r="EK78" s="18">
        <f>EJ78*VLOOKUP('Données projet'!$B$15,Paramètres!$A$1:$I$88,3,0)*VLOOKUP('Données projet'!$B$15,Paramètres!$A$1:$I$88,5,0)</f>
        <v>462.8910000000003</v>
      </c>
      <c r="EL78" s="14">
        <f t="shared" si="99"/>
        <v>104.41648678303008</v>
      </c>
      <c r="EM78" s="22">
        <f t="shared" si="73"/>
        <v>988.06053948044462</v>
      </c>
      <c r="EN78" s="59">
        <f t="shared" si="74"/>
        <v>1281.393872813778</v>
      </c>
      <c r="EO78" s="59">
        <f ca="1">AVERAGE(OFFSET($EN$3,0,0,'Données projet'!$E$15+1,1))-AVERAGE(OFFSET($H$3,0,0,'Données projet'!$E$15+1,1))</f>
        <v>462.99360395552145</v>
      </c>
      <c r="EP78" s="59">
        <f t="shared" si="100"/>
        <v>153.03880717786046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projet'!$B$15,Paramètres!$A$1:$I$88,3,0)*0.475*44/12</f>
        <v>35.533331447647171</v>
      </c>
      <c r="EW78" s="23">
        <f>EXP(-LN(2)/25)*EW77+(1-EXP(-LN(2)/25))/(LN(2)/25)*Calculateur!ER78*Calculateur!ET78*VLOOKUP('Données projet'!$B$15,Paramètres!$A$1:$I$88,3,0)*0.475*44/12</f>
        <v>0</v>
      </c>
      <c r="EX78" s="23">
        <f>EXP(-LN(2)/2)*EX77+(1-EXP(-LN(2)/2))/(LN(2)/2)*ER78*EU78*VLOOKUP('Données projet'!$B$15,Paramètres!$A$1:$I$88,3,0)*0.475*44/12</f>
        <v>0</v>
      </c>
      <c r="EY78" s="24">
        <f t="shared" si="75"/>
        <v>35.533331447647171</v>
      </c>
      <c r="EZ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412</v>
      </c>
      <c r="FC78" s="13">
        <f>VLOOKUP(A78,'Données projet'!$A$217:$I$237,9,0)</f>
        <v>5.4200000000000044</v>
      </c>
      <c r="FD78" s="13">
        <f t="array" ref="FD78">INDEX(FC:FC,MIN(IF(ISNUMBER(FC78:FC274),ROW(FC78:FC274),"")))</f>
        <v>5.4200000000000044</v>
      </c>
      <c r="FE78" s="13">
        <f>IF('Données projet'!$A$218&gt;35,FE77+FD78-FM77,IF(A78&lt;'Données projet'!$A$218,$FB$205^A78,IF(A78='Données projet'!$A$218,'Données projet'!$B$218,FE77+FD78-FM77)))</f>
        <v>412</v>
      </c>
      <c r="FF78" s="18">
        <f>FE78*VLOOKUP('Données projet'!$B$16,Paramètres!$A$1:$I$88,3,0)*VLOOKUP('Données projet'!$B$16,Paramètres!$A$1:$I$88,5,0)</f>
        <v>359.92320000000007</v>
      </c>
      <c r="FG78" s="14">
        <f t="shared" si="101"/>
        <v>83.602464619145607</v>
      </c>
      <c r="FH78" s="22">
        <f t="shared" si="76"/>
        <v>772.47386587834535</v>
      </c>
      <c r="FI78" s="59">
        <f t="shared" si="77"/>
        <v>1065.8071992116786</v>
      </c>
      <c r="FJ78" s="59">
        <f ca="1">AVERAGE(OFFSET($FI$3,0,0,'Données projet'!$E$16+1,1))-AVERAGE(OFFSET($H$3,0,0,'Données projet'!$E$16+1,1))</f>
        <v>427.76895185088944</v>
      </c>
      <c r="FK78" s="59">
        <f t="shared" si="102"/>
        <v>308.32543361559135</v>
      </c>
      <c r="FL78" s="16">
        <f>IF(ISNA(VLOOKUP(A78,'Données projet'!$A$217:$I$237,3,0)),0,VLOOKUP(A78,'Données projet'!$A$217:$I$237,3,0))</f>
        <v>13</v>
      </c>
      <c r="FM78" s="16">
        <f>IF(ISNA(VLOOKUP(A78,'Données projet'!$A$217:$I$237,4,0)),0,VLOOKUP(A78,'Données projet'!$A$217:$I$237,4,0))</f>
        <v>9.1999999999999993</v>
      </c>
      <c r="FN78" s="17">
        <f>IF(ISNA(VLOOKUP(A78,'Données projet'!$A$217:$I$237,5,0)),0%,VLOOKUP(A78,'Données projet'!$A$217:$I$237,5,0)*VLOOKUP('Données projet'!$B$16,Paramètres!$A$1:$I$88,7,0))</f>
        <v>0.318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projet'!$B$16,Paramètres!$A$1:$I$88,3,0)*0.475*44/12</f>
        <v>15.320813111047359</v>
      </c>
      <c r="FR78" s="23">
        <f>EXP(-LN(2)/25)*FR77+(1-EXP(-LN(2)/25))/(LN(2)/25)*Calculateur!FM78*Calculateur!FO78*VLOOKUP('Données projet'!$B$16,Paramètres!$A$1:$I$88,3,0)*0.475*44/12</f>
        <v>0</v>
      </c>
      <c r="FS78" s="23">
        <f>EXP(-LN(2)/2)*FS77+(1-EXP(-LN(2)/2))/(LN(2)/2)*FM78*FP78*VLOOKUP('Données projet'!$B$16,Paramètres!$A$1:$I$88,3,0)*0.475*44/12</f>
        <v>0</v>
      </c>
      <c r="FT78" s="24">
        <f t="shared" si="78"/>
        <v>15.320813111047359</v>
      </c>
      <c r="FU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333.00000000000006</v>
      </c>
      <c r="GA78" s="18">
        <f>FZ78*VLOOKUP('Données projet'!$B$17,Paramètres!$A$1:$I$88,3,0)*VLOOKUP('Données projet'!$B$17,Paramètres!$A$1:$I$88,5,0)</f>
        <v>207.79200000000006</v>
      </c>
      <c r="GB78" s="14">
        <f t="shared" si="103"/>
        <v>51.452785725007907</v>
      </c>
      <c r="GC78" s="22">
        <f t="shared" si="79"/>
        <v>451.5180018043888</v>
      </c>
      <c r="GD78" s="59">
        <f t="shared" si="80"/>
        <v>744.85133513772212</v>
      </c>
      <c r="GE78" s="59">
        <f ca="1">AVERAGE(OFFSET($GD$3,0,0,'Données projet'!$E$17+1,1))-AVERAGE(OFFSET($H$3,0,0,'Données projet'!$E$17+1,1))</f>
        <v>247.85542034088905</v>
      </c>
      <c r="GF78" s="59">
        <f t="shared" si="104"/>
        <v>299.52241743660352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projet'!$B$17,Paramètres!$A$1:$I$88,3,0)*0.475*44/12</f>
        <v>27.605357473681472</v>
      </c>
      <c r="GM78" s="23">
        <f>EXP(-LN(2)/25)*GM77+(1-EXP(-LN(2)/25))/(LN(2)/25)*Calculateur!GH78*Calculateur!GJ78*VLOOKUP('Données projet'!$B$17,Paramètres!$A$1:$I$88,3,0)*0.475*44/12</f>
        <v>25.088011037371295</v>
      </c>
      <c r="GN78" s="23">
        <f>EXP(-LN(2)/2)*GN77+(1-EXP(-LN(2)/2))/(LN(2)/2)*GH78*GK78*VLOOKUP('Données projet'!$B$17,Paramètres!$A$1:$I$88,3,0)*0.475*44/12</f>
        <v>0.23645046527115041</v>
      </c>
      <c r="GO78" s="23">
        <f t="shared" si="81"/>
        <v>52.929818976323915</v>
      </c>
      <c r="GP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3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6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5.8888888888888893</v>
      </c>
      <c r="N79" s="14">
        <f>IF('Données projet'!$A$36&gt;35,N78+M79-V78,IF(A79&lt;'Données projet'!$A$36,$K$205^A79,IF(A79='Données projet'!$A$36,'Données projet'!$B$36,N78+M79-V78)))</f>
        <v>176.88888888888894</v>
      </c>
      <c r="O79" s="14">
        <f>N79*VLOOKUP('Données projet'!$B$9,Paramètres!$A$1:$I$88,3,0)*VLOOKUP('Données projet'!$B$9,Paramètres!$A$1:$I$88,5,0)</f>
        <v>160.0490666666667</v>
      </c>
      <c r="P79" s="14">
        <f t="shared" si="87"/>
        <v>40.853582332820466</v>
      </c>
      <c r="Q79" s="22">
        <f t="shared" si="54"/>
        <v>349.90544700744005</v>
      </c>
      <c r="R79" s="59">
        <f t="shared" si="55"/>
        <v>643.23878034077336</v>
      </c>
      <c r="S79" s="59">
        <f ca="1">AVERAGE(OFFSET($R$3,0,0,'Données projet'!$E$9+1,1))-AVERAGE(OFFSET($H$3,0,0,'Données projet'!$E$9+1,1))</f>
        <v>247.57967230773539</v>
      </c>
      <c r="T79" s="59">
        <f t="shared" si="88"/>
        <v>156.58857589533295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17.352906736314225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17.352906736314225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5.9399999999999977</v>
      </c>
      <c r="AI79" s="14">
        <f>IF('Données projet'!$A$62&gt;35,AI78+AH79-AQ78,IF(A79&lt;'Données projet'!$A$62,$AF$205^A79,IF(A79='Données projet'!$A$62,'Données projet'!$B$62,AI78+AH79-AQ78)))</f>
        <v>511.23999999999984</v>
      </c>
      <c r="AJ79" s="14">
        <f>AI79*VLOOKUP('Données projet'!$B$10,Paramètres!$A$1:$I$88,3,0)*VLOOKUP('Données projet'!$B$10,Paramètres!$A$1:$I$88,5,0)</f>
        <v>406.7425439999999</v>
      </c>
      <c r="AK79" s="14">
        <f t="shared" si="89"/>
        <v>93.142279850196175</v>
      </c>
      <c r="AL79" s="22">
        <f t="shared" si="58"/>
        <v>870.63273487242486</v>
      </c>
      <c r="AM79" s="59">
        <f t="shared" si="59"/>
        <v>1163.9660682057581</v>
      </c>
      <c r="AN79" s="59">
        <f ca="1">AVERAGE(OFFSET($AM$3,0,0,'Données projet'!$E$10+1,1))-AVERAGE(OFFSET($H$3,0,0,'Données projet'!$E$10+1,1))</f>
        <v>504.15006129790828</v>
      </c>
      <c r="AO79" s="59">
        <f t="shared" si="90"/>
        <v>374.39334457402742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17.805193051584077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17.805193051584077</v>
      </c>
      <c r="AY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5.9399999999999977</v>
      </c>
      <c r="BD79" s="13">
        <f>IF('Données projet'!$A$88&gt;35,BD78+BC79-BL78,IF(A79&lt;'Données projet'!$A$88,$BA$205^A79,IF(A79='Données projet'!$A$88,'Données projet'!$B$88,BD78+BC79-BL78)))</f>
        <v>511.23999999999984</v>
      </c>
      <c r="BE79" s="14">
        <f>BD79*VLOOKUP('Données projet'!$B$11,Paramètres!$A$1:$I$88,3,0)*VLOOKUP('Données projet'!$B$11,Paramètres!$A$1:$I$88,5,0)</f>
        <v>406.7425439999999</v>
      </c>
      <c r="BF79" s="14">
        <f t="shared" si="91"/>
        <v>93.142279850196175</v>
      </c>
      <c r="BG79" s="22">
        <f t="shared" si="61"/>
        <v>870.63273487242486</v>
      </c>
      <c r="BH79" s="59">
        <f t="shared" si="62"/>
        <v>1163.9660682057581</v>
      </c>
      <c r="BI79" s="59">
        <f ca="1">AVERAGE(OFFSET($BH$3,0,0,'Données projet'!$E$11+1,1))-AVERAGE(OFFSET($H$3,0,0,'Données projet'!$E$11+1,1))</f>
        <v>504.15006129790828</v>
      </c>
      <c r="BJ79" s="59">
        <f t="shared" si="92"/>
        <v>374.39334457402742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17.805193051584077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17.805193051584077</v>
      </c>
      <c r="BT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5.9399999999999977</v>
      </c>
      <c r="BY79" s="13">
        <f>IF('Données projet'!$A$114&gt;35,BY78+BX79-CG78,IF(A79&lt;'Données projet'!$A$114,$BV$205^A79,IF(A79='Données projet'!$A$114,'Données projet'!$B$114,BY78+BX79-CG78)))</f>
        <v>511.23999999999984</v>
      </c>
      <c r="BZ79" s="14">
        <f>BY79*VLOOKUP('Données projet'!$B$12,Paramètres!$A$1:$I$88,3,0)*VLOOKUP('Données projet'!$B$12,Paramètres!$A$1:$I$88,5,0)</f>
        <v>342.9397919999999</v>
      </c>
      <c r="CA79" s="14">
        <f t="shared" si="93"/>
        <v>80.107021393289926</v>
      </c>
      <c r="CB79" s="22">
        <f t="shared" si="64"/>
        <v>736.80653332664644</v>
      </c>
      <c r="CC79" s="59">
        <f t="shared" si="65"/>
        <v>1030.1398666599798</v>
      </c>
      <c r="CD79" s="59">
        <f ca="1">AVERAGE(OFFSET($CC$3,0,0,'Données projet'!$E$12+1,1))-AVERAGE(OFFSET($H$3,0,0,'Données projet'!$E$12+1,1))</f>
        <v>387.15063677712425</v>
      </c>
      <c r="CE79" s="59">
        <f t="shared" si="94"/>
        <v>313.19155394370705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15.012221592512063</v>
      </c>
      <c r="CL79" s="23">
        <f>EXP(-LN(2)/25)*CL78+(1-EXP(-LN(2)/25))/(LN(2)/25)*Calculateur!CG79*Calculateur!CI79*VLOOKUP('Données projet'!$B$12,Paramètres!$A$1:$I$88,3,0)*0.475*44/12</f>
        <v>0</v>
      </c>
      <c r="CM79" s="23">
        <f>EXP(-LN(2)/2)*CM78+(1-EXP(-LN(2)/2))/(LN(2)/2)*CG79*CJ79*VLOOKUP('Données projet'!$B$12,Paramètres!$A$1:$I$88,3,0)*0.475*44/12</f>
        <v>0</v>
      </c>
      <c r="CN79" s="24">
        <f t="shared" si="66"/>
        <v>15.012221592512063</v>
      </c>
      <c r="CO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5.8888888888888893</v>
      </c>
      <c r="CT79" s="13">
        <f>IF('Données projet'!$A$140&gt;35,CT78+CS79-DB78,IF(A79&lt;'Données projet'!$A$140,$CQ$205^A79,IF(A79='Données projet'!$A$140,'Données projet'!$B$140,CT78+CS79-DB78)))</f>
        <v>176.88888888888894</v>
      </c>
      <c r="CU79" s="18">
        <f>CT79*VLOOKUP('Données projet'!$B$13,Paramètres!$A$1:$I$88,3,0)*VLOOKUP('Données projet'!$B$13,Paramètres!$A$1:$I$88,5,0)</f>
        <v>171.08693333333341</v>
      </c>
      <c r="CV79" s="14">
        <f t="shared" si="95"/>
        <v>43.333370122763419</v>
      </c>
      <c r="CW79" s="22">
        <f t="shared" si="67"/>
        <v>373.44869518603531</v>
      </c>
      <c r="CX79" s="59">
        <f t="shared" si="68"/>
        <v>666.78202851936862</v>
      </c>
      <c r="CY79" s="59">
        <f ca="1">AVERAGE(OFFSET($CX$3,0,0,'Données projet'!$E$13+1,1))-AVERAGE(OFFSET($H$3,0,0,'Données projet'!$E$13+1,1))</f>
        <v>306.00894145276209</v>
      </c>
      <c r="CZ79" s="59">
        <f t="shared" si="96"/>
        <v>168.74705421228828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18.54965892502555</v>
      </c>
      <c r="DG79" s="23">
        <f>EXP(-LN(2)/25)*DG78+(1-EXP(-LN(2)/25))/(LN(2)/25)*Calculateur!DB79*Calculateur!DD79*VLOOKUP('Données projet'!$B$13,Paramètres!$A$1:$I$88,3,0)*0.475*44/12</f>
        <v>0</v>
      </c>
      <c r="DH79" s="23">
        <f>EXP(-LN(2)/2)*DH78+(1-EXP(-LN(2)/2))/(LN(2)/2)*DB79*DE79*VLOOKUP('Données projet'!$B$13,Paramètres!$A$1:$I$88,3,0)*0.475*44/12</f>
        <v>0</v>
      </c>
      <c r="DI79" s="24">
        <f t="shared" si="69"/>
        <v>18.54965892502555</v>
      </c>
      <c r="DJ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5.9399999999999977</v>
      </c>
      <c r="DO79" s="13">
        <f>IF('Données projet'!$A$166&gt;35,DO78+DN79-DW78,IF(A79&lt;'Données projet'!$A$166,$DL$205^A79,IF(A79='Données projet'!$A$166,'Données projet'!$B$166,DO78+DN79-DW78)))</f>
        <v>511.23999999999984</v>
      </c>
      <c r="DP79" s="18">
        <f>DO79*VLOOKUP('Données projet'!$B$14,Paramètres!$A$1:$I$88,3,0)*VLOOKUP('Données projet'!$B$14,Paramètres!$A$1:$I$88,5,0)</f>
        <v>398.76719999999989</v>
      </c>
      <c r="DQ79" s="14">
        <f t="shared" si="97"/>
        <v>91.526689058168401</v>
      </c>
      <c r="DR79" s="22">
        <f t="shared" si="70"/>
        <v>853.92852344297637</v>
      </c>
      <c r="DS79" s="59">
        <f t="shared" si="71"/>
        <v>1147.2618567763097</v>
      </c>
      <c r="DT79" s="59">
        <f ca="1">AVERAGE(OFFSET($DS$3,0,0,'Données projet'!$E$14+1,1))-AVERAGE(OFFSET($H$3,0,0,'Données projet'!$E$14+1,1))</f>
        <v>458.14328535055694</v>
      </c>
      <c r="DU79" s="59">
        <f t="shared" si="98"/>
        <v>366.75500153675739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projet'!$B$14,Paramètres!$A$1:$I$88,3,0)*0.475*44/12</f>
        <v>14.162473200483081</v>
      </c>
      <c r="EB79" s="23">
        <f>EXP(-LN(2)/25)*EB78+(1-EXP(-LN(2)/25))/(LN(2)/25)*Calculateur!DW79*Calculateur!DY79*VLOOKUP('Données projet'!$B$14,Paramètres!$A$1:$I$88,3,0)*0.475*44/12</f>
        <v>0</v>
      </c>
      <c r="EC79" s="23">
        <f>EXP(-LN(2)/2)*EC78+(1-EXP(-LN(2)/2))/(LN(2)/2)*DW79*DZ79*VLOOKUP('Données projet'!$B$14,Paramètres!$A$1:$I$88,3,0)*0.475*44/12</f>
        <v>0</v>
      </c>
      <c r="ED79" s="24">
        <f t="shared" si="72"/>
        <v>14.162473200483081</v>
      </c>
      <c r="EE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14.1</v>
      </c>
      <c r="EJ79" s="13">
        <f>IF('Données projet'!$A$192&gt;35,EJ78+EI79-ER78,IF(A79&lt;'Données projet'!$A$192,$EG$205^A79,IF(A79='Données projet'!$A$192,'Données projet'!$B$192,EJ78+EI79-ER78)))</f>
        <v>553.60000000000036</v>
      </c>
      <c r="EK79" s="18">
        <f>EJ79*VLOOKUP('Données projet'!$B$15,Paramètres!$A$1:$I$88,3,0)*VLOOKUP('Données projet'!$B$15,Paramètres!$A$1:$I$88,5,0)</f>
        <v>474.98880000000042</v>
      </c>
      <c r="EL79" s="14">
        <f t="shared" si="99"/>
        <v>106.82416086209076</v>
      </c>
      <c r="EM79" s="22">
        <f t="shared" si="73"/>
        <v>1013.324240168142</v>
      </c>
      <c r="EN79" s="59">
        <f t="shared" si="74"/>
        <v>1306.6575735014753</v>
      </c>
      <c r="EO79" s="59">
        <f ca="1">AVERAGE(OFFSET($EN$3,0,0,'Données projet'!$E$15+1,1))-AVERAGE(OFFSET($H$3,0,0,'Données projet'!$E$15+1,1))</f>
        <v>462.99360395552145</v>
      </c>
      <c r="EP79" s="59">
        <f t="shared" si="100"/>
        <v>153.03880717786046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projet'!$B$15,Paramètres!$A$1:$I$88,3,0)*0.475*44/12</f>
        <v>34.836544491150946</v>
      </c>
      <c r="EW79" s="23">
        <f>EXP(-LN(2)/25)*EW78+(1-EXP(-LN(2)/25))/(LN(2)/25)*Calculateur!ER79*Calculateur!ET79*VLOOKUP('Données projet'!$B$15,Paramètres!$A$1:$I$88,3,0)*0.475*44/12</f>
        <v>0</v>
      </c>
      <c r="EX79" s="23">
        <f>EXP(-LN(2)/2)*EX78+(1-EXP(-LN(2)/2))/(LN(2)/2)*ER79*EU79*VLOOKUP('Données projet'!$B$15,Paramètres!$A$1:$I$88,3,0)*0.475*44/12</f>
        <v>0</v>
      </c>
      <c r="EY79" s="24">
        <f t="shared" si="75"/>
        <v>34.836544491150946</v>
      </c>
      <c r="EZ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5.0399999999999974</v>
      </c>
      <c r="FE79" s="13">
        <f>IF('Données projet'!$A$218&gt;35,FE78+FD79-FM78,IF(A79&lt;'Données projet'!$A$218,$FB$205^A79,IF(A79='Données projet'!$A$218,'Données projet'!$B$218,FE78+FD79-FM78)))</f>
        <v>407.84000000000003</v>
      </c>
      <c r="FF79" s="18">
        <f>FE79*VLOOKUP('Données projet'!$B$16,Paramètres!$A$1:$I$88,3,0)*VLOOKUP('Données projet'!$B$16,Paramètres!$A$1:$I$88,5,0)</f>
        <v>356.28902400000004</v>
      </c>
      <c r="FG79" s="14">
        <f t="shared" si="101"/>
        <v>82.856141312127605</v>
      </c>
      <c r="FH79" s="22">
        <f t="shared" si="76"/>
        <v>764.84449625195555</v>
      </c>
      <c r="FI79" s="59">
        <f t="shared" si="77"/>
        <v>1058.1778295852889</v>
      </c>
      <c r="FJ79" s="59">
        <f ca="1">AVERAGE(OFFSET($FI$3,0,0,'Données projet'!$E$16+1,1))-AVERAGE(OFFSET($H$3,0,0,'Données projet'!$E$16+1,1))</f>
        <v>427.76895185088944</v>
      </c>
      <c r="FK79" s="59">
        <f t="shared" si="102"/>
        <v>308.32543361559135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projet'!$B$16,Paramètres!$A$1:$I$88,3,0)*0.475*44/12</f>
        <v>15.020381310712999</v>
      </c>
      <c r="FR79" s="23">
        <f>EXP(-LN(2)/25)*FR78+(1-EXP(-LN(2)/25))/(LN(2)/25)*Calculateur!FM79*Calculateur!FO79*VLOOKUP('Données projet'!$B$16,Paramètres!$A$1:$I$88,3,0)*0.475*44/12</f>
        <v>0</v>
      </c>
      <c r="FS79" s="23">
        <f>EXP(-LN(2)/2)*FS78+(1-EXP(-LN(2)/2))/(LN(2)/2)*FM79*FP79*VLOOKUP('Données projet'!$B$16,Paramètres!$A$1:$I$88,3,0)*0.475*44/12</f>
        <v>0</v>
      </c>
      <c r="FT79" s="24">
        <f t="shared" si="78"/>
        <v>15.020381310712999</v>
      </c>
      <c r="FU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333.00000000000006</v>
      </c>
      <c r="GA79" s="18">
        <f>FZ79*VLOOKUP('Données projet'!$B$17,Paramètres!$A$1:$I$88,3,0)*VLOOKUP('Données projet'!$B$17,Paramètres!$A$1:$I$88,5,0)</f>
        <v>207.79200000000006</v>
      </c>
      <c r="GB79" s="14">
        <f t="shared" si="103"/>
        <v>51.452785725007907</v>
      </c>
      <c r="GC79" s="22">
        <f t="shared" si="79"/>
        <v>451.5180018043888</v>
      </c>
      <c r="GD79" s="59">
        <f t="shared" si="80"/>
        <v>744.85133513772212</v>
      </c>
      <c r="GE79" s="59">
        <f ca="1">AVERAGE(OFFSET($GD$3,0,0,'Données projet'!$E$17+1,1))-AVERAGE(OFFSET($H$3,0,0,'Données projet'!$E$17+1,1))</f>
        <v>247.85542034088905</v>
      </c>
      <c r="GF79" s="59">
        <f t="shared" si="104"/>
        <v>299.52241743660352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projet'!$B$17,Paramètres!$A$1:$I$88,3,0)*0.475*44/12</f>
        <v>27.064033251228061</v>
      </c>
      <c r="GM79" s="23">
        <f>EXP(-LN(2)/25)*GM78+(1-EXP(-LN(2)/25))/(LN(2)/25)*Calculateur!GH79*Calculateur!GJ79*VLOOKUP('Données projet'!$B$17,Paramètres!$A$1:$I$88,3,0)*0.475*44/12</f>
        <v>24.401978056233215</v>
      </c>
      <c r="GN79" s="23">
        <f>EXP(-LN(2)/2)*GN78+(1-EXP(-LN(2)/2))/(LN(2)/2)*GH79*GK79*VLOOKUP('Données projet'!$B$17,Paramètres!$A$1:$I$88,3,0)*0.475*44/12</f>
        <v>0.16719572740794472</v>
      </c>
      <c r="GO79" s="23">
        <f t="shared" si="81"/>
        <v>51.633207034869216</v>
      </c>
      <c r="GP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3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6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5.8888888888888893</v>
      </c>
      <c r="N80" s="14">
        <f>IF('Données projet'!$A$36&gt;35,N79+M80-V79,IF(A80&lt;'Données projet'!$A$36,$K$205^A80,IF(A80='Données projet'!$A$36,'Données projet'!$B$36,N79+M80-V79)))</f>
        <v>182.77777777777783</v>
      </c>
      <c r="O80" s="14">
        <f>N80*VLOOKUP('Données projet'!$B$9,Paramètres!$A$1:$I$88,3,0)*VLOOKUP('Données projet'!$B$9,Paramètres!$A$1:$I$88,5,0)</f>
        <v>165.37733333333338</v>
      </c>
      <c r="P80" s="14">
        <f t="shared" si="87"/>
        <v>42.053044719288117</v>
      </c>
      <c r="Q80" s="22">
        <f t="shared" si="54"/>
        <v>361.27457510831573</v>
      </c>
      <c r="R80" s="59">
        <f t="shared" si="55"/>
        <v>654.60790844164899</v>
      </c>
      <c r="S80" s="59">
        <f ca="1">AVERAGE(OFFSET($R$3,0,0,'Données projet'!$E$9+1,1))-AVERAGE(OFFSET($H$3,0,0,'Données projet'!$E$9+1,1))</f>
        <v>247.57967230773539</v>
      </c>
      <c r="T80" s="59">
        <f t="shared" si="88"/>
        <v>156.58857589533295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17.012626819443106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17.012626819443106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5.9399999999999977</v>
      </c>
      <c r="AI80" s="14">
        <f>IF('Données projet'!$A$62&gt;35,AI79+AH80-AQ79,IF(A80&lt;'Données projet'!$A$62,$AF$205^A80,IF(A80='Données projet'!$A$62,'Données projet'!$B$62,AI79+AH80-AQ79)))</f>
        <v>517.17999999999984</v>
      </c>
      <c r="AJ80" s="14">
        <f>AI80*VLOOKUP('Données projet'!$B$10,Paramètres!$A$1:$I$88,3,0)*VLOOKUP('Données projet'!$B$10,Paramètres!$A$1:$I$88,5,0)</f>
        <v>411.4684079999999</v>
      </c>
      <c r="AK80" s="14">
        <f t="shared" si="89"/>
        <v>94.097870028205833</v>
      </c>
      <c r="AL80" s="22">
        <f t="shared" si="58"/>
        <v>880.52793423245828</v>
      </c>
      <c r="AM80" s="59">
        <f t="shared" si="59"/>
        <v>1173.8612675657916</v>
      </c>
      <c r="AN80" s="59">
        <f ca="1">AVERAGE(OFFSET($AM$3,0,0,'Données projet'!$E$10+1,1))-AVERAGE(OFFSET($H$3,0,0,'Données projet'!$E$10+1,1))</f>
        <v>504.15006129790828</v>
      </c>
      <c r="AO80" s="59">
        <f t="shared" si="90"/>
        <v>374.39334457402742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17.456044075937928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17.456044075937928</v>
      </c>
      <c r="AY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5.9399999999999977</v>
      </c>
      <c r="BD80" s="13">
        <f>IF('Données projet'!$A$88&gt;35,BD79+BC80-BL79,IF(A80&lt;'Données projet'!$A$88,$BA$205^A80,IF(A80='Données projet'!$A$88,'Données projet'!$B$88,BD79+BC80-BL79)))</f>
        <v>517.17999999999984</v>
      </c>
      <c r="BE80" s="14">
        <f>BD80*VLOOKUP('Données projet'!$B$11,Paramètres!$A$1:$I$88,3,0)*VLOOKUP('Données projet'!$B$11,Paramètres!$A$1:$I$88,5,0)</f>
        <v>411.4684079999999</v>
      </c>
      <c r="BF80" s="14">
        <f t="shared" si="91"/>
        <v>94.097870028205833</v>
      </c>
      <c r="BG80" s="22">
        <f t="shared" si="61"/>
        <v>880.52793423245828</v>
      </c>
      <c r="BH80" s="59">
        <f t="shared" si="62"/>
        <v>1173.8612675657916</v>
      </c>
      <c r="BI80" s="59">
        <f ca="1">AVERAGE(OFFSET($BH$3,0,0,'Données projet'!$E$11+1,1))-AVERAGE(OFFSET($H$3,0,0,'Données projet'!$E$11+1,1))</f>
        <v>504.15006129790828</v>
      </c>
      <c r="BJ80" s="59">
        <f t="shared" si="92"/>
        <v>374.39334457402742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17.456044075937928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17.456044075937928</v>
      </c>
      <c r="BT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5.9399999999999977</v>
      </c>
      <c r="BY80" s="13">
        <f>IF('Données projet'!$A$114&gt;35,BY79+BX80-CG79,IF(A80&lt;'Données projet'!$A$114,$BV$205^A80,IF(A80='Données projet'!$A$114,'Données projet'!$B$114,BY79+BX80-CG79)))</f>
        <v>517.17999999999984</v>
      </c>
      <c r="BZ80" s="14">
        <f>BY80*VLOOKUP('Données projet'!$B$12,Paramètres!$A$1:$I$88,3,0)*VLOOKUP('Données projet'!$B$12,Paramètres!$A$1:$I$88,5,0)</f>
        <v>346.92434399999991</v>
      </c>
      <c r="CA80" s="14">
        <f t="shared" si="93"/>
        <v>80.928876762904622</v>
      </c>
      <c r="CB80" s="22">
        <f t="shared" si="64"/>
        <v>745.1776928287253</v>
      </c>
      <c r="CC80" s="59">
        <f t="shared" si="65"/>
        <v>1038.5110261620587</v>
      </c>
      <c r="CD80" s="59">
        <f ca="1">AVERAGE(OFFSET($CC$3,0,0,'Données projet'!$E$12+1,1))-AVERAGE(OFFSET($H$3,0,0,'Données projet'!$E$12+1,1))</f>
        <v>387.15063677712425</v>
      </c>
      <c r="CE80" s="59">
        <f t="shared" si="94"/>
        <v>313.19155394370705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14.717841083633939</v>
      </c>
      <c r="CL80" s="23">
        <f>EXP(-LN(2)/25)*CL79+(1-EXP(-LN(2)/25))/(LN(2)/25)*Calculateur!CG80*Calculateur!CI80*VLOOKUP('Données projet'!$B$12,Paramètres!$A$1:$I$88,3,0)*0.475*44/12</f>
        <v>0</v>
      </c>
      <c r="CM80" s="23">
        <f>EXP(-LN(2)/2)*CM79+(1-EXP(-LN(2)/2))/(LN(2)/2)*CG80*CJ80*VLOOKUP('Données projet'!$B$12,Paramètres!$A$1:$I$88,3,0)*0.475*44/12</f>
        <v>0</v>
      </c>
      <c r="CN80" s="24">
        <f t="shared" si="66"/>
        <v>14.717841083633939</v>
      </c>
      <c r="CO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5.8888888888888893</v>
      </c>
      <c r="CT80" s="13">
        <f>IF('Données projet'!$A$140&gt;35,CT79+CS80-DB79,IF(A80&lt;'Données projet'!$A$140,$CQ$205^A80,IF(A80='Données projet'!$A$140,'Données projet'!$B$140,CT79+CS80-DB79)))</f>
        <v>182.77777777777783</v>
      </c>
      <c r="CU80" s="18">
        <f>CT80*VLOOKUP('Données projet'!$B$13,Paramètres!$A$1:$I$88,3,0)*VLOOKUP('Données projet'!$B$13,Paramètres!$A$1:$I$88,5,0)</f>
        <v>176.78266666666673</v>
      </c>
      <c r="CV80" s="14">
        <f t="shared" si="95"/>
        <v>44.60563915214005</v>
      </c>
      <c r="CW80" s="22">
        <f t="shared" si="67"/>
        <v>385.58463263442172</v>
      </c>
      <c r="CX80" s="59">
        <f t="shared" si="68"/>
        <v>678.91796596775498</v>
      </c>
      <c r="CY80" s="59">
        <f ca="1">AVERAGE(OFFSET($CX$3,0,0,'Données projet'!$E$13+1,1))-AVERAGE(OFFSET($H$3,0,0,'Données projet'!$E$13+1,1))</f>
        <v>306.00894145276209</v>
      </c>
      <c r="CZ80" s="59">
        <f t="shared" si="96"/>
        <v>168.74705421228828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18.185911427680562</v>
      </c>
      <c r="DG80" s="23">
        <f>EXP(-LN(2)/25)*DG79+(1-EXP(-LN(2)/25))/(LN(2)/25)*Calculateur!DB80*Calculateur!DD80*VLOOKUP('Données projet'!$B$13,Paramètres!$A$1:$I$88,3,0)*0.475*44/12</f>
        <v>0</v>
      </c>
      <c r="DH80" s="23">
        <f>EXP(-LN(2)/2)*DH79+(1-EXP(-LN(2)/2))/(LN(2)/2)*DB80*DE80*VLOOKUP('Données projet'!$B$13,Paramètres!$A$1:$I$88,3,0)*0.475*44/12</f>
        <v>0</v>
      </c>
      <c r="DI80" s="24">
        <f t="shared" si="69"/>
        <v>18.185911427680562</v>
      </c>
      <c r="DJ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5.9399999999999977</v>
      </c>
      <c r="DO80" s="13">
        <f>IF('Données projet'!$A$166&gt;35,DO79+DN80-DW79,IF(A80&lt;'Données projet'!$A$166,$DL$205^A80,IF(A80='Données projet'!$A$166,'Données projet'!$B$166,DO79+DN80-DW79)))</f>
        <v>517.17999999999984</v>
      </c>
      <c r="DP80" s="18">
        <f>DO80*VLOOKUP('Données projet'!$B$14,Paramètres!$A$1:$I$88,3,0)*VLOOKUP('Données projet'!$B$14,Paramètres!$A$1:$I$88,5,0)</f>
        <v>403.40039999999988</v>
      </c>
      <c r="DQ80" s="14">
        <f t="shared" si="97"/>
        <v>92.46570413521394</v>
      </c>
      <c r="DR80" s="22">
        <f t="shared" si="70"/>
        <v>863.63346470216413</v>
      </c>
      <c r="DS80" s="59">
        <f t="shared" si="71"/>
        <v>1156.9667980354975</v>
      </c>
      <c r="DT80" s="59">
        <f ca="1">AVERAGE(OFFSET($DS$3,0,0,'Données projet'!$E$14+1,1))-AVERAGE(OFFSET($H$3,0,0,'Données projet'!$E$14+1,1))</f>
        <v>458.14328535055694</v>
      </c>
      <c r="DU80" s="59">
        <f t="shared" si="98"/>
        <v>366.75500153675739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projet'!$B$14,Paramètres!$A$1:$I$88,3,0)*0.475*44/12</f>
        <v>13.884755739277303</v>
      </c>
      <c r="EB80" s="23">
        <f>EXP(-LN(2)/25)*EB79+(1-EXP(-LN(2)/25))/(LN(2)/25)*Calculateur!DW80*Calculateur!DY80*VLOOKUP('Données projet'!$B$14,Paramètres!$A$1:$I$88,3,0)*0.475*44/12</f>
        <v>0</v>
      </c>
      <c r="EC80" s="23">
        <f>EXP(-LN(2)/2)*EC79+(1-EXP(-LN(2)/2))/(LN(2)/2)*DW80*DZ80*VLOOKUP('Données projet'!$B$14,Paramètres!$A$1:$I$88,3,0)*0.475*44/12</f>
        <v>0</v>
      </c>
      <c r="ED80" s="24">
        <f t="shared" si="72"/>
        <v>13.884755739277303</v>
      </c>
      <c r="EE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14.1</v>
      </c>
      <c r="EJ80" s="13">
        <f>IF('Données projet'!$A$192&gt;35,EJ79+EI80-ER79,IF(A80&lt;'Données projet'!$A$192,$EG$205^A80,IF(A80='Données projet'!$A$192,'Données projet'!$B$192,EJ79+EI80-ER79)))</f>
        <v>567.70000000000039</v>
      </c>
      <c r="EK80" s="18">
        <f>EJ80*VLOOKUP('Données projet'!$B$15,Paramètres!$A$1:$I$88,3,0)*VLOOKUP('Données projet'!$B$15,Paramètres!$A$1:$I$88,5,0)</f>
        <v>487.08660000000037</v>
      </c>
      <c r="EL80" s="14">
        <f t="shared" si="99"/>
        <v>109.22470674367263</v>
      </c>
      <c r="EM80" s="22">
        <f t="shared" si="73"/>
        <v>1038.5755259118971</v>
      </c>
      <c r="EN80" s="59">
        <f t="shared" si="74"/>
        <v>1331.9088592452304</v>
      </c>
      <c r="EO80" s="59">
        <f ca="1">AVERAGE(OFFSET($EN$3,0,0,'Données projet'!$E$15+1,1))-AVERAGE(OFFSET($H$3,0,0,'Données projet'!$E$15+1,1))</f>
        <v>462.99360395552145</v>
      </c>
      <c r="EP80" s="59">
        <f t="shared" si="100"/>
        <v>153.03880717786046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projet'!$B$15,Paramètres!$A$1:$I$88,3,0)*0.475*44/12</f>
        <v>34.153421101873533</v>
      </c>
      <c r="EW80" s="23">
        <f>EXP(-LN(2)/25)*EW79+(1-EXP(-LN(2)/25))/(LN(2)/25)*Calculateur!ER80*Calculateur!ET80*VLOOKUP('Données projet'!$B$15,Paramètres!$A$1:$I$88,3,0)*0.475*44/12</f>
        <v>0</v>
      </c>
      <c r="EX80" s="23">
        <f>EXP(-LN(2)/2)*EX79+(1-EXP(-LN(2)/2))/(LN(2)/2)*ER80*EU80*VLOOKUP('Données projet'!$B$15,Paramètres!$A$1:$I$88,3,0)*0.475*44/12</f>
        <v>0</v>
      </c>
      <c r="EY80" s="24">
        <f t="shared" si="75"/>
        <v>34.153421101873533</v>
      </c>
      <c r="EZ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5.0399999999999974</v>
      </c>
      <c r="FE80" s="13">
        <f>IF('Données projet'!$A$218&gt;35,FE79+FD80-FM79,IF(A80&lt;'Données projet'!$A$218,$FB$205^A80,IF(A80='Données projet'!$A$218,'Données projet'!$B$218,FE79+FD80-FM79)))</f>
        <v>412.88000000000005</v>
      </c>
      <c r="FF80" s="18">
        <f>FE80*VLOOKUP('Données projet'!$B$16,Paramètres!$A$1:$I$88,3,0)*VLOOKUP('Données projet'!$B$16,Paramètres!$A$1:$I$88,5,0)</f>
        <v>360.69196800000009</v>
      </c>
      <c r="FG80" s="14">
        <f t="shared" si="101"/>
        <v>83.760228033247898</v>
      </c>
      <c r="FH80" s="22">
        <f t="shared" si="76"/>
        <v>774.08757475790696</v>
      </c>
      <c r="FI80" s="59">
        <f t="shared" si="77"/>
        <v>1067.4209080912403</v>
      </c>
      <c r="FJ80" s="59">
        <f ca="1">AVERAGE(OFFSET($FI$3,0,0,'Données projet'!$E$16+1,1))-AVERAGE(OFFSET($H$3,0,0,'Données projet'!$E$16+1,1))</f>
        <v>427.76895185088944</v>
      </c>
      <c r="FK80" s="59">
        <f t="shared" si="102"/>
        <v>308.32543361559135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projet'!$B$16,Paramètres!$A$1:$I$88,3,0)*0.475*44/12</f>
        <v>14.725840794737891</v>
      </c>
      <c r="FR80" s="23">
        <f>EXP(-LN(2)/25)*FR79+(1-EXP(-LN(2)/25))/(LN(2)/25)*Calculateur!FM80*Calculateur!FO80*VLOOKUP('Données projet'!$B$16,Paramètres!$A$1:$I$88,3,0)*0.475*44/12</f>
        <v>0</v>
      </c>
      <c r="FS80" s="23">
        <f>EXP(-LN(2)/2)*FS79+(1-EXP(-LN(2)/2))/(LN(2)/2)*FM80*FP80*VLOOKUP('Données projet'!$B$16,Paramètres!$A$1:$I$88,3,0)*0.475*44/12</f>
        <v>0</v>
      </c>
      <c r="FT80" s="24">
        <f t="shared" si="78"/>
        <v>14.725840794737891</v>
      </c>
      <c r="FU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333.00000000000006</v>
      </c>
      <c r="GA80" s="18">
        <f>FZ80*VLOOKUP('Données projet'!$B$17,Paramètres!$A$1:$I$88,3,0)*VLOOKUP('Données projet'!$B$17,Paramètres!$A$1:$I$88,5,0)</f>
        <v>207.79200000000006</v>
      </c>
      <c r="GB80" s="14">
        <f t="shared" si="103"/>
        <v>51.452785725007907</v>
      </c>
      <c r="GC80" s="22">
        <f t="shared" si="79"/>
        <v>451.5180018043888</v>
      </c>
      <c r="GD80" s="59">
        <f t="shared" si="80"/>
        <v>744.85133513772212</v>
      </c>
      <c r="GE80" s="59">
        <f ca="1">AVERAGE(OFFSET($GD$3,0,0,'Données projet'!$E$17+1,1))-AVERAGE(OFFSET($H$3,0,0,'Données projet'!$E$17+1,1))</f>
        <v>247.85542034088905</v>
      </c>
      <c r="GF80" s="59">
        <f t="shared" si="104"/>
        <v>299.52241743660352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projet'!$B$17,Paramètres!$A$1:$I$88,3,0)*0.475*44/12</f>
        <v>26.533324066601789</v>
      </c>
      <c r="GM80" s="23">
        <f>EXP(-LN(2)/25)*GM79+(1-EXP(-LN(2)/25))/(LN(2)/25)*Calculateur!GH80*Calculateur!GJ80*VLOOKUP('Données projet'!$B$17,Paramètres!$A$1:$I$88,3,0)*0.475*44/12</f>
        <v>23.734704683041265</v>
      </c>
      <c r="GN80" s="23">
        <f>EXP(-LN(2)/2)*GN79+(1-EXP(-LN(2)/2))/(LN(2)/2)*GH80*GK80*VLOOKUP('Données projet'!$B$17,Paramètres!$A$1:$I$88,3,0)*0.475*44/12</f>
        <v>0.11822523263557522</v>
      </c>
      <c r="GO80" s="23">
        <f t="shared" si="81"/>
        <v>50.386253982278625</v>
      </c>
      <c r="GP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3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6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5.8888888888888893</v>
      </c>
      <c r="N81" s="14">
        <f>IF('Données projet'!$A$36&gt;35,N80+M81-V80,IF(A81&lt;'Données projet'!$A$36,$K$205^A81,IF(A81='Données projet'!$A$36,'Données projet'!$B$36,N80+M81-V80)))</f>
        <v>188.66666666666671</v>
      </c>
      <c r="O81" s="14">
        <f>N81*VLOOKUP('Données projet'!$B$9,Paramètres!$A$1:$I$88,3,0)*VLOOKUP('Données projet'!$B$9,Paramètres!$A$1:$I$88,5,0)</f>
        <v>170.70560000000003</v>
      </c>
      <c r="P81" s="14">
        <f t="shared" si="87"/>
        <v>43.248016397285603</v>
      </c>
      <c r="Q81" s="22">
        <f t="shared" si="54"/>
        <v>372.63588189193911</v>
      </c>
      <c r="R81" s="59">
        <f t="shared" si="55"/>
        <v>665.96921522527236</v>
      </c>
      <c r="S81" s="59">
        <f ca="1">AVERAGE(OFFSET($R$3,0,0,'Données projet'!$E$9+1,1))-AVERAGE(OFFSET($H$3,0,0,'Données projet'!$E$9+1,1))</f>
        <v>247.57967230773539</v>
      </c>
      <c r="T81" s="59">
        <f t="shared" si="88"/>
        <v>156.58857589533295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16.679019584191575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16.679019584191575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5.9399999999999977</v>
      </c>
      <c r="AI81" s="14">
        <f>IF('Données projet'!$A$62&gt;35,AI80+AH81-AQ80,IF(A81&lt;'Données projet'!$A$62,$AF$205^A81,IF(A81='Données projet'!$A$62,'Données projet'!$B$62,AI80+AH81-AQ80)))</f>
        <v>523.11999999999989</v>
      </c>
      <c r="AJ81" s="14">
        <f>AI81*VLOOKUP('Données projet'!$B$10,Paramètres!$A$1:$I$88,3,0)*VLOOKUP('Données projet'!$B$10,Paramètres!$A$1:$I$88,5,0)</f>
        <v>416.19427199999996</v>
      </c>
      <c r="AK81" s="14">
        <f t="shared" si="89"/>
        <v>95.052183505189731</v>
      </c>
      <c r="AL81" s="22">
        <f t="shared" si="58"/>
        <v>890.42091000487198</v>
      </c>
      <c r="AM81" s="59">
        <f t="shared" si="59"/>
        <v>1183.7542433382052</v>
      </c>
      <c r="AN81" s="59">
        <f ca="1">AVERAGE(OFFSET($AM$3,0,0,'Données projet'!$E$10+1,1))-AVERAGE(OFFSET($H$3,0,0,'Données projet'!$E$10+1,1))</f>
        <v>504.15006129790828</v>
      </c>
      <c r="AO81" s="59">
        <f t="shared" si="90"/>
        <v>374.39334457402742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17.113741698744356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17.113741698744356</v>
      </c>
      <c r="AY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5.9399999999999977</v>
      </c>
      <c r="BD81" s="13">
        <f>IF('Données projet'!$A$88&gt;35,BD80+BC81-BL80,IF(A81&lt;'Données projet'!$A$88,$BA$205^A81,IF(A81='Données projet'!$A$88,'Données projet'!$B$88,BD80+BC81-BL80)))</f>
        <v>523.11999999999989</v>
      </c>
      <c r="BE81" s="14">
        <f>BD81*VLOOKUP('Données projet'!$B$11,Paramètres!$A$1:$I$88,3,0)*VLOOKUP('Données projet'!$B$11,Paramètres!$A$1:$I$88,5,0)</f>
        <v>416.19427199999996</v>
      </c>
      <c r="BF81" s="14">
        <f t="shared" si="91"/>
        <v>95.052183505189731</v>
      </c>
      <c r="BG81" s="22">
        <f t="shared" si="61"/>
        <v>890.42091000487198</v>
      </c>
      <c r="BH81" s="59">
        <f t="shared" si="62"/>
        <v>1183.7542433382052</v>
      </c>
      <c r="BI81" s="59">
        <f ca="1">AVERAGE(OFFSET($BH$3,0,0,'Données projet'!$E$11+1,1))-AVERAGE(OFFSET($H$3,0,0,'Données projet'!$E$11+1,1))</f>
        <v>504.15006129790828</v>
      </c>
      <c r="BJ81" s="59">
        <f t="shared" si="92"/>
        <v>374.39334457402742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17.113741698744356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17.113741698744356</v>
      </c>
      <c r="BT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5.9399999999999977</v>
      </c>
      <c r="BY81" s="13">
        <f>IF('Données projet'!$A$114&gt;35,BY80+BX81-CG80,IF(A81&lt;'Données projet'!$A$114,$BV$205^A81,IF(A81='Données projet'!$A$114,'Données projet'!$B$114,BY80+BX81-CG80)))</f>
        <v>523.11999999999989</v>
      </c>
      <c r="BZ81" s="14">
        <f>BY81*VLOOKUP('Données projet'!$B$12,Paramètres!$A$1:$I$88,3,0)*VLOOKUP('Données projet'!$B$12,Paramètres!$A$1:$I$88,5,0)</f>
        <v>350.90889599999991</v>
      </c>
      <c r="CA81" s="14">
        <f t="shared" si="93"/>
        <v>81.749634105752634</v>
      </c>
      <c r="CB81" s="22">
        <f t="shared" si="64"/>
        <v>753.54693993418562</v>
      </c>
      <c r="CC81" s="59">
        <f t="shared" si="65"/>
        <v>1046.880273267519</v>
      </c>
      <c r="CD81" s="59">
        <f ca="1">AVERAGE(OFFSET($CC$3,0,0,'Données projet'!$E$12+1,1))-AVERAGE(OFFSET($H$3,0,0,'Données projet'!$E$12+1,1))</f>
        <v>387.15063677712425</v>
      </c>
      <c r="CE81" s="59">
        <f t="shared" si="94"/>
        <v>313.19155394370705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14.429233196980533</v>
      </c>
      <c r="CL81" s="23">
        <f>EXP(-LN(2)/25)*CL80+(1-EXP(-LN(2)/25))/(LN(2)/25)*Calculateur!CG81*Calculateur!CI81*VLOOKUP('Données projet'!$B$12,Paramètres!$A$1:$I$88,3,0)*0.475*44/12</f>
        <v>0</v>
      </c>
      <c r="CM81" s="23">
        <f>EXP(-LN(2)/2)*CM80+(1-EXP(-LN(2)/2))/(LN(2)/2)*CG81*CJ81*VLOOKUP('Données projet'!$B$12,Paramètres!$A$1:$I$88,3,0)*0.475*44/12</f>
        <v>0</v>
      </c>
      <c r="CN81" s="24">
        <f t="shared" si="66"/>
        <v>14.429233196980533</v>
      </c>
      <c r="CO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5.8888888888888893</v>
      </c>
      <c r="CT81" s="13">
        <f>IF('Données projet'!$A$140&gt;35,CT80+CS81-DB80,IF(A81&lt;'Données projet'!$A$140,$CQ$205^A81,IF(A81='Données projet'!$A$140,'Données projet'!$B$140,CT80+CS81-DB80)))</f>
        <v>188.66666666666671</v>
      </c>
      <c r="CU81" s="18">
        <f>CT81*VLOOKUP('Données projet'!$B$13,Paramètres!$A$1:$I$88,3,0)*VLOOKUP('Données projet'!$B$13,Paramètres!$A$1:$I$88,5,0)</f>
        <v>182.47840000000005</v>
      </c>
      <c r="CV81" s="14">
        <f t="shared" si="95"/>
        <v>45.873144889752759</v>
      </c>
      <c r="CW81" s="22">
        <f t="shared" si="67"/>
        <v>397.71227401631944</v>
      </c>
      <c r="CX81" s="59">
        <f t="shared" si="68"/>
        <v>691.04560734965276</v>
      </c>
      <c r="CY81" s="59">
        <f ca="1">AVERAGE(OFFSET($CX$3,0,0,'Données projet'!$E$13+1,1))-AVERAGE(OFFSET($H$3,0,0,'Données projet'!$E$13+1,1))</f>
        <v>306.00894145276209</v>
      </c>
      <c r="CZ81" s="59">
        <f t="shared" si="96"/>
        <v>168.74705421228828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17.829296796894443</v>
      </c>
      <c r="DG81" s="23">
        <f>EXP(-LN(2)/25)*DG80+(1-EXP(-LN(2)/25))/(LN(2)/25)*Calculateur!DB81*Calculateur!DD81*VLOOKUP('Données projet'!$B$13,Paramètres!$A$1:$I$88,3,0)*0.475*44/12</f>
        <v>0</v>
      </c>
      <c r="DH81" s="23">
        <f>EXP(-LN(2)/2)*DH80+(1-EXP(-LN(2)/2))/(LN(2)/2)*DB81*DE81*VLOOKUP('Données projet'!$B$13,Paramètres!$A$1:$I$88,3,0)*0.475*44/12</f>
        <v>0</v>
      </c>
      <c r="DI81" s="24">
        <f t="shared" si="69"/>
        <v>17.829296796894443</v>
      </c>
      <c r="DJ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5.9399999999999977</v>
      </c>
      <c r="DO81" s="13">
        <f>IF('Données projet'!$A$166&gt;35,DO80+DN81-DW80,IF(A81&lt;'Données projet'!$A$166,$DL$205^A81,IF(A81='Données projet'!$A$166,'Données projet'!$B$166,DO80+DN81-DW80)))</f>
        <v>523.11999999999989</v>
      </c>
      <c r="DP81" s="18">
        <f>DO81*VLOOKUP('Données projet'!$B$14,Paramètres!$A$1:$I$88,3,0)*VLOOKUP('Données projet'!$B$14,Paramètres!$A$1:$I$88,5,0)</f>
        <v>408.03359999999992</v>
      </c>
      <c r="DQ81" s="14">
        <f t="shared" si="97"/>
        <v>93.403464656133252</v>
      </c>
      <c r="DR81" s="22">
        <f t="shared" si="70"/>
        <v>873.33622094276518</v>
      </c>
      <c r="DS81" s="59">
        <f t="shared" si="71"/>
        <v>1166.6695542760986</v>
      </c>
      <c r="DT81" s="59">
        <f ca="1">AVERAGE(OFFSET($DS$3,0,0,'Données projet'!$E$14+1,1))-AVERAGE(OFFSET($H$3,0,0,'Données projet'!$E$14+1,1))</f>
        <v>458.14328535055694</v>
      </c>
      <c r="DU81" s="59">
        <f t="shared" si="98"/>
        <v>366.75500153675739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projet'!$B$14,Paramètres!$A$1:$I$88,3,0)*0.475*44/12</f>
        <v>13.612484148094845</v>
      </c>
      <c r="EB81" s="23">
        <f>EXP(-LN(2)/25)*EB80+(1-EXP(-LN(2)/25))/(LN(2)/25)*Calculateur!DW81*Calculateur!DY81*VLOOKUP('Données projet'!$B$14,Paramètres!$A$1:$I$88,3,0)*0.475*44/12</f>
        <v>0</v>
      </c>
      <c r="EC81" s="23">
        <f>EXP(-LN(2)/2)*EC80+(1-EXP(-LN(2)/2))/(LN(2)/2)*DW81*DZ81*VLOOKUP('Données projet'!$B$14,Paramètres!$A$1:$I$88,3,0)*0.475*44/12</f>
        <v>0</v>
      </c>
      <c r="ED81" s="24">
        <f t="shared" si="72"/>
        <v>13.612484148094845</v>
      </c>
      <c r="EE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14.1</v>
      </c>
      <c r="EJ81" s="13">
        <f>IF('Données projet'!$A$192&gt;35,EJ80+EI81-ER80,IF(A81&lt;'Données projet'!$A$192,$EG$205^A81,IF(A81='Données projet'!$A$192,'Données projet'!$B$192,EJ80+EI81-ER80)))</f>
        <v>581.80000000000041</v>
      </c>
      <c r="EK81" s="18">
        <f>EJ81*VLOOKUP('Données projet'!$B$15,Paramètres!$A$1:$I$88,3,0)*VLOOKUP('Données projet'!$B$15,Paramètres!$A$1:$I$88,5,0)</f>
        <v>499.18440000000038</v>
      </c>
      <c r="EL81" s="14">
        <f t="shared" si="99"/>
        <v>111.61832183474124</v>
      </c>
      <c r="EM81" s="22">
        <f t="shared" si="73"/>
        <v>1063.8147405288416</v>
      </c>
      <c r="EN81" s="59">
        <f t="shared" si="74"/>
        <v>1357.1480738621749</v>
      </c>
      <c r="EO81" s="59">
        <f ca="1">AVERAGE(OFFSET($EN$3,0,0,'Données projet'!$E$15+1,1))-AVERAGE(OFFSET($H$3,0,0,'Données projet'!$E$15+1,1))</f>
        <v>462.99360395552145</v>
      </c>
      <c r="EP81" s="59">
        <f t="shared" si="100"/>
        <v>153.03880717786046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projet'!$B$15,Paramètres!$A$1:$I$88,3,0)*0.475*44/12</f>
        <v>33.483693345595725</v>
      </c>
      <c r="EW81" s="23">
        <f>EXP(-LN(2)/25)*EW80+(1-EXP(-LN(2)/25))/(LN(2)/25)*Calculateur!ER81*Calculateur!ET81*VLOOKUP('Données projet'!$B$15,Paramètres!$A$1:$I$88,3,0)*0.475*44/12</f>
        <v>0</v>
      </c>
      <c r="EX81" s="23">
        <f>EXP(-LN(2)/2)*EX80+(1-EXP(-LN(2)/2))/(LN(2)/2)*ER81*EU81*VLOOKUP('Données projet'!$B$15,Paramètres!$A$1:$I$88,3,0)*0.475*44/12</f>
        <v>0</v>
      </c>
      <c r="EY81" s="24">
        <f t="shared" si="75"/>
        <v>33.483693345595725</v>
      </c>
      <c r="EZ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5.0399999999999974</v>
      </c>
      <c r="FE81" s="13">
        <f>IF('Données projet'!$A$218&gt;35,FE80+FD81-FM80,IF(A81&lt;'Données projet'!$A$218,$FB$205^A81,IF(A81='Données projet'!$A$218,'Données projet'!$B$218,FE80+FD81-FM80)))</f>
        <v>417.92000000000007</v>
      </c>
      <c r="FF81" s="18">
        <f>FE81*VLOOKUP('Données projet'!$B$16,Paramètres!$A$1:$I$88,3,0)*VLOOKUP('Données projet'!$B$16,Paramètres!$A$1:$I$88,5,0)</f>
        <v>365.09491200000008</v>
      </c>
      <c r="FG81" s="14">
        <f t="shared" si="101"/>
        <v>84.663031027408891</v>
      </c>
      <c r="FH81" s="22">
        <f t="shared" si="76"/>
        <v>783.32841743940389</v>
      </c>
      <c r="FI81" s="59">
        <f t="shared" si="77"/>
        <v>1076.6617507727372</v>
      </c>
      <c r="FJ81" s="59">
        <f ca="1">AVERAGE(OFFSET($FI$3,0,0,'Données projet'!$E$16+1,1))-AVERAGE(OFFSET($H$3,0,0,'Données projet'!$E$16+1,1))</f>
        <v>427.76895185088944</v>
      </c>
      <c r="FK81" s="59">
        <f t="shared" si="102"/>
        <v>308.32543361559135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projet'!$B$16,Paramètres!$A$1:$I$88,3,0)*0.475*44/12</f>
        <v>14.43707603862908</v>
      </c>
      <c r="FR81" s="23">
        <f>EXP(-LN(2)/25)*FR80+(1-EXP(-LN(2)/25))/(LN(2)/25)*Calculateur!FM81*Calculateur!FO81*VLOOKUP('Données projet'!$B$16,Paramètres!$A$1:$I$88,3,0)*0.475*44/12</f>
        <v>0</v>
      </c>
      <c r="FS81" s="23">
        <f>EXP(-LN(2)/2)*FS80+(1-EXP(-LN(2)/2))/(LN(2)/2)*FM81*FP81*VLOOKUP('Données projet'!$B$16,Paramètres!$A$1:$I$88,3,0)*0.475*44/12</f>
        <v>0</v>
      </c>
      <c r="FT81" s="24">
        <f t="shared" si="78"/>
        <v>14.43707603862908</v>
      </c>
      <c r="FU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333.00000000000006</v>
      </c>
      <c r="GA81" s="18">
        <f>FZ81*VLOOKUP('Données projet'!$B$17,Paramètres!$A$1:$I$88,3,0)*VLOOKUP('Données projet'!$B$17,Paramètres!$A$1:$I$88,5,0)</f>
        <v>207.79200000000006</v>
      </c>
      <c r="GB81" s="14">
        <f t="shared" si="103"/>
        <v>51.452785725007907</v>
      </c>
      <c r="GC81" s="22">
        <f t="shared" si="79"/>
        <v>451.5180018043888</v>
      </c>
      <c r="GD81" s="59">
        <f t="shared" si="80"/>
        <v>744.85133513772212</v>
      </c>
      <c r="GE81" s="59">
        <f ca="1">AVERAGE(OFFSET($GD$3,0,0,'Données projet'!$E$17+1,1))-AVERAGE(OFFSET($H$3,0,0,'Données projet'!$E$17+1,1))</f>
        <v>247.85542034088905</v>
      </c>
      <c r="GF81" s="59">
        <f t="shared" si="104"/>
        <v>299.52241743660352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projet'!$B$17,Paramètres!$A$1:$I$88,3,0)*0.475*44/12</f>
        <v>26.0130217653854</v>
      </c>
      <c r="GM81" s="23">
        <f>EXP(-LN(2)/25)*GM80+(1-EXP(-LN(2)/25))/(LN(2)/25)*Calculateur!GH81*Calculateur!GJ81*VLOOKUP('Données projet'!$B$17,Paramètres!$A$1:$I$88,3,0)*0.475*44/12</f>
        <v>23.085677935329628</v>
      </c>
      <c r="GN81" s="23">
        <f>EXP(-LN(2)/2)*GN80+(1-EXP(-LN(2)/2))/(LN(2)/2)*GH81*GK81*VLOOKUP('Données projet'!$B$17,Paramètres!$A$1:$I$88,3,0)*0.475*44/12</f>
        <v>8.3597863703972375E-2</v>
      </c>
      <c r="GO81" s="23">
        <f t="shared" si="81"/>
        <v>49.182297564419002</v>
      </c>
      <c r="GP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3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6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5.8888888888888893</v>
      </c>
      <c r="N82" s="14">
        <f>IF('Données projet'!$A$36&gt;35,N81+M82-V81,IF(A82&lt;'Données projet'!$A$36,$K$205^A82,IF(A82='Données projet'!$A$36,'Données projet'!$B$36,N81+M82-V81)))</f>
        <v>194.5555555555556</v>
      </c>
      <c r="O82" s="14">
        <f>N82*VLOOKUP('Données projet'!$B$9,Paramètres!$A$1:$I$88,3,0)*VLOOKUP('Données projet'!$B$9,Paramètres!$A$1:$I$88,5,0)</f>
        <v>176.03386666666668</v>
      </c>
      <c r="P82" s="14">
        <f t="shared" si="87"/>
        <v>44.438653619423476</v>
      </c>
      <c r="Q82" s="22">
        <f t="shared" si="54"/>
        <v>383.98963949827368</v>
      </c>
      <c r="R82" s="59">
        <f t="shared" si="55"/>
        <v>677.32297283160699</v>
      </c>
      <c r="S82" s="59">
        <f ca="1">AVERAGE(OFFSET($R$3,0,0,'Données projet'!$E$9+1,1))-AVERAGE(OFFSET($H$3,0,0,'Données projet'!$E$9+1,1))</f>
        <v>247.57967230773539</v>
      </c>
      <c r="T82" s="59">
        <f t="shared" si="88"/>
        <v>156.58857589533295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16.351954183343004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16.351954183343004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5.9399999999999977</v>
      </c>
      <c r="AI82" s="14">
        <f>IF('Données projet'!$A$62&gt;35,AI81+AH82-AQ81,IF(A82&lt;'Données projet'!$A$62,$AF$205^A82,IF(A82='Données projet'!$A$62,'Données projet'!$B$62,AI81+AH82-AQ81)))</f>
        <v>529.05999999999995</v>
      </c>
      <c r="AJ82" s="14">
        <f>AI82*VLOOKUP('Données projet'!$B$10,Paramètres!$A$1:$I$88,3,0)*VLOOKUP('Données projet'!$B$10,Paramètres!$A$1:$I$88,5,0)</f>
        <v>420.92013599999996</v>
      </c>
      <c r="AK82" s="14">
        <f t="shared" si="89"/>
        <v>96.005236455464498</v>
      </c>
      <c r="AL82" s="22">
        <f t="shared" si="58"/>
        <v>900.31169035993378</v>
      </c>
      <c r="AM82" s="59">
        <f t="shared" si="59"/>
        <v>1193.6450236932671</v>
      </c>
      <c r="AN82" s="59">
        <f ca="1">AVERAGE(OFFSET($AM$3,0,0,'Données projet'!$E$10+1,1))-AVERAGE(OFFSET($H$3,0,0,'Données projet'!$E$10+1,1))</f>
        <v>504.15006129790828</v>
      </c>
      <c r="AO82" s="59">
        <f t="shared" si="90"/>
        <v>374.39334457402742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16.778151662383713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16.778151662383713</v>
      </c>
      <c r="AY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5.9399999999999977</v>
      </c>
      <c r="BD82" s="13">
        <f>IF('Données projet'!$A$88&gt;35,BD81+BC82-BL81,IF(A82&lt;'Données projet'!$A$88,$BA$205^A82,IF(A82='Données projet'!$A$88,'Données projet'!$B$88,BD81+BC82-BL81)))</f>
        <v>529.05999999999995</v>
      </c>
      <c r="BE82" s="14">
        <f>BD82*VLOOKUP('Données projet'!$B$11,Paramètres!$A$1:$I$88,3,0)*VLOOKUP('Données projet'!$B$11,Paramètres!$A$1:$I$88,5,0)</f>
        <v>420.92013599999996</v>
      </c>
      <c r="BF82" s="14">
        <f t="shared" si="91"/>
        <v>96.005236455464498</v>
      </c>
      <c r="BG82" s="22">
        <f t="shared" si="61"/>
        <v>900.31169035993378</v>
      </c>
      <c r="BH82" s="59">
        <f t="shared" si="62"/>
        <v>1193.6450236932671</v>
      </c>
      <c r="BI82" s="59">
        <f ca="1">AVERAGE(OFFSET($BH$3,0,0,'Données projet'!$E$11+1,1))-AVERAGE(OFFSET($H$3,0,0,'Données projet'!$E$11+1,1))</f>
        <v>504.15006129790828</v>
      </c>
      <c r="BJ82" s="59">
        <f t="shared" si="92"/>
        <v>374.39334457402742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16.778151662383713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16.778151662383713</v>
      </c>
      <c r="BT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5.9399999999999977</v>
      </c>
      <c r="BY82" s="13">
        <f>IF('Données projet'!$A$114&gt;35,BY81+BX82-CG81,IF(A82&lt;'Données projet'!$A$114,$BV$205^A82,IF(A82='Données projet'!$A$114,'Données projet'!$B$114,BY81+BX82-CG81)))</f>
        <v>529.05999999999995</v>
      </c>
      <c r="BZ82" s="14">
        <f>BY82*VLOOKUP('Données projet'!$B$12,Paramètres!$A$1:$I$88,3,0)*VLOOKUP('Données projet'!$B$12,Paramètres!$A$1:$I$88,5,0)</f>
        <v>354.89344799999998</v>
      </c>
      <c r="CA82" s="14">
        <f t="shared" si="93"/>
        <v>82.569307332555638</v>
      </c>
      <c r="CB82" s="22">
        <f t="shared" si="64"/>
        <v>761.9142988708677</v>
      </c>
      <c r="CC82" s="59">
        <f t="shared" si="65"/>
        <v>1055.247632204201</v>
      </c>
      <c r="CD82" s="59">
        <f ca="1">AVERAGE(OFFSET($CC$3,0,0,'Données projet'!$E$12+1,1))-AVERAGE(OFFSET($H$3,0,0,'Données projet'!$E$12+1,1))</f>
        <v>387.15063677712425</v>
      </c>
      <c r="CE82" s="59">
        <f t="shared" si="94"/>
        <v>313.19155394370705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14.146284734950973</v>
      </c>
      <c r="CL82" s="23">
        <f>EXP(-LN(2)/25)*CL81+(1-EXP(-LN(2)/25))/(LN(2)/25)*Calculateur!CG82*Calculateur!CI82*VLOOKUP('Données projet'!$B$12,Paramètres!$A$1:$I$88,3,0)*0.475*44/12</f>
        <v>0</v>
      </c>
      <c r="CM82" s="23">
        <f>EXP(-LN(2)/2)*CM81+(1-EXP(-LN(2)/2))/(LN(2)/2)*CG82*CJ82*VLOOKUP('Données projet'!$B$12,Paramètres!$A$1:$I$88,3,0)*0.475*44/12</f>
        <v>0</v>
      </c>
      <c r="CN82" s="24">
        <f t="shared" si="66"/>
        <v>14.146284734950973</v>
      </c>
      <c r="CO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5.8888888888888893</v>
      </c>
      <c r="CT82" s="13">
        <f>IF('Données projet'!$A$140&gt;35,CT81+CS82-DB81,IF(A82&lt;'Données projet'!$A$140,$CQ$205^A82,IF(A82='Données projet'!$A$140,'Données projet'!$B$140,CT81+CS82-DB81)))</f>
        <v>194.5555555555556</v>
      </c>
      <c r="CU82" s="18">
        <f>CT82*VLOOKUP('Données projet'!$B$13,Paramètres!$A$1:$I$88,3,0)*VLOOKUP('Données projet'!$B$13,Paramètres!$A$1:$I$88,5,0)</f>
        <v>188.17413333333337</v>
      </c>
      <c r="CV82" s="14">
        <f t="shared" si="95"/>
        <v>47.136053072651407</v>
      </c>
      <c r="CW82" s="22">
        <f t="shared" si="67"/>
        <v>409.83190799042342</v>
      </c>
      <c r="CX82" s="59">
        <f t="shared" si="68"/>
        <v>703.16524132375673</v>
      </c>
      <c r="CY82" s="59">
        <f ca="1">AVERAGE(OFFSET($CX$3,0,0,'Données projet'!$E$13+1,1))-AVERAGE(OFFSET($H$3,0,0,'Données projet'!$E$13+1,1))</f>
        <v>306.00894145276209</v>
      </c>
      <c r="CZ82" s="59">
        <f t="shared" si="96"/>
        <v>168.74705421228828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17.479675161504591</v>
      </c>
      <c r="DG82" s="23">
        <f>EXP(-LN(2)/25)*DG81+(1-EXP(-LN(2)/25))/(LN(2)/25)*Calculateur!DB82*Calculateur!DD82*VLOOKUP('Données projet'!$B$13,Paramètres!$A$1:$I$88,3,0)*0.475*44/12</f>
        <v>0</v>
      </c>
      <c r="DH82" s="23">
        <f>EXP(-LN(2)/2)*DH81+(1-EXP(-LN(2)/2))/(LN(2)/2)*DB82*DE82*VLOOKUP('Données projet'!$B$13,Paramètres!$A$1:$I$88,3,0)*0.475*44/12</f>
        <v>0</v>
      </c>
      <c r="DI82" s="24">
        <f t="shared" si="69"/>
        <v>17.479675161504591</v>
      </c>
      <c r="DJ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5.9399999999999977</v>
      </c>
      <c r="DO82" s="13">
        <f>IF('Données projet'!$A$166&gt;35,DO81+DN82-DW81,IF(A82&lt;'Données projet'!$A$166,$DL$205^A82,IF(A82='Données projet'!$A$166,'Données projet'!$B$166,DO81+DN82-DW81)))</f>
        <v>529.05999999999995</v>
      </c>
      <c r="DP82" s="18">
        <f>DO82*VLOOKUP('Données projet'!$B$14,Paramètres!$A$1:$I$88,3,0)*VLOOKUP('Données projet'!$B$14,Paramètres!$A$1:$I$88,5,0)</f>
        <v>412.66679999999997</v>
      </c>
      <c r="DQ82" s="14">
        <f t="shared" si="97"/>
        <v>94.339986514692683</v>
      </c>
      <c r="DR82" s="22">
        <f t="shared" si="70"/>
        <v>883.03681984642299</v>
      </c>
      <c r="DS82" s="59">
        <f t="shared" si="71"/>
        <v>1176.3701531797562</v>
      </c>
      <c r="DT82" s="59">
        <f ca="1">AVERAGE(OFFSET($DS$3,0,0,'Données projet'!$E$14+1,1))-AVERAGE(OFFSET($H$3,0,0,'Données projet'!$E$14+1,1))</f>
        <v>458.14328535055694</v>
      </c>
      <c r="DU82" s="59">
        <f t="shared" si="98"/>
        <v>366.75500153675739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projet'!$B$14,Paramètres!$A$1:$I$88,3,0)*0.475*44/12</f>
        <v>13.345551636746203</v>
      </c>
      <c r="EB82" s="23">
        <f>EXP(-LN(2)/25)*EB81+(1-EXP(-LN(2)/25))/(LN(2)/25)*Calculateur!DW82*Calculateur!DY82*VLOOKUP('Données projet'!$B$14,Paramètres!$A$1:$I$88,3,0)*0.475*44/12</f>
        <v>0</v>
      </c>
      <c r="EC82" s="23">
        <f>EXP(-LN(2)/2)*EC81+(1-EXP(-LN(2)/2))/(LN(2)/2)*DW82*DZ82*VLOOKUP('Données projet'!$B$14,Paramètres!$A$1:$I$88,3,0)*0.475*44/12</f>
        <v>0</v>
      </c>
      <c r="ED82" s="24">
        <f t="shared" si="72"/>
        <v>13.345551636746203</v>
      </c>
      <c r="EE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14.1</v>
      </c>
      <c r="EJ82" s="13">
        <f>IF('Données projet'!$A$192&gt;35,EJ81+EI82-ER81,IF(A82&lt;'Données projet'!$A$192,$EG$205^A82,IF(A82='Données projet'!$A$192,'Données projet'!$B$192,EJ81+EI82-ER81)))</f>
        <v>595.90000000000043</v>
      </c>
      <c r="EK82" s="18">
        <f>EJ82*VLOOKUP('Données projet'!$B$15,Paramètres!$A$1:$I$88,3,0)*VLOOKUP('Données projet'!$B$15,Paramètres!$A$1:$I$88,5,0)</f>
        <v>511.28220000000044</v>
      </c>
      <c r="EL82" s="14">
        <f t="shared" si="99"/>
        <v>114.00519342830096</v>
      </c>
      <c r="EM82" s="22">
        <f t="shared" si="73"/>
        <v>1089.0422102209579</v>
      </c>
      <c r="EN82" s="59">
        <f t="shared" si="74"/>
        <v>1382.3755435542912</v>
      </c>
      <c r="EO82" s="59">
        <f ca="1">AVERAGE(OFFSET($EN$3,0,0,'Données projet'!$E$15+1,1))-AVERAGE(OFFSET($H$3,0,0,'Données projet'!$E$15+1,1))</f>
        <v>462.99360395552145</v>
      </c>
      <c r="EP82" s="59">
        <f t="shared" si="100"/>
        <v>153.03880717786046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projet'!$B$15,Paramètres!$A$1:$I$88,3,0)*0.475*44/12</f>
        <v>32.827098542124929</v>
      </c>
      <c r="EW82" s="23">
        <f>EXP(-LN(2)/25)*EW81+(1-EXP(-LN(2)/25))/(LN(2)/25)*Calculateur!ER82*Calculateur!ET82*VLOOKUP('Données projet'!$B$15,Paramètres!$A$1:$I$88,3,0)*0.475*44/12</f>
        <v>0</v>
      </c>
      <c r="EX82" s="23">
        <f>EXP(-LN(2)/2)*EX81+(1-EXP(-LN(2)/2))/(LN(2)/2)*ER82*EU82*VLOOKUP('Données projet'!$B$15,Paramètres!$A$1:$I$88,3,0)*0.475*44/12</f>
        <v>0</v>
      </c>
      <c r="EY82" s="24">
        <f t="shared" si="75"/>
        <v>32.827098542124929</v>
      </c>
      <c r="EZ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5.0399999999999974</v>
      </c>
      <c r="FE82" s="13">
        <f>IF('Données projet'!$A$218&gt;35,FE81+FD82-FM81,IF(A82&lt;'Données projet'!$A$218,$FB$205^A82,IF(A82='Données projet'!$A$218,'Données projet'!$B$218,FE81+FD82-FM81)))</f>
        <v>422.96000000000009</v>
      </c>
      <c r="FF82" s="18">
        <f>FE82*VLOOKUP('Données projet'!$B$16,Paramètres!$A$1:$I$88,3,0)*VLOOKUP('Données projet'!$B$16,Paramètres!$A$1:$I$88,5,0)</f>
        <v>369.49785600000013</v>
      </c>
      <c r="FG82" s="14">
        <f t="shared" si="101"/>
        <v>85.564567566754818</v>
      </c>
      <c r="FH82" s="22">
        <f t="shared" si="76"/>
        <v>792.56705437876474</v>
      </c>
      <c r="FI82" s="59">
        <f t="shared" si="77"/>
        <v>1085.9003877120981</v>
      </c>
      <c r="FJ82" s="59">
        <f ca="1">AVERAGE(OFFSET($FI$3,0,0,'Données projet'!$E$16+1,1))-AVERAGE(OFFSET($H$3,0,0,'Données projet'!$E$16+1,1))</f>
        <v>427.76895185088944</v>
      </c>
      <c r="FK82" s="59">
        <f t="shared" si="102"/>
        <v>308.32543361559135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projet'!$B$16,Paramètres!$A$1:$I$88,3,0)*0.475*44/12</f>
        <v>14.153973783258452</v>
      </c>
      <c r="FR82" s="23">
        <f>EXP(-LN(2)/25)*FR81+(1-EXP(-LN(2)/25))/(LN(2)/25)*Calculateur!FM82*Calculateur!FO82*VLOOKUP('Données projet'!$B$16,Paramètres!$A$1:$I$88,3,0)*0.475*44/12</f>
        <v>0</v>
      </c>
      <c r="FS82" s="23">
        <f>EXP(-LN(2)/2)*FS81+(1-EXP(-LN(2)/2))/(LN(2)/2)*FM82*FP82*VLOOKUP('Données projet'!$B$16,Paramètres!$A$1:$I$88,3,0)*0.475*44/12</f>
        <v>0</v>
      </c>
      <c r="FT82" s="24">
        <f t="shared" si="78"/>
        <v>14.153973783258452</v>
      </c>
      <c r="FU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333.00000000000006</v>
      </c>
      <c r="GA82" s="18">
        <f>FZ82*VLOOKUP('Données projet'!$B$17,Paramètres!$A$1:$I$88,3,0)*VLOOKUP('Données projet'!$B$17,Paramètres!$A$1:$I$88,5,0)</f>
        <v>207.79200000000006</v>
      </c>
      <c r="GB82" s="14">
        <f t="shared" si="103"/>
        <v>51.452785725007907</v>
      </c>
      <c r="GC82" s="22">
        <f t="shared" si="79"/>
        <v>451.5180018043888</v>
      </c>
      <c r="GD82" s="59">
        <f t="shared" si="80"/>
        <v>744.85133513772212</v>
      </c>
      <c r="GE82" s="59">
        <f ca="1">AVERAGE(OFFSET($GD$3,0,0,'Données projet'!$E$17+1,1))-AVERAGE(OFFSET($H$3,0,0,'Données projet'!$E$17+1,1))</f>
        <v>247.85542034088905</v>
      </c>
      <c r="GF82" s="59">
        <f t="shared" si="104"/>
        <v>299.52241743660352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projet'!$B$17,Paramètres!$A$1:$I$88,3,0)*0.475*44/12</f>
        <v>25.502922274942794</v>
      </c>
      <c r="GM82" s="23">
        <f>EXP(-LN(2)/25)*GM81+(1-EXP(-LN(2)/25))/(LN(2)/25)*Calculateur!GH82*Calculateur!GJ82*VLOOKUP('Données projet'!$B$17,Paramètres!$A$1:$I$88,3,0)*0.475*44/12</f>
        <v>22.454398858165</v>
      </c>
      <c r="GN82" s="23">
        <f>EXP(-LN(2)/2)*GN81+(1-EXP(-LN(2)/2))/(LN(2)/2)*GH82*GK82*VLOOKUP('Données projet'!$B$17,Paramètres!$A$1:$I$88,3,0)*0.475*44/12</f>
        <v>5.9112616317787622E-2</v>
      </c>
      <c r="GO82" s="23">
        <f t="shared" si="81"/>
        <v>48.016433749425588</v>
      </c>
      <c r="GP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3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6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5.8888888888888893</v>
      </c>
      <c r="N83" s="14">
        <f>IF('Données projet'!$A$36&gt;35,N82+M83-V82,IF(A83&lt;'Données projet'!$A$36,$K$205^A83,IF(A83='Données projet'!$A$36,'Données projet'!$B$36,N82+M83-V82)))</f>
        <v>200.44444444444449</v>
      </c>
      <c r="O83" s="14">
        <f>N83*VLOOKUP('Données projet'!$B$9,Paramètres!$A$1:$I$88,3,0)*VLOOKUP('Données projet'!$B$9,Paramètres!$A$1:$I$88,5,0)</f>
        <v>181.36213333333336</v>
      </c>
      <c r="P83" s="14">
        <f t="shared" si="87"/>
        <v>45.625102641743339</v>
      </c>
      <c r="Q83" s="22">
        <f t="shared" si="54"/>
        <v>395.33610265659195</v>
      </c>
      <c r="R83" s="59">
        <f t="shared" si="55"/>
        <v>688.6694359899252</v>
      </c>
      <c r="S83" s="59">
        <f ca="1">AVERAGE(OFFSET($R$3,0,0,'Données projet'!$E$9+1,1))-AVERAGE(OFFSET($H$3,0,0,'Données projet'!$E$9+1,1))</f>
        <v>247.57967230773539</v>
      </c>
      <c r="T83" s="59">
        <f t="shared" si="88"/>
        <v>156.58857589533295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16.031302335514876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16.031302335514876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535</v>
      </c>
      <c r="AG83" s="13">
        <f>VLOOKUP(A83,'Données projet'!$A$61:$I$81,9,0)</f>
        <v>5.9399999999999977</v>
      </c>
      <c r="AH83" s="13">
        <f t="array" ref="AH83">INDEX(AG:AG,MIN(IF(ISNUMBER(AG83:AG279),ROW(AG83:AG279),"")))</f>
        <v>5.9399999999999977</v>
      </c>
      <c r="AI83" s="14">
        <f>IF('Données projet'!$A$62&gt;35,AI82+AH83-AQ82,IF(A83&lt;'Données projet'!$A$62,$AF$205^A83,IF(A83='Données projet'!$A$62,'Données projet'!$B$62,AI82+AH83-AQ82)))</f>
        <v>535</v>
      </c>
      <c r="AJ83" s="14">
        <f>AI83*VLOOKUP('Données projet'!$B$10,Paramètres!$A$1:$I$88,3,0)*VLOOKUP('Données projet'!$B$10,Paramètres!$A$1:$I$88,5,0)</f>
        <v>425.64600000000007</v>
      </c>
      <c r="AK83" s="14">
        <f t="shared" si="89"/>
        <v>96.957044669243047</v>
      </c>
      <c r="AL83" s="22">
        <f t="shared" si="58"/>
        <v>910.20030279893172</v>
      </c>
      <c r="AM83" s="59">
        <f t="shared" si="59"/>
        <v>1203.533636132265</v>
      </c>
      <c r="AN83" s="59">
        <f ca="1">AVERAGE(OFFSET($AM$3,0,0,'Données projet'!$E$10+1,1))-AVERAGE(OFFSET($H$3,0,0,'Données projet'!$E$10+1,1))</f>
        <v>504.15006129790828</v>
      </c>
      <c r="AO83" s="59">
        <f t="shared" si="90"/>
        <v>374.39334457402742</v>
      </c>
      <c r="AP83" s="16">
        <f>IF(ISNA(VLOOKUP(A83,'Données projet'!$A$61:$I$81,3,0)),0,VLOOKUP(A83,'Données projet'!$A$61:$I$81,3,0))</f>
        <v>14</v>
      </c>
      <c r="AQ83" s="16">
        <f>IF(ISNA(VLOOKUP(A83,'Données projet'!$A$61:$I$81,4,0)),0,VLOOKUP(A83,'Données projet'!$A$61:$I$81,4,0))</f>
        <v>10.6</v>
      </c>
      <c r="AR83" s="17">
        <f>IF(ISNA(VLOOKUP(A83,'Données projet'!$A$61:$I$81,5,0)),0%,VLOOKUP(A83,'Données projet'!$A$61:$I$81,5,0)*VLOOKUP('Données projet'!$B$10,Paramètres!$A$1:$I$88,7,0))</f>
        <v>0.318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19.413802180166677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19.413802180166677</v>
      </c>
      <c r="AY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535</v>
      </c>
      <c r="BB83" s="13">
        <f>VLOOKUP(A83,'Données projet'!$A$87:$I$107,9,0)</f>
        <v>5.9399999999999977</v>
      </c>
      <c r="BC83" s="13">
        <f t="array" ref="BC83">INDEX(BB:BB,MIN(IF(ISNUMBER(BB83:BB279),ROW(BB83:BB279),"")))</f>
        <v>5.9399999999999977</v>
      </c>
      <c r="BD83" s="13">
        <f>IF('Données projet'!$A$88&gt;35,BD82+BC83-BL82,IF(A83&lt;'Données projet'!$A$88,$BA$205^A83,IF(A83='Données projet'!$A$88,'Données projet'!$B$88,BD82+BC83-BL82)))</f>
        <v>535</v>
      </c>
      <c r="BE83" s="14">
        <f>BD83*VLOOKUP('Données projet'!$B$11,Paramètres!$A$1:$I$88,3,0)*VLOOKUP('Données projet'!$B$11,Paramètres!$A$1:$I$88,5,0)</f>
        <v>425.64600000000007</v>
      </c>
      <c r="BF83" s="14">
        <f t="shared" si="91"/>
        <v>96.957044669243047</v>
      </c>
      <c r="BG83" s="22">
        <f t="shared" si="61"/>
        <v>910.20030279893172</v>
      </c>
      <c r="BH83" s="59">
        <f t="shared" si="62"/>
        <v>1203.533636132265</v>
      </c>
      <c r="BI83" s="59">
        <f ca="1">AVERAGE(OFFSET($BH$3,0,0,'Données projet'!$E$11+1,1))-AVERAGE(OFFSET($H$3,0,0,'Données projet'!$E$11+1,1))</f>
        <v>504.15006129790828</v>
      </c>
      <c r="BJ83" s="59">
        <f t="shared" si="92"/>
        <v>374.39334457402742</v>
      </c>
      <c r="BK83" s="16">
        <f>IF(ISNA(VLOOKUP(A83,'Données projet'!$A$87:$I$107,3,0)),0,VLOOKUP(A83,'Données projet'!$A$87:$I$107,3,0))</f>
        <v>14</v>
      </c>
      <c r="BL83" s="23">
        <f>IF(ISNA(VLOOKUP(A83,'Données projet'!$A$87:$I$107,4,0)),0,VLOOKUP(A83,'Données projet'!$A$87:$I$107,4,0))</f>
        <v>10.6</v>
      </c>
      <c r="BM83" s="17">
        <f>IF(ISNA(VLOOKUP(A83,'Données projet'!$A$87:$I$107,5,0)),0%,VLOOKUP(A83,'Données projet'!$A$87:$I$107,5,0)*VLOOKUP('Données projet'!$B$11,Paramètres!$A$1:$I$88,7,0))</f>
        <v>0.318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19.413802180166677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19.413802180166677</v>
      </c>
      <c r="BT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535</v>
      </c>
      <c r="BW83" s="13">
        <f>VLOOKUP(A83,'Données projet'!$A$113:$I$133,9,0)</f>
        <v>5.9399999999999977</v>
      </c>
      <c r="BX83" s="13">
        <f t="array" ref="BX83">INDEX(BW:BW,MIN(IF(ISNUMBER(BW83:BW279),ROW(BW83:BW279),"")))</f>
        <v>5.9399999999999977</v>
      </c>
      <c r="BY83" s="13">
        <f>IF('Données projet'!$A$114&gt;35,BY82+BX83-CG82,IF(A83&lt;'Données projet'!$A$114,$BV$205^A83,IF(A83='Données projet'!$A$114,'Données projet'!$B$114,BY82+BX83-CG82)))</f>
        <v>535</v>
      </c>
      <c r="BZ83" s="14">
        <f>BY83*VLOOKUP('Données projet'!$B$12,Paramètres!$A$1:$I$88,3,0)*VLOOKUP('Données projet'!$B$12,Paramètres!$A$1:$I$88,5,0)</f>
        <v>358.87799999999999</v>
      </c>
      <c r="CA83" s="14">
        <f t="shared" si="93"/>
        <v>83.387910023686786</v>
      </c>
      <c r="CB83" s="22">
        <f t="shared" si="64"/>
        <v>770.27979329125446</v>
      </c>
      <c r="CC83" s="59">
        <f t="shared" si="65"/>
        <v>1063.6131266245877</v>
      </c>
      <c r="CD83" s="59">
        <f ca="1">AVERAGE(OFFSET($CC$3,0,0,'Données projet'!$E$12+1,1))-AVERAGE(OFFSET($H$3,0,0,'Données projet'!$E$12+1,1))</f>
        <v>387.15063677712425</v>
      </c>
      <c r="CE83" s="59">
        <f t="shared" si="94"/>
        <v>313.19155394370705</v>
      </c>
      <c r="CF83" s="16">
        <f>IF(ISNA(VLOOKUP(A83,'Données projet'!$A$113:$I$133,3,0)),0,VLOOKUP(A83,'Données projet'!$A$113:$I$133,3,0))</f>
        <v>14</v>
      </c>
      <c r="CG83" s="16">
        <f>IF(ISNA(VLOOKUP(A83,'Données projet'!$A$113:$I$133,4,0)),0,VLOOKUP(A83,'Données projet'!$A$113:$I$133,4,0))</f>
        <v>10.6</v>
      </c>
      <c r="CH83" s="17">
        <f>IF(ISNA(VLOOKUP(A83,'Données projet'!$A$113:$I$133,5,0)),0%,VLOOKUP(A83,'Données projet'!$A$113:$I$133,5,0)*VLOOKUP('Données projet'!$B$12,Paramètres!$A$1:$I$88,7,0))</f>
        <v>0.318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16.368499877395433</v>
      </c>
      <c r="CL83" s="23">
        <f>EXP(-LN(2)/25)*CL82+(1-EXP(-LN(2)/25))/(LN(2)/25)*Calculateur!CG83*Calculateur!CI83*VLOOKUP('Données projet'!$B$12,Paramètres!$A$1:$I$88,3,0)*0.475*44/12</f>
        <v>0</v>
      </c>
      <c r="CM83" s="23">
        <f>EXP(-LN(2)/2)*CM82+(1-EXP(-LN(2)/2))/(LN(2)/2)*CG83*CJ83*VLOOKUP('Données projet'!$B$12,Paramètres!$A$1:$I$88,3,0)*0.475*44/12</f>
        <v>0</v>
      </c>
      <c r="CN83" s="24">
        <f t="shared" si="66"/>
        <v>16.368499877395433</v>
      </c>
      <c r="CO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5.8888888888888893</v>
      </c>
      <c r="CT83" s="13">
        <f>IF('Données projet'!$A$140&gt;35,CT82+CS83-DB82,IF(A83&lt;'Données projet'!$A$140,$CQ$205^A83,IF(A83='Données projet'!$A$140,'Données projet'!$B$140,CT82+CS83-DB82)))</f>
        <v>200.44444444444449</v>
      </c>
      <c r="CU83" s="18">
        <f>CT83*VLOOKUP('Données projet'!$B$13,Paramètres!$A$1:$I$88,3,0)*VLOOKUP('Données projet'!$B$13,Paramètres!$A$1:$I$88,5,0)</f>
        <v>193.86986666666672</v>
      </c>
      <c r="CV83" s="14">
        <f t="shared" si="95"/>
        <v>48.394518834530807</v>
      </c>
      <c r="CW83" s="22">
        <f t="shared" si="67"/>
        <v>421.94380474791905</v>
      </c>
      <c r="CX83" s="59">
        <f t="shared" si="68"/>
        <v>715.27713808125236</v>
      </c>
      <c r="CY83" s="59">
        <f ca="1">AVERAGE(OFFSET($CX$3,0,0,'Données projet'!$E$13+1,1))-AVERAGE(OFFSET($H$3,0,0,'Données projet'!$E$13+1,1))</f>
        <v>306.00894145276209</v>
      </c>
      <c r="CZ83" s="59">
        <f t="shared" si="96"/>
        <v>168.74705421228828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17.136909393136595</v>
      </c>
      <c r="DG83" s="23">
        <f>EXP(-LN(2)/25)*DG82+(1-EXP(-LN(2)/25))/(LN(2)/25)*Calculateur!DB83*Calculateur!DD83*VLOOKUP('Données projet'!$B$13,Paramètres!$A$1:$I$88,3,0)*0.475*44/12</f>
        <v>0</v>
      </c>
      <c r="DH83" s="23">
        <f>EXP(-LN(2)/2)*DH82+(1-EXP(-LN(2)/2))/(LN(2)/2)*DB83*DE83*VLOOKUP('Données projet'!$B$13,Paramètres!$A$1:$I$88,3,0)*0.475*44/12</f>
        <v>0</v>
      </c>
      <c r="DI83" s="24">
        <f t="shared" si="69"/>
        <v>17.136909393136595</v>
      </c>
      <c r="DJ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535</v>
      </c>
      <c r="DM83" s="13">
        <f>VLOOKUP(A83,'Données projet'!$A$165:$I$185,9,0)</f>
        <v>5.9399999999999977</v>
      </c>
      <c r="DN83" s="13">
        <f t="array" ref="DN83">INDEX(DM:DM,MIN(IF(ISNUMBER(DM83:DM279),ROW(DM83:DM279),"")))</f>
        <v>5.9399999999999977</v>
      </c>
      <c r="DO83" s="13">
        <f>IF('Données projet'!$A$166&gt;35,DO82+DN83-DW82,IF(A83&lt;'Données projet'!$A$166,$DL$205^A83,IF(A83='Données projet'!$A$166,'Données projet'!$B$166,DO82+DN83-DW82)))</f>
        <v>535</v>
      </c>
      <c r="DP83" s="18">
        <f>DO83*VLOOKUP('Données projet'!$B$14,Paramètres!$A$1:$I$88,3,0)*VLOOKUP('Données projet'!$B$14,Paramètres!$A$1:$I$88,5,0)</f>
        <v>417.3</v>
      </c>
      <c r="DQ83" s="14">
        <f t="shared" si="97"/>
        <v>95.275285227217481</v>
      </c>
      <c r="DR83" s="22">
        <f t="shared" si="70"/>
        <v>892.73528843740371</v>
      </c>
      <c r="DS83" s="59">
        <f t="shared" si="71"/>
        <v>1186.0686217707371</v>
      </c>
      <c r="DT83" s="59">
        <f ca="1">AVERAGE(OFFSET($DS$3,0,0,'Données projet'!$E$14+1,1))-AVERAGE(OFFSET($H$3,0,0,'Données projet'!$E$14+1,1))</f>
        <v>458.14328535055694</v>
      </c>
      <c r="DU83" s="59">
        <f t="shared" si="98"/>
        <v>366.75500153675739</v>
      </c>
      <c r="DV83" s="16">
        <f>IF(ISNA(VLOOKUP(A83,'Données projet'!$A$165:$I$185,3,0)),0,VLOOKUP(A83,'Données projet'!$A$165:$I$185,3,0))</f>
        <v>14</v>
      </c>
      <c r="DW83" s="16">
        <f>IF(ISNA(VLOOKUP(A83,'Données projet'!$A$165:$I$185,4,0)),0,VLOOKUP(A83,'Données projet'!$A$165:$I$185,4,0))</f>
        <v>10.6</v>
      </c>
      <c r="DX83" s="17">
        <f>IF(ISNA(VLOOKUP(A83,'Données projet'!$A$165:$I$185,5,0)),0%,VLOOKUP(A83,'Données projet'!$A$165:$I$185,5,0)*VLOOKUP('Données projet'!$B$14,Paramètres!$A$1:$I$88,7,0))</f>
        <v>0.25800000000000001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projet'!$B$14,Paramètres!$A$1:$I$88,3,0)*0.475*44/12</f>
        <v>15.441981016410788</v>
      </c>
      <c r="EB83" s="23">
        <f>EXP(-LN(2)/25)*EB82+(1-EXP(-LN(2)/25))/(LN(2)/25)*Calculateur!DW83*Calculateur!DY83*VLOOKUP('Données projet'!$B$14,Paramètres!$A$1:$I$88,3,0)*0.475*44/12</f>
        <v>0</v>
      </c>
      <c r="EC83" s="23">
        <f>EXP(-LN(2)/2)*EC82+(1-EXP(-LN(2)/2))/(LN(2)/2)*DW83*DZ83*VLOOKUP('Données projet'!$B$14,Paramètres!$A$1:$I$88,3,0)*0.475*44/12</f>
        <v>0</v>
      </c>
      <c r="ED83" s="24">
        <f t="shared" si="72"/>
        <v>15.441981016410788</v>
      </c>
      <c r="EE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610</v>
      </c>
      <c r="EH83" s="13">
        <f>VLOOKUP(A83,'Données projet'!$A$191:$I$211,9,0)</f>
        <v>14.1</v>
      </c>
      <c r="EI83" s="13">
        <f t="array" ref="EI83">INDEX(EH:EH,MIN(IF(ISNUMBER(EH83:EH279),ROW(EH83:EH279),"")))</f>
        <v>14.1</v>
      </c>
      <c r="EJ83" s="13">
        <f>IF('Données projet'!$A$192&gt;35,EJ82+EI83-ER82,IF(A83&lt;'Données projet'!$A$192,$EG$205^A83,IF(A83='Données projet'!$A$192,'Données projet'!$B$192,EJ82+EI83-ER82)))</f>
        <v>610.00000000000045</v>
      </c>
      <c r="EK83" s="18">
        <f>EJ83*VLOOKUP('Données projet'!$B$15,Paramètres!$A$1:$I$88,3,0)*VLOOKUP('Données projet'!$B$15,Paramètres!$A$1:$I$88,5,0)</f>
        <v>523.38000000000045</v>
      </c>
      <c r="EL83" s="14">
        <f t="shared" si="99"/>
        <v>116.38549944844507</v>
      </c>
      <c r="EM83" s="22">
        <f t="shared" si="73"/>
        <v>1114.2582448727092</v>
      </c>
      <c r="EN83" s="59">
        <f t="shared" si="74"/>
        <v>1407.5915782060424</v>
      </c>
      <c r="EO83" s="59">
        <f ca="1">AVERAGE(OFFSET($EN$3,0,0,'Données projet'!$E$15+1,1))-AVERAGE(OFFSET($H$3,0,0,'Données projet'!$E$15+1,1))</f>
        <v>462.99360395552145</v>
      </c>
      <c r="EP83" s="59">
        <f t="shared" si="100"/>
        <v>153.03880717786046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73</v>
      </c>
      <c r="ES83" s="17">
        <f>IF(ISNA(VLOOKUP(A83,'Données projet'!$A$191:$I$211,5,0)),0%,VLOOKUP(A83,'Données projet'!$A$191:$I$211,5,0)*VLOOKUP('Données projet'!$B$15,Paramètres!$A$1:$I$88,7,0))</f>
        <v>0.42400000000000004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projet'!$B$15,Paramètres!$A$1:$I$88,3,0)*0.475*44/12</f>
        <v>61.541152624973641</v>
      </c>
      <c r="EW83" s="23">
        <f>EXP(-LN(2)/25)*EW82+(1-EXP(-LN(2)/25))/(LN(2)/25)*Calculateur!ER83*Calculateur!ET83*VLOOKUP('Données projet'!$B$15,Paramètres!$A$1:$I$88,3,0)*0.475*44/12</f>
        <v>0</v>
      </c>
      <c r="EX83" s="23">
        <f>EXP(-LN(2)/2)*EX82+(1-EXP(-LN(2)/2))/(LN(2)/2)*ER83*EU83*VLOOKUP('Données projet'!$B$15,Paramètres!$A$1:$I$88,3,0)*0.475*44/12</f>
        <v>0</v>
      </c>
      <c r="EY83" s="24">
        <f t="shared" si="75"/>
        <v>61.541152624973641</v>
      </c>
      <c r="EZ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428</v>
      </c>
      <c r="FC83" s="13">
        <f>VLOOKUP(A83,'Données projet'!$A$217:$I$237,9,0)</f>
        <v>5.0399999999999974</v>
      </c>
      <c r="FD83" s="13">
        <f t="array" ref="FD83">INDEX(FC:FC,MIN(IF(ISNUMBER(FC83:FC279),ROW(FC83:FC279),"")))</f>
        <v>5.0399999999999974</v>
      </c>
      <c r="FE83" s="13">
        <f>IF('Données projet'!$A$218&gt;35,FE82+FD83-FM82,IF(A83&lt;'Données projet'!$A$218,$FB$205^A83,IF(A83='Données projet'!$A$218,'Données projet'!$B$218,FE82+FD83-FM82)))</f>
        <v>428.00000000000011</v>
      </c>
      <c r="FF83" s="18">
        <f>FE83*VLOOKUP('Données projet'!$B$16,Paramètres!$A$1:$I$88,3,0)*VLOOKUP('Données projet'!$B$16,Paramètres!$A$1:$I$88,5,0)</f>
        <v>373.90080000000017</v>
      </c>
      <c r="FG83" s="14">
        <f t="shared" si="101"/>
        <v>86.464854488113787</v>
      </c>
      <c r="FH83" s="22">
        <f t="shared" si="76"/>
        <v>801.80351490013174</v>
      </c>
      <c r="FI83" s="59">
        <f t="shared" si="77"/>
        <v>1095.1368482334651</v>
      </c>
      <c r="FJ83" s="59">
        <f ca="1">AVERAGE(OFFSET($FI$3,0,0,'Données projet'!$E$16+1,1))-AVERAGE(OFFSET($H$3,0,0,'Données projet'!$E$16+1,1))</f>
        <v>427.76895185088944</v>
      </c>
      <c r="FK83" s="59">
        <f t="shared" si="102"/>
        <v>308.32543361559135</v>
      </c>
      <c r="FL83" s="16">
        <f>IF(ISNA(VLOOKUP(A83,'Données projet'!$A$217:$I$237,3,0)),0,VLOOKUP(A83,'Données projet'!$A$217:$I$237,3,0))</f>
        <v>14</v>
      </c>
      <c r="FM83" s="16">
        <f>IF(ISNA(VLOOKUP(A83,'Données projet'!$A$217:$I$237,4,0)),0,VLOOKUP(A83,'Données projet'!$A$217:$I$237,4,0))</f>
        <v>8.4</v>
      </c>
      <c r="FN83" s="17">
        <f>IF(ISNA(VLOOKUP(A83,'Données projet'!$A$217:$I$237,5,0)),0%,VLOOKUP(A83,'Données projet'!$A$217:$I$237,5,0)*VLOOKUP('Données projet'!$B$16,Paramètres!$A$1:$I$88,7,0))</f>
        <v>0.318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projet'!$B$16,Paramètres!$A$1:$I$88,3,0)*0.475*44/12</f>
        <v>16.456104803053748</v>
      </c>
      <c r="FR83" s="23">
        <f>EXP(-LN(2)/25)*FR82+(1-EXP(-LN(2)/25))/(LN(2)/25)*Calculateur!FM83*Calculateur!FO83*VLOOKUP('Données projet'!$B$16,Paramètres!$A$1:$I$88,3,0)*0.475*44/12</f>
        <v>0</v>
      </c>
      <c r="FS83" s="23">
        <f>EXP(-LN(2)/2)*FS82+(1-EXP(-LN(2)/2))/(LN(2)/2)*FM83*FP83*VLOOKUP('Données projet'!$B$16,Paramètres!$A$1:$I$88,3,0)*0.475*44/12</f>
        <v>0</v>
      </c>
      <c r="FT83" s="24">
        <f t="shared" si="78"/>
        <v>16.456104803053748</v>
      </c>
      <c r="FU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333.00000000000006</v>
      </c>
      <c r="GA83" s="18">
        <f>FZ83*VLOOKUP('Données projet'!$B$17,Paramètres!$A$1:$I$88,3,0)*VLOOKUP('Données projet'!$B$17,Paramètres!$A$1:$I$88,5,0)</f>
        <v>207.79200000000006</v>
      </c>
      <c r="GB83" s="14">
        <f t="shared" si="103"/>
        <v>51.452785725007907</v>
      </c>
      <c r="GC83" s="22">
        <f t="shared" si="79"/>
        <v>451.5180018043888</v>
      </c>
      <c r="GD83" s="59">
        <f t="shared" si="80"/>
        <v>744.85133513772212</v>
      </c>
      <c r="GE83" s="59">
        <f ca="1">AVERAGE(OFFSET($GD$3,0,0,'Données projet'!$E$17+1,1))-AVERAGE(OFFSET($H$3,0,0,'Données projet'!$E$17+1,1))</f>
        <v>247.85542034088905</v>
      </c>
      <c r="GF83" s="59">
        <f t="shared" si="104"/>
        <v>299.52241743660352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projet'!$B$17,Paramètres!$A$1:$I$88,3,0)*0.475*44/12</f>
        <v>25.002825524377801</v>
      </c>
      <c r="GM83" s="23">
        <f>EXP(-LN(2)/25)*GM82+(1-EXP(-LN(2)/25))/(LN(2)/25)*Calculateur!GH83*Calculateur!GJ83*VLOOKUP('Données projet'!$B$17,Paramètres!$A$1:$I$88,3,0)*0.475*44/12</f>
        <v>21.840382140562962</v>
      </c>
      <c r="GN83" s="23">
        <f>EXP(-LN(2)/2)*GN82+(1-EXP(-LN(2)/2))/(LN(2)/2)*GH83*GK83*VLOOKUP('Données projet'!$B$17,Paramètres!$A$1:$I$88,3,0)*0.475*44/12</f>
        <v>4.1798931851986194E-2</v>
      </c>
      <c r="GO83" s="23">
        <f t="shared" si="81"/>
        <v>46.885006596792749</v>
      </c>
      <c r="GP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3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6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5.8888888888888893</v>
      </c>
      <c r="N84" s="14">
        <f>IF('Données projet'!$A$36&gt;35,N83+M84-V83,IF(A84&lt;'Données projet'!$A$36,$K$205^A84,IF(A84='Données projet'!$A$36,'Données projet'!$B$36,N83+M84-V83)))</f>
        <v>206.33333333333337</v>
      </c>
      <c r="O84" s="14">
        <f>N84*VLOOKUP('Données projet'!$B$9,Paramètres!$A$1:$I$88,3,0)*VLOOKUP('Données projet'!$B$9,Paramètres!$A$1:$I$88,5,0)</f>
        <v>186.69040000000004</v>
      </c>
      <c r="P84" s="14">
        <f t="shared" si="87"/>
        <v>46.807500637946397</v>
      </c>
      <c r="Q84" s="22">
        <f t="shared" si="54"/>
        <v>406.6755102777567</v>
      </c>
      <c r="R84" s="59">
        <f t="shared" si="55"/>
        <v>700.00884361109001</v>
      </c>
      <c r="S84" s="59">
        <f ca="1">AVERAGE(OFFSET($R$3,0,0,'Données projet'!$E$9+1,1))-AVERAGE(OFFSET($H$3,0,0,'Données projet'!$E$9+1,1))</f>
        <v>247.57967230773539</v>
      </c>
      <c r="T84" s="59">
        <f t="shared" si="88"/>
        <v>156.58857589533295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15.716938274844344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15.716938274844344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5.5200000000000049</v>
      </c>
      <c r="AI84" s="14">
        <f>IF('Données projet'!$A$62&gt;35,AI83+AH84-AQ83,IF(A84&lt;'Données projet'!$A$62,$AF$205^A84,IF(A84='Données projet'!$A$62,'Données projet'!$B$62,AI83+AH84-AQ83)))</f>
        <v>529.91999999999996</v>
      </c>
      <c r="AJ84" s="14">
        <f>AI84*VLOOKUP('Données projet'!$B$10,Paramètres!$A$1:$I$88,3,0)*VLOOKUP('Données projet'!$B$10,Paramètres!$A$1:$I$88,5,0)</f>
        <v>421.60435199999995</v>
      </c>
      <c r="AK84" s="14">
        <f t="shared" si="89"/>
        <v>96.14311703135732</v>
      </c>
      <c r="AL84" s="22">
        <f t="shared" si="58"/>
        <v>901.74350856294711</v>
      </c>
      <c r="AM84" s="59">
        <f t="shared" si="59"/>
        <v>1195.0768418962805</v>
      </c>
      <c r="AN84" s="59">
        <f ca="1">AVERAGE(OFFSET($AM$3,0,0,'Données projet'!$E$10+1,1))-AVERAGE(OFFSET($H$3,0,0,'Données projet'!$E$10+1,1))</f>
        <v>504.15006129790828</v>
      </c>
      <c r="AO84" s="59">
        <f t="shared" si="90"/>
        <v>374.39334457402742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19.033109360663712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19.033109360663712</v>
      </c>
      <c r="AY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5.5200000000000049</v>
      </c>
      <c r="BD84" s="13">
        <f>IF('Données projet'!$A$88&gt;35,BD83+BC84-BL83,IF(A84&lt;'Données projet'!$A$88,$BA$205^A84,IF(A84='Données projet'!$A$88,'Données projet'!$B$88,BD83+BC84-BL83)))</f>
        <v>529.91999999999996</v>
      </c>
      <c r="BE84" s="14">
        <f>BD84*VLOOKUP('Données projet'!$B$11,Paramètres!$A$1:$I$88,3,0)*VLOOKUP('Données projet'!$B$11,Paramètres!$A$1:$I$88,5,0)</f>
        <v>421.60435199999995</v>
      </c>
      <c r="BF84" s="14">
        <f t="shared" si="91"/>
        <v>96.14311703135732</v>
      </c>
      <c r="BG84" s="22">
        <f t="shared" si="61"/>
        <v>901.74350856294711</v>
      </c>
      <c r="BH84" s="59">
        <f t="shared" si="62"/>
        <v>1195.0768418962805</v>
      </c>
      <c r="BI84" s="59">
        <f ca="1">AVERAGE(OFFSET($BH$3,0,0,'Données projet'!$E$11+1,1))-AVERAGE(OFFSET($H$3,0,0,'Données projet'!$E$11+1,1))</f>
        <v>504.15006129790828</v>
      </c>
      <c r="BJ84" s="59">
        <f t="shared" si="92"/>
        <v>374.39334457402742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19.033109360663712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19.033109360663712</v>
      </c>
      <c r="BT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5.5200000000000049</v>
      </c>
      <c r="BY84" s="13">
        <f>IF('Données projet'!$A$114&gt;35,BY83+BX84-CG83,IF(A84&lt;'Données projet'!$A$114,$BV$205^A84,IF(A84='Données projet'!$A$114,'Données projet'!$B$114,BY83+BX84-CG83)))</f>
        <v>529.91999999999996</v>
      </c>
      <c r="BZ84" s="14">
        <f>BY84*VLOOKUP('Données projet'!$B$12,Paramètres!$A$1:$I$88,3,0)*VLOOKUP('Données projet'!$B$12,Paramètres!$A$1:$I$88,5,0)</f>
        <v>355.47033599999997</v>
      </c>
      <c r="CA84" s="14">
        <f t="shared" si="93"/>
        <v>82.687891527193372</v>
      </c>
      <c r="CB84" s="22">
        <f t="shared" si="64"/>
        <v>763.12557960986169</v>
      </c>
      <c r="CC84" s="59">
        <f t="shared" si="65"/>
        <v>1056.4589129431949</v>
      </c>
      <c r="CD84" s="59">
        <f ca="1">AVERAGE(OFFSET($CC$3,0,0,'Données projet'!$E$12+1,1))-AVERAGE(OFFSET($H$3,0,0,'Données projet'!$E$12+1,1))</f>
        <v>387.15063677712425</v>
      </c>
      <c r="CE84" s="59">
        <f t="shared" si="94"/>
        <v>313.19155394370705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16.047523578598817</v>
      </c>
      <c r="CL84" s="23">
        <f>EXP(-LN(2)/25)*CL83+(1-EXP(-LN(2)/25))/(LN(2)/25)*Calculateur!CG84*Calculateur!CI84*VLOOKUP('Données projet'!$B$12,Paramètres!$A$1:$I$88,3,0)*0.475*44/12</f>
        <v>0</v>
      </c>
      <c r="CM84" s="23">
        <f>EXP(-LN(2)/2)*CM83+(1-EXP(-LN(2)/2))/(LN(2)/2)*CG84*CJ84*VLOOKUP('Données projet'!$B$12,Paramètres!$A$1:$I$88,3,0)*0.475*44/12</f>
        <v>0</v>
      </c>
      <c r="CN84" s="24">
        <f t="shared" si="66"/>
        <v>16.047523578598817</v>
      </c>
      <c r="CO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5.8888888888888893</v>
      </c>
      <c r="CT84" s="13">
        <f>IF('Données projet'!$A$140&gt;35,CT83+CS84-DB83,IF(A84&lt;'Données projet'!$A$140,$CQ$205^A84,IF(A84='Données projet'!$A$140,'Données projet'!$B$140,CT83+CS84-DB83)))</f>
        <v>206.33333333333337</v>
      </c>
      <c r="CU84" s="18">
        <f>CT84*VLOOKUP('Données projet'!$B$13,Paramètres!$A$1:$I$88,3,0)*VLOOKUP('Données projet'!$B$13,Paramètres!$A$1:$I$88,5,0)</f>
        <v>199.56560000000005</v>
      </c>
      <c r="CV84" s="14">
        <f t="shared" si="95"/>
        <v>49.648687675453196</v>
      </c>
      <c r="CW84" s="22">
        <f t="shared" si="67"/>
        <v>434.04821770141439</v>
      </c>
      <c r="CX84" s="59">
        <f t="shared" si="68"/>
        <v>727.38155103474764</v>
      </c>
      <c r="CY84" s="59">
        <f ca="1">AVERAGE(OFFSET($CX$3,0,0,'Données projet'!$E$13+1,1))-AVERAGE(OFFSET($H$3,0,0,'Données projet'!$E$13+1,1))</f>
        <v>306.00894145276209</v>
      </c>
      <c r="CZ84" s="59">
        <f t="shared" si="96"/>
        <v>168.74705421228828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16.80086505241982</v>
      </c>
      <c r="DG84" s="23">
        <f>EXP(-LN(2)/25)*DG83+(1-EXP(-LN(2)/25))/(LN(2)/25)*Calculateur!DB84*Calculateur!DD84*VLOOKUP('Données projet'!$B$13,Paramètres!$A$1:$I$88,3,0)*0.475*44/12</f>
        <v>0</v>
      </c>
      <c r="DH84" s="23">
        <f>EXP(-LN(2)/2)*DH83+(1-EXP(-LN(2)/2))/(LN(2)/2)*DB84*DE84*VLOOKUP('Données projet'!$B$13,Paramètres!$A$1:$I$88,3,0)*0.475*44/12</f>
        <v>0</v>
      </c>
      <c r="DI84" s="24">
        <f t="shared" si="69"/>
        <v>16.80086505241982</v>
      </c>
      <c r="DJ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5.5200000000000049</v>
      </c>
      <c r="DO84" s="13">
        <f>IF('Données projet'!$A$166&gt;35,DO83+DN84-DW83,IF(A84&lt;'Données projet'!$A$166,$DL$205^A84,IF(A84='Données projet'!$A$166,'Données projet'!$B$166,DO83+DN84-DW83)))</f>
        <v>529.91999999999996</v>
      </c>
      <c r="DP84" s="18">
        <f>DO84*VLOOKUP('Données projet'!$B$14,Paramètres!$A$1:$I$88,3,0)*VLOOKUP('Données projet'!$B$14,Paramètres!$A$1:$I$88,5,0)</f>
        <v>413.33760000000001</v>
      </c>
      <c r="DQ84" s="14">
        <f t="shared" si="97"/>
        <v>94.475475495821343</v>
      </c>
      <c r="DR84" s="22">
        <f t="shared" si="70"/>
        <v>884.44110648855542</v>
      </c>
      <c r="DS84" s="59">
        <f t="shared" si="71"/>
        <v>1177.7744398218888</v>
      </c>
      <c r="DT84" s="59">
        <f ca="1">AVERAGE(OFFSET($DS$3,0,0,'Données projet'!$E$14+1,1))-AVERAGE(OFFSET($H$3,0,0,'Données projet'!$E$14+1,1))</f>
        <v>458.14328535055694</v>
      </c>
      <c r="DU84" s="59">
        <f t="shared" si="98"/>
        <v>366.75500153675739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projet'!$B$14,Paramètres!$A$1:$I$88,3,0)*0.475*44/12</f>
        <v>15.139173187357375</v>
      </c>
      <c r="EB84" s="23">
        <f>EXP(-LN(2)/25)*EB83+(1-EXP(-LN(2)/25))/(LN(2)/25)*Calculateur!DW84*Calculateur!DY84*VLOOKUP('Données projet'!$B$14,Paramètres!$A$1:$I$88,3,0)*0.475*44/12</f>
        <v>0</v>
      </c>
      <c r="EC84" s="23">
        <f>EXP(-LN(2)/2)*EC83+(1-EXP(-LN(2)/2))/(LN(2)/2)*DW84*DZ84*VLOOKUP('Données projet'!$B$14,Paramètres!$A$1:$I$88,3,0)*0.475*44/12</f>
        <v>0</v>
      </c>
      <c r="ED84" s="24">
        <f t="shared" si="72"/>
        <v>15.139173187357375</v>
      </c>
      <c r="EE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13</v>
      </c>
      <c r="EJ84" s="13">
        <f>IF('Données projet'!$A$192&gt;35,EJ83+EI84-ER83,IF(A84&lt;'Données projet'!$A$192,$EG$205^A84,IF(A84='Données projet'!$A$192,'Données projet'!$B$192,EJ83+EI84-ER83)))</f>
        <v>550.00000000000045</v>
      </c>
      <c r="EK84" s="18">
        <f>EJ84*VLOOKUP('Données projet'!$B$15,Paramètres!$A$1:$I$88,3,0)*VLOOKUP('Données projet'!$B$15,Paramètres!$A$1:$I$88,5,0)</f>
        <v>471.90000000000043</v>
      </c>
      <c r="EL84" s="14">
        <f t="shared" si="99"/>
        <v>106.21012130319528</v>
      </c>
      <c r="EM84" s="22">
        <f t="shared" si="73"/>
        <v>1006.8751279363992</v>
      </c>
      <c r="EN84" s="59">
        <f t="shared" si="74"/>
        <v>1300.2084612697324</v>
      </c>
      <c r="EO84" s="59">
        <f ca="1">AVERAGE(OFFSET($EN$3,0,0,'Données projet'!$E$15+1,1))-AVERAGE(OFFSET($H$3,0,0,'Données projet'!$E$15+1,1))</f>
        <v>462.99360395552145</v>
      </c>
      <c r="EP84" s="59">
        <f t="shared" si="100"/>
        <v>153.03880717786046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projet'!$B$15,Paramètres!$A$1:$I$88,3,0)*0.475*44/12</f>
        <v>60.334368158394597</v>
      </c>
      <c r="EW84" s="23">
        <f>EXP(-LN(2)/25)*EW83+(1-EXP(-LN(2)/25))/(LN(2)/25)*Calculateur!ER84*Calculateur!ET84*VLOOKUP('Données projet'!$B$15,Paramètres!$A$1:$I$88,3,0)*0.475*44/12</f>
        <v>0</v>
      </c>
      <c r="EX84" s="23">
        <f>EXP(-LN(2)/2)*EX83+(1-EXP(-LN(2)/2))/(LN(2)/2)*ER84*EU84*VLOOKUP('Données projet'!$B$15,Paramètres!$A$1:$I$88,3,0)*0.475*44/12</f>
        <v>0</v>
      </c>
      <c r="EY84" s="24">
        <f t="shared" si="75"/>
        <v>60.334368158394597</v>
      </c>
      <c r="EZ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4.4799999999999951</v>
      </c>
      <c r="FE84" s="13">
        <f>IF('Données projet'!$A$218&gt;35,FE83+FD84-FM83,IF(A84&lt;'Données projet'!$A$218,$FB$205^A84,IF(A84='Données projet'!$A$218,'Données projet'!$B$218,FE83+FD84-FM83)))</f>
        <v>424.08000000000015</v>
      </c>
      <c r="FF84" s="18">
        <f>FE84*VLOOKUP('Données projet'!$B$16,Paramètres!$A$1:$I$88,3,0)*VLOOKUP('Données projet'!$B$16,Paramètres!$A$1:$I$88,5,0)</f>
        <v>370.47628800000018</v>
      </c>
      <c r="FG84" s="14">
        <f t="shared" si="101"/>
        <v>85.764738734253527</v>
      </c>
      <c r="FH84" s="22">
        <f t="shared" si="76"/>
        <v>794.61978822882509</v>
      </c>
      <c r="FI84" s="59">
        <f t="shared" si="77"/>
        <v>1087.9531215621585</v>
      </c>
      <c r="FJ84" s="59">
        <f ca="1">AVERAGE(OFFSET($FI$3,0,0,'Données projet'!$E$16+1,1))-AVERAGE(OFFSET($H$3,0,0,'Données projet'!$E$16+1,1))</f>
        <v>427.76895185088944</v>
      </c>
      <c r="FK84" s="59">
        <f t="shared" si="102"/>
        <v>308.32543361559135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projet'!$B$16,Paramètres!$A$1:$I$88,3,0)*0.475*44/12</f>
        <v>16.133410625098698</v>
      </c>
      <c r="FR84" s="23">
        <f>EXP(-LN(2)/25)*FR83+(1-EXP(-LN(2)/25))/(LN(2)/25)*Calculateur!FM84*Calculateur!FO84*VLOOKUP('Données projet'!$B$16,Paramètres!$A$1:$I$88,3,0)*0.475*44/12</f>
        <v>0</v>
      </c>
      <c r="FS84" s="23">
        <f>EXP(-LN(2)/2)*FS83+(1-EXP(-LN(2)/2))/(LN(2)/2)*FM84*FP84*VLOOKUP('Données projet'!$B$16,Paramètres!$A$1:$I$88,3,0)*0.475*44/12</f>
        <v>0</v>
      </c>
      <c r="FT84" s="24">
        <f t="shared" si="78"/>
        <v>16.133410625098698</v>
      </c>
      <c r="FU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333.00000000000006</v>
      </c>
      <c r="GA84" s="18">
        <f>FZ84*VLOOKUP('Données projet'!$B$17,Paramètres!$A$1:$I$88,3,0)*VLOOKUP('Données projet'!$B$17,Paramètres!$A$1:$I$88,5,0)</f>
        <v>207.79200000000006</v>
      </c>
      <c r="GB84" s="14">
        <f t="shared" si="103"/>
        <v>51.452785725007907</v>
      </c>
      <c r="GC84" s="22">
        <f t="shared" si="79"/>
        <v>451.5180018043888</v>
      </c>
      <c r="GD84" s="59">
        <f t="shared" si="80"/>
        <v>744.85133513772212</v>
      </c>
      <c r="GE84" s="59">
        <f ca="1">AVERAGE(OFFSET($GD$3,0,0,'Données projet'!$E$17+1,1))-AVERAGE(OFFSET($H$3,0,0,'Données projet'!$E$17+1,1))</f>
        <v>247.85542034088905</v>
      </c>
      <c r="GF84" s="59">
        <f t="shared" si="104"/>
        <v>299.52241743660352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projet'!$B$17,Paramètres!$A$1:$I$88,3,0)*0.475*44/12</f>
        <v>24.51253536606249</v>
      </c>
      <c r="GM84" s="23">
        <f>EXP(-LN(2)/25)*GM83+(1-EXP(-LN(2)/25))/(LN(2)/25)*Calculateur!GH84*Calculateur!GJ84*VLOOKUP('Données projet'!$B$17,Paramètres!$A$1:$I$88,3,0)*0.475*44/12</f>
        <v>21.243155742393487</v>
      </c>
      <c r="GN84" s="23">
        <f>EXP(-LN(2)/2)*GN83+(1-EXP(-LN(2)/2))/(LN(2)/2)*GH84*GK84*VLOOKUP('Données projet'!$B$17,Paramètres!$A$1:$I$88,3,0)*0.475*44/12</f>
        <v>2.9556308158893815E-2</v>
      </c>
      <c r="GO84" s="23">
        <f t="shared" si="81"/>
        <v>45.785247416614872</v>
      </c>
      <c r="GP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3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6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5.8888888888888893</v>
      </c>
      <c r="N85" s="14">
        <f>IF('Données projet'!$A$36&gt;35,N84+M85-V84,IF(A85&lt;'Données projet'!$A$36,$K$205^A85,IF(A85='Données projet'!$A$36,'Données projet'!$B$36,N84+M85-V84)))</f>
        <v>212.22222222222226</v>
      </c>
      <c r="O85" s="14">
        <f>N85*VLOOKUP('Données projet'!$B$9,Paramètres!$A$1:$I$88,3,0)*VLOOKUP('Données projet'!$B$9,Paramètres!$A$1:$I$88,5,0)</f>
        <v>192.01866666666669</v>
      </c>
      <c r="P85" s="14">
        <f t="shared" si="87"/>
        <v>47.985976506318345</v>
      </c>
      <c r="Q85" s="22">
        <f t="shared" si="54"/>
        <v>418.00808685961556</v>
      </c>
      <c r="R85" s="59">
        <f t="shared" si="55"/>
        <v>711.34142019294882</v>
      </c>
      <c r="S85" s="59">
        <f ca="1">AVERAGE(OFFSET($R$3,0,0,'Données projet'!$E$9+1,1))-AVERAGE(OFFSET($H$3,0,0,'Données projet'!$E$9+1,1))</f>
        <v>247.57967230773539</v>
      </c>
      <c r="T85" s="59">
        <f t="shared" si="88"/>
        <v>156.58857589533295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15.408738701660416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15.408738701660416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5.5200000000000049</v>
      </c>
      <c r="AI85" s="14">
        <f>IF('Données projet'!$A$62&gt;35,AI84+AH85-AQ84,IF(A85&lt;'Données projet'!$A$62,$AF$205^A85,IF(A85='Données projet'!$A$62,'Données projet'!$B$62,AI84+AH85-AQ84)))</f>
        <v>535.43999999999994</v>
      </c>
      <c r="AJ85" s="14">
        <f>AI85*VLOOKUP('Données projet'!$B$10,Paramètres!$A$1:$I$88,3,0)*VLOOKUP('Données projet'!$B$10,Paramètres!$A$1:$I$88,5,0)</f>
        <v>425.99606399999999</v>
      </c>
      <c r="AK85" s="14">
        <f t="shared" si="89"/>
        <v>97.027499891491559</v>
      </c>
      <c r="AL85" s="22">
        <f t="shared" si="58"/>
        <v>910.93270711101457</v>
      </c>
      <c r="AM85" s="59">
        <f t="shared" si="59"/>
        <v>1204.2660404443479</v>
      </c>
      <c r="AN85" s="59">
        <f ca="1">AVERAGE(OFFSET($AM$3,0,0,'Données projet'!$E$10+1,1))-AVERAGE(OFFSET($H$3,0,0,'Données projet'!$E$10+1,1))</f>
        <v>504.15006129790828</v>
      </c>
      <c r="AO85" s="59">
        <f t="shared" si="90"/>
        <v>374.39334457402742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18.659881695151508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18.659881695151508</v>
      </c>
      <c r="AY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5.5200000000000049</v>
      </c>
      <c r="BD85" s="13">
        <f>IF('Données projet'!$A$88&gt;35,BD84+BC85-BL84,IF(A85&lt;'Données projet'!$A$88,$BA$205^A85,IF(A85='Données projet'!$A$88,'Données projet'!$B$88,BD84+BC85-BL84)))</f>
        <v>535.43999999999994</v>
      </c>
      <c r="BE85" s="14">
        <f>BD85*VLOOKUP('Données projet'!$B$11,Paramètres!$A$1:$I$88,3,0)*VLOOKUP('Données projet'!$B$11,Paramètres!$A$1:$I$88,5,0)</f>
        <v>425.99606399999999</v>
      </c>
      <c r="BF85" s="14">
        <f t="shared" si="91"/>
        <v>97.027499891491559</v>
      </c>
      <c r="BG85" s="22">
        <f t="shared" si="61"/>
        <v>910.93270711101457</v>
      </c>
      <c r="BH85" s="59">
        <f t="shared" si="62"/>
        <v>1204.2660404443479</v>
      </c>
      <c r="BI85" s="59">
        <f ca="1">AVERAGE(OFFSET($BH$3,0,0,'Données projet'!$E$11+1,1))-AVERAGE(OFFSET($H$3,0,0,'Données projet'!$E$11+1,1))</f>
        <v>504.15006129790828</v>
      </c>
      <c r="BJ85" s="59">
        <f t="shared" si="92"/>
        <v>374.39334457402742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18.659881695151508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18.659881695151508</v>
      </c>
      <c r="BT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5.5200000000000049</v>
      </c>
      <c r="BY85" s="13">
        <f>IF('Données projet'!$A$114&gt;35,BY84+BX85-CG84,IF(A85&lt;'Données projet'!$A$114,$BV$205^A85,IF(A85='Données projet'!$A$114,'Données projet'!$B$114,BY84+BX85-CG84)))</f>
        <v>535.43999999999994</v>
      </c>
      <c r="BZ85" s="14">
        <f>BY85*VLOOKUP('Données projet'!$B$12,Paramètres!$A$1:$I$88,3,0)*VLOOKUP('Données projet'!$B$12,Paramètres!$A$1:$I$88,5,0)</f>
        <v>359.17315199999996</v>
      </c>
      <c r="CA85" s="14">
        <f t="shared" si="93"/>
        <v>83.448505040310962</v>
      </c>
      <c r="CB85" s="22">
        <f t="shared" si="64"/>
        <v>770.89938601187487</v>
      </c>
      <c r="CC85" s="59">
        <f t="shared" si="65"/>
        <v>1064.2327193452081</v>
      </c>
      <c r="CD85" s="59">
        <f ca="1">AVERAGE(OFFSET($CC$3,0,0,'Données projet'!$E$12+1,1))-AVERAGE(OFFSET($H$3,0,0,'Données projet'!$E$12+1,1))</f>
        <v>387.15063677712425</v>
      </c>
      <c r="CE85" s="59">
        <f t="shared" si="94"/>
        <v>313.19155394370705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15.73284142924539</v>
      </c>
      <c r="CL85" s="23">
        <f>EXP(-LN(2)/25)*CL84+(1-EXP(-LN(2)/25))/(LN(2)/25)*Calculateur!CG85*Calculateur!CI85*VLOOKUP('Données projet'!$B$12,Paramètres!$A$1:$I$88,3,0)*0.475*44/12</f>
        <v>0</v>
      </c>
      <c r="CM85" s="23">
        <f>EXP(-LN(2)/2)*CM84+(1-EXP(-LN(2)/2))/(LN(2)/2)*CG85*CJ85*VLOOKUP('Données projet'!$B$12,Paramètres!$A$1:$I$88,3,0)*0.475*44/12</f>
        <v>0</v>
      </c>
      <c r="CN85" s="24">
        <f t="shared" si="66"/>
        <v>15.73284142924539</v>
      </c>
      <c r="CO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5.8888888888888893</v>
      </c>
      <c r="CT85" s="13">
        <f>IF('Données projet'!$A$140&gt;35,CT84+CS85-DB84,IF(A85&lt;'Données projet'!$A$140,$CQ$205^A85,IF(A85='Données projet'!$A$140,'Données projet'!$B$140,CT84+CS85-DB84)))</f>
        <v>212.22222222222226</v>
      </c>
      <c r="CU85" s="18">
        <f>CT85*VLOOKUP('Données projet'!$B$13,Paramètres!$A$1:$I$88,3,0)*VLOOKUP('Données projet'!$B$13,Paramètres!$A$1:$I$88,5,0)</f>
        <v>205.2613333333334</v>
      </c>
      <c r="CV85" s="14">
        <f t="shared" si="95"/>
        <v>50.898696317752375</v>
      </c>
      <c r="CW85" s="22">
        <f t="shared" si="67"/>
        <v>446.14538497564104</v>
      </c>
      <c r="CX85" s="59">
        <f t="shared" si="68"/>
        <v>739.47871830897429</v>
      </c>
      <c r="CY85" s="59">
        <f ca="1">AVERAGE(OFFSET($CX$3,0,0,'Données projet'!$E$13+1,1))-AVERAGE(OFFSET($H$3,0,0,'Données projet'!$E$13+1,1))</f>
        <v>306.00894145276209</v>
      </c>
      <c r="CZ85" s="59">
        <f t="shared" si="96"/>
        <v>168.74705421228828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16.471410336257691</v>
      </c>
      <c r="DG85" s="23">
        <f>EXP(-LN(2)/25)*DG84+(1-EXP(-LN(2)/25))/(LN(2)/25)*Calculateur!DB85*Calculateur!DD85*VLOOKUP('Données projet'!$B$13,Paramètres!$A$1:$I$88,3,0)*0.475*44/12</f>
        <v>0</v>
      </c>
      <c r="DH85" s="23">
        <f>EXP(-LN(2)/2)*DH84+(1-EXP(-LN(2)/2))/(LN(2)/2)*DB85*DE85*VLOOKUP('Données projet'!$B$13,Paramètres!$A$1:$I$88,3,0)*0.475*44/12</f>
        <v>0</v>
      </c>
      <c r="DI85" s="24">
        <f t="shared" si="69"/>
        <v>16.471410336257691</v>
      </c>
      <c r="DJ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5.5200000000000049</v>
      </c>
      <c r="DO85" s="13">
        <f>IF('Données projet'!$A$166&gt;35,DO84+DN85-DW84,IF(A85&lt;'Données projet'!$A$166,$DL$205^A85,IF(A85='Données projet'!$A$166,'Données projet'!$B$166,DO84+DN85-DW84)))</f>
        <v>535.43999999999994</v>
      </c>
      <c r="DP85" s="18">
        <f>DO85*VLOOKUP('Données projet'!$B$14,Paramètres!$A$1:$I$88,3,0)*VLOOKUP('Données projet'!$B$14,Paramètres!$A$1:$I$88,5,0)</f>
        <v>417.64319999999998</v>
      </c>
      <c r="DQ85" s="14">
        <f t="shared" si="97"/>
        <v>95.344518374931226</v>
      </c>
      <c r="DR85" s="22">
        <f t="shared" si="70"/>
        <v>893.45360950300517</v>
      </c>
      <c r="DS85" s="59">
        <f t="shared" si="71"/>
        <v>1186.7869428363385</v>
      </c>
      <c r="DT85" s="59">
        <f ca="1">AVERAGE(OFFSET($DS$3,0,0,'Données projet'!$E$14+1,1))-AVERAGE(OFFSET($H$3,0,0,'Données projet'!$E$14+1,1))</f>
        <v>458.14328535055694</v>
      </c>
      <c r="DU85" s="59">
        <f t="shared" si="98"/>
        <v>366.75500153675739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projet'!$B$14,Paramètres!$A$1:$I$88,3,0)*0.475*44/12</f>
        <v>14.842303235137161</v>
      </c>
      <c r="EB85" s="23">
        <f>EXP(-LN(2)/25)*EB84+(1-EXP(-LN(2)/25))/(LN(2)/25)*Calculateur!DW85*Calculateur!DY85*VLOOKUP('Données projet'!$B$14,Paramètres!$A$1:$I$88,3,0)*0.475*44/12</f>
        <v>0</v>
      </c>
      <c r="EC85" s="23">
        <f>EXP(-LN(2)/2)*EC84+(1-EXP(-LN(2)/2))/(LN(2)/2)*DW85*DZ85*VLOOKUP('Données projet'!$B$14,Paramètres!$A$1:$I$88,3,0)*0.475*44/12</f>
        <v>0</v>
      </c>
      <c r="ED85" s="24">
        <f t="shared" si="72"/>
        <v>14.842303235137161</v>
      </c>
      <c r="EE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13</v>
      </c>
      <c r="EJ85" s="13">
        <f>IF('Données projet'!$A$192&gt;35,EJ84+EI85-ER84,IF(A85&lt;'Données projet'!$A$192,$EG$205^A85,IF(A85='Données projet'!$A$192,'Données projet'!$B$192,EJ84+EI85-ER84)))</f>
        <v>563.00000000000045</v>
      </c>
      <c r="EK85" s="18">
        <f>EJ85*VLOOKUP('Données projet'!$B$15,Paramètres!$A$1:$I$88,3,0)*VLOOKUP('Données projet'!$B$15,Paramètres!$A$1:$I$88,5,0)</f>
        <v>483.05400000000043</v>
      </c>
      <c r="EL85" s="14">
        <f t="shared" si="99"/>
        <v>108.42530440380432</v>
      </c>
      <c r="EM85" s="22">
        <f t="shared" si="73"/>
        <v>1030.1597885032932</v>
      </c>
      <c r="EN85" s="59">
        <f t="shared" si="74"/>
        <v>1323.4931218366264</v>
      </c>
      <c r="EO85" s="59">
        <f ca="1">AVERAGE(OFFSET($EN$3,0,0,'Données projet'!$E$15+1,1))-AVERAGE(OFFSET($H$3,0,0,'Données projet'!$E$15+1,1))</f>
        <v>462.99360395552145</v>
      </c>
      <c r="EP85" s="59">
        <f t="shared" si="100"/>
        <v>153.03880717786046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projet'!$B$15,Paramètres!$A$1:$I$88,3,0)*0.475*44/12</f>
        <v>59.151247999139322</v>
      </c>
      <c r="EW85" s="23">
        <f>EXP(-LN(2)/25)*EW84+(1-EXP(-LN(2)/25))/(LN(2)/25)*Calculateur!ER85*Calculateur!ET85*VLOOKUP('Données projet'!$B$15,Paramètres!$A$1:$I$88,3,0)*0.475*44/12</f>
        <v>0</v>
      </c>
      <c r="EX85" s="23">
        <f>EXP(-LN(2)/2)*EX84+(1-EXP(-LN(2)/2))/(LN(2)/2)*ER85*EU85*VLOOKUP('Données projet'!$B$15,Paramètres!$A$1:$I$88,3,0)*0.475*44/12</f>
        <v>0</v>
      </c>
      <c r="EY85" s="24">
        <f t="shared" si="75"/>
        <v>59.151247999139322</v>
      </c>
      <c r="EZ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4.4799999999999951</v>
      </c>
      <c r="FE85" s="13">
        <f>IF('Données projet'!$A$218&gt;35,FE84+FD85-FM84,IF(A85&lt;'Données projet'!$A$218,$FB$205^A85,IF(A85='Données projet'!$A$218,'Données projet'!$B$218,FE84+FD85-FM84)))</f>
        <v>428.56000000000017</v>
      </c>
      <c r="FF85" s="18">
        <f>FE85*VLOOKUP('Données projet'!$B$16,Paramètres!$A$1:$I$88,3,0)*VLOOKUP('Données projet'!$B$16,Paramètres!$A$1:$I$88,5,0)</f>
        <v>374.39001600000023</v>
      </c>
      <c r="FG85" s="14">
        <f t="shared" si="101"/>
        <v>86.564809948457878</v>
      </c>
      <c r="FH85" s="22">
        <f t="shared" si="76"/>
        <v>802.82965519356446</v>
      </c>
      <c r="FI85" s="59">
        <f t="shared" si="77"/>
        <v>1096.1629885268978</v>
      </c>
      <c r="FJ85" s="59">
        <f ca="1">AVERAGE(OFFSET($FI$3,0,0,'Données projet'!$E$16+1,1))-AVERAGE(OFFSET($H$3,0,0,'Données projet'!$E$16+1,1))</f>
        <v>427.76895185088944</v>
      </c>
      <c r="FK85" s="59">
        <f t="shared" si="102"/>
        <v>308.32543361559135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projet'!$B$16,Paramètres!$A$1:$I$88,3,0)*0.475*44/12</f>
        <v>15.817044283149334</v>
      </c>
      <c r="FR85" s="23">
        <f>EXP(-LN(2)/25)*FR84+(1-EXP(-LN(2)/25))/(LN(2)/25)*Calculateur!FM85*Calculateur!FO85*VLOOKUP('Données projet'!$B$16,Paramètres!$A$1:$I$88,3,0)*0.475*44/12</f>
        <v>0</v>
      </c>
      <c r="FS85" s="23">
        <f>EXP(-LN(2)/2)*FS84+(1-EXP(-LN(2)/2))/(LN(2)/2)*FM85*FP85*VLOOKUP('Données projet'!$B$16,Paramètres!$A$1:$I$88,3,0)*0.475*44/12</f>
        <v>0</v>
      </c>
      <c r="FT85" s="24">
        <f t="shared" si="78"/>
        <v>15.817044283149334</v>
      </c>
      <c r="FU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333.00000000000006</v>
      </c>
      <c r="GA85" s="18">
        <f>FZ85*VLOOKUP('Données projet'!$B$17,Paramètres!$A$1:$I$88,3,0)*VLOOKUP('Données projet'!$B$17,Paramètres!$A$1:$I$88,5,0)</f>
        <v>207.79200000000006</v>
      </c>
      <c r="GB85" s="14">
        <f t="shared" si="103"/>
        <v>51.452785725007907</v>
      </c>
      <c r="GC85" s="22">
        <f t="shared" si="79"/>
        <v>451.5180018043888</v>
      </c>
      <c r="GD85" s="59">
        <f t="shared" si="80"/>
        <v>744.85133513772212</v>
      </c>
      <c r="GE85" s="59">
        <f ca="1">AVERAGE(OFFSET($GD$3,0,0,'Données projet'!$E$17+1,1))-AVERAGE(OFFSET($H$3,0,0,'Données projet'!$E$17+1,1))</f>
        <v>247.85542034088905</v>
      </c>
      <c r="GF85" s="59">
        <f t="shared" si="104"/>
        <v>299.52241743660352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projet'!$B$17,Paramètres!$A$1:$I$88,3,0)*0.475*44/12</f>
        <v>24.031859498704272</v>
      </c>
      <c r="GM85" s="23">
        <f>EXP(-LN(2)/25)*GM84+(1-EXP(-LN(2)/25))/(LN(2)/25)*Calculateur!GH85*Calculateur!GJ85*VLOOKUP('Données projet'!$B$17,Paramètres!$A$1:$I$88,3,0)*0.475*44/12</f>
        <v>20.662260531488727</v>
      </c>
      <c r="GN85" s="23">
        <f>EXP(-LN(2)/2)*GN84+(1-EXP(-LN(2)/2))/(LN(2)/2)*GH85*GK85*VLOOKUP('Données projet'!$B$17,Paramètres!$A$1:$I$88,3,0)*0.475*44/12</f>
        <v>2.0899465925993101E-2</v>
      </c>
      <c r="GO85" s="23">
        <f t="shared" si="81"/>
        <v>44.715019496118991</v>
      </c>
      <c r="GP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3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6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5.8888888888888893</v>
      </c>
      <c r="N86" s="14">
        <f>IF('Données projet'!$A$36&gt;35,N85+M86-V85,IF(A86&lt;'Données projet'!$A$36,$K$205^A86,IF(A86='Données projet'!$A$36,'Données projet'!$B$36,N85+M86-V85)))</f>
        <v>218.11111111111114</v>
      </c>
      <c r="O86" s="14">
        <f>N86*VLOOKUP('Données projet'!$B$9,Paramètres!$A$1:$I$88,3,0)*VLOOKUP('Données projet'!$B$9,Paramètres!$A$1:$I$88,5,0)</f>
        <v>197.34693333333337</v>
      </c>
      <c r="P86" s="14">
        <f t="shared" si="87"/>
        <v>49.160651584571333</v>
      </c>
      <c r="Q86" s="22">
        <f t="shared" si="54"/>
        <v>429.33404373201734</v>
      </c>
      <c r="R86" s="59">
        <f t="shared" si="55"/>
        <v>722.66737706535059</v>
      </c>
      <c r="S86" s="59">
        <f ca="1">AVERAGE(OFFSET($R$3,0,0,'Données projet'!$E$9+1,1))-AVERAGE(OFFSET($H$3,0,0,'Données projet'!$E$9+1,1))</f>
        <v>247.57967230773539</v>
      </c>
      <c r="T86" s="59">
        <f t="shared" si="88"/>
        <v>156.58857589533295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15.106582734123448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15.106582734123448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5.5200000000000049</v>
      </c>
      <c r="AI86" s="14">
        <f>IF('Données projet'!$A$62&gt;35,AI85+AH86-AQ85,IF(A86&lt;'Données projet'!$A$62,$AF$205^A86,IF(A86='Données projet'!$A$62,'Données projet'!$B$62,AI85+AH86-AQ85)))</f>
        <v>540.95999999999992</v>
      </c>
      <c r="AJ86" s="14">
        <f>AI86*VLOOKUP('Données projet'!$B$10,Paramètres!$A$1:$I$88,3,0)*VLOOKUP('Données projet'!$B$10,Paramètres!$A$1:$I$88,5,0)</f>
        <v>430.38777599999997</v>
      </c>
      <c r="AK86" s="14">
        <f t="shared" si="89"/>
        <v>97.910822108824988</v>
      </c>
      <c r="AL86" s="22">
        <f t="shared" si="58"/>
        <v>920.12005837287006</v>
      </c>
      <c r="AM86" s="59">
        <f t="shared" si="59"/>
        <v>1213.4533917062033</v>
      </c>
      <c r="AN86" s="59">
        <f ca="1">AVERAGE(OFFSET($AM$3,0,0,'Données projet'!$E$10+1,1))-AVERAGE(OFFSET($H$3,0,0,'Données projet'!$E$10+1,1))</f>
        <v>504.15006129790828</v>
      </c>
      <c r="AO86" s="59">
        <f t="shared" si="90"/>
        <v>374.39334457402742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18.2939727965136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18.2939727965136</v>
      </c>
      <c r="AY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5.5200000000000049</v>
      </c>
      <c r="BD86" s="13">
        <f>IF('Données projet'!$A$88&gt;35,BD85+BC86-BL85,IF(A86&lt;'Données projet'!$A$88,$BA$205^A86,IF(A86='Données projet'!$A$88,'Données projet'!$B$88,BD85+BC86-BL85)))</f>
        <v>540.95999999999992</v>
      </c>
      <c r="BE86" s="14">
        <f>BD86*VLOOKUP('Données projet'!$B$11,Paramètres!$A$1:$I$88,3,0)*VLOOKUP('Données projet'!$B$11,Paramètres!$A$1:$I$88,5,0)</f>
        <v>430.38777599999997</v>
      </c>
      <c r="BF86" s="14">
        <f t="shared" si="91"/>
        <v>97.910822108824988</v>
      </c>
      <c r="BG86" s="22">
        <f t="shared" si="61"/>
        <v>920.12005837287006</v>
      </c>
      <c r="BH86" s="59">
        <f t="shared" si="62"/>
        <v>1213.4533917062033</v>
      </c>
      <c r="BI86" s="59">
        <f ca="1">AVERAGE(OFFSET($BH$3,0,0,'Données projet'!$E$11+1,1))-AVERAGE(OFFSET($H$3,0,0,'Données projet'!$E$11+1,1))</f>
        <v>504.15006129790828</v>
      </c>
      <c r="BJ86" s="59">
        <f t="shared" si="92"/>
        <v>374.39334457402742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18.2939727965136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18.2939727965136</v>
      </c>
      <c r="BT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5.5200000000000049</v>
      </c>
      <c r="BY86" s="13">
        <f>IF('Données projet'!$A$114&gt;35,BY85+BX86-CG85,IF(A86&lt;'Données projet'!$A$114,$BV$205^A86,IF(A86='Données projet'!$A$114,'Données projet'!$B$114,BY85+BX86-CG85)))</f>
        <v>540.95999999999992</v>
      </c>
      <c r="BZ86" s="14">
        <f>BY86*VLOOKUP('Données projet'!$B$12,Paramètres!$A$1:$I$88,3,0)*VLOOKUP('Données projet'!$B$12,Paramètres!$A$1:$I$88,5,0)</f>
        <v>362.87596799999994</v>
      </c>
      <c r="CA86" s="14">
        <f t="shared" si="93"/>
        <v>84.208206347546479</v>
      </c>
      <c r="CB86" s="22">
        <f t="shared" si="64"/>
        <v>778.67160365530992</v>
      </c>
      <c r="CC86" s="59">
        <f t="shared" si="65"/>
        <v>1072.0049369886433</v>
      </c>
      <c r="CD86" s="59">
        <f ca="1">AVERAGE(OFFSET($CC$3,0,0,'Données projet'!$E$12+1,1))-AVERAGE(OFFSET($H$3,0,0,'Données projet'!$E$12+1,1))</f>
        <v>387.15063677712425</v>
      </c>
      <c r="CE86" s="59">
        <f t="shared" si="94"/>
        <v>313.19155394370705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15.424330004903625</v>
      </c>
      <c r="CL86" s="23">
        <f>EXP(-LN(2)/25)*CL85+(1-EXP(-LN(2)/25))/(LN(2)/25)*Calculateur!CG86*Calculateur!CI86*VLOOKUP('Données projet'!$B$12,Paramètres!$A$1:$I$88,3,0)*0.475*44/12</f>
        <v>0</v>
      </c>
      <c r="CM86" s="23">
        <f>EXP(-LN(2)/2)*CM85+(1-EXP(-LN(2)/2))/(LN(2)/2)*CG86*CJ86*VLOOKUP('Données projet'!$B$12,Paramètres!$A$1:$I$88,3,0)*0.475*44/12</f>
        <v>0</v>
      </c>
      <c r="CN86" s="24">
        <f t="shared" si="66"/>
        <v>15.424330004903625</v>
      </c>
      <c r="CO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5.8888888888888893</v>
      </c>
      <c r="CT86" s="13">
        <f>IF('Données projet'!$A$140&gt;35,CT85+CS86-DB85,IF(A86&lt;'Données projet'!$A$140,$CQ$205^A86,IF(A86='Données projet'!$A$140,'Données projet'!$B$140,CT85+CS86-DB85)))</f>
        <v>218.11111111111114</v>
      </c>
      <c r="CU86" s="18">
        <f>CT86*VLOOKUP('Données projet'!$B$13,Paramètres!$A$1:$I$88,3,0)*VLOOKUP('Données projet'!$B$13,Paramètres!$A$1:$I$88,5,0)</f>
        <v>210.95706666666672</v>
      </c>
      <c r="CV86" s="14">
        <f t="shared" si="95"/>
        <v>52.14467346426634</v>
      </c>
      <c r="CW86" s="22">
        <f t="shared" si="67"/>
        <v>458.23553072804179</v>
      </c>
      <c r="CX86" s="59">
        <f t="shared" si="68"/>
        <v>751.56886406137505</v>
      </c>
      <c r="CY86" s="59">
        <f ca="1">AVERAGE(OFFSET($CX$3,0,0,'Données projet'!$E$13+1,1))-AVERAGE(OFFSET($H$3,0,0,'Données projet'!$E$13+1,1))</f>
        <v>306.00894145276209</v>
      </c>
      <c r="CZ86" s="59">
        <f t="shared" si="96"/>
        <v>168.74705421228828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16.148416026131965</v>
      </c>
      <c r="DG86" s="23">
        <f>EXP(-LN(2)/25)*DG85+(1-EXP(-LN(2)/25))/(LN(2)/25)*Calculateur!DB86*Calculateur!DD86*VLOOKUP('Données projet'!$B$13,Paramètres!$A$1:$I$88,3,0)*0.475*44/12</f>
        <v>0</v>
      </c>
      <c r="DH86" s="23">
        <f>EXP(-LN(2)/2)*DH85+(1-EXP(-LN(2)/2))/(LN(2)/2)*DB86*DE86*VLOOKUP('Données projet'!$B$13,Paramètres!$A$1:$I$88,3,0)*0.475*44/12</f>
        <v>0</v>
      </c>
      <c r="DI86" s="24">
        <f t="shared" si="69"/>
        <v>16.148416026131965</v>
      </c>
      <c r="DJ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5.5200000000000049</v>
      </c>
      <c r="DO86" s="13">
        <f>IF('Données projet'!$A$166&gt;35,DO85+DN86-DW85,IF(A86&lt;'Données projet'!$A$166,$DL$205^A86,IF(A86='Données projet'!$A$166,'Données projet'!$B$166,DO85+DN86-DW85)))</f>
        <v>540.95999999999992</v>
      </c>
      <c r="DP86" s="18">
        <f>DO86*VLOOKUP('Données projet'!$B$14,Paramètres!$A$1:$I$88,3,0)*VLOOKUP('Données projet'!$B$14,Paramètres!$A$1:$I$88,5,0)</f>
        <v>421.94879999999995</v>
      </c>
      <c r="DQ86" s="14">
        <f t="shared" si="97"/>
        <v>96.21251900852188</v>
      </c>
      <c r="DR86" s="22">
        <f t="shared" si="70"/>
        <v>902.46429727317536</v>
      </c>
      <c r="DS86" s="59">
        <f t="shared" si="71"/>
        <v>1195.7976306065086</v>
      </c>
      <c r="DT86" s="59">
        <f ca="1">AVERAGE(OFFSET($DS$3,0,0,'Données projet'!$E$14+1,1))-AVERAGE(OFFSET($H$3,0,0,'Données projet'!$E$14+1,1))</f>
        <v>458.14328535055694</v>
      </c>
      <c r="DU86" s="59">
        <f t="shared" si="98"/>
        <v>366.75500153675739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projet'!$B$14,Paramètres!$A$1:$I$88,3,0)*0.475*44/12</f>
        <v>14.551254721607194</v>
      </c>
      <c r="EB86" s="23">
        <f>EXP(-LN(2)/25)*EB85+(1-EXP(-LN(2)/25))/(LN(2)/25)*Calculateur!DW86*Calculateur!DY86*VLOOKUP('Données projet'!$B$14,Paramètres!$A$1:$I$88,3,0)*0.475*44/12</f>
        <v>0</v>
      </c>
      <c r="EC86" s="23">
        <f>EXP(-LN(2)/2)*EC85+(1-EXP(-LN(2)/2))/(LN(2)/2)*DW86*DZ86*VLOOKUP('Données projet'!$B$14,Paramètres!$A$1:$I$88,3,0)*0.475*44/12</f>
        <v>0</v>
      </c>
      <c r="ED86" s="24">
        <f t="shared" si="72"/>
        <v>14.551254721607194</v>
      </c>
      <c r="EE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13</v>
      </c>
      <c r="EJ86" s="13">
        <f>IF('Données projet'!$A$192&gt;35,EJ85+EI86-ER85,IF(A86&lt;'Données projet'!$A$192,$EG$205^A86,IF(A86='Données projet'!$A$192,'Données projet'!$B$192,EJ85+EI86-ER85)))</f>
        <v>576.00000000000045</v>
      </c>
      <c r="EK86" s="18">
        <f>EJ86*VLOOKUP('Données projet'!$B$15,Paramètres!$A$1:$I$88,3,0)*VLOOKUP('Données projet'!$B$15,Paramètres!$A$1:$I$88,5,0)</f>
        <v>494.20800000000048</v>
      </c>
      <c r="EL86" s="14">
        <f t="shared" si="99"/>
        <v>110.63454109437804</v>
      </c>
      <c r="EM86" s="22">
        <f t="shared" si="73"/>
        <v>1053.4340924060425</v>
      </c>
      <c r="EN86" s="59">
        <f t="shared" si="74"/>
        <v>1346.7674257393758</v>
      </c>
      <c r="EO86" s="59">
        <f ca="1">AVERAGE(OFFSET($EN$3,0,0,'Données projet'!$E$15+1,1))-AVERAGE(OFFSET($H$3,0,0,'Données projet'!$E$15+1,1))</f>
        <v>462.99360395552145</v>
      </c>
      <c r="EP86" s="59">
        <f t="shared" si="100"/>
        <v>153.03880717786046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projet'!$B$15,Paramètres!$A$1:$I$88,3,0)*0.475*44/12</f>
        <v>57.991328104575004</v>
      </c>
      <c r="EW86" s="23">
        <f>EXP(-LN(2)/25)*EW85+(1-EXP(-LN(2)/25))/(LN(2)/25)*Calculateur!ER86*Calculateur!ET86*VLOOKUP('Données projet'!$B$15,Paramètres!$A$1:$I$88,3,0)*0.475*44/12</f>
        <v>0</v>
      </c>
      <c r="EX86" s="23">
        <f>EXP(-LN(2)/2)*EX85+(1-EXP(-LN(2)/2))/(LN(2)/2)*ER86*EU86*VLOOKUP('Données projet'!$B$15,Paramètres!$A$1:$I$88,3,0)*0.475*44/12</f>
        <v>0</v>
      </c>
      <c r="EY86" s="24">
        <f t="shared" si="75"/>
        <v>57.991328104575004</v>
      </c>
      <c r="EZ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4.4799999999999951</v>
      </c>
      <c r="FE86" s="13">
        <f>IF('Données projet'!$A$218&gt;35,FE85+FD86-FM85,IF(A86&lt;'Données projet'!$A$218,$FB$205^A86,IF(A86='Données projet'!$A$218,'Données projet'!$B$218,FE85+FD86-FM85)))</f>
        <v>433.04000000000019</v>
      </c>
      <c r="FF86" s="18">
        <f>FE86*VLOOKUP('Données projet'!$B$16,Paramètres!$A$1:$I$88,3,0)*VLOOKUP('Données projet'!$B$16,Paramètres!$A$1:$I$88,5,0)</f>
        <v>378.30374400000022</v>
      </c>
      <c r="FG86" s="14">
        <f t="shared" si="101"/>
        <v>87.363908208963508</v>
      </c>
      <c r="FH86" s="22">
        <f t="shared" si="76"/>
        <v>811.03782759727846</v>
      </c>
      <c r="FI86" s="59">
        <f t="shared" si="77"/>
        <v>1104.3711609306117</v>
      </c>
      <c r="FJ86" s="59">
        <f ca="1">AVERAGE(OFFSET($FI$3,0,0,'Données projet'!$E$16+1,1))-AVERAGE(OFFSET($H$3,0,0,'Données projet'!$E$16+1,1))</f>
        <v>427.76895185088944</v>
      </c>
      <c r="FK86" s="59">
        <f t="shared" si="102"/>
        <v>308.32543361559135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projet'!$B$16,Paramètres!$A$1:$I$88,3,0)*0.475*44/12</f>
        <v>15.506881692201183</v>
      </c>
      <c r="FR86" s="23">
        <f>EXP(-LN(2)/25)*FR85+(1-EXP(-LN(2)/25))/(LN(2)/25)*Calculateur!FM86*Calculateur!FO86*VLOOKUP('Données projet'!$B$16,Paramètres!$A$1:$I$88,3,0)*0.475*44/12</f>
        <v>0</v>
      </c>
      <c r="FS86" s="23">
        <f>EXP(-LN(2)/2)*FS85+(1-EXP(-LN(2)/2))/(LN(2)/2)*FM86*FP86*VLOOKUP('Données projet'!$B$16,Paramètres!$A$1:$I$88,3,0)*0.475*44/12</f>
        <v>0</v>
      </c>
      <c r="FT86" s="24">
        <f t="shared" si="78"/>
        <v>15.506881692201183</v>
      </c>
      <c r="FU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333.00000000000006</v>
      </c>
      <c r="GA86" s="18">
        <f>FZ86*VLOOKUP('Données projet'!$B$17,Paramètres!$A$1:$I$88,3,0)*VLOOKUP('Données projet'!$B$17,Paramètres!$A$1:$I$88,5,0)</f>
        <v>207.79200000000006</v>
      </c>
      <c r="GB86" s="14">
        <f t="shared" si="103"/>
        <v>51.452785725007907</v>
      </c>
      <c r="GC86" s="22">
        <f t="shared" si="79"/>
        <v>451.5180018043888</v>
      </c>
      <c r="GD86" s="59">
        <f t="shared" si="80"/>
        <v>744.85133513772212</v>
      </c>
      <c r="GE86" s="59">
        <f ca="1">AVERAGE(OFFSET($GD$3,0,0,'Données projet'!$E$17+1,1))-AVERAGE(OFFSET($H$3,0,0,'Données projet'!$E$17+1,1))</f>
        <v>247.85542034088905</v>
      </c>
      <c r="GF86" s="59">
        <f t="shared" si="104"/>
        <v>299.52241743660352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projet'!$B$17,Paramètres!$A$1:$I$88,3,0)*0.475*44/12</f>
        <v>23.56060939192162</v>
      </c>
      <c r="GM86" s="23">
        <f>EXP(-LN(2)/25)*GM85+(1-EXP(-LN(2)/25))/(LN(2)/25)*Calculateur!GH86*Calculateur!GJ86*VLOOKUP('Données projet'!$B$17,Paramètres!$A$1:$I$88,3,0)*0.475*44/12</f>
        <v>20.09724993067411</v>
      </c>
      <c r="GN86" s="23">
        <f>EXP(-LN(2)/2)*GN85+(1-EXP(-LN(2)/2))/(LN(2)/2)*GH86*GK86*VLOOKUP('Données projet'!$B$17,Paramètres!$A$1:$I$88,3,0)*0.475*44/12</f>
        <v>1.4778154079446911E-2</v>
      </c>
      <c r="GO86" s="23">
        <f t="shared" si="81"/>
        <v>43.67263747667517</v>
      </c>
      <c r="GP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3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6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224</v>
      </c>
      <c r="L87" s="13">
        <f>VLOOKUP(A87,'Données projet'!$A$35:$I$55,9,0)</f>
        <v>5.8888888888888893</v>
      </c>
      <c r="M87" s="13">
        <f t="array" ref="M87">INDEX(L:L,MIN(IF(ISNUMBER(L87:L283),ROW(L87:L283),"")))</f>
        <v>5.8888888888888893</v>
      </c>
      <c r="N87" s="14">
        <f>IF('Données projet'!$A$36&gt;35,N86+M87-V86,IF(A87&lt;'Données projet'!$A$36,$K$205^A87,IF(A87='Données projet'!$A$36,'Données projet'!$B$36,N86+M87-V86)))</f>
        <v>224.00000000000003</v>
      </c>
      <c r="O87" s="14">
        <f>N87*VLOOKUP('Données projet'!$B$9,Paramètres!$A$1:$I$88,3,0)*VLOOKUP('Données projet'!$B$9,Paramètres!$A$1:$I$88,5,0)</f>
        <v>202.67520000000002</v>
      </c>
      <c r="P87" s="14">
        <f t="shared" si="87"/>
        <v>50.331640285313689</v>
      </c>
      <c r="Q87" s="22">
        <f t="shared" si="54"/>
        <v>440.653580163588</v>
      </c>
      <c r="R87" s="59">
        <f t="shared" si="55"/>
        <v>733.98691349692126</v>
      </c>
      <c r="S87" s="59">
        <f ca="1">AVERAGE(OFFSET($R$3,0,0,'Données projet'!$E$9+1,1))-AVERAGE(OFFSET($H$3,0,0,'Données projet'!$E$9+1,1))</f>
        <v>247.57967230773539</v>
      </c>
      <c r="T87" s="59">
        <f t="shared" si="88"/>
        <v>156.58857589533295</v>
      </c>
      <c r="U87" s="16">
        <f>IF(ISNA(VLOOKUP(A87,'Données projet'!$A$35:$I$55,3,0)),0,VLOOKUP(A87,'Données projet'!$A$35:$I$55,3,0))</f>
        <v>6</v>
      </c>
      <c r="V87" s="16">
        <f>IF(ISNA(VLOOKUP(A87,'Données projet'!$A$35:$I$55,4,0)),0,VLOOKUP(A87,'Données projet'!$A$35:$I$55,4,0))</f>
        <v>36</v>
      </c>
      <c r="W87" s="17">
        <f>IF(ISNA(VLOOKUP(A87,'Données projet'!$A$35:$I$55,5,0)),0%,VLOOKUP(A87,'Données projet'!$A$35:$I$55,5,0)*VLOOKUP('Données projet'!$B$9,Paramètres!$A$1:$I$88,7,0))</f>
        <v>0.17200000000000001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21.00377354030649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21.00377354030649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5.5200000000000049</v>
      </c>
      <c r="AI87" s="14">
        <f>IF('Données projet'!$A$62&gt;35,AI86+AH87-AQ86,IF(A87&lt;'Données projet'!$A$62,$AF$205^A87,IF(A87='Données projet'!$A$62,'Données projet'!$B$62,AI86+AH87-AQ86)))</f>
        <v>546.4799999999999</v>
      </c>
      <c r="AJ87" s="14">
        <f>AI87*VLOOKUP('Données projet'!$B$10,Paramètres!$A$1:$I$88,3,0)*VLOOKUP('Données projet'!$B$10,Paramètres!$A$1:$I$88,5,0)</f>
        <v>434.77948799999996</v>
      </c>
      <c r="AK87" s="14">
        <f t="shared" si="89"/>
        <v>98.793095759275218</v>
      </c>
      <c r="AL87" s="22">
        <f t="shared" si="58"/>
        <v>929.30558338073752</v>
      </c>
      <c r="AM87" s="59">
        <f t="shared" si="59"/>
        <v>1222.6389167140708</v>
      </c>
      <c r="AN87" s="59">
        <f ca="1">AVERAGE(OFFSET($AM$3,0,0,'Données projet'!$E$10+1,1))-AVERAGE(OFFSET($H$3,0,0,'Données projet'!$E$10+1,1))</f>
        <v>504.15006129790828</v>
      </c>
      <c r="AO87" s="59">
        <f t="shared" si="90"/>
        <v>374.39334457402742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17.935239148195592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17.935239148195592</v>
      </c>
      <c r="AY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5.5200000000000049</v>
      </c>
      <c r="BD87" s="13">
        <f>IF('Données projet'!$A$88&gt;35,BD86+BC87-BL86,IF(A87&lt;'Données projet'!$A$88,$BA$205^A87,IF(A87='Données projet'!$A$88,'Données projet'!$B$88,BD86+BC87-BL86)))</f>
        <v>546.4799999999999</v>
      </c>
      <c r="BE87" s="14">
        <f>BD87*VLOOKUP('Données projet'!$B$11,Paramètres!$A$1:$I$88,3,0)*VLOOKUP('Données projet'!$B$11,Paramètres!$A$1:$I$88,5,0)</f>
        <v>434.77948799999996</v>
      </c>
      <c r="BF87" s="14">
        <f t="shared" si="91"/>
        <v>98.793095759275218</v>
      </c>
      <c r="BG87" s="22">
        <f t="shared" si="61"/>
        <v>929.30558338073752</v>
      </c>
      <c r="BH87" s="59">
        <f t="shared" si="62"/>
        <v>1222.6389167140708</v>
      </c>
      <c r="BI87" s="59">
        <f ca="1">AVERAGE(OFFSET($BH$3,0,0,'Données projet'!$E$11+1,1))-AVERAGE(OFFSET($H$3,0,0,'Données projet'!$E$11+1,1))</f>
        <v>504.15006129790828</v>
      </c>
      <c r="BJ87" s="59">
        <f t="shared" si="92"/>
        <v>374.39334457402742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17.935239148195592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17.935239148195592</v>
      </c>
      <c r="BT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5.5200000000000049</v>
      </c>
      <c r="BY87" s="13">
        <f>IF('Données projet'!$A$114&gt;35,BY86+BX87-CG86,IF(A87&lt;'Données projet'!$A$114,$BV$205^A87,IF(A87='Données projet'!$A$114,'Données projet'!$B$114,BY86+BX87-CG86)))</f>
        <v>546.4799999999999</v>
      </c>
      <c r="BZ87" s="14">
        <f>BY87*VLOOKUP('Données projet'!$B$12,Paramètres!$A$1:$I$88,3,0)*VLOOKUP('Données projet'!$B$12,Paramètres!$A$1:$I$88,5,0)</f>
        <v>366.57878399999993</v>
      </c>
      <c r="CA87" s="14">
        <f t="shared" si="93"/>
        <v>84.967005834793639</v>
      </c>
      <c r="CB87" s="22">
        <f t="shared" si="64"/>
        <v>786.44225062893213</v>
      </c>
      <c r="CC87" s="59">
        <f t="shared" si="65"/>
        <v>1079.7755839622655</v>
      </c>
      <c r="CD87" s="59">
        <f ca="1">AVERAGE(OFFSET($CC$3,0,0,'Données projet'!$E$12+1,1))-AVERAGE(OFFSET($H$3,0,0,'Données projet'!$E$12+1,1))</f>
        <v>387.15063677712425</v>
      </c>
      <c r="CE87" s="59">
        <f t="shared" si="94"/>
        <v>313.19155394370705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15.121868301419815</v>
      </c>
      <c r="CL87" s="23">
        <f>EXP(-LN(2)/25)*CL86+(1-EXP(-LN(2)/25))/(LN(2)/25)*Calculateur!CG87*Calculateur!CI87*VLOOKUP('Données projet'!$B$12,Paramètres!$A$1:$I$88,3,0)*0.475*44/12</f>
        <v>0</v>
      </c>
      <c r="CM87" s="23">
        <f>EXP(-LN(2)/2)*CM86+(1-EXP(-LN(2)/2))/(LN(2)/2)*CG87*CJ87*VLOOKUP('Données projet'!$B$12,Paramètres!$A$1:$I$88,3,0)*0.475*44/12</f>
        <v>0</v>
      </c>
      <c r="CN87" s="24">
        <f t="shared" si="66"/>
        <v>15.121868301419815</v>
      </c>
      <c r="CO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>
        <f>VLOOKUP(A87,'Données projet'!$A$139:$I$159,2,0)</f>
        <v>224</v>
      </c>
      <c r="CR87" s="13">
        <f>VLOOKUP(A87,'Données projet'!$A$139:$I$159,9,0)</f>
        <v>5.8888888888888893</v>
      </c>
      <c r="CS87" s="13">
        <f t="array" ref="CS87">INDEX(CR:CR,MIN(IF(ISNUMBER(CR87:CR283),ROW(CR87:CR283),"")))</f>
        <v>5.8888888888888893</v>
      </c>
      <c r="CT87" s="13">
        <f>IF('Données projet'!$A$140&gt;35,CT86+CS87-DB86,IF(A87&lt;'Données projet'!$A$140,$CQ$205^A87,IF(A87='Données projet'!$A$140,'Données projet'!$B$140,CT86+CS87-DB86)))</f>
        <v>224.00000000000003</v>
      </c>
      <c r="CU87" s="18">
        <f>CT87*VLOOKUP('Données projet'!$B$13,Paramètres!$A$1:$I$88,3,0)*VLOOKUP('Données projet'!$B$13,Paramètres!$A$1:$I$88,5,0)</f>
        <v>216.65280000000004</v>
      </c>
      <c r="CV87" s="14">
        <f t="shared" si="95"/>
        <v>53.38674047237982</v>
      </c>
      <c r="CW87" s="22">
        <f t="shared" si="67"/>
        <v>470.3188663227283</v>
      </c>
      <c r="CX87" s="59">
        <f t="shared" si="68"/>
        <v>763.65219965606161</v>
      </c>
      <c r="CY87" s="59">
        <f ca="1">AVERAGE(OFFSET($CX$3,0,0,'Données projet'!$E$13+1,1))-AVERAGE(OFFSET($H$3,0,0,'Données projet'!$E$13+1,1))</f>
        <v>306.00894145276209</v>
      </c>
      <c r="CZ87" s="59">
        <f t="shared" si="96"/>
        <v>168.74705421228828</v>
      </c>
      <c r="DA87" s="16">
        <f>IF(ISNA(VLOOKUP(A87,'Données projet'!$A$139:$I$159,3,0)),0,VLOOKUP(A87,'Données projet'!$A$139:$I$159,3,0))</f>
        <v>6</v>
      </c>
      <c r="DB87" s="16">
        <f>IF(ISNA(VLOOKUP(A87,'Données projet'!$A$139:$I$159,4,0)),0,VLOOKUP(A87,'Données projet'!$A$139:$I$159,4,0))</f>
        <v>36</v>
      </c>
      <c r="DC87" s="17">
        <f>IF(ISNA(VLOOKUP(A87,'Données projet'!$A$139:$I$159,5,0)),0%,VLOOKUP(A87,'Données projet'!$A$139:$I$159,5,0)*VLOOKUP('Données projet'!$B$13,Paramètres!$A$1:$I$88,7,0))</f>
        <v>0.17200000000000001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22.452309646534527</v>
      </c>
      <c r="DG87" s="23">
        <f>EXP(-LN(2)/25)*DG86+(1-EXP(-LN(2)/25))/(LN(2)/25)*Calculateur!DB87*Calculateur!DD87*VLOOKUP('Données projet'!$B$13,Paramètres!$A$1:$I$88,3,0)*0.475*44/12</f>
        <v>0</v>
      </c>
      <c r="DH87" s="23">
        <f>EXP(-LN(2)/2)*DH86+(1-EXP(-LN(2)/2))/(LN(2)/2)*DB87*DE87*VLOOKUP('Données projet'!$B$13,Paramètres!$A$1:$I$88,3,0)*0.475*44/12</f>
        <v>0</v>
      </c>
      <c r="DI87" s="24">
        <f t="shared" si="69"/>
        <v>22.452309646534527</v>
      </c>
      <c r="DJ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5.5200000000000049</v>
      </c>
      <c r="DO87" s="13">
        <f>IF('Données projet'!$A$166&gt;35,DO86+DN87-DW86,IF(A87&lt;'Données projet'!$A$166,$DL$205^A87,IF(A87='Données projet'!$A$166,'Données projet'!$B$166,DO86+DN87-DW86)))</f>
        <v>546.4799999999999</v>
      </c>
      <c r="DP87" s="18">
        <f>DO87*VLOOKUP('Données projet'!$B$14,Paramètres!$A$1:$I$88,3,0)*VLOOKUP('Données projet'!$B$14,Paramètres!$A$1:$I$88,5,0)</f>
        <v>426.25439999999992</v>
      </c>
      <c r="DQ87" s="14">
        <f t="shared" si="97"/>
        <v>97.079489263049226</v>
      </c>
      <c r="DR87" s="22">
        <f t="shared" si="70"/>
        <v>911.47319046647726</v>
      </c>
      <c r="DS87" s="59">
        <f t="shared" si="71"/>
        <v>1204.8065237998105</v>
      </c>
      <c r="DT87" s="59">
        <f ca="1">AVERAGE(OFFSET($DS$3,0,0,'Données projet'!$E$14+1,1))-AVERAGE(OFFSET($H$3,0,0,'Données projet'!$E$14+1,1))</f>
        <v>458.14328535055694</v>
      </c>
      <c r="DU87" s="59">
        <f t="shared" si="98"/>
        <v>366.75500153675739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projet'!$B$14,Paramètres!$A$1:$I$88,3,0)*0.475*44/12</f>
        <v>14.265913491905485</v>
      </c>
      <c r="EB87" s="23">
        <f>EXP(-LN(2)/25)*EB86+(1-EXP(-LN(2)/25))/(LN(2)/25)*Calculateur!DW87*Calculateur!DY87*VLOOKUP('Données projet'!$B$14,Paramètres!$A$1:$I$88,3,0)*0.475*44/12</f>
        <v>0</v>
      </c>
      <c r="EC87" s="23">
        <f>EXP(-LN(2)/2)*EC86+(1-EXP(-LN(2)/2))/(LN(2)/2)*DW87*DZ87*VLOOKUP('Données projet'!$B$14,Paramètres!$A$1:$I$88,3,0)*0.475*44/12</f>
        <v>0</v>
      </c>
      <c r="ED87" s="24">
        <f t="shared" si="72"/>
        <v>14.265913491905485</v>
      </c>
      <c r="EE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13</v>
      </c>
      <c r="EJ87" s="13">
        <f>IF('Données projet'!$A$192&gt;35,EJ86+EI87-ER86,IF(A87&lt;'Données projet'!$A$192,$EG$205^A87,IF(A87='Données projet'!$A$192,'Données projet'!$B$192,EJ86+EI87-ER86)))</f>
        <v>589.00000000000045</v>
      </c>
      <c r="EK87" s="18">
        <f>EJ87*VLOOKUP('Données projet'!$B$15,Paramètres!$A$1:$I$88,3,0)*VLOOKUP('Données projet'!$B$15,Paramètres!$A$1:$I$88,5,0)</f>
        <v>505.36200000000042</v>
      </c>
      <c r="EL87" s="14">
        <f t="shared" si="99"/>
        <v>112.83798103284138</v>
      </c>
      <c r="EM87" s="22">
        <f t="shared" si="73"/>
        <v>1076.6983002988661</v>
      </c>
      <c r="EN87" s="59">
        <f t="shared" si="74"/>
        <v>1370.0316336321994</v>
      </c>
      <c r="EO87" s="59">
        <f ca="1">AVERAGE(OFFSET($EN$3,0,0,'Données projet'!$E$15+1,1))-AVERAGE(OFFSET($H$3,0,0,'Données projet'!$E$15+1,1))</f>
        <v>462.99360395552145</v>
      </c>
      <c r="EP87" s="59">
        <f t="shared" si="100"/>
        <v>153.03880717786046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projet'!$B$15,Paramètres!$A$1:$I$88,3,0)*0.475*44/12</f>
        <v>56.854153531661815</v>
      </c>
      <c r="EW87" s="23">
        <f>EXP(-LN(2)/25)*EW86+(1-EXP(-LN(2)/25))/(LN(2)/25)*Calculateur!ER87*Calculateur!ET87*VLOOKUP('Données projet'!$B$15,Paramètres!$A$1:$I$88,3,0)*0.475*44/12</f>
        <v>0</v>
      </c>
      <c r="EX87" s="23">
        <f>EXP(-LN(2)/2)*EX86+(1-EXP(-LN(2)/2))/(LN(2)/2)*ER87*EU87*VLOOKUP('Données projet'!$B$15,Paramètres!$A$1:$I$88,3,0)*0.475*44/12</f>
        <v>0</v>
      </c>
      <c r="EY87" s="24">
        <f t="shared" si="75"/>
        <v>56.854153531661815</v>
      </c>
      <c r="EZ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4.4799999999999951</v>
      </c>
      <c r="FE87" s="13">
        <f>IF('Données projet'!$A$218&gt;35,FE86+FD87-FM86,IF(A87&lt;'Données projet'!$A$218,$FB$205^A87,IF(A87='Données projet'!$A$218,'Données projet'!$B$218,FE86+FD87-FM86)))</f>
        <v>437.52000000000021</v>
      </c>
      <c r="FF87" s="18">
        <f>FE87*VLOOKUP('Données projet'!$B$16,Paramètres!$A$1:$I$88,3,0)*VLOOKUP('Données projet'!$B$16,Paramètres!$A$1:$I$88,5,0)</f>
        <v>382.21747200000021</v>
      </c>
      <c r="FG87" s="14">
        <f t="shared" si="101"/>
        <v>88.162044746710237</v>
      </c>
      <c r="FH87" s="22">
        <f t="shared" si="76"/>
        <v>819.2443250005208</v>
      </c>
      <c r="FI87" s="59">
        <f t="shared" si="77"/>
        <v>1112.5776583338541</v>
      </c>
      <c r="FJ87" s="59">
        <f ca="1">AVERAGE(OFFSET($FI$3,0,0,'Données projet'!$E$16+1,1))-AVERAGE(OFFSET($H$3,0,0,'Données projet'!$E$16+1,1))</f>
        <v>427.76895185088944</v>
      </c>
      <c r="FK87" s="59">
        <f t="shared" si="102"/>
        <v>308.32543361559135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projet'!$B$16,Paramètres!$A$1:$I$88,3,0)*0.475*44/12</f>
        <v>15.202801200481025</v>
      </c>
      <c r="FR87" s="23">
        <f>EXP(-LN(2)/25)*FR86+(1-EXP(-LN(2)/25))/(LN(2)/25)*Calculateur!FM87*Calculateur!FO87*VLOOKUP('Données projet'!$B$16,Paramètres!$A$1:$I$88,3,0)*0.475*44/12</f>
        <v>0</v>
      </c>
      <c r="FS87" s="23">
        <f>EXP(-LN(2)/2)*FS86+(1-EXP(-LN(2)/2))/(LN(2)/2)*FM87*FP87*VLOOKUP('Données projet'!$B$16,Paramètres!$A$1:$I$88,3,0)*0.475*44/12</f>
        <v>0</v>
      </c>
      <c r="FT87" s="24">
        <f t="shared" si="78"/>
        <v>15.202801200481025</v>
      </c>
      <c r="FU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333.00000000000006</v>
      </c>
      <c r="GA87" s="18">
        <f>FZ87*VLOOKUP('Données projet'!$B$17,Paramètres!$A$1:$I$88,3,0)*VLOOKUP('Données projet'!$B$17,Paramètres!$A$1:$I$88,5,0)</f>
        <v>207.79200000000006</v>
      </c>
      <c r="GB87" s="14">
        <f t="shared" si="103"/>
        <v>51.452785725007907</v>
      </c>
      <c r="GC87" s="22">
        <f t="shared" si="79"/>
        <v>451.5180018043888</v>
      </c>
      <c r="GD87" s="59">
        <f t="shared" si="80"/>
        <v>744.85133513772212</v>
      </c>
      <c r="GE87" s="59">
        <f ca="1">AVERAGE(OFFSET($GD$3,0,0,'Données projet'!$E$17+1,1))-AVERAGE(OFFSET($H$3,0,0,'Données projet'!$E$17+1,1))</f>
        <v>247.85542034088905</v>
      </c>
      <c r="GF87" s="59">
        <f t="shared" si="104"/>
        <v>299.52241743660352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projet'!$B$17,Paramètres!$A$1:$I$88,3,0)*0.475*44/12</f>
        <v>23.098600212298791</v>
      </c>
      <c r="GM87" s="23">
        <f>EXP(-LN(2)/25)*GM86+(1-EXP(-LN(2)/25))/(LN(2)/25)*Calculateur!GH87*Calculateur!GJ87*VLOOKUP('Données projet'!$B$17,Paramètres!$A$1:$I$88,3,0)*0.475*44/12</f>
        <v>19.547689574451386</v>
      </c>
      <c r="GN87" s="23">
        <f>EXP(-LN(2)/2)*GN86+(1-EXP(-LN(2)/2))/(LN(2)/2)*GH87*GK87*VLOOKUP('Données projet'!$B$17,Paramètres!$A$1:$I$88,3,0)*0.475*44/12</f>
        <v>1.0449732962996552E-2</v>
      </c>
      <c r="GO87" s="23">
        <f t="shared" si="81"/>
        <v>42.65673951971317</v>
      </c>
      <c r="GP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3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6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5.7777777777777777</v>
      </c>
      <c r="N88" s="14">
        <f>IF('Données projet'!$A$36&gt;35,N87+M88-V87,IF(A88&lt;'Données projet'!$A$36,$K$205^A88,IF(A88='Données projet'!$A$36,'Données projet'!$B$36,N87+M88-V87)))</f>
        <v>193.7777777777778</v>
      </c>
      <c r="O88" s="14">
        <f>N88*VLOOKUP('Données projet'!$B$9,Paramètres!$A$1:$I$88,3,0)*VLOOKUP('Données projet'!$B$9,Paramètres!$A$1:$I$88,5,0)</f>
        <v>175.33013333333335</v>
      </c>
      <c r="P88" s="14">
        <f t="shared" si="87"/>
        <v>44.281642764467087</v>
      </c>
      <c r="Q88" s="22">
        <f t="shared" si="54"/>
        <v>382.49051003700242</v>
      </c>
      <c r="R88" s="59">
        <f t="shared" si="55"/>
        <v>675.82384337033568</v>
      </c>
      <c r="S88" s="59">
        <f ca="1">AVERAGE(OFFSET($R$3,0,0,'Données projet'!$E$9+1,1))-AVERAGE(OFFSET($H$3,0,0,'Données projet'!$E$9+1,1))</f>
        <v>247.57967230773539</v>
      </c>
      <c r="T88" s="59">
        <f t="shared" si="88"/>
        <v>156.58857589533295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20.591902352217954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20.591902352217954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552</v>
      </c>
      <c r="AG88" s="13">
        <f>VLOOKUP(A88,'Données projet'!$A$61:$I$81,9,0)</f>
        <v>5.5200000000000049</v>
      </c>
      <c r="AH88" s="13">
        <f t="array" ref="AH88">INDEX(AG:AG,MIN(IF(ISNUMBER(AG88:AG284),ROW(AG88:AG284),"")))</f>
        <v>5.5200000000000049</v>
      </c>
      <c r="AI88" s="14">
        <f>IF('Données projet'!$A$62&gt;35,AI87+AH88-AQ87,IF(A88&lt;'Données projet'!$A$62,$AF$205^A88,IF(A88='Données projet'!$A$62,'Données projet'!$B$62,AI87+AH88-AQ87)))</f>
        <v>551.99999999999989</v>
      </c>
      <c r="AJ88" s="14">
        <f>AI88*VLOOKUP('Données projet'!$B$10,Paramètres!$A$1:$I$88,3,0)*VLOOKUP('Données projet'!$B$10,Paramètres!$A$1:$I$88,5,0)</f>
        <v>439.17119999999989</v>
      </c>
      <c r="AK88" s="14">
        <f t="shared" si="89"/>
        <v>99.674332660742877</v>
      </c>
      <c r="AL88" s="22">
        <f t="shared" si="58"/>
        <v>938.48930271746019</v>
      </c>
      <c r="AM88" s="59">
        <f t="shared" si="59"/>
        <v>1231.8226360507936</v>
      </c>
      <c r="AN88" s="59">
        <f ca="1">AVERAGE(OFFSET($AM$3,0,0,'Données projet'!$E$10+1,1))-AVERAGE(OFFSET($H$3,0,0,'Données projet'!$E$10+1,1))</f>
        <v>504.15006129790828</v>
      </c>
      <c r="AO88" s="59">
        <f t="shared" si="90"/>
        <v>374.39334457402742</v>
      </c>
      <c r="AP88" s="16">
        <f>IF(ISNA(VLOOKUP(A88,'Données projet'!$A$61:$I$81,3,0)),0,VLOOKUP(A88,'Données projet'!$A$61:$I$81,3,0))</f>
        <v>15</v>
      </c>
      <c r="AQ88" s="16">
        <f>IF(ISNA(VLOOKUP(A88,'Données projet'!$A$61:$I$81,4,0)),0,VLOOKUP(A88,'Données projet'!$A$61:$I$81,4,0))</f>
        <v>9.6</v>
      </c>
      <c r="AR88" s="17">
        <f>IF(ISNA(VLOOKUP(A88,'Données projet'!$A$61:$I$81,5,0)),0%,VLOOKUP(A88,'Données projet'!$A$61:$I$81,5,0)*VLOOKUP('Données projet'!$B$10,Paramètres!$A$1:$I$88,7,0))</f>
        <v>0.371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20.716010820374347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20.716010820374347</v>
      </c>
      <c r="AY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552</v>
      </c>
      <c r="BB88" s="13">
        <f>VLOOKUP(A88,'Données projet'!$A$87:$I$107,9,0)</f>
        <v>5.5200000000000049</v>
      </c>
      <c r="BC88" s="13">
        <f t="array" ref="BC88">INDEX(BB:BB,MIN(IF(ISNUMBER(BB88:BB284),ROW(BB88:BB284),"")))</f>
        <v>5.5200000000000049</v>
      </c>
      <c r="BD88" s="13">
        <f>IF('Données projet'!$A$88&gt;35,BD87+BC88-BL87,IF(A88&lt;'Données projet'!$A$88,$BA$205^A88,IF(A88='Données projet'!$A$88,'Données projet'!$B$88,BD87+BC88-BL87)))</f>
        <v>551.99999999999989</v>
      </c>
      <c r="BE88" s="14">
        <f>BD88*VLOOKUP('Données projet'!$B$11,Paramètres!$A$1:$I$88,3,0)*VLOOKUP('Données projet'!$B$11,Paramètres!$A$1:$I$88,5,0)</f>
        <v>439.17119999999989</v>
      </c>
      <c r="BF88" s="14">
        <f t="shared" si="91"/>
        <v>99.674332660742877</v>
      </c>
      <c r="BG88" s="22">
        <f t="shared" si="61"/>
        <v>938.48930271746019</v>
      </c>
      <c r="BH88" s="59">
        <f t="shared" si="62"/>
        <v>1231.8226360507936</v>
      </c>
      <c r="BI88" s="59">
        <f ca="1">AVERAGE(OFFSET($BH$3,0,0,'Données projet'!$E$11+1,1))-AVERAGE(OFFSET($H$3,0,0,'Données projet'!$E$11+1,1))</f>
        <v>504.15006129790828</v>
      </c>
      <c r="BJ88" s="59">
        <f t="shared" si="92"/>
        <v>374.39334457402742</v>
      </c>
      <c r="BK88" s="16">
        <f>IF(ISNA(VLOOKUP(A88,'Données projet'!$A$87:$I$107,3,0)),0,VLOOKUP(A88,'Données projet'!$A$87:$I$107,3,0))</f>
        <v>15</v>
      </c>
      <c r="BL88" s="16">
        <f>IF(ISNA(VLOOKUP(A88,'Données projet'!$A$87:$I$107,4,0)),0,VLOOKUP(A88,'Données projet'!$A$87:$I$107,4,0))</f>
        <v>9.6</v>
      </c>
      <c r="BM88" s="17">
        <f>IF(ISNA(VLOOKUP(A88,'Données projet'!$A$87:$I$107,5,0)),0%,VLOOKUP(A88,'Données projet'!$A$87:$I$107,5,0)*VLOOKUP('Données projet'!$B$11,Paramètres!$A$1:$I$88,7,0))</f>
        <v>0.371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20.716010820374347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20.716010820374347</v>
      </c>
      <c r="BT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552</v>
      </c>
      <c r="BW88" s="13">
        <f>VLOOKUP(A88,'Données projet'!$A$113:$I$133,9,0)</f>
        <v>5.5200000000000049</v>
      </c>
      <c r="BX88" s="13">
        <f t="array" ref="BX88">INDEX(BW:BW,MIN(IF(ISNUMBER(BW88:BW284),ROW(BW88:BW284),"")))</f>
        <v>5.5200000000000049</v>
      </c>
      <c r="BY88" s="13">
        <f>IF('Données projet'!$A$114&gt;35,BY87+BX88-CG87,IF(A88&lt;'Données projet'!$A$114,$BV$205^A88,IF(A88='Données projet'!$A$114,'Données projet'!$B$114,BY87+BX88-CG87)))</f>
        <v>551.99999999999989</v>
      </c>
      <c r="BZ88" s="14">
        <f>BY88*VLOOKUP('Données projet'!$B$12,Paramètres!$A$1:$I$88,3,0)*VLOOKUP('Données projet'!$B$12,Paramètres!$A$1:$I$88,5,0)</f>
        <v>370.28159999999997</v>
      </c>
      <c r="CA88" s="14">
        <f t="shared" si="93"/>
        <v>85.724913666038091</v>
      </c>
      <c r="CB88" s="22">
        <f t="shared" si="64"/>
        <v>794.2113446350163</v>
      </c>
      <c r="CC88" s="59">
        <f t="shared" si="65"/>
        <v>1087.5446779683496</v>
      </c>
      <c r="CD88" s="59">
        <f ca="1">AVERAGE(OFFSET($CC$3,0,0,'Données projet'!$E$12+1,1))-AVERAGE(OFFSET($H$3,0,0,'Données projet'!$E$12+1,1))</f>
        <v>387.15063677712425</v>
      </c>
      <c r="CE88" s="59">
        <f t="shared" si="94"/>
        <v>313.19155394370705</v>
      </c>
      <c r="CF88" s="16">
        <f>IF(ISNA(VLOOKUP(A88,'Données projet'!$A$113:$I$133,3,0)),0,VLOOKUP(A88,'Données projet'!$A$113:$I$133,3,0))</f>
        <v>15</v>
      </c>
      <c r="CG88" s="16">
        <f>IF(ISNA(VLOOKUP(A88,'Données projet'!$A$113:$I$133,4,0)),0,VLOOKUP(A88,'Données projet'!$A$113:$I$133,4,0))</f>
        <v>9.6</v>
      </c>
      <c r="CH88" s="17">
        <f>IF(ISNA(VLOOKUP(A88,'Données projet'!$A$113:$I$133,5,0)),0%,VLOOKUP(A88,'Données projet'!$A$113:$I$133,5,0)*VLOOKUP('Données projet'!$B$12,Paramètres!$A$1:$I$88,7,0))</f>
        <v>0.371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17.466440495609746</v>
      </c>
      <c r="CL88" s="23">
        <f>EXP(-LN(2)/25)*CL87+(1-EXP(-LN(2)/25))/(LN(2)/25)*Calculateur!CG88*Calculateur!CI88*VLOOKUP('Données projet'!$B$12,Paramètres!$A$1:$I$88,3,0)*0.475*44/12</f>
        <v>0</v>
      </c>
      <c r="CM88" s="23">
        <f>EXP(-LN(2)/2)*CM87+(1-EXP(-LN(2)/2))/(LN(2)/2)*CG88*CJ88*VLOOKUP('Données projet'!$B$12,Paramètres!$A$1:$I$88,3,0)*0.475*44/12</f>
        <v>0</v>
      </c>
      <c r="CN88" s="24">
        <f t="shared" si="66"/>
        <v>17.466440495609746</v>
      </c>
      <c r="CO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5.7777777777777777</v>
      </c>
      <c r="CT88" s="13">
        <f>IF('Données projet'!$A$140&gt;35,CT87+CS88-DB87,IF(A88&lt;'Données projet'!$A$140,$CQ$205^A88,IF(A88='Données projet'!$A$140,'Données projet'!$B$140,CT87+CS88-DB87)))</f>
        <v>193.7777777777778</v>
      </c>
      <c r="CU88" s="18">
        <f>CT88*VLOOKUP('Données projet'!$B$13,Paramètres!$A$1:$I$88,3,0)*VLOOKUP('Données projet'!$B$13,Paramètres!$A$1:$I$88,5,0)</f>
        <v>187.42186666666669</v>
      </c>
      <c r="CV88" s="14">
        <f t="shared" si="95"/>
        <v>46.969511753564909</v>
      </c>
      <c r="CW88" s="22">
        <f t="shared" si="67"/>
        <v>408.23165074857002</v>
      </c>
      <c r="CX88" s="59">
        <f t="shared" si="68"/>
        <v>701.56498408190328</v>
      </c>
      <c r="CY88" s="59">
        <f ca="1">AVERAGE(OFFSET($CX$3,0,0,'Données projet'!$E$13+1,1))-AVERAGE(OFFSET($H$3,0,0,'Données projet'!$E$13+1,1))</f>
        <v>306.00894145276209</v>
      </c>
      <c r="CZ88" s="59">
        <f t="shared" si="96"/>
        <v>168.74705421228828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22.012033548922645</v>
      </c>
      <c r="DG88" s="23">
        <f>EXP(-LN(2)/25)*DG87+(1-EXP(-LN(2)/25))/(LN(2)/25)*Calculateur!DB88*Calculateur!DD88*VLOOKUP('Données projet'!$B$13,Paramètres!$A$1:$I$88,3,0)*0.475*44/12</f>
        <v>0</v>
      </c>
      <c r="DH88" s="23">
        <f>EXP(-LN(2)/2)*DH87+(1-EXP(-LN(2)/2))/(LN(2)/2)*DB88*DE88*VLOOKUP('Données projet'!$B$13,Paramètres!$A$1:$I$88,3,0)*0.475*44/12</f>
        <v>0</v>
      </c>
      <c r="DI88" s="24">
        <f t="shared" si="69"/>
        <v>22.012033548922645</v>
      </c>
      <c r="DJ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552</v>
      </c>
      <c r="DM88" s="13">
        <f>VLOOKUP(A88,'Données projet'!$A$165:$I$185,9,0)</f>
        <v>5.5200000000000049</v>
      </c>
      <c r="DN88" s="13">
        <f t="array" ref="DN88">INDEX(DM:DM,MIN(IF(ISNUMBER(DM88:DM284),ROW(DM88:DM284),"")))</f>
        <v>5.5200000000000049</v>
      </c>
      <c r="DO88" s="13">
        <f>IF('Données projet'!$A$166&gt;35,DO87+DN88-DW87,IF(A88&lt;'Données projet'!$A$166,$DL$205^A88,IF(A88='Données projet'!$A$166,'Données projet'!$B$166,DO87+DN88-DW87)))</f>
        <v>551.99999999999989</v>
      </c>
      <c r="DP88" s="18">
        <f>DO88*VLOOKUP('Données projet'!$B$14,Paramètres!$A$1:$I$88,3,0)*VLOOKUP('Données projet'!$B$14,Paramètres!$A$1:$I$88,5,0)</f>
        <v>430.55999999999995</v>
      </c>
      <c r="DQ88" s="14">
        <f t="shared" si="97"/>
        <v>97.945440751427327</v>
      </c>
      <c r="DR88" s="22">
        <f t="shared" si="70"/>
        <v>920.48030930873574</v>
      </c>
      <c r="DS88" s="59">
        <f t="shared" si="71"/>
        <v>1213.813642642069</v>
      </c>
      <c r="DT88" s="59">
        <f ca="1">AVERAGE(OFFSET($DS$3,0,0,'Données projet'!$E$14+1,1))-AVERAGE(OFFSET($H$3,0,0,'Données projet'!$E$14+1,1))</f>
        <v>458.14328535055694</v>
      </c>
      <c r="DU88" s="59">
        <f t="shared" si="98"/>
        <v>366.75500153675739</v>
      </c>
      <c r="DV88" s="16">
        <f>IF(ISNA(VLOOKUP(A88,'Données projet'!$A$165:$I$185,3,0)),0,VLOOKUP(A88,'Données projet'!$A$165:$I$185,3,0))</f>
        <v>15</v>
      </c>
      <c r="DW88" s="16">
        <f>IF(ISNA(VLOOKUP(A88,'Données projet'!$A$165:$I$185,4,0)),0,VLOOKUP(A88,'Données projet'!$A$165:$I$185,4,0))</f>
        <v>9.6</v>
      </c>
      <c r="DX88" s="17">
        <f>IF(ISNA(VLOOKUP(A88,'Données projet'!$A$165:$I$185,5,0)),0%,VLOOKUP(A88,'Données projet'!$A$165:$I$185,5,0)*VLOOKUP('Données projet'!$B$14,Paramètres!$A$1:$I$88,7,0))</f>
        <v>0.30099999999999999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projet'!$B$14,Paramètres!$A$1:$I$88,3,0)*0.475*44/12</f>
        <v>16.477774052462024</v>
      </c>
      <c r="EB88" s="23">
        <f>EXP(-LN(2)/25)*EB87+(1-EXP(-LN(2)/25))/(LN(2)/25)*Calculateur!DW88*Calculateur!DY88*VLOOKUP('Données projet'!$B$14,Paramètres!$A$1:$I$88,3,0)*0.475*44/12</f>
        <v>0</v>
      </c>
      <c r="EC88" s="23">
        <f>EXP(-LN(2)/2)*EC87+(1-EXP(-LN(2)/2))/(LN(2)/2)*DW88*DZ88*VLOOKUP('Données projet'!$B$14,Paramètres!$A$1:$I$88,3,0)*0.475*44/12</f>
        <v>0</v>
      </c>
      <c r="ED88" s="24">
        <f t="shared" si="72"/>
        <v>16.477774052462024</v>
      </c>
      <c r="EE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13</v>
      </c>
      <c r="EJ88" s="13">
        <f>IF('Données projet'!$A$192&gt;35,EJ87+EI88-ER87,IF(A88&lt;'Données projet'!$A$192,$EG$205^A88,IF(A88='Données projet'!$A$192,'Données projet'!$B$192,EJ87+EI88-ER87)))</f>
        <v>602.00000000000045</v>
      </c>
      <c r="EK88" s="18">
        <f>EJ88*VLOOKUP('Données projet'!$B$15,Paramètres!$A$1:$I$88,3,0)*VLOOKUP('Données projet'!$B$15,Paramètres!$A$1:$I$88,5,0)</f>
        <v>516.51600000000042</v>
      </c>
      <c r="EL88" s="14">
        <f t="shared" si="99"/>
        <v>115.03576689360922</v>
      </c>
      <c r="EM88" s="22">
        <f t="shared" si="73"/>
        <v>1099.9526606730367</v>
      </c>
      <c r="EN88" s="59">
        <f t="shared" si="74"/>
        <v>1393.2859940063699</v>
      </c>
      <c r="EO88" s="59">
        <f ca="1">AVERAGE(OFFSET($EN$3,0,0,'Données projet'!$E$15+1,1))-AVERAGE(OFFSET($H$3,0,0,'Données projet'!$E$15+1,1))</f>
        <v>462.99360395552145</v>
      </c>
      <c r="EP88" s="59">
        <f t="shared" si="100"/>
        <v>153.03880717786046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projet'!$B$15,Paramètres!$A$1:$I$88,3,0)*0.475*44/12</f>
        <v>55.739278258515455</v>
      </c>
      <c r="EW88" s="23">
        <f>EXP(-LN(2)/25)*EW87+(1-EXP(-LN(2)/25))/(LN(2)/25)*Calculateur!ER88*Calculateur!ET88*VLOOKUP('Données projet'!$B$15,Paramètres!$A$1:$I$88,3,0)*0.475*44/12</f>
        <v>0</v>
      </c>
      <c r="EX88" s="23">
        <f>EXP(-LN(2)/2)*EX87+(1-EXP(-LN(2)/2))/(LN(2)/2)*ER88*EU88*VLOOKUP('Données projet'!$B$15,Paramètres!$A$1:$I$88,3,0)*0.475*44/12</f>
        <v>0</v>
      </c>
      <c r="EY88" s="24">
        <f t="shared" si="75"/>
        <v>55.739278258515455</v>
      </c>
      <c r="EZ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442</v>
      </c>
      <c r="FC88" s="13">
        <f>VLOOKUP(A88,'Données projet'!$A$217:$I$237,9,0)</f>
        <v>4.4799999999999951</v>
      </c>
      <c r="FD88" s="13">
        <f t="array" ref="FD88">INDEX(FC:FC,MIN(IF(ISNUMBER(FC88:FC284),ROW(FC88:FC284),"")))</f>
        <v>4.4799999999999951</v>
      </c>
      <c r="FE88" s="13">
        <f>IF('Données projet'!$A$218&gt;35,FE87+FD88-FM87,IF(A88&lt;'Données projet'!$A$218,$FB$205^A88,IF(A88='Données projet'!$A$218,'Données projet'!$B$218,FE87+FD88-FM87)))</f>
        <v>442.00000000000023</v>
      </c>
      <c r="FF88" s="18">
        <f>FE88*VLOOKUP('Données projet'!$B$16,Paramètres!$A$1:$I$88,3,0)*VLOOKUP('Données projet'!$B$16,Paramètres!$A$1:$I$88,5,0)</f>
        <v>386.13120000000026</v>
      </c>
      <c r="FG88" s="14">
        <f t="shared" si="101"/>
        <v>88.959230549385154</v>
      </c>
      <c r="FH88" s="22">
        <f t="shared" si="76"/>
        <v>827.44916654017959</v>
      </c>
      <c r="FI88" s="59">
        <f t="shared" si="77"/>
        <v>1120.782499873513</v>
      </c>
      <c r="FJ88" s="59">
        <f ca="1">AVERAGE(OFFSET($FI$3,0,0,'Données projet'!$E$16+1,1))-AVERAGE(OFFSET($H$3,0,0,'Données projet'!$E$16+1,1))</f>
        <v>427.76895185088944</v>
      </c>
      <c r="FK88" s="59">
        <f t="shared" si="102"/>
        <v>308.32543361559135</v>
      </c>
      <c r="FL88" s="16">
        <f>IF(ISNA(VLOOKUP(A88,'Données projet'!$A$217:$I$237,3,0)),0,VLOOKUP(A88,'Données projet'!$A$217:$I$237,3,0))</f>
        <v>15</v>
      </c>
      <c r="FM88" s="16">
        <f>IF(ISNA(VLOOKUP(A88,'Données projet'!$A$217:$I$237,4,0)),0,VLOOKUP(A88,'Données projet'!$A$217:$I$237,4,0))</f>
        <v>7.6</v>
      </c>
      <c r="FN88" s="17">
        <f>IF(ISNA(VLOOKUP(A88,'Données projet'!$A$217:$I$237,5,0)),0%,VLOOKUP(A88,'Données projet'!$A$217:$I$237,5,0)*VLOOKUP('Données projet'!$B$16,Paramètres!$A$1:$I$88,7,0))</f>
        <v>0.371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projet'!$B$16,Paramètres!$A$1:$I$88,3,0)*0.475*44/12</f>
        <v>17.627681010602448</v>
      </c>
      <c r="FR88" s="23">
        <f>EXP(-LN(2)/25)*FR87+(1-EXP(-LN(2)/25))/(LN(2)/25)*Calculateur!FM88*Calculateur!FO88*VLOOKUP('Données projet'!$B$16,Paramètres!$A$1:$I$88,3,0)*0.475*44/12</f>
        <v>0</v>
      </c>
      <c r="FS88" s="23">
        <f>EXP(-LN(2)/2)*FS87+(1-EXP(-LN(2)/2))/(LN(2)/2)*FM88*FP88*VLOOKUP('Données projet'!$B$16,Paramètres!$A$1:$I$88,3,0)*0.475*44/12</f>
        <v>0</v>
      </c>
      <c r="FT88" s="24">
        <f t="shared" si="78"/>
        <v>17.627681010602448</v>
      </c>
      <c r="FU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333.00000000000006</v>
      </c>
      <c r="GA88" s="18">
        <f>FZ88*VLOOKUP('Données projet'!$B$17,Paramètres!$A$1:$I$88,3,0)*VLOOKUP('Données projet'!$B$17,Paramètres!$A$1:$I$88,5,0)</f>
        <v>207.79200000000006</v>
      </c>
      <c r="GB88" s="14">
        <f t="shared" si="103"/>
        <v>51.452785725007907</v>
      </c>
      <c r="GC88" s="22">
        <f t="shared" si="79"/>
        <v>451.5180018043888</v>
      </c>
      <c r="GD88" s="59">
        <f t="shared" si="80"/>
        <v>744.85133513772212</v>
      </c>
      <c r="GE88" s="59">
        <f ca="1">AVERAGE(OFFSET($GD$3,0,0,'Données projet'!$E$17+1,1))-AVERAGE(OFFSET($H$3,0,0,'Données projet'!$E$17+1,1))</f>
        <v>247.85542034088905</v>
      </c>
      <c r="GF88" s="59">
        <f t="shared" si="104"/>
        <v>299.52241743660352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projet'!$B$17,Paramètres!$A$1:$I$88,3,0)*0.475*44/12</f>
        <v>22.645650750890592</v>
      </c>
      <c r="GM88" s="23">
        <f>EXP(-LN(2)/25)*GM87+(1-EXP(-LN(2)/25))/(LN(2)/25)*Calculateur!GH88*Calculateur!GJ88*VLOOKUP('Données projet'!$B$17,Paramètres!$A$1:$I$88,3,0)*0.475*44/12</f>
        <v>19.013156975069695</v>
      </c>
      <c r="GN88" s="23">
        <f>EXP(-LN(2)/2)*GN87+(1-EXP(-LN(2)/2))/(LN(2)/2)*GH88*GK88*VLOOKUP('Données projet'!$B$17,Paramètres!$A$1:$I$88,3,0)*0.475*44/12</f>
        <v>7.3890770397234563E-3</v>
      </c>
      <c r="GO88" s="23">
        <f t="shared" si="81"/>
        <v>41.666196803000012</v>
      </c>
      <c r="GP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3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6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5.7777777777777777</v>
      </c>
      <c r="N89" s="14">
        <f>IF('Données projet'!$A$36&gt;35,N88+M89-V88,IF(A89&lt;'Données projet'!$A$36,$K$205^A89,IF(A89='Données projet'!$A$36,'Données projet'!$B$36,N88+M89-V88)))</f>
        <v>199.55555555555557</v>
      </c>
      <c r="O89" s="14">
        <f>N89*VLOOKUP('Données projet'!$B$9,Paramètres!$A$1:$I$88,3,0)*VLOOKUP('Données projet'!$B$9,Paramètres!$A$1:$I$88,5,0)</f>
        <v>180.55786666666668</v>
      </c>
      <c r="P89" s="14">
        <f t="shared" si="87"/>
        <v>45.446278860104456</v>
      </c>
      <c r="Q89" s="22">
        <f t="shared" si="54"/>
        <v>393.6238867924597</v>
      </c>
      <c r="R89" s="59">
        <f t="shared" si="55"/>
        <v>686.95722012579301</v>
      </c>
      <c r="S89" s="59">
        <f ca="1">AVERAGE(OFFSET($R$3,0,0,'Données projet'!$E$9+1,1))-AVERAGE(OFFSET($H$3,0,0,'Données projet'!$E$9+1,1))</f>
        <v>247.57967230773539</v>
      </c>
      <c r="T89" s="59">
        <f t="shared" si="88"/>
        <v>156.58857589533295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20.188107706911214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20.188107706911214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4.9200000000000044</v>
      </c>
      <c r="AI89" s="14">
        <f>IF('Données projet'!$A$62&gt;35,AI88+AH89-AQ88,IF(A89&lt;'Données projet'!$A$62,$AF$205^A89,IF(A89='Données projet'!$A$62,'Données projet'!$B$62,AI88+AH89-AQ88)))</f>
        <v>547.31999999999982</v>
      </c>
      <c r="AJ89" s="14">
        <f>AI89*VLOOKUP('Données projet'!$B$10,Paramètres!$A$1:$I$88,3,0)*VLOOKUP('Données projet'!$B$10,Paramètres!$A$1:$I$88,5,0)</f>
        <v>435.44779199999994</v>
      </c>
      <c r="AK89" s="14">
        <f t="shared" si="89"/>
        <v>98.92726361660101</v>
      </c>
      <c r="AL89" s="22">
        <f t="shared" si="58"/>
        <v>930.70322186558008</v>
      </c>
      <c r="AM89" s="59">
        <f t="shared" si="59"/>
        <v>1224.0365551989134</v>
      </c>
      <c r="AN89" s="59">
        <f ca="1">AVERAGE(OFFSET($AM$3,0,0,'Données projet'!$E$10+1,1))-AVERAGE(OFFSET($H$3,0,0,'Données projet'!$E$10+1,1))</f>
        <v>504.15006129790828</v>
      </c>
      <c r="AO89" s="59">
        <f t="shared" si="90"/>
        <v>374.39334457402742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20.309782483705753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20.309782483705753</v>
      </c>
      <c r="AY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4.9200000000000044</v>
      </c>
      <c r="BD89" s="13">
        <f>IF('Données projet'!$A$88&gt;35,BD88+BC89-BL88,IF(A89&lt;'Données projet'!$A$88,$BA$205^A89,IF(A89='Données projet'!$A$88,'Données projet'!$B$88,BD88+BC89-BL88)))</f>
        <v>547.31999999999982</v>
      </c>
      <c r="BE89" s="14">
        <f>BD89*VLOOKUP('Données projet'!$B$11,Paramètres!$A$1:$I$88,3,0)*VLOOKUP('Données projet'!$B$11,Paramètres!$A$1:$I$88,5,0)</f>
        <v>435.44779199999994</v>
      </c>
      <c r="BF89" s="14">
        <f t="shared" si="91"/>
        <v>98.92726361660101</v>
      </c>
      <c r="BG89" s="22">
        <f t="shared" si="61"/>
        <v>930.70322186558008</v>
      </c>
      <c r="BH89" s="59">
        <f t="shared" si="62"/>
        <v>1224.0365551989134</v>
      </c>
      <c r="BI89" s="59">
        <f ca="1">AVERAGE(OFFSET($BH$3,0,0,'Données projet'!$E$11+1,1))-AVERAGE(OFFSET($H$3,0,0,'Données projet'!$E$11+1,1))</f>
        <v>504.15006129790828</v>
      </c>
      <c r="BJ89" s="59">
        <f t="shared" si="92"/>
        <v>374.39334457402742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20.309782483705753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20.309782483705753</v>
      </c>
      <c r="BT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4.9200000000000044</v>
      </c>
      <c r="BY89" s="13">
        <f>IF('Données projet'!$A$114&gt;35,BY88+BX89-CG88,IF(A89&lt;'Données projet'!$A$114,$BV$205^A89,IF(A89='Données projet'!$A$114,'Données projet'!$B$114,BY88+BX89-CG88)))</f>
        <v>547.31999999999982</v>
      </c>
      <c r="BZ89" s="14">
        <f>BY89*VLOOKUP('Données projet'!$B$12,Paramètres!$A$1:$I$88,3,0)*VLOOKUP('Données projet'!$B$12,Paramètres!$A$1:$I$88,5,0)</f>
        <v>367.14225599999986</v>
      </c>
      <c r="CA89" s="14">
        <f t="shared" si="93"/>
        <v>85.082396905683908</v>
      </c>
      <c r="CB89" s="22">
        <f t="shared" si="64"/>
        <v>787.62460381073254</v>
      </c>
      <c r="CC89" s="59">
        <f t="shared" si="65"/>
        <v>1080.9579371440659</v>
      </c>
      <c r="CD89" s="59">
        <f ca="1">AVERAGE(OFFSET($CC$3,0,0,'Données projet'!$E$12+1,1))-AVERAGE(OFFSET($H$3,0,0,'Données projet'!$E$12+1,1))</f>
        <v>387.15063677712425</v>
      </c>
      <c r="CE89" s="59">
        <f t="shared" si="94"/>
        <v>313.19155394370705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17.123934250967597</v>
      </c>
      <c r="CL89" s="23">
        <f>EXP(-LN(2)/25)*CL88+(1-EXP(-LN(2)/25))/(LN(2)/25)*Calculateur!CG89*Calculateur!CI89*VLOOKUP('Données projet'!$B$12,Paramètres!$A$1:$I$88,3,0)*0.475*44/12</f>
        <v>0</v>
      </c>
      <c r="CM89" s="23">
        <f>EXP(-LN(2)/2)*CM88+(1-EXP(-LN(2)/2))/(LN(2)/2)*CG89*CJ89*VLOOKUP('Données projet'!$B$12,Paramètres!$A$1:$I$88,3,0)*0.475*44/12</f>
        <v>0</v>
      </c>
      <c r="CN89" s="24">
        <f t="shared" si="66"/>
        <v>17.123934250967597</v>
      </c>
      <c r="CO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5.7777777777777777</v>
      </c>
      <c r="CT89" s="13">
        <f>IF('Données projet'!$A$140&gt;35,CT88+CS89-DB88,IF(A89&lt;'Données projet'!$A$140,$CQ$205^A89,IF(A89='Données projet'!$A$140,'Données projet'!$B$140,CT88+CS89-DB88)))</f>
        <v>199.55555555555557</v>
      </c>
      <c r="CU89" s="18">
        <f>CT89*VLOOKUP('Données projet'!$B$13,Paramètres!$A$1:$I$88,3,0)*VLOOKUP('Données projet'!$B$13,Paramètres!$A$1:$I$88,5,0)</f>
        <v>193.01013333333336</v>
      </c>
      <c r="CV89" s="14">
        <f t="shared" si="95"/>
        <v>48.204840557277592</v>
      </c>
      <c r="CW89" s="22">
        <f t="shared" si="67"/>
        <v>420.11607952614742</v>
      </c>
      <c r="CX89" s="59">
        <f t="shared" si="68"/>
        <v>713.44941285948073</v>
      </c>
      <c r="CY89" s="59">
        <f ca="1">AVERAGE(OFFSET($CX$3,0,0,'Données projet'!$E$13+1,1))-AVERAGE(OFFSET($H$3,0,0,'Données projet'!$E$13+1,1))</f>
        <v>306.00894145276209</v>
      </c>
      <c r="CZ89" s="59">
        <f t="shared" si="96"/>
        <v>168.74705421228828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21.580390997043029</v>
      </c>
      <c r="DG89" s="23">
        <f>EXP(-LN(2)/25)*DG88+(1-EXP(-LN(2)/25))/(LN(2)/25)*Calculateur!DB89*Calculateur!DD89*VLOOKUP('Données projet'!$B$13,Paramètres!$A$1:$I$88,3,0)*0.475*44/12</f>
        <v>0</v>
      </c>
      <c r="DH89" s="23">
        <f>EXP(-LN(2)/2)*DH88+(1-EXP(-LN(2)/2))/(LN(2)/2)*DB89*DE89*VLOOKUP('Données projet'!$B$13,Paramètres!$A$1:$I$88,3,0)*0.475*44/12</f>
        <v>0</v>
      </c>
      <c r="DI89" s="24">
        <f t="shared" si="69"/>
        <v>21.580390997043029</v>
      </c>
      <c r="DJ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4.9200000000000044</v>
      </c>
      <c r="DO89" s="13">
        <f>IF('Données projet'!$A$166&gt;35,DO88+DN89-DW88,IF(A89&lt;'Données projet'!$A$166,$DL$205^A89,IF(A89='Données projet'!$A$166,'Données projet'!$B$166,DO88+DN89-DW88)))</f>
        <v>547.31999999999982</v>
      </c>
      <c r="DP89" s="18">
        <f>DO89*VLOOKUP('Données projet'!$B$14,Paramètres!$A$1:$I$88,3,0)*VLOOKUP('Données projet'!$B$14,Paramètres!$A$1:$I$88,5,0)</f>
        <v>426.9095999999999</v>
      </c>
      <c r="DQ89" s="14">
        <f t="shared" si="97"/>
        <v>97.211329924226959</v>
      </c>
      <c r="DR89" s="22">
        <f t="shared" si="70"/>
        <v>912.84395295136176</v>
      </c>
      <c r="DS89" s="59">
        <f t="shared" si="71"/>
        <v>1206.1772862846951</v>
      </c>
      <c r="DT89" s="59">
        <f ca="1">AVERAGE(OFFSET($DS$3,0,0,'Données projet'!$E$14+1,1))-AVERAGE(OFFSET($H$3,0,0,'Données projet'!$E$14+1,1))</f>
        <v>458.14328535055694</v>
      </c>
      <c r="DU89" s="59">
        <f t="shared" si="98"/>
        <v>366.75500153675739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projet'!$B$14,Paramètres!$A$1:$I$88,3,0)*0.475*44/12</f>
        <v>16.154654953743016</v>
      </c>
      <c r="EB89" s="23">
        <f>EXP(-LN(2)/25)*EB88+(1-EXP(-LN(2)/25))/(LN(2)/25)*Calculateur!DW89*Calculateur!DY89*VLOOKUP('Données projet'!$B$14,Paramètres!$A$1:$I$88,3,0)*0.475*44/12</f>
        <v>0</v>
      </c>
      <c r="EC89" s="23">
        <f>EXP(-LN(2)/2)*EC88+(1-EXP(-LN(2)/2))/(LN(2)/2)*DW89*DZ89*VLOOKUP('Données projet'!$B$14,Paramètres!$A$1:$I$88,3,0)*0.475*44/12</f>
        <v>0</v>
      </c>
      <c r="ED89" s="24">
        <f t="shared" si="72"/>
        <v>16.154654953743016</v>
      </c>
      <c r="EE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13</v>
      </c>
      <c r="EJ89" s="13">
        <f>IF('Données projet'!$A$192&gt;35,EJ88+EI89-ER88,IF(A89&lt;'Données projet'!$A$192,$EG$205^A89,IF(A89='Données projet'!$A$192,'Données projet'!$B$192,EJ88+EI89-ER88)))</f>
        <v>615.00000000000045</v>
      </c>
      <c r="EK89" s="18">
        <f>EJ89*VLOOKUP('Données projet'!$B$15,Paramètres!$A$1:$I$88,3,0)*VLOOKUP('Données projet'!$B$15,Paramètres!$A$1:$I$88,5,0)</f>
        <v>527.67000000000041</v>
      </c>
      <c r="EL89" s="14">
        <f t="shared" si="99"/>
        <v>117.2280348371167</v>
      </c>
      <c r="EM89" s="22">
        <f t="shared" si="73"/>
        <v>1123.1974106746457</v>
      </c>
      <c r="EN89" s="59">
        <f t="shared" si="74"/>
        <v>1416.5307440079789</v>
      </c>
      <c r="EO89" s="59">
        <f ca="1">AVERAGE(OFFSET($EN$3,0,0,'Données projet'!$E$15+1,1))-AVERAGE(OFFSET($H$3,0,0,'Données projet'!$E$15+1,1))</f>
        <v>462.99360395552145</v>
      </c>
      <c r="EP89" s="59">
        <f t="shared" si="100"/>
        <v>153.03880717786046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projet'!$B$15,Paramètres!$A$1:$I$88,3,0)*0.475*44/12</f>
        <v>54.646265009468721</v>
      </c>
      <c r="EW89" s="23">
        <f>EXP(-LN(2)/25)*EW88+(1-EXP(-LN(2)/25))/(LN(2)/25)*Calculateur!ER89*Calculateur!ET89*VLOOKUP('Données projet'!$B$15,Paramètres!$A$1:$I$88,3,0)*0.475*44/12</f>
        <v>0</v>
      </c>
      <c r="EX89" s="23">
        <f>EXP(-LN(2)/2)*EX88+(1-EXP(-LN(2)/2))/(LN(2)/2)*ER89*EU89*VLOOKUP('Données projet'!$B$15,Paramètres!$A$1:$I$88,3,0)*0.475*44/12</f>
        <v>0</v>
      </c>
      <c r="EY89" s="24">
        <f t="shared" si="75"/>
        <v>54.646265009468721</v>
      </c>
      <c r="EZ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3.9200000000000044</v>
      </c>
      <c r="FE89" s="13">
        <f>IF('Données projet'!$A$218&gt;35,FE88+FD89-FM88,IF(A89&lt;'Données projet'!$A$218,$FB$205^A89,IF(A89='Données projet'!$A$218,'Données projet'!$B$218,FE88+FD89-FM88)))</f>
        <v>438.32000000000022</v>
      </c>
      <c r="FF89" s="18">
        <f>FE89*VLOOKUP('Données projet'!$B$16,Paramètres!$A$1:$I$88,3,0)*VLOOKUP('Données projet'!$B$16,Paramètres!$A$1:$I$88,5,0)</f>
        <v>382.91635200000024</v>
      </c>
      <c r="FG89" s="14">
        <f t="shared" si="101"/>
        <v>88.304468770140133</v>
      </c>
      <c r="FH89" s="22">
        <f t="shared" si="76"/>
        <v>820.70959617466121</v>
      </c>
      <c r="FI89" s="59">
        <f t="shared" si="77"/>
        <v>1114.0429295079946</v>
      </c>
      <c r="FJ89" s="59">
        <f ca="1">AVERAGE(OFFSET($FI$3,0,0,'Données projet'!$E$16+1,1))-AVERAGE(OFFSET($H$3,0,0,'Données projet'!$E$16+1,1))</f>
        <v>427.76895185088944</v>
      </c>
      <c r="FK89" s="59">
        <f t="shared" si="102"/>
        <v>308.32543361559135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projet'!$B$16,Paramètres!$A$1:$I$88,3,0)*0.475*44/12</f>
        <v>17.282012937808297</v>
      </c>
      <c r="FR89" s="23">
        <f>EXP(-LN(2)/25)*FR88+(1-EXP(-LN(2)/25))/(LN(2)/25)*Calculateur!FM89*Calculateur!FO89*VLOOKUP('Données projet'!$B$16,Paramètres!$A$1:$I$88,3,0)*0.475*44/12</f>
        <v>0</v>
      </c>
      <c r="FS89" s="23">
        <f>EXP(-LN(2)/2)*FS88+(1-EXP(-LN(2)/2))/(LN(2)/2)*FM89*FP89*VLOOKUP('Données projet'!$B$16,Paramètres!$A$1:$I$88,3,0)*0.475*44/12</f>
        <v>0</v>
      </c>
      <c r="FT89" s="24">
        <f t="shared" si="78"/>
        <v>17.282012937808297</v>
      </c>
      <c r="FU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333.00000000000006</v>
      </c>
      <c r="GA89" s="18">
        <f>FZ89*VLOOKUP('Données projet'!$B$17,Paramètres!$A$1:$I$88,3,0)*VLOOKUP('Données projet'!$B$17,Paramètres!$A$1:$I$88,5,0)</f>
        <v>207.79200000000006</v>
      </c>
      <c r="GB89" s="14">
        <f t="shared" si="103"/>
        <v>51.452785725007907</v>
      </c>
      <c r="GC89" s="22">
        <f t="shared" si="79"/>
        <v>451.5180018043888</v>
      </c>
      <c r="GD89" s="59">
        <f t="shared" si="80"/>
        <v>744.85133513772212</v>
      </c>
      <c r="GE89" s="59">
        <f ca="1">AVERAGE(OFFSET($GD$3,0,0,'Données projet'!$E$17+1,1))-AVERAGE(OFFSET($H$3,0,0,'Données projet'!$E$17+1,1))</f>
        <v>247.85542034088905</v>
      </c>
      <c r="GF89" s="59">
        <f t="shared" si="104"/>
        <v>299.52241743660352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projet'!$B$17,Paramètres!$A$1:$I$88,3,0)*0.475*44/12</f>
        <v>22.201583352148717</v>
      </c>
      <c r="GM89" s="23">
        <f>EXP(-LN(2)/25)*GM88+(1-EXP(-LN(2)/25))/(LN(2)/25)*Calculateur!GH89*Calculateur!GJ89*VLOOKUP('Données projet'!$B$17,Paramètres!$A$1:$I$88,3,0)*0.475*44/12</f>
        <v>18.493241197727944</v>
      </c>
      <c r="GN89" s="23">
        <f>EXP(-LN(2)/2)*GN88+(1-EXP(-LN(2)/2))/(LN(2)/2)*GH89*GK89*VLOOKUP('Données projet'!$B$17,Paramètres!$A$1:$I$88,3,0)*0.475*44/12</f>
        <v>5.2248664814982769E-3</v>
      </c>
      <c r="GO89" s="23">
        <f t="shared" si="81"/>
        <v>40.700049416358155</v>
      </c>
      <c r="GP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3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6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5.7777777777777777</v>
      </c>
      <c r="N90" s="14">
        <f>IF('Données projet'!$A$36&gt;35,N89+M90-V89,IF(A90&lt;'Données projet'!$A$36,$K$205^A90,IF(A90='Données projet'!$A$36,'Données projet'!$B$36,N89+M90-V89)))</f>
        <v>205.33333333333334</v>
      </c>
      <c r="O90" s="14">
        <f>N90*VLOOKUP('Données projet'!$B$9,Paramètres!$A$1:$I$88,3,0)*VLOOKUP('Données projet'!$B$9,Paramètres!$A$1:$I$88,5,0)</f>
        <v>185.78560000000002</v>
      </c>
      <c r="P90" s="14">
        <f t="shared" si="87"/>
        <v>46.606995978498198</v>
      </c>
      <c r="Q90" s="22">
        <f t="shared" si="54"/>
        <v>404.75043799588434</v>
      </c>
      <c r="R90" s="59">
        <f t="shared" si="55"/>
        <v>698.0837713292176</v>
      </c>
      <c r="S90" s="59">
        <f ca="1">AVERAGE(OFFSET($R$3,0,0,'Données projet'!$E$9+1,1))-AVERAGE(OFFSET($H$3,0,0,'Données projet'!$E$9+1,1))</f>
        <v>247.57967230773539</v>
      </c>
      <c r="T90" s="59">
        <f t="shared" si="88"/>
        <v>156.58857589533295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19.792231228308527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19.792231228308527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4.9200000000000044</v>
      </c>
      <c r="AI90" s="14">
        <f>IF('Données projet'!$A$62&gt;35,AI89+AH90-AQ89,IF(A90&lt;'Données projet'!$A$62,$AF$205^A90,IF(A90='Données projet'!$A$62,'Données projet'!$B$62,AI89+AH90-AQ89)))</f>
        <v>552.23999999999978</v>
      </c>
      <c r="AJ90" s="14">
        <f>AI90*VLOOKUP('Données projet'!$B$10,Paramètres!$A$1:$I$88,3,0)*VLOOKUP('Données projet'!$B$10,Paramètres!$A$1:$I$88,5,0)</f>
        <v>439.36214399999983</v>
      </c>
      <c r="AK90" s="14">
        <f t="shared" si="89"/>
        <v>99.712623970346755</v>
      </c>
      <c r="AL90" s="22">
        <f t="shared" si="58"/>
        <v>938.88855421502024</v>
      </c>
      <c r="AM90" s="59">
        <f t="shared" si="59"/>
        <v>1232.2218875483536</v>
      </c>
      <c r="AN90" s="59">
        <f ca="1">AVERAGE(OFFSET($AM$3,0,0,'Données projet'!$E$10+1,1))-AVERAGE(OFFSET($H$3,0,0,'Données projet'!$E$10+1,1))</f>
        <v>504.15006129790828</v>
      </c>
      <c r="AO90" s="59">
        <f t="shared" si="90"/>
        <v>374.39334457402742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19.91152003694441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19.91152003694441</v>
      </c>
      <c r="AY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4.9200000000000044</v>
      </c>
      <c r="BD90" s="13">
        <f>IF('Données projet'!$A$88&gt;35,BD89+BC90-BL89,IF(A90&lt;'Données projet'!$A$88,$BA$205^A90,IF(A90='Données projet'!$A$88,'Données projet'!$B$88,BD89+BC90-BL89)))</f>
        <v>552.23999999999978</v>
      </c>
      <c r="BE90" s="14">
        <f>BD90*VLOOKUP('Données projet'!$B$11,Paramètres!$A$1:$I$88,3,0)*VLOOKUP('Données projet'!$B$11,Paramètres!$A$1:$I$88,5,0)</f>
        <v>439.36214399999983</v>
      </c>
      <c r="BF90" s="14">
        <f t="shared" si="91"/>
        <v>99.712623970346755</v>
      </c>
      <c r="BG90" s="22">
        <f t="shared" si="61"/>
        <v>938.88855421502024</v>
      </c>
      <c r="BH90" s="59">
        <f t="shared" si="62"/>
        <v>1232.2218875483536</v>
      </c>
      <c r="BI90" s="59">
        <f ca="1">AVERAGE(OFFSET($BH$3,0,0,'Données projet'!$E$11+1,1))-AVERAGE(OFFSET($H$3,0,0,'Données projet'!$E$11+1,1))</f>
        <v>504.15006129790828</v>
      </c>
      <c r="BJ90" s="59">
        <f t="shared" si="92"/>
        <v>374.39334457402742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19.91152003694441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19.91152003694441</v>
      </c>
      <c r="BT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4.9200000000000044</v>
      </c>
      <c r="BY90" s="13">
        <f>IF('Données projet'!$A$114&gt;35,BY89+BX90-CG89,IF(A90&lt;'Données projet'!$A$114,$BV$205^A90,IF(A90='Données projet'!$A$114,'Données projet'!$B$114,BY89+BX90-CG89)))</f>
        <v>552.23999999999978</v>
      </c>
      <c r="BZ90" s="14">
        <f>BY90*VLOOKUP('Données projet'!$B$12,Paramètres!$A$1:$I$88,3,0)*VLOOKUP('Données projet'!$B$12,Paramètres!$A$1:$I$88,5,0)</f>
        <v>370.44259199999988</v>
      </c>
      <c r="CA90" s="14">
        <f t="shared" si="93"/>
        <v>85.757846108346229</v>
      </c>
      <c r="CB90" s="22">
        <f t="shared" si="64"/>
        <v>794.54909637203616</v>
      </c>
      <c r="CC90" s="59">
        <f t="shared" si="65"/>
        <v>1087.8824297053695</v>
      </c>
      <c r="CD90" s="59">
        <f ca="1">AVERAGE(OFFSET($CC$3,0,0,'Données projet'!$E$12+1,1))-AVERAGE(OFFSET($H$3,0,0,'Données projet'!$E$12+1,1))</f>
        <v>387.15063677712425</v>
      </c>
      <c r="CE90" s="59">
        <f t="shared" si="94"/>
        <v>313.19155394370705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16.788144344874699</v>
      </c>
      <c r="CL90" s="23">
        <f>EXP(-LN(2)/25)*CL89+(1-EXP(-LN(2)/25))/(LN(2)/25)*Calculateur!CG90*Calculateur!CI90*VLOOKUP('Données projet'!$B$12,Paramètres!$A$1:$I$88,3,0)*0.475*44/12</f>
        <v>0</v>
      </c>
      <c r="CM90" s="23">
        <f>EXP(-LN(2)/2)*CM89+(1-EXP(-LN(2)/2))/(LN(2)/2)*CG90*CJ90*VLOOKUP('Données projet'!$B$12,Paramètres!$A$1:$I$88,3,0)*0.475*44/12</f>
        <v>0</v>
      </c>
      <c r="CN90" s="24">
        <f t="shared" si="66"/>
        <v>16.788144344874699</v>
      </c>
      <c r="CO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5.7777777777777777</v>
      </c>
      <c r="CT90" s="13">
        <f>IF('Données projet'!$A$140&gt;35,CT89+CS90-DB89,IF(A90&lt;'Données projet'!$A$140,$CQ$205^A90,IF(A90='Données projet'!$A$140,'Données projet'!$B$140,CT89+CS90-DB89)))</f>
        <v>205.33333333333334</v>
      </c>
      <c r="CU90" s="18">
        <f>CT90*VLOOKUP('Données projet'!$B$13,Paramètres!$A$1:$I$88,3,0)*VLOOKUP('Données projet'!$B$13,Paramètres!$A$1:$I$88,5,0)</f>
        <v>198.59840000000003</v>
      </c>
      <c r="CV90" s="14">
        <f t="shared" si="95"/>
        <v>49.436012504193478</v>
      </c>
      <c r="CW90" s="22">
        <f t="shared" si="67"/>
        <v>431.99326844480362</v>
      </c>
      <c r="CX90" s="59">
        <f t="shared" si="68"/>
        <v>725.32660177813693</v>
      </c>
      <c r="CY90" s="59">
        <f ca="1">AVERAGE(OFFSET($CX$3,0,0,'Données projet'!$E$13+1,1))-AVERAGE(OFFSET($H$3,0,0,'Données projet'!$E$13+1,1))</f>
        <v>306.00894145276209</v>
      </c>
      <c r="CZ90" s="59">
        <f t="shared" si="96"/>
        <v>168.74705421228828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21.157212692329811</v>
      </c>
      <c r="DG90" s="23">
        <f>EXP(-LN(2)/25)*DG89+(1-EXP(-LN(2)/25))/(LN(2)/25)*Calculateur!DB90*Calculateur!DD90*VLOOKUP('Données projet'!$B$13,Paramètres!$A$1:$I$88,3,0)*0.475*44/12</f>
        <v>0</v>
      </c>
      <c r="DH90" s="23">
        <f>EXP(-LN(2)/2)*DH89+(1-EXP(-LN(2)/2))/(LN(2)/2)*DB90*DE90*VLOOKUP('Données projet'!$B$13,Paramètres!$A$1:$I$88,3,0)*0.475*44/12</f>
        <v>0</v>
      </c>
      <c r="DI90" s="24">
        <f t="shared" si="69"/>
        <v>21.157212692329811</v>
      </c>
      <c r="DJ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4.9200000000000044</v>
      </c>
      <c r="DO90" s="13">
        <f>IF('Données projet'!$A$166&gt;35,DO89+DN90-DW89,IF(A90&lt;'Données projet'!$A$166,$DL$205^A90,IF(A90='Données projet'!$A$166,'Données projet'!$B$166,DO89+DN90-DW89)))</f>
        <v>552.23999999999978</v>
      </c>
      <c r="DP90" s="18">
        <f>DO90*VLOOKUP('Données projet'!$B$14,Paramètres!$A$1:$I$88,3,0)*VLOOKUP('Données projet'!$B$14,Paramètres!$A$1:$I$88,5,0)</f>
        <v>430.74719999999985</v>
      </c>
      <c r="DQ90" s="14">
        <f t="shared" si="97"/>
        <v>97.983067882665466</v>
      </c>
      <c r="DR90" s="22">
        <f t="shared" si="70"/>
        <v>920.87188322897543</v>
      </c>
      <c r="DS90" s="59">
        <f t="shared" si="71"/>
        <v>1214.2052165623088</v>
      </c>
      <c r="DT90" s="59">
        <f ca="1">AVERAGE(OFFSET($DS$3,0,0,'Données projet'!$E$14+1,1))-AVERAGE(OFFSET($H$3,0,0,'Données projet'!$E$14+1,1))</f>
        <v>458.14328535055694</v>
      </c>
      <c r="DU90" s="59">
        <f t="shared" si="98"/>
        <v>366.75500153675739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projet'!$B$14,Paramètres!$A$1:$I$88,3,0)*0.475*44/12</f>
        <v>15.837872023466698</v>
      </c>
      <c r="EB90" s="23">
        <f>EXP(-LN(2)/25)*EB89+(1-EXP(-LN(2)/25))/(LN(2)/25)*Calculateur!DW90*Calculateur!DY90*VLOOKUP('Données projet'!$B$14,Paramètres!$A$1:$I$88,3,0)*0.475*44/12</f>
        <v>0</v>
      </c>
      <c r="EC90" s="23">
        <f>EXP(-LN(2)/2)*EC89+(1-EXP(-LN(2)/2))/(LN(2)/2)*DW90*DZ90*VLOOKUP('Données projet'!$B$14,Paramètres!$A$1:$I$88,3,0)*0.475*44/12</f>
        <v>0</v>
      </c>
      <c r="ED90" s="24">
        <f t="shared" si="72"/>
        <v>15.837872023466698</v>
      </c>
      <c r="EE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13</v>
      </c>
      <c r="EJ90" s="13">
        <f>IF('Données projet'!$A$192&gt;35,EJ89+EI90-ER89,IF(A90&lt;'Données projet'!$A$192,$EG$205^A90,IF(A90='Données projet'!$A$192,'Données projet'!$B$192,EJ89+EI90-ER89)))</f>
        <v>628.00000000000045</v>
      </c>
      <c r="EK90" s="18">
        <f>EJ90*VLOOKUP('Données projet'!$B$15,Paramètres!$A$1:$I$88,3,0)*VLOOKUP('Données projet'!$B$15,Paramètres!$A$1:$I$88,5,0)</f>
        <v>538.82400000000041</v>
      </c>
      <c r="EL90" s="14">
        <f t="shared" si="99"/>
        <v>119.41491493852828</v>
      </c>
      <c r="EM90" s="22">
        <f t="shared" si="73"/>
        <v>1146.432776851271</v>
      </c>
      <c r="EN90" s="59">
        <f t="shared" si="74"/>
        <v>1439.7661101846043</v>
      </c>
      <c r="EO90" s="59">
        <f ca="1">AVERAGE(OFFSET($EN$3,0,0,'Données projet'!$E$15+1,1))-AVERAGE(OFFSET($H$3,0,0,'Données projet'!$E$15+1,1))</f>
        <v>462.99360395552145</v>
      </c>
      <c r="EP90" s="59">
        <f t="shared" si="100"/>
        <v>153.03880717786046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projet'!$B$15,Paramètres!$A$1:$I$88,3,0)*0.475*44/12</f>
        <v>53.574685083563537</v>
      </c>
      <c r="EW90" s="23">
        <f>EXP(-LN(2)/25)*EW89+(1-EXP(-LN(2)/25))/(LN(2)/25)*Calculateur!ER90*Calculateur!ET90*VLOOKUP('Données projet'!$B$15,Paramètres!$A$1:$I$88,3,0)*0.475*44/12</f>
        <v>0</v>
      </c>
      <c r="EX90" s="23">
        <f>EXP(-LN(2)/2)*EX89+(1-EXP(-LN(2)/2))/(LN(2)/2)*ER90*EU90*VLOOKUP('Données projet'!$B$15,Paramètres!$A$1:$I$88,3,0)*0.475*44/12</f>
        <v>0</v>
      </c>
      <c r="EY90" s="24">
        <f t="shared" si="75"/>
        <v>53.574685083563537</v>
      </c>
      <c r="EZ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3.9200000000000044</v>
      </c>
      <c r="FE90" s="13">
        <f>IF('Données projet'!$A$218&gt;35,FE89+FD90-FM89,IF(A90&lt;'Données projet'!$A$218,$FB$205^A90,IF(A90='Données projet'!$A$218,'Données projet'!$B$218,FE89+FD90-FM89)))</f>
        <v>442.24000000000024</v>
      </c>
      <c r="FF90" s="18">
        <f>FE90*VLOOKUP('Données projet'!$B$16,Paramètres!$A$1:$I$88,3,0)*VLOOKUP('Données projet'!$B$16,Paramètres!$A$1:$I$88,5,0)</f>
        <v>386.34086400000024</v>
      </c>
      <c r="FG90" s="14">
        <f t="shared" si="101"/>
        <v>89.001910310059159</v>
      </c>
      <c r="FH90" s="22">
        <f t="shared" si="76"/>
        <v>827.88866525668675</v>
      </c>
      <c r="FI90" s="59">
        <f t="shared" si="77"/>
        <v>1121.2219985900201</v>
      </c>
      <c r="FJ90" s="59">
        <f ca="1">AVERAGE(OFFSET($FI$3,0,0,'Données projet'!$E$16+1,1))-AVERAGE(OFFSET($H$3,0,0,'Données projet'!$E$16+1,1))</f>
        <v>427.76895185088944</v>
      </c>
      <c r="FK90" s="59">
        <f t="shared" si="102"/>
        <v>308.32543361559135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projet'!$B$16,Paramètres!$A$1:$I$88,3,0)*0.475*44/12</f>
        <v>16.94312320508493</v>
      </c>
      <c r="FR90" s="23">
        <f>EXP(-LN(2)/25)*FR89+(1-EXP(-LN(2)/25))/(LN(2)/25)*Calculateur!FM90*Calculateur!FO90*VLOOKUP('Données projet'!$B$16,Paramètres!$A$1:$I$88,3,0)*0.475*44/12</f>
        <v>0</v>
      </c>
      <c r="FS90" s="23">
        <f>EXP(-LN(2)/2)*FS89+(1-EXP(-LN(2)/2))/(LN(2)/2)*FM90*FP90*VLOOKUP('Données projet'!$B$16,Paramètres!$A$1:$I$88,3,0)*0.475*44/12</f>
        <v>0</v>
      </c>
      <c r="FT90" s="24">
        <f t="shared" si="78"/>
        <v>16.94312320508493</v>
      </c>
      <c r="FU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333.00000000000006</v>
      </c>
      <c r="GA90" s="18">
        <f>FZ90*VLOOKUP('Données projet'!$B$17,Paramètres!$A$1:$I$88,3,0)*VLOOKUP('Données projet'!$B$17,Paramètres!$A$1:$I$88,5,0)</f>
        <v>207.79200000000006</v>
      </c>
      <c r="GB90" s="14">
        <f t="shared" si="103"/>
        <v>51.452785725007907</v>
      </c>
      <c r="GC90" s="22">
        <f t="shared" si="79"/>
        <v>451.5180018043888</v>
      </c>
      <c r="GD90" s="59">
        <f t="shared" si="80"/>
        <v>744.85133513772212</v>
      </c>
      <c r="GE90" s="59">
        <f ca="1">AVERAGE(OFFSET($GD$3,0,0,'Données projet'!$E$17+1,1))-AVERAGE(OFFSET($H$3,0,0,'Données projet'!$E$17+1,1))</f>
        <v>247.85542034088905</v>
      </c>
      <c r="GF90" s="59">
        <f t="shared" si="104"/>
        <v>299.52241743660352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projet'!$B$17,Paramètres!$A$1:$I$88,3,0)*0.475*44/12</f>
        <v>21.7662238442418</v>
      </c>
      <c r="GM90" s="23">
        <f>EXP(-LN(2)/25)*GM89+(1-EXP(-LN(2)/25))/(LN(2)/25)*Calculateur!GH90*Calculateur!GJ90*VLOOKUP('Données projet'!$B$17,Paramètres!$A$1:$I$88,3,0)*0.475*44/12</f>
        <v>17.987542544658787</v>
      </c>
      <c r="GN90" s="23">
        <f>EXP(-LN(2)/2)*GN89+(1-EXP(-LN(2)/2))/(LN(2)/2)*GH90*GK90*VLOOKUP('Données projet'!$B$17,Paramètres!$A$1:$I$88,3,0)*0.475*44/12</f>
        <v>3.694538519861729E-3</v>
      </c>
      <c r="GO90" s="23">
        <f t="shared" si="81"/>
        <v>39.757460927420446</v>
      </c>
      <c r="GP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3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6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5.7777777777777777</v>
      </c>
      <c r="N91" s="14">
        <f>IF('Données projet'!$A$36&gt;35,N90+M91-V90,IF(A91&lt;'Données projet'!$A$36,$K$205^A91,IF(A91='Données projet'!$A$36,'Données projet'!$B$36,N90+M91-V90)))</f>
        <v>211.11111111111111</v>
      </c>
      <c r="O91" s="14">
        <f>N91*VLOOKUP('Données projet'!$B$9,Paramètres!$A$1:$I$88,3,0)*VLOOKUP('Données projet'!$B$9,Paramètres!$A$1:$I$88,5,0)</f>
        <v>191.01333333333335</v>
      </c>
      <c r="P91" s="14">
        <f t="shared" si="87"/>
        <v>47.763917061299928</v>
      </c>
      <c r="Q91" s="22">
        <f t="shared" si="54"/>
        <v>415.87037777065296</v>
      </c>
      <c r="R91" s="59">
        <f t="shared" si="55"/>
        <v>709.20371110398628</v>
      </c>
      <c r="S91" s="59">
        <f ca="1">AVERAGE(OFFSET($R$3,0,0,'Données projet'!$E$9+1,1))-AVERAGE(OFFSET($H$3,0,0,'Données projet'!$E$9+1,1))</f>
        <v>247.57967230773539</v>
      </c>
      <c r="T91" s="59">
        <f t="shared" si="88"/>
        <v>156.58857589533295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19.404117645990429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19.404117645990429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4.9200000000000044</v>
      </c>
      <c r="AI91" s="14">
        <f>IF('Données projet'!$A$62&gt;35,AI90+AH91-AQ90,IF(A91&lt;'Données projet'!$A$62,$AF$205^A91,IF(A91='Données projet'!$A$62,'Données projet'!$B$62,AI90+AH91-AQ90)))</f>
        <v>557.15999999999974</v>
      </c>
      <c r="AJ91" s="14">
        <f>AI91*VLOOKUP('Données projet'!$B$10,Paramètres!$A$1:$I$88,3,0)*VLOOKUP('Données projet'!$B$10,Paramètres!$A$1:$I$88,5,0)</f>
        <v>443.27649599999978</v>
      </c>
      <c r="AK91" s="14">
        <f t="shared" si="89"/>
        <v>100.49717029466571</v>
      </c>
      <c r="AL91" s="22">
        <f t="shared" si="58"/>
        <v>947.07246879654247</v>
      </c>
      <c r="AM91" s="59">
        <f t="shared" si="59"/>
        <v>1240.4058021298758</v>
      </c>
      <c r="AN91" s="59">
        <f ca="1">AVERAGE(OFFSET($AM$3,0,0,'Données projet'!$E$10+1,1))-AVERAGE(OFFSET($H$3,0,0,'Données projet'!$E$10+1,1))</f>
        <v>504.15006129790828</v>
      </c>
      <c r="AO91" s="59">
        <f t="shared" si="90"/>
        <v>374.39334457402742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19.521067273847951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19.521067273847951</v>
      </c>
      <c r="AY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4.9200000000000044</v>
      </c>
      <c r="BD91" s="13">
        <f>IF('Données projet'!$A$88&gt;35,BD90+BC91-BL90,IF(A91&lt;'Données projet'!$A$88,$BA$205^A91,IF(A91='Données projet'!$A$88,'Données projet'!$B$88,BD90+BC91-BL90)))</f>
        <v>557.15999999999974</v>
      </c>
      <c r="BE91" s="14">
        <f>BD91*VLOOKUP('Données projet'!$B$11,Paramètres!$A$1:$I$88,3,0)*VLOOKUP('Données projet'!$B$11,Paramètres!$A$1:$I$88,5,0)</f>
        <v>443.27649599999978</v>
      </c>
      <c r="BF91" s="14">
        <f t="shared" si="91"/>
        <v>100.49717029466571</v>
      </c>
      <c r="BG91" s="22">
        <f t="shared" si="61"/>
        <v>947.07246879654247</v>
      </c>
      <c r="BH91" s="59">
        <f t="shared" si="62"/>
        <v>1240.4058021298758</v>
      </c>
      <c r="BI91" s="59">
        <f ca="1">AVERAGE(OFFSET($BH$3,0,0,'Données projet'!$E$11+1,1))-AVERAGE(OFFSET($H$3,0,0,'Données projet'!$E$11+1,1))</f>
        <v>504.15006129790828</v>
      </c>
      <c r="BJ91" s="59">
        <f t="shared" si="92"/>
        <v>374.39334457402742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19.521067273847951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19.521067273847951</v>
      </c>
      <c r="BT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4.9200000000000044</v>
      </c>
      <c r="BY91" s="13">
        <f>IF('Données projet'!$A$114&gt;35,BY90+BX91-CG90,IF(A91&lt;'Données projet'!$A$114,$BV$205^A91,IF(A91='Données projet'!$A$114,'Données projet'!$B$114,BY90+BX91-CG90)))</f>
        <v>557.15999999999974</v>
      </c>
      <c r="BZ91" s="14">
        <f>BY91*VLOOKUP('Données projet'!$B$12,Paramètres!$A$1:$I$88,3,0)*VLOOKUP('Données projet'!$B$12,Paramètres!$A$1:$I$88,5,0)</f>
        <v>373.74292799999984</v>
      </c>
      <c r="CA91" s="14">
        <f t="shared" si="93"/>
        <v>86.432595204968351</v>
      </c>
      <c r="CB91" s="22">
        <f t="shared" si="64"/>
        <v>801.47236958198619</v>
      </c>
      <c r="CC91" s="59">
        <f t="shared" si="65"/>
        <v>1094.8057029153194</v>
      </c>
      <c r="CD91" s="59">
        <f ca="1">AVERAGE(OFFSET($CC$3,0,0,'Données projet'!$E$12+1,1))-AVERAGE(OFFSET($H$3,0,0,'Données projet'!$E$12+1,1))</f>
        <v>387.15063677712425</v>
      </c>
      <c r="CE91" s="59">
        <f t="shared" si="94"/>
        <v>313.19155394370705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16.458939074028663</v>
      </c>
      <c r="CL91" s="23">
        <f>EXP(-LN(2)/25)*CL90+(1-EXP(-LN(2)/25))/(LN(2)/25)*Calculateur!CG91*Calculateur!CI91*VLOOKUP('Données projet'!$B$12,Paramètres!$A$1:$I$88,3,0)*0.475*44/12</f>
        <v>0</v>
      </c>
      <c r="CM91" s="23">
        <f>EXP(-LN(2)/2)*CM90+(1-EXP(-LN(2)/2))/(LN(2)/2)*CG91*CJ91*VLOOKUP('Données projet'!$B$12,Paramètres!$A$1:$I$88,3,0)*0.475*44/12</f>
        <v>0</v>
      </c>
      <c r="CN91" s="24">
        <f t="shared" si="66"/>
        <v>16.458939074028663</v>
      </c>
      <c r="CO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5.7777777777777777</v>
      </c>
      <c r="CT91" s="13">
        <f>IF('Données projet'!$A$140&gt;35,CT90+CS91-DB90,IF(A91&lt;'Données projet'!$A$140,$CQ$205^A91,IF(A91='Données projet'!$A$140,'Données projet'!$B$140,CT90+CS91-DB90)))</f>
        <v>211.11111111111111</v>
      </c>
      <c r="CU91" s="18">
        <f>CT91*VLOOKUP('Données projet'!$B$13,Paramètres!$A$1:$I$88,3,0)*VLOOKUP('Données projet'!$B$13,Paramètres!$A$1:$I$88,5,0)</f>
        <v>204.18666666666667</v>
      </c>
      <c r="CV91" s="14">
        <f t="shared" si="95"/>
        <v>50.663157998447929</v>
      </c>
      <c r="CW91" s="22">
        <f t="shared" si="67"/>
        <v>443.86344462507458</v>
      </c>
      <c r="CX91" s="59">
        <f t="shared" si="68"/>
        <v>737.19677795840789</v>
      </c>
      <c r="CY91" s="59">
        <f ca="1">AVERAGE(OFFSET($CX$3,0,0,'Données projet'!$E$13+1,1))-AVERAGE(OFFSET($H$3,0,0,'Données projet'!$E$13+1,1))</f>
        <v>306.00894145276209</v>
      </c>
      <c r="CZ91" s="59">
        <f t="shared" si="96"/>
        <v>168.74705421228828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20.742332656058739</v>
      </c>
      <c r="DG91" s="23">
        <f>EXP(-LN(2)/25)*DG90+(1-EXP(-LN(2)/25))/(LN(2)/25)*Calculateur!DB91*Calculateur!DD91*VLOOKUP('Données projet'!$B$13,Paramètres!$A$1:$I$88,3,0)*0.475*44/12</f>
        <v>0</v>
      </c>
      <c r="DH91" s="23">
        <f>EXP(-LN(2)/2)*DH90+(1-EXP(-LN(2)/2))/(LN(2)/2)*DB91*DE91*VLOOKUP('Données projet'!$B$13,Paramètres!$A$1:$I$88,3,0)*0.475*44/12</f>
        <v>0</v>
      </c>
      <c r="DI91" s="24">
        <f t="shared" si="69"/>
        <v>20.742332656058739</v>
      </c>
      <c r="DJ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4.9200000000000044</v>
      </c>
      <c r="DO91" s="13">
        <f>IF('Données projet'!$A$166&gt;35,DO90+DN91-DW90,IF(A91&lt;'Données projet'!$A$166,$DL$205^A91,IF(A91='Données projet'!$A$166,'Données projet'!$B$166,DO90+DN91-DW90)))</f>
        <v>557.15999999999974</v>
      </c>
      <c r="DP91" s="18">
        <f>DO91*VLOOKUP('Données projet'!$B$14,Paramètres!$A$1:$I$88,3,0)*VLOOKUP('Données projet'!$B$14,Paramètres!$A$1:$I$88,5,0)</f>
        <v>434.5847999999998</v>
      </c>
      <c r="DQ91" s="14">
        <f t="shared" si="97"/>
        <v>98.754005931349255</v>
      </c>
      <c r="DR91" s="22">
        <f t="shared" si="70"/>
        <v>928.89842033043294</v>
      </c>
      <c r="DS91" s="59">
        <f t="shared" si="71"/>
        <v>1222.2317536637663</v>
      </c>
      <c r="DT91" s="59">
        <f ca="1">AVERAGE(OFFSET($DS$3,0,0,'Données projet'!$E$14+1,1))-AVERAGE(OFFSET($H$3,0,0,'Données projet'!$E$14+1,1))</f>
        <v>458.14328535055694</v>
      </c>
      <c r="DU91" s="59">
        <f t="shared" si="98"/>
        <v>366.75500153675739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projet'!$B$14,Paramètres!$A$1:$I$88,3,0)*0.475*44/12</f>
        <v>15.52730101323459</v>
      </c>
      <c r="EB91" s="23">
        <f>EXP(-LN(2)/25)*EB90+(1-EXP(-LN(2)/25))/(LN(2)/25)*Calculateur!DW91*Calculateur!DY91*VLOOKUP('Données projet'!$B$14,Paramètres!$A$1:$I$88,3,0)*0.475*44/12</f>
        <v>0</v>
      </c>
      <c r="EC91" s="23">
        <f>EXP(-LN(2)/2)*EC90+(1-EXP(-LN(2)/2))/(LN(2)/2)*DW91*DZ91*VLOOKUP('Données projet'!$B$14,Paramètres!$A$1:$I$88,3,0)*0.475*44/12</f>
        <v>0</v>
      </c>
      <c r="ED91" s="24">
        <f t="shared" si="72"/>
        <v>15.52730101323459</v>
      </c>
      <c r="EE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13</v>
      </c>
      <c r="EJ91" s="13">
        <f>IF('Données projet'!$A$192&gt;35,EJ90+EI91-ER90,IF(A91&lt;'Données projet'!$A$192,$EG$205^A91,IF(A91='Données projet'!$A$192,'Données projet'!$B$192,EJ90+EI91-ER90)))</f>
        <v>641.00000000000045</v>
      </c>
      <c r="EK91" s="18">
        <f>EJ91*VLOOKUP('Données projet'!$B$15,Paramètres!$A$1:$I$88,3,0)*VLOOKUP('Données projet'!$B$15,Paramètres!$A$1:$I$88,5,0)</f>
        <v>549.97800000000052</v>
      </c>
      <c r="EL91" s="14">
        <f t="shared" si="99"/>
        <v>121.59653157994764</v>
      </c>
      <c r="EM91" s="22">
        <f t="shared" si="73"/>
        <v>1169.6589758350763</v>
      </c>
      <c r="EN91" s="59">
        <f t="shared" si="74"/>
        <v>1462.9923091684095</v>
      </c>
      <c r="EO91" s="59">
        <f ca="1">AVERAGE(OFFSET($EN$3,0,0,'Données projet'!$E$15+1,1))-AVERAGE(OFFSET($H$3,0,0,'Données projet'!$E$15+1,1))</f>
        <v>462.99360395552145</v>
      </c>
      <c r="EP91" s="59">
        <f t="shared" si="100"/>
        <v>153.03880717786046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projet'!$B$15,Paramètres!$A$1:$I$88,3,0)*0.475*44/12</f>
        <v>52.524118186406142</v>
      </c>
      <c r="EW91" s="23">
        <f>EXP(-LN(2)/25)*EW90+(1-EXP(-LN(2)/25))/(LN(2)/25)*Calculateur!ER91*Calculateur!ET91*VLOOKUP('Données projet'!$B$15,Paramètres!$A$1:$I$88,3,0)*0.475*44/12</f>
        <v>0</v>
      </c>
      <c r="EX91" s="23">
        <f>EXP(-LN(2)/2)*EX90+(1-EXP(-LN(2)/2))/(LN(2)/2)*ER91*EU91*VLOOKUP('Données projet'!$B$15,Paramètres!$A$1:$I$88,3,0)*0.475*44/12</f>
        <v>0</v>
      </c>
      <c r="EY91" s="24">
        <f t="shared" si="75"/>
        <v>52.524118186406142</v>
      </c>
      <c r="EZ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3.9200000000000044</v>
      </c>
      <c r="FE91" s="13">
        <f>IF('Données projet'!$A$218&gt;35,FE90+FD91-FM90,IF(A91&lt;'Données projet'!$A$218,$FB$205^A91,IF(A91='Données projet'!$A$218,'Données projet'!$B$218,FE90+FD91-FM90)))</f>
        <v>446.16000000000025</v>
      </c>
      <c r="FF91" s="18">
        <f>FE91*VLOOKUP('Données projet'!$B$16,Paramètres!$A$1:$I$88,3,0)*VLOOKUP('Données projet'!$B$16,Paramètres!$A$1:$I$88,5,0)</f>
        <v>389.76537600000023</v>
      </c>
      <c r="FG91" s="14">
        <f t="shared" si="101"/>
        <v>89.698632614957233</v>
      </c>
      <c r="FH91" s="22">
        <f t="shared" si="76"/>
        <v>835.06648167105095</v>
      </c>
      <c r="FI91" s="59">
        <f t="shared" si="77"/>
        <v>1128.3998150043842</v>
      </c>
      <c r="FJ91" s="59">
        <f ca="1">AVERAGE(OFFSET($FI$3,0,0,'Données projet'!$E$16+1,1))-AVERAGE(OFFSET($H$3,0,0,'Données projet'!$E$16+1,1))</f>
        <v>427.76895185088944</v>
      </c>
      <c r="FK91" s="59">
        <f t="shared" si="102"/>
        <v>308.32543361559135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projet'!$B$16,Paramètres!$A$1:$I$88,3,0)*0.475*44/12</f>
        <v>16.610878893317945</v>
      </c>
      <c r="FR91" s="23">
        <f>EXP(-LN(2)/25)*FR90+(1-EXP(-LN(2)/25))/(LN(2)/25)*Calculateur!FM91*Calculateur!FO91*VLOOKUP('Données projet'!$B$16,Paramètres!$A$1:$I$88,3,0)*0.475*44/12</f>
        <v>0</v>
      </c>
      <c r="FS91" s="23">
        <f>EXP(-LN(2)/2)*FS90+(1-EXP(-LN(2)/2))/(LN(2)/2)*FM91*FP91*VLOOKUP('Données projet'!$B$16,Paramètres!$A$1:$I$88,3,0)*0.475*44/12</f>
        <v>0</v>
      </c>
      <c r="FT91" s="24">
        <f t="shared" si="78"/>
        <v>16.610878893317945</v>
      </c>
      <c r="FU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333.00000000000006</v>
      </c>
      <c r="GA91" s="18">
        <f>FZ91*VLOOKUP('Données projet'!$B$17,Paramètres!$A$1:$I$88,3,0)*VLOOKUP('Données projet'!$B$17,Paramètres!$A$1:$I$88,5,0)</f>
        <v>207.79200000000006</v>
      </c>
      <c r="GB91" s="14">
        <f t="shared" si="103"/>
        <v>51.452785725007907</v>
      </c>
      <c r="GC91" s="22">
        <f t="shared" si="79"/>
        <v>451.5180018043888</v>
      </c>
      <c r="GD91" s="59">
        <f t="shared" si="80"/>
        <v>744.85133513772212</v>
      </c>
      <c r="GE91" s="59">
        <f ca="1">AVERAGE(OFFSET($GD$3,0,0,'Données projet'!$E$17+1,1))-AVERAGE(OFFSET($H$3,0,0,'Données projet'!$E$17+1,1))</f>
        <v>247.85542034088905</v>
      </c>
      <c r="GF91" s="59">
        <f t="shared" si="104"/>
        <v>299.52241743660352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projet'!$B$17,Paramètres!$A$1:$I$88,3,0)*0.475*44/12</f>
        <v>21.339401470741858</v>
      </c>
      <c r="GM91" s="23">
        <f>EXP(-LN(2)/25)*GM90+(1-EXP(-LN(2)/25))/(LN(2)/25)*Calculateur!GH91*Calculateur!GJ91*VLOOKUP('Données projet'!$B$17,Paramètres!$A$1:$I$88,3,0)*0.475*44/12</f>
        <v>17.495672247851342</v>
      </c>
      <c r="GN91" s="23">
        <f>EXP(-LN(2)/2)*GN90+(1-EXP(-LN(2)/2))/(LN(2)/2)*GH91*GK91*VLOOKUP('Données projet'!$B$17,Paramètres!$A$1:$I$88,3,0)*0.475*44/12</f>
        <v>2.6124332407491389E-3</v>
      </c>
      <c r="GO91" s="23">
        <f t="shared" si="81"/>
        <v>38.83768615183395</v>
      </c>
      <c r="GP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3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6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5.7777777777777777</v>
      </c>
      <c r="N92" s="14">
        <f>IF('Données projet'!$A$36&gt;35,N91+M92-V91,IF(A92&lt;'Données projet'!$A$36,$K$205^A92,IF(A92='Données projet'!$A$36,'Données projet'!$B$36,N91+M92-V91)))</f>
        <v>216.88888888888889</v>
      </c>
      <c r="O92" s="14">
        <f>N92*VLOOKUP('Données projet'!$B$9,Paramètres!$A$1:$I$88,3,0)*VLOOKUP('Données projet'!$B$9,Paramètres!$A$1:$I$88,5,0)</f>
        <v>196.24106666666665</v>
      </c>
      <c r="P92" s="14">
        <f t="shared" si="87"/>
        <v>48.917157937717533</v>
      </c>
      <c r="Q92" s="22">
        <f t="shared" si="54"/>
        <v>426.98390785263581</v>
      </c>
      <c r="R92" s="59">
        <f t="shared" si="55"/>
        <v>720.31724118596912</v>
      </c>
      <c r="S92" s="59">
        <f ca="1">AVERAGE(OFFSET($R$3,0,0,'Données projet'!$E$9+1,1))-AVERAGE(OFFSET($H$3,0,0,'Données projet'!$E$9+1,1))</f>
        <v>247.57967230773539</v>
      </c>
      <c r="T92" s="59">
        <f t="shared" si="88"/>
        <v>156.58857589533295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19.023614734295677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19.023614734295677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4.9200000000000044</v>
      </c>
      <c r="AI92" s="14">
        <f>IF('Données projet'!$A$62&gt;35,AI91+AH92-AQ91,IF(A92&lt;'Données projet'!$A$62,$AF$205^A92,IF(A92='Données projet'!$A$62,'Données projet'!$B$62,AI91+AH92-AQ91)))</f>
        <v>562.0799999999997</v>
      </c>
      <c r="AJ92" s="14">
        <f>AI92*VLOOKUP('Données projet'!$B$10,Paramètres!$A$1:$I$88,3,0)*VLOOKUP('Données projet'!$B$10,Paramètres!$A$1:$I$88,5,0)</f>
        <v>447.19084799999973</v>
      </c>
      <c r="AK92" s="14">
        <f t="shared" si="89"/>
        <v>101.28091061064546</v>
      </c>
      <c r="AL92" s="22">
        <f t="shared" si="58"/>
        <v>955.25497958020696</v>
      </c>
      <c r="AM92" s="59">
        <f t="shared" si="59"/>
        <v>1248.5883129135402</v>
      </c>
      <c r="AN92" s="59">
        <f ca="1">AVERAGE(OFFSET($AM$3,0,0,'Données projet'!$E$10+1,1))-AVERAGE(OFFSET($H$3,0,0,'Données projet'!$E$10+1,1))</f>
        <v>504.15006129790828</v>
      </c>
      <c r="AO92" s="59">
        <f t="shared" si="90"/>
        <v>374.39334457402742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19.138271051283144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19.138271051283144</v>
      </c>
      <c r="AY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4.9200000000000044</v>
      </c>
      <c r="BD92" s="13">
        <f>IF('Données projet'!$A$88&gt;35,BD91+BC92-BL91,IF(A92&lt;'Données projet'!$A$88,$BA$205^A92,IF(A92='Données projet'!$A$88,'Données projet'!$B$88,BD91+BC92-BL91)))</f>
        <v>562.0799999999997</v>
      </c>
      <c r="BE92" s="14">
        <f>BD92*VLOOKUP('Données projet'!$B$11,Paramètres!$A$1:$I$88,3,0)*VLOOKUP('Données projet'!$B$11,Paramètres!$A$1:$I$88,5,0)</f>
        <v>447.19084799999973</v>
      </c>
      <c r="BF92" s="14">
        <f t="shared" si="91"/>
        <v>101.28091061064546</v>
      </c>
      <c r="BG92" s="22">
        <f t="shared" si="61"/>
        <v>955.25497958020696</v>
      </c>
      <c r="BH92" s="59">
        <f t="shared" si="62"/>
        <v>1248.5883129135402</v>
      </c>
      <c r="BI92" s="59">
        <f ca="1">AVERAGE(OFFSET($BH$3,0,0,'Données projet'!$E$11+1,1))-AVERAGE(OFFSET($H$3,0,0,'Données projet'!$E$11+1,1))</f>
        <v>504.15006129790828</v>
      </c>
      <c r="BJ92" s="59">
        <f t="shared" si="92"/>
        <v>374.39334457402742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19.138271051283144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19.138271051283144</v>
      </c>
      <c r="BT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4.9200000000000044</v>
      </c>
      <c r="BY92" s="13">
        <f>IF('Données projet'!$A$114&gt;35,BY91+BX92-CG91,IF(A92&lt;'Données projet'!$A$114,$BV$205^A92,IF(A92='Données projet'!$A$114,'Données projet'!$B$114,BY91+BX92-CG91)))</f>
        <v>562.0799999999997</v>
      </c>
      <c r="BZ92" s="14">
        <f>BY92*VLOOKUP('Données projet'!$B$12,Paramètres!$A$1:$I$88,3,0)*VLOOKUP('Données projet'!$B$12,Paramètres!$A$1:$I$88,5,0)</f>
        <v>377.04326399999979</v>
      </c>
      <c r="CA92" s="14">
        <f t="shared" si="93"/>
        <v>87.106651094087127</v>
      </c>
      <c r="CB92" s="22">
        <f t="shared" si="64"/>
        <v>808.39443545553468</v>
      </c>
      <c r="CC92" s="59">
        <f t="shared" si="65"/>
        <v>1101.7277687888679</v>
      </c>
      <c r="CD92" s="59">
        <f ca="1">AVERAGE(OFFSET($CC$3,0,0,'Données projet'!$E$12+1,1))-AVERAGE(OFFSET($H$3,0,0,'Données projet'!$E$12+1,1))</f>
        <v>387.15063677712425</v>
      </c>
      <c r="CE92" s="59">
        <f t="shared" si="94"/>
        <v>313.19155394370705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16.136189317748531</v>
      </c>
      <c r="CL92" s="23">
        <f>EXP(-LN(2)/25)*CL91+(1-EXP(-LN(2)/25))/(LN(2)/25)*Calculateur!CG92*Calculateur!CI92*VLOOKUP('Données projet'!$B$12,Paramètres!$A$1:$I$88,3,0)*0.475*44/12</f>
        <v>0</v>
      </c>
      <c r="CM92" s="23">
        <f>EXP(-LN(2)/2)*CM91+(1-EXP(-LN(2)/2))/(LN(2)/2)*CG92*CJ92*VLOOKUP('Données projet'!$B$12,Paramètres!$A$1:$I$88,3,0)*0.475*44/12</f>
        <v>0</v>
      </c>
      <c r="CN92" s="24">
        <f t="shared" si="66"/>
        <v>16.136189317748531</v>
      </c>
      <c r="CO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5.7777777777777777</v>
      </c>
      <c r="CT92" s="13">
        <f>IF('Données projet'!$A$140&gt;35,CT91+CS92-DB91,IF(A92&lt;'Données projet'!$A$140,$CQ$205^A92,IF(A92='Données projet'!$A$140,'Données projet'!$B$140,CT91+CS92-DB91)))</f>
        <v>216.88888888888889</v>
      </c>
      <c r="CU92" s="18">
        <f>CT92*VLOOKUP('Données projet'!$B$13,Paramètres!$A$1:$I$88,3,0)*VLOOKUP('Données projet'!$B$13,Paramètres!$A$1:$I$88,5,0)</f>
        <v>209.77493333333331</v>
      </c>
      <c r="CV92" s="14">
        <f t="shared" si="95"/>
        <v>51.886399900012051</v>
      </c>
      <c r="CW92" s="22">
        <f t="shared" si="67"/>
        <v>455.72682204807649</v>
      </c>
      <c r="CX92" s="59">
        <f t="shared" si="68"/>
        <v>749.0601553814098</v>
      </c>
      <c r="CY92" s="59">
        <f ca="1">AVERAGE(OFFSET($CX$3,0,0,'Données projet'!$E$13+1,1))-AVERAGE(OFFSET($H$3,0,0,'Données projet'!$E$13+1,1))</f>
        <v>306.00894145276209</v>
      </c>
      <c r="CZ92" s="59">
        <f t="shared" si="96"/>
        <v>168.74705421228828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20.33558816424711</v>
      </c>
      <c r="DG92" s="23">
        <f>EXP(-LN(2)/25)*DG91+(1-EXP(-LN(2)/25))/(LN(2)/25)*Calculateur!DB92*Calculateur!DD92*VLOOKUP('Données projet'!$B$13,Paramètres!$A$1:$I$88,3,0)*0.475*44/12</f>
        <v>0</v>
      </c>
      <c r="DH92" s="23">
        <f>EXP(-LN(2)/2)*DH91+(1-EXP(-LN(2)/2))/(LN(2)/2)*DB92*DE92*VLOOKUP('Données projet'!$B$13,Paramètres!$A$1:$I$88,3,0)*0.475*44/12</f>
        <v>0</v>
      </c>
      <c r="DI92" s="24">
        <f t="shared" si="69"/>
        <v>20.33558816424711</v>
      </c>
      <c r="DJ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4.9200000000000044</v>
      </c>
      <c r="DO92" s="13">
        <f>IF('Données projet'!$A$166&gt;35,DO91+DN92-DW91,IF(A92&lt;'Données projet'!$A$166,$DL$205^A92,IF(A92='Données projet'!$A$166,'Données projet'!$B$166,DO91+DN92-DW91)))</f>
        <v>562.0799999999997</v>
      </c>
      <c r="DP92" s="18">
        <f>DO92*VLOOKUP('Données projet'!$B$14,Paramètres!$A$1:$I$88,3,0)*VLOOKUP('Données projet'!$B$14,Paramètres!$A$1:$I$88,5,0)</f>
        <v>438.42239999999975</v>
      </c>
      <c r="DQ92" s="14">
        <f t="shared" si="97"/>
        <v>99.524151952236878</v>
      </c>
      <c r="DR92" s="22">
        <f t="shared" si="70"/>
        <v>936.92357798347882</v>
      </c>
      <c r="DS92" s="59">
        <f t="shared" si="71"/>
        <v>1230.2569113168122</v>
      </c>
      <c r="DT92" s="59">
        <f ca="1">AVERAGE(OFFSET($DS$3,0,0,'Données projet'!$E$14+1,1))-AVERAGE(OFFSET($H$3,0,0,'Données projet'!$E$14+1,1))</f>
        <v>458.14328535055694</v>
      </c>
      <c r="DU92" s="59">
        <f t="shared" si="98"/>
        <v>366.75500153675739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projet'!$B$14,Paramètres!$A$1:$I$88,3,0)*0.475*44/12</f>
        <v>15.222820111083522</v>
      </c>
      <c r="EB92" s="23">
        <f>EXP(-LN(2)/25)*EB91+(1-EXP(-LN(2)/25))/(LN(2)/25)*Calculateur!DW92*Calculateur!DY92*VLOOKUP('Données projet'!$B$14,Paramètres!$A$1:$I$88,3,0)*0.475*44/12</f>
        <v>0</v>
      </c>
      <c r="EC92" s="23">
        <f>EXP(-LN(2)/2)*EC91+(1-EXP(-LN(2)/2))/(LN(2)/2)*DW92*DZ92*VLOOKUP('Données projet'!$B$14,Paramètres!$A$1:$I$88,3,0)*0.475*44/12</f>
        <v>0</v>
      </c>
      <c r="ED92" s="24">
        <f t="shared" si="72"/>
        <v>15.222820111083522</v>
      </c>
      <c r="EE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13</v>
      </c>
      <c r="EJ92" s="13">
        <f>IF('Données projet'!$A$192&gt;35,EJ91+EI92-ER91,IF(A92&lt;'Données projet'!$A$192,$EG$205^A92,IF(A92='Données projet'!$A$192,'Données projet'!$B$192,EJ91+EI92-ER91)))</f>
        <v>654.00000000000045</v>
      </c>
      <c r="EK92" s="18">
        <f>EJ92*VLOOKUP('Données projet'!$B$15,Paramètres!$A$1:$I$88,3,0)*VLOOKUP('Données projet'!$B$15,Paramètres!$A$1:$I$88,5,0)</f>
        <v>561.1320000000004</v>
      </c>
      <c r="EL92" s="14">
        <f t="shared" si="99"/>
        <v>123.77300380991095</v>
      </c>
      <c r="EM92" s="22">
        <f t="shared" si="73"/>
        <v>1192.8762149689289</v>
      </c>
      <c r="EN92" s="59">
        <f t="shared" si="74"/>
        <v>1486.2095483022622</v>
      </c>
      <c r="EO92" s="59">
        <f ca="1">AVERAGE(OFFSET($EN$3,0,0,'Données projet'!$E$15+1,1))-AVERAGE(OFFSET($H$3,0,0,'Données projet'!$E$15+1,1))</f>
        <v>462.99360395552145</v>
      </c>
      <c r="EP92" s="59">
        <f t="shared" si="100"/>
        <v>153.03880717786046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projet'!$B$15,Paramètres!$A$1:$I$88,3,0)*0.475*44/12</f>
        <v>51.494152265319464</v>
      </c>
      <c r="EW92" s="23">
        <f>EXP(-LN(2)/25)*EW91+(1-EXP(-LN(2)/25))/(LN(2)/25)*Calculateur!ER92*Calculateur!ET92*VLOOKUP('Données projet'!$B$15,Paramètres!$A$1:$I$88,3,0)*0.475*44/12</f>
        <v>0</v>
      </c>
      <c r="EX92" s="23">
        <f>EXP(-LN(2)/2)*EX91+(1-EXP(-LN(2)/2))/(LN(2)/2)*ER92*EU92*VLOOKUP('Données projet'!$B$15,Paramètres!$A$1:$I$88,3,0)*0.475*44/12</f>
        <v>0</v>
      </c>
      <c r="EY92" s="24">
        <f t="shared" si="75"/>
        <v>51.494152265319464</v>
      </c>
      <c r="EZ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3.9200000000000044</v>
      </c>
      <c r="FE92" s="13">
        <f>IF('Données projet'!$A$218&gt;35,FE91+FD92-FM91,IF(A92&lt;'Données projet'!$A$218,$FB$205^A92,IF(A92='Données projet'!$A$218,'Données projet'!$B$218,FE91+FD92-FM91)))</f>
        <v>450.08000000000027</v>
      </c>
      <c r="FF92" s="18">
        <f>FE92*VLOOKUP('Données projet'!$B$16,Paramètres!$A$1:$I$88,3,0)*VLOOKUP('Données projet'!$B$16,Paramètres!$A$1:$I$88,5,0)</f>
        <v>393.18988800000028</v>
      </c>
      <c r="FG92" s="14">
        <f t="shared" si="101"/>
        <v>90.394642736232697</v>
      </c>
      <c r="FH92" s="22">
        <f t="shared" si="76"/>
        <v>842.24305769893908</v>
      </c>
      <c r="FI92" s="59">
        <f t="shared" si="77"/>
        <v>1135.5763910322723</v>
      </c>
      <c r="FJ92" s="59">
        <f ca="1">AVERAGE(OFFSET($FI$3,0,0,'Données projet'!$E$16+1,1))-AVERAGE(OFFSET($H$3,0,0,'Données projet'!$E$16+1,1))</f>
        <v>427.76895185088944</v>
      </c>
      <c r="FK92" s="59">
        <f t="shared" si="102"/>
        <v>308.32543361559135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projet'!$B$16,Paramètres!$A$1:$I$88,3,0)*0.475*44/12</f>
        <v>16.28514968985569</v>
      </c>
      <c r="FR92" s="23">
        <f>EXP(-LN(2)/25)*FR91+(1-EXP(-LN(2)/25))/(LN(2)/25)*Calculateur!FM92*Calculateur!FO92*VLOOKUP('Données projet'!$B$16,Paramètres!$A$1:$I$88,3,0)*0.475*44/12</f>
        <v>0</v>
      </c>
      <c r="FS92" s="23">
        <f>EXP(-LN(2)/2)*FS91+(1-EXP(-LN(2)/2))/(LN(2)/2)*FM92*FP92*VLOOKUP('Données projet'!$B$16,Paramètres!$A$1:$I$88,3,0)*0.475*44/12</f>
        <v>0</v>
      </c>
      <c r="FT92" s="24">
        <f t="shared" si="78"/>
        <v>16.28514968985569</v>
      </c>
      <c r="FU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333.00000000000006</v>
      </c>
      <c r="GA92" s="18">
        <f>FZ92*VLOOKUP('Données projet'!$B$17,Paramètres!$A$1:$I$88,3,0)*VLOOKUP('Données projet'!$B$17,Paramètres!$A$1:$I$88,5,0)</f>
        <v>207.79200000000006</v>
      </c>
      <c r="GB92" s="14">
        <f t="shared" si="103"/>
        <v>51.452785725007907</v>
      </c>
      <c r="GC92" s="22">
        <f t="shared" si="79"/>
        <v>451.5180018043888</v>
      </c>
      <c r="GD92" s="59">
        <f t="shared" si="80"/>
        <v>744.85133513772212</v>
      </c>
      <c r="GE92" s="59">
        <f ca="1">AVERAGE(OFFSET($GD$3,0,0,'Données projet'!$E$17+1,1))-AVERAGE(OFFSET($H$3,0,0,'Données projet'!$E$17+1,1))</f>
        <v>247.85542034088905</v>
      </c>
      <c r="GF92" s="59">
        <f t="shared" si="104"/>
        <v>299.52241743660352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projet'!$B$17,Paramètres!$A$1:$I$88,3,0)*0.475*44/12</f>
        <v>20.92094882365031</v>
      </c>
      <c r="GM92" s="23">
        <f>EXP(-LN(2)/25)*GM91+(1-EXP(-LN(2)/25))/(LN(2)/25)*Calculateur!GH92*Calculateur!GJ92*VLOOKUP('Données projet'!$B$17,Paramètres!$A$1:$I$88,3,0)*0.475*44/12</f>
        <v>17.01725217017643</v>
      </c>
      <c r="GN92" s="23">
        <f>EXP(-LN(2)/2)*GN91+(1-EXP(-LN(2)/2))/(LN(2)/2)*GH92*GK92*VLOOKUP('Données projet'!$B$17,Paramètres!$A$1:$I$88,3,0)*0.475*44/12</f>
        <v>1.8472692599308647E-3</v>
      </c>
      <c r="GO92" s="23">
        <f t="shared" si="81"/>
        <v>37.940048263086673</v>
      </c>
      <c r="GP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3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6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5.7777777777777777</v>
      </c>
      <c r="N93" s="14">
        <f>IF('Données projet'!$A$36&gt;35,N92+M93-V92,IF(A93&lt;'Données projet'!$A$36,$K$205^A93,IF(A93='Données projet'!$A$36,'Données projet'!$B$36,N92+M93-V92)))</f>
        <v>222.66666666666666</v>
      </c>
      <c r="O93" s="14">
        <f>N93*VLOOKUP('Données projet'!$B$9,Paramètres!$A$1:$I$88,3,0)*VLOOKUP('Données projet'!$B$9,Paramètres!$A$1:$I$88,5,0)</f>
        <v>201.46879999999999</v>
      </c>
      <c r="P93" s="14">
        <f t="shared" si="87"/>
        <v>50.066827914349915</v>
      </c>
      <c r="Q93" s="22">
        <f t="shared" si="54"/>
        <v>438.09121861749276</v>
      </c>
      <c r="R93" s="59">
        <f t="shared" si="55"/>
        <v>731.42455195082607</v>
      </c>
      <c r="S93" s="59">
        <f ca="1">AVERAGE(OFFSET($R$3,0,0,'Données projet'!$E$9+1,1))-AVERAGE(OFFSET($H$3,0,0,'Données projet'!$E$9+1,1))</f>
        <v>247.57967230773539</v>
      </c>
      <c r="T93" s="59">
        <f t="shared" si="88"/>
        <v>156.58857589533295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18.650573252615398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18.650573252615398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567</v>
      </c>
      <c r="AG93" s="13">
        <f>VLOOKUP(A93,'Données projet'!$A$61:$I$81,9,0)</f>
        <v>4.9200000000000044</v>
      </c>
      <c r="AH93" s="13">
        <f t="array" ref="AH93">INDEX(AG:AG,MIN(IF(ISNUMBER(AG93:AG289),ROW(AG93:AG289),"")))</f>
        <v>4.9200000000000044</v>
      </c>
      <c r="AI93" s="14">
        <f>IF('Données projet'!$A$62&gt;35,AI92+AH93-AQ92,IF(A93&lt;'Données projet'!$A$62,$AF$205^A93,IF(A93='Données projet'!$A$62,'Données projet'!$B$62,AI92+AH93-AQ92)))</f>
        <v>566.99999999999966</v>
      </c>
      <c r="AJ93" s="14">
        <f>AI93*VLOOKUP('Données projet'!$B$10,Paramètres!$A$1:$I$88,3,0)*VLOOKUP('Données projet'!$B$10,Paramètres!$A$1:$I$88,5,0)</f>
        <v>451.1051999999998</v>
      </c>
      <c r="AK93" s="14">
        <f t="shared" si="89"/>
        <v>102.06385279085067</v>
      </c>
      <c r="AL93" s="22">
        <f t="shared" si="58"/>
        <v>963.43610027739794</v>
      </c>
      <c r="AM93" s="59">
        <f t="shared" si="59"/>
        <v>1256.7694336107313</v>
      </c>
      <c r="AN93" s="59">
        <f ca="1">AVERAGE(OFFSET($AM$3,0,0,'Données projet'!$E$10+1,1))-AVERAGE(OFFSET($H$3,0,0,'Données projet'!$E$10+1,1))</f>
        <v>504.15006129790828</v>
      </c>
      <c r="AO93" s="59">
        <f t="shared" si="90"/>
        <v>374.39334457402742</v>
      </c>
      <c r="AP93" s="16">
        <f>IF(ISNA(VLOOKUP(A93,'Données projet'!$A$61:$I$81,3,0)),0,VLOOKUP(A93,'Données projet'!$A$61:$I$81,3,0))</f>
        <v>16</v>
      </c>
      <c r="AQ93" s="16">
        <f>IF(ISNA(VLOOKUP(A93,'Données projet'!$A$61:$I$81,4,0)),0,VLOOKUP(A93,'Données projet'!$A$61:$I$81,4,0))</f>
        <v>8.6999999999999993</v>
      </c>
      <c r="AR93" s="17">
        <f>IF(ISNA(VLOOKUP(A93,'Données projet'!$A$61:$I$81,5,0)),0%,VLOOKUP(A93,'Données projet'!$A$61:$I$81,5,0)*VLOOKUP('Données projet'!$B$10,Paramètres!$A$1:$I$88,7,0))</f>
        <v>0.371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21.601782866701313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21.601782866701313</v>
      </c>
      <c r="AY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567</v>
      </c>
      <c r="BB93" s="13">
        <f>VLOOKUP(A93,'Données projet'!$A$87:$I$107,9,0)</f>
        <v>4.9200000000000044</v>
      </c>
      <c r="BC93" s="13">
        <f t="array" ref="BC93">INDEX(BB:BB,MIN(IF(ISNUMBER(BB93:BB289),ROW(BB93:BB289),"")))</f>
        <v>4.9200000000000044</v>
      </c>
      <c r="BD93" s="13">
        <f>IF('Données projet'!$A$88&gt;35,BD92+BC93-BL92,IF(A93&lt;'Données projet'!$A$88,$BA$205^A93,IF(A93='Données projet'!$A$88,'Données projet'!$B$88,BD92+BC93-BL92)))</f>
        <v>566.99999999999966</v>
      </c>
      <c r="BE93" s="14">
        <f>BD93*VLOOKUP('Données projet'!$B$11,Paramètres!$A$1:$I$88,3,0)*VLOOKUP('Données projet'!$B$11,Paramètres!$A$1:$I$88,5,0)</f>
        <v>451.1051999999998</v>
      </c>
      <c r="BF93" s="14">
        <f t="shared" si="91"/>
        <v>102.06385279085067</v>
      </c>
      <c r="BG93" s="22">
        <f t="shared" si="61"/>
        <v>963.43610027739794</v>
      </c>
      <c r="BH93" s="59">
        <f t="shared" si="62"/>
        <v>1256.7694336107313</v>
      </c>
      <c r="BI93" s="59">
        <f ca="1">AVERAGE(OFFSET($BH$3,0,0,'Données projet'!$E$11+1,1))-AVERAGE(OFFSET($H$3,0,0,'Données projet'!$E$11+1,1))</f>
        <v>504.15006129790828</v>
      </c>
      <c r="BJ93" s="59">
        <f t="shared" si="92"/>
        <v>374.39334457402742</v>
      </c>
      <c r="BK93" s="16">
        <f>IF(ISNA(VLOOKUP(A93,'Données projet'!$A$87:$I$107,3,0)),0,VLOOKUP(A93,'Données projet'!$A$87:$I$107,3,0))</f>
        <v>16</v>
      </c>
      <c r="BL93" s="16">
        <f>IF(ISNA(VLOOKUP(A93,'Données projet'!$A$87:$I$107,4,0)),0,VLOOKUP(A93,'Données projet'!$A$87:$I$107,4,0))</f>
        <v>8.6999999999999993</v>
      </c>
      <c r="BM93" s="17">
        <f>IF(ISNA(VLOOKUP(A93,'Données projet'!$A$87:$I$107,5,0)),0%,VLOOKUP(A93,'Données projet'!$A$87:$I$107,5,0)*VLOOKUP('Données projet'!$B$11,Paramètres!$A$1:$I$88,7,0))</f>
        <v>0.371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21.601782866701313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21.601782866701313</v>
      </c>
      <c r="BT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567</v>
      </c>
      <c r="BW93" s="13">
        <f>VLOOKUP(A93,'Données projet'!$A$113:$I$133,9,0)</f>
        <v>4.9200000000000044</v>
      </c>
      <c r="BX93" s="13">
        <f t="array" ref="BX93">INDEX(BW:BW,MIN(IF(ISNUMBER(BW93:BW289),ROW(BW93:BW289),"")))</f>
        <v>4.9200000000000044</v>
      </c>
      <c r="BY93" s="13">
        <f>IF('Données projet'!$A$114&gt;35,BY92+BX93-CG92,IF(A93&lt;'Données projet'!$A$114,$BV$205^A93,IF(A93='Données projet'!$A$114,'Données projet'!$B$114,BY92+BX93-CG92)))</f>
        <v>566.99999999999966</v>
      </c>
      <c r="BZ93" s="14">
        <f>BY93*VLOOKUP('Données projet'!$B$12,Paramètres!$A$1:$I$88,3,0)*VLOOKUP('Données projet'!$B$12,Paramètres!$A$1:$I$88,5,0)</f>
        <v>380.34359999999981</v>
      </c>
      <c r="CA93" s="14">
        <f t="shared" si="93"/>
        <v>87.780020546502016</v>
      </c>
      <c r="CB93" s="22">
        <f t="shared" si="64"/>
        <v>815.31530578515731</v>
      </c>
      <c r="CC93" s="59">
        <f t="shared" si="65"/>
        <v>1108.6486391184906</v>
      </c>
      <c r="CD93" s="59">
        <f ca="1">AVERAGE(OFFSET($CC$3,0,0,'Données projet'!$E$12+1,1))-AVERAGE(OFFSET($H$3,0,0,'Données projet'!$E$12+1,1))</f>
        <v>387.15063677712425</v>
      </c>
      <c r="CE93" s="59">
        <f t="shared" si="94"/>
        <v>313.19155394370705</v>
      </c>
      <c r="CF93" s="16">
        <f>IF(ISNA(VLOOKUP(A93,'Données projet'!$A$113:$I$133,3,0)),0,VLOOKUP(A93,'Données projet'!$A$113:$I$133,3,0))</f>
        <v>16</v>
      </c>
      <c r="CG93" s="16">
        <f>IF(ISNA(VLOOKUP(A93,'Données projet'!$A$113:$I$133,4,0)),0,VLOOKUP(A93,'Données projet'!$A$113:$I$133,4,0))</f>
        <v>567</v>
      </c>
      <c r="CH93" s="17">
        <f>IF(ISNA(VLOOKUP(A93,'Données projet'!$A$113:$I$133,5,0)),0%,VLOOKUP(A93,'Données projet'!$A$113:$I$133,5,0)*VLOOKUP('Données projet'!$B$12,Paramètres!$A$1:$I$88,7,0))</f>
        <v>0.42400000000000004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194.09420803758084</v>
      </c>
      <c r="CL93" s="23">
        <f>EXP(-LN(2)/25)*CL92+(1-EXP(-LN(2)/25))/(LN(2)/25)*Calculateur!CG93*Calculateur!CI93*VLOOKUP('Données projet'!$B$12,Paramètres!$A$1:$I$88,3,0)*0.475*44/12</f>
        <v>0</v>
      </c>
      <c r="CM93" s="23">
        <f>EXP(-LN(2)/2)*CM92+(1-EXP(-LN(2)/2))/(LN(2)/2)*CG93*CJ93*VLOOKUP('Données projet'!$B$12,Paramètres!$A$1:$I$88,3,0)*0.475*44/12</f>
        <v>0</v>
      </c>
      <c r="CN93" s="24">
        <f t="shared" si="66"/>
        <v>194.09420803758084</v>
      </c>
      <c r="CO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5.7777777777777777</v>
      </c>
      <c r="CT93" s="13">
        <f>IF('Données projet'!$A$140&gt;35,CT92+CS93-DB92,IF(A93&lt;'Données projet'!$A$140,$CQ$205^A93,IF(A93='Données projet'!$A$140,'Données projet'!$B$140,CT92+CS93-DB92)))</f>
        <v>222.66666666666666</v>
      </c>
      <c r="CU93" s="18">
        <f>CT93*VLOOKUP('Données projet'!$B$13,Paramètres!$A$1:$I$88,3,0)*VLOOKUP('Données projet'!$B$13,Paramètres!$A$1:$I$88,5,0)</f>
        <v>215.36319999999998</v>
      </c>
      <c r="CV93" s="14">
        <f t="shared" si="95"/>
        <v>53.105854150329115</v>
      </c>
      <c r="CW93" s="22">
        <f t="shared" si="67"/>
        <v>467.58360264515653</v>
      </c>
      <c r="CX93" s="59">
        <f t="shared" si="68"/>
        <v>760.91693597848985</v>
      </c>
      <c r="CY93" s="59">
        <f ca="1">AVERAGE(OFFSET($CX$3,0,0,'Données projet'!$E$13+1,1))-AVERAGE(OFFSET($H$3,0,0,'Données projet'!$E$13+1,1))</f>
        <v>306.00894145276209</v>
      </c>
      <c r="CZ93" s="59">
        <f t="shared" si="96"/>
        <v>168.74705421228828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19.936819683830262</v>
      </c>
      <c r="DG93" s="23">
        <f>EXP(-LN(2)/25)*DG92+(1-EXP(-LN(2)/25))/(LN(2)/25)*Calculateur!DB93*Calculateur!DD93*VLOOKUP('Données projet'!$B$13,Paramètres!$A$1:$I$88,3,0)*0.475*44/12</f>
        <v>0</v>
      </c>
      <c r="DH93" s="23">
        <f>EXP(-LN(2)/2)*DH92+(1-EXP(-LN(2)/2))/(LN(2)/2)*DB93*DE93*VLOOKUP('Données projet'!$B$13,Paramètres!$A$1:$I$88,3,0)*0.475*44/12</f>
        <v>0</v>
      </c>
      <c r="DI93" s="24">
        <f t="shared" si="69"/>
        <v>19.936819683830262</v>
      </c>
      <c r="DJ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567</v>
      </c>
      <c r="DM93" s="13">
        <f>VLOOKUP(A93,'Données projet'!$A$165:$I$185,9,0)</f>
        <v>4.9200000000000044</v>
      </c>
      <c r="DN93" s="13">
        <f t="array" ref="DN93">INDEX(DM:DM,MIN(IF(ISNUMBER(DM93:DM289),ROW(DM93:DM289),"")))</f>
        <v>4.9200000000000044</v>
      </c>
      <c r="DO93" s="13">
        <f>IF('Données projet'!$A$166&gt;35,DO92+DN93-DW92,IF(A93&lt;'Données projet'!$A$166,$DL$205^A93,IF(A93='Données projet'!$A$166,'Données projet'!$B$166,DO92+DN93-DW92)))</f>
        <v>566.99999999999966</v>
      </c>
      <c r="DP93" s="18">
        <f>DO93*VLOOKUP('Données projet'!$B$14,Paramètres!$A$1:$I$88,3,0)*VLOOKUP('Données projet'!$B$14,Paramètres!$A$1:$I$88,5,0)</f>
        <v>442.25999999999976</v>
      </c>
      <c r="DQ93" s="14">
        <f t="shared" si="97"/>
        <v>100.29351368134014</v>
      </c>
      <c r="DR93" s="22">
        <f t="shared" si="70"/>
        <v>944.94736966166693</v>
      </c>
      <c r="DS93" s="59">
        <f t="shared" si="71"/>
        <v>1238.2807029950002</v>
      </c>
      <c r="DT93" s="59">
        <f ca="1">AVERAGE(OFFSET($DS$3,0,0,'Données projet'!$E$14+1,1))-AVERAGE(OFFSET($H$3,0,0,'Données projet'!$E$14+1,1))</f>
        <v>458.14328535055694</v>
      </c>
      <c r="DU93" s="59">
        <f t="shared" si="98"/>
        <v>366.75500153675739</v>
      </c>
      <c r="DV93" s="16">
        <f>IF(ISNA(VLOOKUP(A93,'Données projet'!$A$165:$I$185,3,0)),0,VLOOKUP(A93,'Données projet'!$A$165:$I$185,3,0))</f>
        <v>16</v>
      </c>
      <c r="DW93" s="16">
        <f>IF(ISNA(VLOOKUP(A93,'Données projet'!$A$165:$I$185,4,0)),0,VLOOKUP(A93,'Données projet'!$A$165:$I$185,4,0))</f>
        <v>567</v>
      </c>
      <c r="DX93" s="17">
        <f>IF(ISNA(VLOOKUP(A93,'Données projet'!$A$165:$I$185,5,0)),0%,VLOOKUP(A93,'Données projet'!$A$165:$I$185,5,0)*VLOOKUP('Données projet'!$B$14,Paramètres!$A$1:$I$88,7,0))</f>
        <v>0.34400000000000003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projet'!$B$14,Paramètres!$A$1:$I$88,3,0)*0.475*44/12</f>
        <v>183.10774343168009</v>
      </c>
      <c r="EB93" s="23">
        <f>EXP(-LN(2)/25)*EB92+(1-EXP(-LN(2)/25))/(LN(2)/25)*Calculateur!DW93*Calculateur!DY93*VLOOKUP('Données projet'!$B$14,Paramètres!$A$1:$I$88,3,0)*0.475*44/12</f>
        <v>0</v>
      </c>
      <c r="EC93" s="23">
        <f>EXP(-LN(2)/2)*EC92+(1-EXP(-LN(2)/2))/(LN(2)/2)*DW93*DZ93*VLOOKUP('Données projet'!$B$14,Paramètres!$A$1:$I$88,3,0)*0.475*44/12</f>
        <v>0</v>
      </c>
      <c r="ED93" s="24">
        <f t="shared" si="72"/>
        <v>183.10774343168009</v>
      </c>
      <c r="EE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667</v>
      </c>
      <c r="EH93" s="13">
        <f>VLOOKUP(A93,'Données projet'!$A$191:$I$211,9,0)</f>
        <v>13</v>
      </c>
      <c r="EI93" s="13">
        <f t="array" ref="EI93">INDEX(EH:EH,MIN(IF(ISNUMBER(EH93:EH289),ROW(EH93:EH289),"")))</f>
        <v>13</v>
      </c>
      <c r="EJ93" s="13">
        <f>IF('Données projet'!$A$192&gt;35,EJ92+EI93-ER92,IF(A93&lt;'Données projet'!$A$192,$EG$205^A93,IF(A93='Données projet'!$A$192,'Données projet'!$B$192,EJ92+EI93-ER92)))</f>
        <v>667.00000000000045</v>
      </c>
      <c r="EK93" s="18">
        <f>EJ93*VLOOKUP('Données projet'!$B$15,Paramètres!$A$1:$I$88,3,0)*VLOOKUP('Données projet'!$B$15,Paramètres!$A$1:$I$88,5,0)</f>
        <v>572.28600000000051</v>
      </c>
      <c r="EL93" s="14">
        <f t="shared" si="99"/>
        <v>125.94444567348953</v>
      </c>
      <c r="EM93" s="22">
        <f t="shared" si="73"/>
        <v>1216.0846928813285</v>
      </c>
      <c r="EN93" s="59">
        <f t="shared" si="74"/>
        <v>1509.4180262146617</v>
      </c>
      <c r="EO93" s="59">
        <f ca="1">AVERAGE(OFFSET($EN$3,0,0,'Données projet'!$E$15+1,1))-AVERAGE(OFFSET($H$3,0,0,'Données projet'!$E$15+1,1))</f>
        <v>462.99360395552145</v>
      </c>
      <c r="EP93" s="59">
        <f t="shared" si="100"/>
        <v>153.03880717786046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667</v>
      </c>
      <c r="ES93" s="17">
        <f>IF(ISNA(VLOOKUP(A93,'Données projet'!$A$191:$I$211,5,0)),0%,VLOOKUP(A93,'Données projet'!$A$191:$I$211,5,0)*VLOOKUP('Données projet'!$B$15,Paramètres!$A$1:$I$88,7,0))</f>
        <v>0.42400000000000004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projet'!$B$15,Paramètres!$A$1:$I$88,3,0)*0.475*44/12</f>
        <v>318.7259573151992</v>
      </c>
      <c r="EW93" s="23">
        <f>EXP(-LN(2)/25)*EW92+(1-EXP(-LN(2)/25))/(LN(2)/25)*Calculateur!ER93*Calculateur!ET93*VLOOKUP('Données projet'!$B$15,Paramètres!$A$1:$I$88,3,0)*0.475*44/12</f>
        <v>0</v>
      </c>
      <c r="EX93" s="23">
        <f>EXP(-LN(2)/2)*EX92+(1-EXP(-LN(2)/2))/(LN(2)/2)*ER93*EU93*VLOOKUP('Données projet'!$B$15,Paramètres!$A$1:$I$88,3,0)*0.475*44/12</f>
        <v>0</v>
      </c>
      <c r="EY93" s="24">
        <f t="shared" si="75"/>
        <v>318.7259573151992</v>
      </c>
      <c r="EZ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454</v>
      </c>
      <c r="FC93" s="13">
        <f>VLOOKUP(A93,'Données projet'!$A$217:$I$237,9,0)</f>
        <v>3.9200000000000044</v>
      </c>
      <c r="FD93" s="13">
        <f t="array" ref="FD93">INDEX(FC:FC,MIN(IF(ISNUMBER(FC93:FC289),ROW(FC93:FC289),"")))</f>
        <v>3.9200000000000044</v>
      </c>
      <c r="FE93" s="13">
        <f>IF('Données projet'!$A$218&gt;35,FE92+FD93-FM92,IF(A93&lt;'Données projet'!$A$218,$FB$205^A93,IF(A93='Données projet'!$A$218,'Données projet'!$B$218,FE92+FD93-FM92)))</f>
        <v>454.00000000000028</v>
      </c>
      <c r="FF93" s="18">
        <f>FE93*VLOOKUP('Données projet'!$B$16,Paramètres!$A$1:$I$88,3,0)*VLOOKUP('Données projet'!$B$16,Paramètres!$A$1:$I$88,5,0)</f>
        <v>396.61440000000027</v>
      </c>
      <c r="FG93" s="14">
        <f t="shared" si="101"/>
        <v>91.089947595367079</v>
      </c>
      <c r="FH93" s="22">
        <f t="shared" si="76"/>
        <v>849.41840539526481</v>
      </c>
      <c r="FI93" s="59">
        <f t="shared" si="77"/>
        <v>1142.7517387285982</v>
      </c>
      <c r="FJ93" s="59">
        <f ca="1">AVERAGE(OFFSET($FI$3,0,0,'Données projet'!$E$16+1,1))-AVERAGE(OFFSET($H$3,0,0,'Données projet'!$E$16+1,1))</f>
        <v>427.76895185088944</v>
      </c>
      <c r="FK93" s="59">
        <f t="shared" si="102"/>
        <v>308.32543361559135</v>
      </c>
      <c r="FL93" s="16">
        <f>IF(ISNA(VLOOKUP(A93,'Données projet'!$A$217:$I$237,3,0)),0,VLOOKUP(A93,'Données projet'!$A$217:$I$237,3,0))</f>
        <v>16</v>
      </c>
      <c r="FM93" s="16">
        <f>IF(ISNA(VLOOKUP(A93,'Données projet'!$A$217:$I$237,4,0)),0,VLOOKUP(A93,'Données projet'!$A$217:$I$237,4,0))</f>
        <v>6.9</v>
      </c>
      <c r="FN93" s="17">
        <f>IF(ISNA(VLOOKUP(A93,'Données projet'!$A$217:$I$237,5,0)),0%,VLOOKUP(A93,'Données projet'!$A$217:$I$237,5,0)*VLOOKUP('Données projet'!$B$16,Paramètres!$A$1:$I$88,7,0))</f>
        <v>0.371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projet'!$B$16,Paramètres!$A$1:$I$88,3,0)*0.475*44/12</f>
        <v>18.438002907819339</v>
      </c>
      <c r="FR93" s="23">
        <f>EXP(-LN(2)/25)*FR92+(1-EXP(-LN(2)/25))/(LN(2)/25)*Calculateur!FM93*Calculateur!FO93*VLOOKUP('Données projet'!$B$16,Paramètres!$A$1:$I$88,3,0)*0.475*44/12</f>
        <v>0</v>
      </c>
      <c r="FS93" s="23">
        <f>EXP(-LN(2)/2)*FS92+(1-EXP(-LN(2)/2))/(LN(2)/2)*FM93*FP93*VLOOKUP('Données projet'!$B$16,Paramètres!$A$1:$I$88,3,0)*0.475*44/12</f>
        <v>0</v>
      </c>
      <c r="FT93" s="24">
        <f t="shared" si="78"/>
        <v>18.438002907819339</v>
      </c>
      <c r="FU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333.00000000000006</v>
      </c>
      <c r="GA93" s="18">
        <f>FZ93*VLOOKUP('Données projet'!$B$17,Paramètres!$A$1:$I$88,3,0)*VLOOKUP('Données projet'!$B$17,Paramètres!$A$1:$I$88,5,0)</f>
        <v>207.79200000000006</v>
      </c>
      <c r="GB93" s="14">
        <f t="shared" si="103"/>
        <v>51.452785725007907</v>
      </c>
      <c r="GC93" s="22">
        <f t="shared" si="79"/>
        <v>451.5180018043888</v>
      </c>
      <c r="GD93" s="59">
        <f t="shared" si="80"/>
        <v>744.85133513772212</v>
      </c>
      <c r="GE93" s="59">
        <f ca="1">AVERAGE(OFFSET($GD$3,0,0,'Données projet'!$E$17+1,1))-AVERAGE(OFFSET($H$3,0,0,'Données projet'!$E$17+1,1))</f>
        <v>247.85542034088905</v>
      </c>
      <c r="GF93" s="59">
        <f t="shared" si="104"/>
        <v>299.52241743660352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projet'!$B$17,Paramètres!$A$1:$I$88,3,0)*0.475*44/12</f>
        <v>20.510701777737314</v>
      </c>
      <c r="GM93" s="23">
        <f>EXP(-LN(2)/25)*GM92+(1-EXP(-LN(2)/25))/(LN(2)/25)*Calculateur!GH93*Calculateur!GJ93*VLOOKUP('Données projet'!$B$17,Paramètres!$A$1:$I$88,3,0)*0.475*44/12</f>
        <v>16.551914514684558</v>
      </c>
      <c r="GN93" s="23">
        <f>EXP(-LN(2)/2)*GN92+(1-EXP(-LN(2)/2))/(LN(2)/2)*GH93*GK93*VLOOKUP('Données projet'!$B$17,Paramètres!$A$1:$I$88,3,0)*0.475*44/12</f>
        <v>1.3062166203745697E-3</v>
      </c>
      <c r="GO93" s="23">
        <f t="shared" si="81"/>
        <v>37.06392250904225</v>
      </c>
      <c r="GP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3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6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5.7777777777777777</v>
      </c>
      <c r="N94" s="14">
        <f>IF('Données projet'!$A$36&gt;35,N93+M94-V93,IF(A94&lt;'Données projet'!$A$36,$K$205^A94,IF(A94='Données projet'!$A$36,'Données projet'!$B$36,N93+M94-V93)))</f>
        <v>228.44444444444443</v>
      </c>
      <c r="O94" s="14">
        <f>N94*VLOOKUP('Données projet'!$B$9,Paramètres!$A$1:$I$88,3,0)*VLOOKUP('Données projet'!$B$9,Paramètres!$A$1:$I$88,5,0)</f>
        <v>206.69653333333332</v>
      </c>
      <c r="P94" s="14">
        <f t="shared" si="87"/>
        <v>51.213030302078494</v>
      </c>
      <c r="Q94" s="22">
        <f t="shared" si="54"/>
        <v>449.19248999834218</v>
      </c>
      <c r="R94" s="59">
        <f t="shared" si="55"/>
        <v>742.5258233316755</v>
      </c>
      <c r="S94" s="59">
        <f ca="1">AVERAGE(OFFSET($R$3,0,0,'Données projet'!$E$9+1,1))-AVERAGE(OFFSET($H$3,0,0,'Données projet'!$E$9+1,1))</f>
        <v>247.57967230773539</v>
      </c>
      <c r="T94" s="59">
        <f t="shared" si="88"/>
        <v>156.58857589533295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18.284846886858034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18.284846886858034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4.5400000000000089</v>
      </c>
      <c r="AI94" s="14">
        <f>IF('Données projet'!$A$62&gt;35,AI93+AH94-AQ93,IF(A94&lt;'Données projet'!$A$62,$AF$205^A94,IF(A94='Données projet'!$A$62,'Données projet'!$B$62,AI93+AH94-AQ93)))</f>
        <v>562.83999999999958</v>
      </c>
      <c r="AJ94" s="14">
        <f>AI94*VLOOKUP('Données projet'!$B$10,Paramètres!$A$1:$I$88,3,0)*VLOOKUP('Données projet'!$B$10,Paramètres!$A$1:$I$88,5,0)</f>
        <v>447.79550399999971</v>
      </c>
      <c r="AK94" s="14">
        <f t="shared" si="89"/>
        <v>101.40190482506669</v>
      </c>
      <c r="AL94" s="22">
        <f t="shared" si="58"/>
        <v>956.51882037032408</v>
      </c>
      <c r="AM94" s="59">
        <f t="shared" si="59"/>
        <v>1249.8521537036575</v>
      </c>
      <c r="AN94" s="59">
        <f ca="1">AVERAGE(OFFSET($AM$3,0,0,'Données projet'!$E$10+1,1))-AVERAGE(OFFSET($H$3,0,0,'Données projet'!$E$10+1,1))</f>
        <v>504.15006129790828</v>
      </c>
      <c r="AO94" s="59">
        <f t="shared" si="90"/>
        <v>374.39334457402742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21.178185080471849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21.178185080471849</v>
      </c>
      <c r="AY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4.5400000000000089</v>
      </c>
      <c r="BD94" s="13">
        <f>IF('Données projet'!$A$88&gt;35,BD93+BC94-BL93,IF(A94&lt;'Données projet'!$A$88,$BA$205^A94,IF(A94='Données projet'!$A$88,'Données projet'!$B$88,BD93+BC94-BL93)))</f>
        <v>562.83999999999958</v>
      </c>
      <c r="BE94" s="14">
        <f>BD94*VLOOKUP('Données projet'!$B$11,Paramètres!$A$1:$I$88,3,0)*VLOOKUP('Données projet'!$B$11,Paramètres!$A$1:$I$88,5,0)</f>
        <v>447.79550399999971</v>
      </c>
      <c r="BF94" s="14">
        <f t="shared" si="91"/>
        <v>101.40190482506669</v>
      </c>
      <c r="BG94" s="22">
        <f t="shared" si="61"/>
        <v>956.51882037032408</v>
      </c>
      <c r="BH94" s="59">
        <f t="shared" si="62"/>
        <v>1249.8521537036575</v>
      </c>
      <c r="BI94" s="59">
        <f ca="1">AVERAGE(OFFSET($BH$3,0,0,'Données projet'!$E$11+1,1))-AVERAGE(OFFSET($H$3,0,0,'Données projet'!$E$11+1,1))</f>
        <v>504.15006129790828</v>
      </c>
      <c r="BJ94" s="59">
        <f t="shared" si="92"/>
        <v>374.39334457402742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21.178185080471849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21.178185080471849</v>
      </c>
      <c r="BT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-3.4106051316484809E-13</v>
      </c>
      <c r="BZ94" s="14">
        <f>BY94*VLOOKUP('Données projet'!$B$12,Paramètres!$A$1:$I$88,3,0)*VLOOKUP('Données projet'!$B$12,Paramètres!$A$1:$I$88,5,0)</f>
        <v>-2.2878339223098009E-13</v>
      </c>
      <c r="CA94" s="14" t="e">
        <f t="shared" si="93"/>
        <v>#NUM!</v>
      </c>
      <c r="CB94" s="22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387.15063677712425</v>
      </c>
      <c r="CE94" s="59">
        <f t="shared" si="94"/>
        <v>313.19155394370705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190.28813900374115</v>
      </c>
      <c r="CL94" s="23">
        <f>EXP(-LN(2)/25)*CL93+(1-EXP(-LN(2)/25))/(LN(2)/25)*Calculateur!CG94*Calculateur!CI94*VLOOKUP('Données projet'!$B$12,Paramètres!$A$1:$I$88,3,0)*0.475*44/12</f>
        <v>0</v>
      </c>
      <c r="CM94" s="23">
        <f>EXP(-LN(2)/2)*CM93+(1-EXP(-LN(2)/2))/(LN(2)/2)*CG94*CJ94*VLOOKUP('Données projet'!$B$12,Paramètres!$A$1:$I$88,3,0)*0.475*44/12</f>
        <v>0</v>
      </c>
      <c r="CN94" s="24">
        <f t="shared" si="66"/>
        <v>190.28813900374115</v>
      </c>
      <c r="CO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5.7777777777777777</v>
      </c>
      <c r="CT94" s="13">
        <f>IF('Données projet'!$A$140&gt;35,CT93+CS94-DB93,IF(A94&lt;'Données projet'!$A$140,$CQ$205^A94,IF(A94='Données projet'!$A$140,'Données projet'!$B$140,CT93+CS94-DB93)))</f>
        <v>228.44444444444443</v>
      </c>
      <c r="CU94" s="18">
        <f>CT94*VLOOKUP('Données projet'!$B$13,Paramètres!$A$1:$I$88,3,0)*VLOOKUP('Données projet'!$B$13,Paramètres!$A$1:$I$88,5,0)</f>
        <v>220.95146666666668</v>
      </c>
      <c r="CV94" s="14">
        <f t="shared" si="95"/>
        <v>54.321630331188956</v>
      </c>
      <c r="CW94" s="22">
        <f t="shared" si="67"/>
        <v>479.43397727126518</v>
      </c>
      <c r="CX94" s="59">
        <f t="shared" si="68"/>
        <v>772.76731060459849</v>
      </c>
      <c r="CY94" s="59">
        <f ca="1">AVERAGE(OFFSET($CX$3,0,0,'Données projet'!$E$13+1,1))-AVERAGE(OFFSET($H$3,0,0,'Données projet'!$E$13+1,1))</f>
        <v>306.00894145276209</v>
      </c>
      <c r="CZ94" s="59">
        <f t="shared" si="96"/>
        <v>168.74705421228828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19.545870810089632</v>
      </c>
      <c r="DG94" s="23">
        <f>EXP(-LN(2)/25)*DG93+(1-EXP(-LN(2)/25))/(LN(2)/25)*Calculateur!DB94*Calculateur!DD94*VLOOKUP('Données projet'!$B$13,Paramètres!$A$1:$I$88,3,0)*0.475*44/12</f>
        <v>0</v>
      </c>
      <c r="DH94" s="23">
        <f>EXP(-LN(2)/2)*DH93+(1-EXP(-LN(2)/2))/(LN(2)/2)*DB94*DE94*VLOOKUP('Données projet'!$B$13,Paramètres!$A$1:$I$88,3,0)*0.475*44/12</f>
        <v>0</v>
      </c>
      <c r="DI94" s="24">
        <f t="shared" si="69"/>
        <v>19.545870810089632</v>
      </c>
      <c r="DJ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-3.4106051316484809E-13</v>
      </c>
      <c r="DP94" s="18">
        <f>DO94*VLOOKUP('Données projet'!$B$14,Paramètres!$A$1:$I$88,3,0)*VLOOKUP('Données projet'!$B$14,Paramètres!$A$1:$I$88,5,0)</f>
        <v>-2.6602720026858149E-13</v>
      </c>
      <c r="DQ94" s="14" t="e">
        <f t="shared" si="97"/>
        <v>#NUM!</v>
      </c>
      <c r="DR94" s="22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458.14328535055694</v>
      </c>
      <c r="DU94" s="59">
        <f t="shared" si="98"/>
        <v>366.75500153675739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projet'!$B$14,Paramètres!$A$1:$I$88,3,0)*0.475*44/12</f>
        <v>179.5171122676804</v>
      </c>
      <c r="EB94" s="23">
        <f>EXP(-LN(2)/25)*EB93+(1-EXP(-LN(2)/25))/(LN(2)/25)*Calculateur!DW94*Calculateur!DY94*VLOOKUP('Données projet'!$B$14,Paramètres!$A$1:$I$88,3,0)*0.475*44/12</f>
        <v>0</v>
      </c>
      <c r="EC94" s="23">
        <f>EXP(-LN(2)/2)*EC93+(1-EXP(-LN(2)/2))/(LN(2)/2)*DW94*DZ94*VLOOKUP('Données projet'!$B$14,Paramètres!$A$1:$I$88,3,0)*0.475*44/12</f>
        <v>0</v>
      </c>
      <c r="ED94" s="24">
        <f t="shared" si="72"/>
        <v>179.5171122676804</v>
      </c>
      <c r="EE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4.5474735088646412E-13</v>
      </c>
      <c r="EK94" s="18">
        <f>EJ94*VLOOKUP('Données projet'!$B$15,Paramètres!$A$1:$I$88,3,0)*VLOOKUP('Données projet'!$B$15,Paramètres!$A$1:$I$88,5,0)</f>
        <v>3.9017322706058626E-13</v>
      </c>
      <c r="EL94" s="14">
        <f t="shared" si="99"/>
        <v>5.0025007393608908E-12</v>
      </c>
      <c r="EM94" s="22">
        <f t="shared" si="73"/>
        <v>9.3922404915174053E-12</v>
      </c>
      <c r="EN94" s="59">
        <f t="shared" si="74"/>
        <v>293.33333333334269</v>
      </c>
      <c r="EO94" s="59">
        <f ca="1">AVERAGE(OFFSET($EN$3,0,0,'Données projet'!$E$15+1,1))-AVERAGE(OFFSET($H$3,0,0,'Données projet'!$E$15+1,1))</f>
        <v>462.99360395552145</v>
      </c>
      <c r="EP94" s="59">
        <f t="shared" si="100"/>
        <v>153.03880717786046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projet'!$B$15,Paramètres!$A$1:$I$88,3,0)*0.475*44/12</f>
        <v>312.47593569588633</v>
      </c>
      <c r="EW94" s="23">
        <f>EXP(-LN(2)/25)*EW93+(1-EXP(-LN(2)/25))/(LN(2)/25)*Calculateur!ER94*Calculateur!ET94*VLOOKUP('Données projet'!$B$15,Paramètres!$A$1:$I$88,3,0)*0.475*44/12</f>
        <v>0</v>
      </c>
      <c r="EX94" s="23">
        <f>EXP(-LN(2)/2)*EX93+(1-EXP(-LN(2)/2))/(LN(2)/2)*ER94*EU94*VLOOKUP('Données projet'!$B$15,Paramètres!$A$1:$I$88,3,0)*0.475*44/12</f>
        <v>0</v>
      </c>
      <c r="EY94" s="24">
        <f t="shared" si="75"/>
        <v>312.47593569588633</v>
      </c>
      <c r="EZ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3.7799999999999954</v>
      </c>
      <c r="FE94" s="13">
        <f>IF('Données projet'!$A$218&gt;35,FE93+FD94-FM93,IF(A94&lt;'Données projet'!$A$218,$FB$205^A94,IF(A94='Données projet'!$A$218,'Données projet'!$B$218,FE93+FD94-FM93)))</f>
        <v>450.88000000000028</v>
      </c>
      <c r="FF94" s="18">
        <f>FE94*VLOOKUP('Données projet'!$B$16,Paramètres!$A$1:$I$88,3,0)*VLOOKUP('Données projet'!$B$16,Paramètres!$A$1:$I$88,5,0)</f>
        <v>393.88876800000031</v>
      </c>
      <c r="FG94" s="14">
        <f t="shared" si="101"/>
        <v>90.536598742432886</v>
      </c>
      <c r="FH94" s="22">
        <f t="shared" si="76"/>
        <v>843.7075137430711</v>
      </c>
      <c r="FI94" s="59">
        <f t="shared" si="77"/>
        <v>1137.0408470764044</v>
      </c>
      <c r="FJ94" s="59">
        <f ca="1">AVERAGE(OFFSET($FI$3,0,0,'Données projet'!$E$16+1,1))-AVERAGE(OFFSET($H$3,0,0,'Données projet'!$E$16+1,1))</f>
        <v>427.76895185088944</v>
      </c>
      <c r="FK94" s="59">
        <f t="shared" si="102"/>
        <v>308.32543361559135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projet'!$B$16,Paramètres!$A$1:$I$88,3,0)*0.475*44/12</f>
        <v>18.076444916868319</v>
      </c>
      <c r="FR94" s="23">
        <f>EXP(-LN(2)/25)*FR93+(1-EXP(-LN(2)/25))/(LN(2)/25)*Calculateur!FM94*Calculateur!FO94*VLOOKUP('Données projet'!$B$16,Paramètres!$A$1:$I$88,3,0)*0.475*44/12</f>
        <v>0</v>
      </c>
      <c r="FS94" s="23">
        <f>EXP(-LN(2)/2)*FS93+(1-EXP(-LN(2)/2))/(LN(2)/2)*FM94*FP94*VLOOKUP('Données projet'!$B$16,Paramètres!$A$1:$I$88,3,0)*0.475*44/12</f>
        <v>0</v>
      </c>
      <c r="FT94" s="24">
        <f t="shared" si="78"/>
        <v>18.076444916868319</v>
      </c>
      <c r="FU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333.00000000000006</v>
      </c>
      <c r="GA94" s="18">
        <f>FZ94*VLOOKUP('Données projet'!$B$17,Paramètres!$A$1:$I$88,3,0)*VLOOKUP('Données projet'!$B$17,Paramètres!$A$1:$I$88,5,0)</f>
        <v>207.79200000000006</v>
      </c>
      <c r="GB94" s="14">
        <f t="shared" si="103"/>
        <v>51.452785725007907</v>
      </c>
      <c r="GC94" s="22">
        <f t="shared" si="79"/>
        <v>451.5180018043888</v>
      </c>
      <c r="GD94" s="59">
        <f t="shared" si="80"/>
        <v>744.85133513772212</v>
      </c>
      <c r="GE94" s="59">
        <f ca="1">AVERAGE(OFFSET($GD$3,0,0,'Données projet'!$E$17+1,1))-AVERAGE(OFFSET($H$3,0,0,'Données projet'!$E$17+1,1))</f>
        <v>247.85542034088905</v>
      </c>
      <c r="GF94" s="59">
        <f t="shared" si="104"/>
        <v>299.52241743660352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projet'!$B$17,Paramètres!$A$1:$I$88,3,0)*0.475*44/12</f>
        <v>20.108499426168681</v>
      </c>
      <c r="GM94" s="23">
        <f>EXP(-LN(2)/25)*GM93+(1-EXP(-LN(2)/25))/(LN(2)/25)*Calculateur!GH94*Calculateur!GJ94*VLOOKUP('Données projet'!$B$17,Paramètres!$A$1:$I$88,3,0)*0.475*44/12</f>
        <v>16.099301541853155</v>
      </c>
      <c r="GN94" s="23">
        <f>EXP(-LN(2)/2)*GN93+(1-EXP(-LN(2)/2))/(LN(2)/2)*GH94*GK94*VLOOKUP('Données projet'!$B$17,Paramètres!$A$1:$I$88,3,0)*0.475*44/12</f>
        <v>9.2363462996543247E-4</v>
      </c>
      <c r="GO94" s="23">
        <f t="shared" si="81"/>
        <v>36.208724602651799</v>
      </c>
      <c r="GP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3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6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5.7777777777777777</v>
      </c>
      <c r="N95" s="14">
        <f>IF('Données projet'!$A$36&gt;35,N94+M95-V94,IF(A95&lt;'Données projet'!$A$36,$K$205^A95,IF(A95='Données projet'!$A$36,'Données projet'!$B$36,N94+M95-V94)))</f>
        <v>234.2222222222222</v>
      </c>
      <c r="O95" s="14">
        <f>N95*VLOOKUP('Données projet'!$B$9,Paramètres!$A$1:$I$88,3,0)*VLOOKUP('Données projet'!$B$9,Paramètres!$A$1:$I$88,5,0)</f>
        <v>211.92426666666663</v>
      </c>
      <c r="P95" s="14">
        <f t="shared" si="87"/>
        <v>52.355862888154732</v>
      </c>
      <c r="Q95" s="22">
        <f t="shared" si="54"/>
        <v>460.28789230798048</v>
      </c>
      <c r="R95" s="59">
        <f t="shared" si="55"/>
        <v>753.6212256413138</v>
      </c>
      <c r="S95" s="59">
        <f ca="1">AVERAGE(OFFSET($R$3,0,0,'Données projet'!$E$9+1,1))-AVERAGE(OFFSET($H$3,0,0,'Données projet'!$E$9+1,1))</f>
        <v>247.57967230773539</v>
      </c>
      <c r="T95" s="59">
        <f t="shared" si="88"/>
        <v>156.58857589533295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17.926292192062117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17.926292192062117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4.5400000000000089</v>
      </c>
      <c r="AI95" s="14">
        <f>IF('Données projet'!$A$62&gt;35,AI94+AH95-AQ94,IF(A95&lt;'Données projet'!$A$62,$AF$205^A95,IF(A95='Données projet'!$A$62,'Données projet'!$B$62,AI94+AH95-AQ94)))</f>
        <v>567.37999999999954</v>
      </c>
      <c r="AJ95" s="14">
        <f>AI95*VLOOKUP('Données projet'!$B$10,Paramètres!$A$1:$I$88,3,0)*VLOOKUP('Données projet'!$B$10,Paramètres!$A$1:$I$88,5,0)</f>
        <v>451.40752799999973</v>
      </c>
      <c r="AK95" s="14">
        <f t="shared" si="89"/>
        <v>102.12429095549709</v>
      </c>
      <c r="AL95" s="22">
        <f t="shared" si="58"/>
        <v>964.06791801415693</v>
      </c>
      <c r="AM95" s="59">
        <f t="shared" si="59"/>
        <v>1257.4012513474902</v>
      </c>
      <c r="AN95" s="59">
        <f ca="1">AVERAGE(OFFSET($AM$3,0,0,'Données projet'!$E$10+1,1))-AVERAGE(OFFSET($H$3,0,0,'Données projet'!$E$10+1,1))</f>
        <v>504.15006129790828</v>
      </c>
      <c r="AO95" s="59">
        <f t="shared" si="90"/>
        <v>374.39334457402742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20.762893788461206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20.762893788461206</v>
      </c>
      <c r="AY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4.5400000000000089</v>
      </c>
      <c r="BD95" s="13">
        <f>IF('Données projet'!$A$88&gt;35,BD94+BC95-BL94,IF(A95&lt;'Données projet'!$A$88,$BA$205^A95,IF(A95='Données projet'!$A$88,'Données projet'!$B$88,BD94+BC95-BL94)))</f>
        <v>567.37999999999954</v>
      </c>
      <c r="BE95" s="14">
        <f>BD95*VLOOKUP('Données projet'!$B$11,Paramètres!$A$1:$I$88,3,0)*VLOOKUP('Données projet'!$B$11,Paramètres!$A$1:$I$88,5,0)</f>
        <v>451.40752799999973</v>
      </c>
      <c r="BF95" s="14">
        <f t="shared" si="91"/>
        <v>102.12429095549709</v>
      </c>
      <c r="BG95" s="22">
        <f t="shared" si="61"/>
        <v>964.06791801415693</v>
      </c>
      <c r="BH95" s="59">
        <f t="shared" si="62"/>
        <v>1257.4012513474902</v>
      </c>
      <c r="BI95" s="59">
        <f ca="1">AVERAGE(OFFSET($BH$3,0,0,'Données projet'!$E$11+1,1))-AVERAGE(OFFSET($H$3,0,0,'Données projet'!$E$11+1,1))</f>
        <v>504.15006129790828</v>
      </c>
      <c r="BJ95" s="59">
        <f t="shared" si="92"/>
        <v>374.39334457402742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20.762893788461206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20.762893788461206</v>
      </c>
      <c r="BT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-3.4106051316484809E-13</v>
      </c>
      <c r="BZ95" s="14">
        <f>BY95*VLOOKUP('Données projet'!$B$12,Paramètres!$A$1:$I$88,3,0)*VLOOKUP('Données projet'!$B$12,Paramètres!$A$1:$I$88,5,0)</f>
        <v>-2.2878339223098009E-13</v>
      </c>
      <c r="CA95" s="14" t="e">
        <f t="shared" si="93"/>
        <v>#NUM!</v>
      </c>
      <c r="CB95" s="22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387.15063677712425</v>
      </c>
      <c r="CE95" s="59">
        <f t="shared" si="94"/>
        <v>313.19155394370705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186.55670466218217</v>
      </c>
      <c r="CL95" s="23">
        <f>EXP(-LN(2)/25)*CL94+(1-EXP(-LN(2)/25))/(LN(2)/25)*Calculateur!CG95*Calculateur!CI95*VLOOKUP('Données projet'!$B$12,Paramètres!$A$1:$I$88,3,0)*0.475*44/12</f>
        <v>0</v>
      </c>
      <c r="CM95" s="23">
        <f>EXP(-LN(2)/2)*CM94+(1-EXP(-LN(2)/2))/(LN(2)/2)*CG95*CJ95*VLOOKUP('Données projet'!$B$12,Paramètres!$A$1:$I$88,3,0)*0.475*44/12</f>
        <v>0</v>
      </c>
      <c r="CN95" s="24">
        <f t="shared" si="66"/>
        <v>186.55670466218217</v>
      </c>
      <c r="CO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5.7777777777777777</v>
      </c>
      <c r="CT95" s="13">
        <f>IF('Données projet'!$A$140&gt;35,CT94+CS95-DB94,IF(A95&lt;'Données projet'!$A$140,$CQ$205^A95,IF(A95='Données projet'!$A$140,'Données projet'!$B$140,CT94+CS95-DB94)))</f>
        <v>234.2222222222222</v>
      </c>
      <c r="CU95" s="18">
        <f>CT95*VLOOKUP('Données projet'!$B$13,Paramètres!$A$1:$I$88,3,0)*VLOOKUP('Données projet'!$B$13,Paramètres!$A$1:$I$88,5,0)</f>
        <v>226.53973333333332</v>
      </c>
      <c r="CV95" s="14">
        <f t="shared" si="95"/>
        <v>55.533832165469995</v>
      </c>
      <c r="CW95" s="22">
        <f t="shared" si="67"/>
        <v>491.27812657708233</v>
      </c>
      <c r="CX95" s="59">
        <f t="shared" si="68"/>
        <v>784.61145991041565</v>
      </c>
      <c r="CY95" s="59">
        <f ca="1">AVERAGE(OFFSET($CX$3,0,0,'Données projet'!$E$13+1,1))-AVERAGE(OFFSET($H$3,0,0,'Données projet'!$E$13+1,1))</f>
        <v>306.00894145276209</v>
      </c>
      <c r="CZ95" s="59">
        <f t="shared" si="96"/>
        <v>168.74705421228828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19.162588205307788</v>
      </c>
      <c r="DG95" s="23">
        <f>EXP(-LN(2)/25)*DG94+(1-EXP(-LN(2)/25))/(LN(2)/25)*Calculateur!DB95*Calculateur!DD95*VLOOKUP('Données projet'!$B$13,Paramètres!$A$1:$I$88,3,0)*0.475*44/12</f>
        <v>0</v>
      </c>
      <c r="DH95" s="23">
        <f>EXP(-LN(2)/2)*DH94+(1-EXP(-LN(2)/2))/(LN(2)/2)*DB95*DE95*VLOOKUP('Données projet'!$B$13,Paramètres!$A$1:$I$88,3,0)*0.475*44/12</f>
        <v>0</v>
      </c>
      <c r="DI95" s="24">
        <f t="shared" si="69"/>
        <v>19.162588205307788</v>
      </c>
      <c r="DJ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-3.4106051316484809E-13</v>
      </c>
      <c r="DP95" s="18">
        <f>DO95*VLOOKUP('Données projet'!$B$14,Paramètres!$A$1:$I$88,3,0)*VLOOKUP('Données projet'!$B$14,Paramètres!$A$1:$I$88,5,0)</f>
        <v>-2.6602720026858149E-13</v>
      </c>
      <c r="DQ95" s="14" t="e">
        <f t="shared" si="97"/>
        <v>#NUM!</v>
      </c>
      <c r="DR95" s="22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458.14328535055694</v>
      </c>
      <c r="DU95" s="59">
        <f t="shared" si="98"/>
        <v>366.75500153675739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projet'!$B$14,Paramètres!$A$1:$I$88,3,0)*0.475*44/12</f>
        <v>175.99689119073798</v>
      </c>
      <c r="EB95" s="23">
        <f>EXP(-LN(2)/25)*EB94+(1-EXP(-LN(2)/25))/(LN(2)/25)*Calculateur!DW95*Calculateur!DY95*VLOOKUP('Données projet'!$B$14,Paramètres!$A$1:$I$88,3,0)*0.475*44/12</f>
        <v>0</v>
      </c>
      <c r="EC95" s="23">
        <f>EXP(-LN(2)/2)*EC94+(1-EXP(-LN(2)/2))/(LN(2)/2)*DW95*DZ95*VLOOKUP('Données projet'!$B$14,Paramètres!$A$1:$I$88,3,0)*0.475*44/12</f>
        <v>0</v>
      </c>
      <c r="ED95" s="24">
        <f t="shared" si="72"/>
        <v>175.99689119073798</v>
      </c>
      <c r="EE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4.5474735088646412E-13</v>
      </c>
      <c r="EK95" s="18">
        <f>EJ95*VLOOKUP('Données projet'!$B$15,Paramètres!$A$1:$I$88,3,0)*VLOOKUP('Données projet'!$B$15,Paramètres!$A$1:$I$88,5,0)</f>
        <v>3.9017322706058626E-13</v>
      </c>
      <c r="EL95" s="14">
        <f t="shared" si="99"/>
        <v>5.0025007393608908E-12</v>
      </c>
      <c r="EM95" s="22">
        <f t="shared" si="73"/>
        <v>9.3922404915174053E-12</v>
      </c>
      <c r="EN95" s="59">
        <f t="shared" si="74"/>
        <v>293.33333333334269</v>
      </c>
      <c r="EO95" s="59">
        <f ca="1">AVERAGE(OFFSET($EN$3,0,0,'Données projet'!$E$15+1,1))-AVERAGE(OFFSET($H$3,0,0,'Données projet'!$E$15+1,1))</f>
        <v>462.99360395552145</v>
      </c>
      <c r="EP95" s="59">
        <f t="shared" si="100"/>
        <v>153.03880717786046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projet'!$B$15,Paramètres!$A$1:$I$88,3,0)*0.475*44/12</f>
        <v>306.34847318839144</v>
      </c>
      <c r="EW95" s="23">
        <f>EXP(-LN(2)/25)*EW94+(1-EXP(-LN(2)/25))/(LN(2)/25)*Calculateur!ER95*Calculateur!ET95*VLOOKUP('Données projet'!$B$15,Paramètres!$A$1:$I$88,3,0)*0.475*44/12</f>
        <v>0</v>
      </c>
      <c r="EX95" s="23">
        <f>EXP(-LN(2)/2)*EX94+(1-EXP(-LN(2)/2))/(LN(2)/2)*ER95*EU95*VLOOKUP('Données projet'!$B$15,Paramètres!$A$1:$I$88,3,0)*0.475*44/12</f>
        <v>0</v>
      </c>
      <c r="EY95" s="24">
        <f t="shared" si="75"/>
        <v>306.34847318839144</v>
      </c>
      <c r="EZ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3.7799999999999954</v>
      </c>
      <c r="FE95" s="13">
        <f>IF('Données projet'!$A$218&gt;35,FE94+FD95-FM94,IF(A95&lt;'Données projet'!$A$218,$FB$205^A95,IF(A95='Données projet'!$A$218,'Données projet'!$B$218,FE94+FD95-FM94)))</f>
        <v>454.66000000000025</v>
      </c>
      <c r="FF95" s="18">
        <f>FE95*VLOOKUP('Données projet'!$B$16,Paramètres!$A$1:$I$88,3,0)*VLOOKUP('Données projet'!$B$16,Paramètres!$A$1:$I$88,5,0)</f>
        <v>397.19097600000026</v>
      </c>
      <c r="FG95" s="14">
        <f t="shared" si="101"/>
        <v>91.206945346932642</v>
      </c>
      <c r="FH95" s="22">
        <f t="shared" si="76"/>
        <v>850.62637967924138</v>
      </c>
      <c r="FI95" s="59">
        <f t="shared" si="77"/>
        <v>1143.9597130125746</v>
      </c>
      <c r="FJ95" s="59">
        <f ca="1">AVERAGE(OFFSET($FI$3,0,0,'Données projet'!$E$16+1,1))-AVERAGE(OFFSET($H$3,0,0,'Données projet'!$E$16+1,1))</f>
        <v>427.76895185088944</v>
      </c>
      <c r="FK95" s="59">
        <f t="shared" si="102"/>
        <v>308.32543361559135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projet'!$B$16,Paramètres!$A$1:$I$88,3,0)*0.475*44/12</f>
        <v>17.721976857591248</v>
      </c>
      <c r="FR95" s="23">
        <f>EXP(-LN(2)/25)*FR94+(1-EXP(-LN(2)/25))/(LN(2)/25)*Calculateur!FM95*Calculateur!FO95*VLOOKUP('Données projet'!$B$16,Paramètres!$A$1:$I$88,3,0)*0.475*44/12</f>
        <v>0</v>
      </c>
      <c r="FS95" s="23">
        <f>EXP(-LN(2)/2)*FS94+(1-EXP(-LN(2)/2))/(LN(2)/2)*FM95*FP95*VLOOKUP('Données projet'!$B$16,Paramètres!$A$1:$I$88,3,0)*0.475*44/12</f>
        <v>0</v>
      </c>
      <c r="FT95" s="24">
        <f t="shared" si="78"/>
        <v>17.721976857591248</v>
      </c>
      <c r="FU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333.00000000000006</v>
      </c>
      <c r="GA95" s="18">
        <f>FZ95*VLOOKUP('Données projet'!$B$17,Paramètres!$A$1:$I$88,3,0)*VLOOKUP('Données projet'!$B$17,Paramètres!$A$1:$I$88,5,0)</f>
        <v>207.79200000000006</v>
      </c>
      <c r="GB95" s="14">
        <f t="shared" si="103"/>
        <v>51.452785725007907</v>
      </c>
      <c r="GC95" s="22">
        <f t="shared" si="79"/>
        <v>451.5180018043888</v>
      </c>
      <c r="GD95" s="59">
        <f t="shared" si="80"/>
        <v>744.85133513772212</v>
      </c>
      <c r="GE95" s="59">
        <f ca="1">AVERAGE(OFFSET($GD$3,0,0,'Données projet'!$E$17+1,1))-AVERAGE(OFFSET($H$3,0,0,'Données projet'!$E$17+1,1))</f>
        <v>247.85542034088905</v>
      </c>
      <c r="GF95" s="59">
        <f t="shared" si="104"/>
        <v>299.52241743660352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projet'!$B$17,Paramètres!$A$1:$I$88,3,0)*0.475*44/12</f>
        <v>19.714184017395098</v>
      </c>
      <c r="GM95" s="23">
        <f>EXP(-LN(2)/25)*GM94+(1-EXP(-LN(2)/25))/(LN(2)/25)*Calculateur!GH95*Calculateur!GJ95*VLOOKUP('Données projet'!$B$17,Paramètres!$A$1:$I$88,3,0)*0.475*44/12</f>
        <v>15.659065294565707</v>
      </c>
      <c r="GN95" s="23">
        <f>EXP(-LN(2)/2)*GN94+(1-EXP(-LN(2)/2))/(LN(2)/2)*GH95*GK95*VLOOKUP('Données projet'!$B$17,Paramètres!$A$1:$I$88,3,0)*0.475*44/12</f>
        <v>6.5310831018728494E-4</v>
      </c>
      <c r="GO95" s="23">
        <f t="shared" si="81"/>
        <v>35.373902420270994</v>
      </c>
      <c r="GP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3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6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>
        <f>VLOOKUP(A96,'Données projet'!$A$35:$I$55,2,0)</f>
        <v>240</v>
      </c>
      <c r="L96" s="13">
        <f>VLOOKUP(A96,'Données projet'!$A$35:$I$55,9,0)</f>
        <v>5.7777777777777777</v>
      </c>
      <c r="M96" s="13">
        <f t="array" ref="M96">INDEX(L:L,MIN(IF(ISNUMBER(L96:L292),ROW(L96:L292),"")))</f>
        <v>5.7777777777777777</v>
      </c>
      <c r="N96" s="14">
        <f>IF('Données projet'!$A$36&gt;35,N95+M96-V95,IF(A96&lt;'Données projet'!$A$36,$K$205^A96,IF(A96='Données projet'!$A$36,'Données projet'!$B$36,N95+M96-V95)))</f>
        <v>239.99999999999997</v>
      </c>
      <c r="O96" s="14">
        <f>N96*VLOOKUP('Données projet'!$B$9,Paramètres!$A$1:$I$88,3,0)*VLOOKUP('Données projet'!$B$9,Paramètres!$A$1:$I$88,5,0)</f>
        <v>217.15199999999996</v>
      </c>
      <c r="P96" s="14">
        <f t="shared" si="87"/>
        <v>53.495418360394225</v>
      </c>
      <c r="Q96" s="22">
        <f t="shared" si="54"/>
        <v>471.37758697768658</v>
      </c>
      <c r="R96" s="59">
        <f t="shared" si="55"/>
        <v>764.71092031101989</v>
      </c>
      <c r="S96" s="59">
        <f ca="1">AVERAGE(OFFSET($R$3,0,0,'Données projet'!$E$9+1,1))-AVERAGE(OFFSET($H$3,0,0,'Données projet'!$E$9+1,1))</f>
        <v>247.57967230773539</v>
      </c>
      <c r="T96" s="59">
        <f t="shared" si="88"/>
        <v>156.58857589533295</v>
      </c>
      <c r="U96" s="16">
        <f>IF(ISNA(VLOOKUP(A96,'Données projet'!$A$35:$I$55,3,0)),0,VLOOKUP(A96,'Données projet'!$A$35:$I$55,3,0))</f>
        <v>7</v>
      </c>
      <c r="V96" s="16">
        <f>IF(ISNA(VLOOKUP(A96,'Données projet'!$A$35:$I$55,4,0)),0,VLOOKUP(A96,'Données projet'!$A$35:$I$55,4,0))</f>
        <v>34</v>
      </c>
      <c r="W96" s="17">
        <f>IF(ISNA(VLOOKUP(A96,'Données projet'!$A$35:$I$55,5,0)),0%,VLOOKUP(A96,'Données projet'!$A$35:$I$55,5,0)*VLOOKUP('Données projet'!$B$9,Paramètres!$A$1:$I$88,7,0))</f>
        <v>0.215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24.886446907758707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24.886446907758707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4.5400000000000089</v>
      </c>
      <c r="AI96" s="14">
        <f>IF('Données projet'!$A$62&gt;35,AI95+AH96-AQ95,IF(A96&lt;'Données projet'!$A$62,$AF$205^A96,IF(A96='Données projet'!$A$62,'Données projet'!$B$62,AI95+AH96-AQ95)))</f>
        <v>571.9199999999995</v>
      </c>
      <c r="AJ96" s="14">
        <f>AI96*VLOOKUP('Données projet'!$B$10,Paramètres!$A$1:$I$88,3,0)*VLOOKUP('Données projet'!$B$10,Paramètres!$A$1:$I$88,5,0)</f>
        <v>455.01955199999963</v>
      </c>
      <c r="AK96" s="14">
        <f t="shared" si="89"/>
        <v>102.84600456333783</v>
      </c>
      <c r="AL96" s="22">
        <f t="shared" si="58"/>
        <v>971.61584434781264</v>
      </c>
      <c r="AM96" s="59">
        <f t="shared" si="59"/>
        <v>1264.949177681146</v>
      </c>
      <c r="AN96" s="59">
        <f ca="1">AVERAGE(OFFSET($AM$3,0,0,'Données projet'!$E$10+1,1))-AVERAGE(OFFSET($H$3,0,0,'Données projet'!$E$10+1,1))</f>
        <v>504.15006129790828</v>
      </c>
      <c r="AO96" s="59">
        <f t="shared" si="90"/>
        <v>374.39334457402742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20.355746105384213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20.355746105384213</v>
      </c>
      <c r="AY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4.5400000000000089</v>
      </c>
      <c r="BD96" s="13">
        <f>IF('Données projet'!$A$88&gt;35,BD95+BC96-BL95,IF(A96&lt;'Données projet'!$A$88,$BA$205^A96,IF(A96='Données projet'!$A$88,'Données projet'!$B$88,BD95+BC96-BL95)))</f>
        <v>571.9199999999995</v>
      </c>
      <c r="BE96" s="14">
        <f>BD96*VLOOKUP('Données projet'!$B$11,Paramètres!$A$1:$I$88,3,0)*VLOOKUP('Données projet'!$B$11,Paramètres!$A$1:$I$88,5,0)</f>
        <v>455.01955199999963</v>
      </c>
      <c r="BF96" s="14">
        <f t="shared" si="91"/>
        <v>102.84600456333783</v>
      </c>
      <c r="BG96" s="22">
        <f t="shared" si="61"/>
        <v>971.61584434781264</v>
      </c>
      <c r="BH96" s="59">
        <f t="shared" si="62"/>
        <v>1264.949177681146</v>
      </c>
      <c r="BI96" s="59">
        <f ca="1">AVERAGE(OFFSET($BH$3,0,0,'Données projet'!$E$11+1,1))-AVERAGE(OFFSET($H$3,0,0,'Données projet'!$E$11+1,1))</f>
        <v>504.15006129790828</v>
      </c>
      <c r="BJ96" s="59">
        <f t="shared" si="92"/>
        <v>374.39334457402742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20.355746105384213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20.355746105384213</v>
      </c>
      <c r="BT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-3.4106051316484809E-13</v>
      </c>
      <c r="BZ96" s="14">
        <f>BY96*VLOOKUP('Données projet'!$B$12,Paramètres!$A$1:$I$88,3,0)*VLOOKUP('Données projet'!$B$12,Paramètres!$A$1:$I$88,5,0)</f>
        <v>-2.2878339223098009E-13</v>
      </c>
      <c r="CA96" s="14" t="e">
        <f t="shared" si="93"/>
        <v>#NUM!</v>
      </c>
      <c r="CB96" s="22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387.15063677712425</v>
      </c>
      <c r="CE96" s="59">
        <f t="shared" si="94"/>
        <v>313.19155394370705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182.89844147211096</v>
      </c>
      <c r="CL96" s="23">
        <f>EXP(-LN(2)/25)*CL95+(1-EXP(-LN(2)/25))/(LN(2)/25)*Calculateur!CG96*Calculateur!CI96*VLOOKUP('Données projet'!$B$12,Paramètres!$A$1:$I$88,3,0)*0.475*44/12</f>
        <v>0</v>
      </c>
      <c r="CM96" s="23">
        <f>EXP(-LN(2)/2)*CM95+(1-EXP(-LN(2)/2))/(LN(2)/2)*CG96*CJ96*VLOOKUP('Données projet'!$B$12,Paramètres!$A$1:$I$88,3,0)*0.475*44/12</f>
        <v>0</v>
      </c>
      <c r="CN96" s="24">
        <f t="shared" si="66"/>
        <v>182.89844147211096</v>
      </c>
      <c r="CO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>
        <f>VLOOKUP(A96,'Données projet'!$A$139:$I$159,2,0)</f>
        <v>240</v>
      </c>
      <c r="CR96" s="13">
        <f>VLOOKUP(A96,'Données projet'!$A$139:$I$159,9,0)</f>
        <v>5.7777777777777777</v>
      </c>
      <c r="CS96" s="13">
        <f t="array" ref="CS96">INDEX(CR:CR,MIN(IF(ISNUMBER(CR96:CR292),ROW(CR96:CR292),"")))</f>
        <v>5.7777777777777777</v>
      </c>
      <c r="CT96" s="13">
        <f>IF('Données projet'!$A$140&gt;35,CT95+CS96-DB95,IF(A96&lt;'Données projet'!$A$140,$CQ$205^A96,IF(A96='Données projet'!$A$140,'Données projet'!$B$140,CT95+CS96-DB95)))</f>
        <v>239.99999999999997</v>
      </c>
      <c r="CU96" s="18">
        <f>CT96*VLOOKUP('Données projet'!$B$13,Paramètres!$A$1:$I$88,3,0)*VLOOKUP('Données projet'!$B$13,Paramètres!$A$1:$I$88,5,0)</f>
        <v>232.12799999999999</v>
      </c>
      <c r="CV96" s="14">
        <f t="shared" si="95"/>
        <v>56.742557967082398</v>
      </c>
      <c r="CW96" s="22">
        <f t="shared" si="67"/>
        <v>503.11622179266845</v>
      </c>
      <c r="CX96" s="59">
        <f t="shared" si="68"/>
        <v>796.44955512600177</v>
      </c>
      <c r="CY96" s="59">
        <f ca="1">AVERAGE(OFFSET($CX$3,0,0,'Données projet'!$E$13+1,1))-AVERAGE(OFFSET($H$3,0,0,'Données projet'!$E$13+1,1))</f>
        <v>306.00894145276209</v>
      </c>
      <c r="CZ96" s="59">
        <f t="shared" si="96"/>
        <v>168.74705421228828</v>
      </c>
      <c r="DA96" s="16">
        <f>IF(ISNA(VLOOKUP(A96,'Données projet'!$A$139:$I$159,3,0)),0,VLOOKUP(A96,'Données projet'!$A$139:$I$159,3,0))</f>
        <v>7</v>
      </c>
      <c r="DB96" s="16">
        <f>IF(ISNA(VLOOKUP(A96,'Données projet'!$A$139:$I$159,4,0)),0,VLOOKUP(A96,'Données projet'!$A$139:$I$159,4,0))</f>
        <v>34</v>
      </c>
      <c r="DC96" s="17">
        <f>IF(ISNA(VLOOKUP(A96,'Données projet'!$A$139:$I$159,5,0)),0%,VLOOKUP(A96,'Données projet'!$A$139:$I$159,5,0)*VLOOKUP('Données projet'!$B$13,Paramètres!$A$1:$I$88,7,0))</f>
        <v>0.215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26.602753591052419</v>
      </c>
      <c r="DG96" s="23">
        <f>EXP(-LN(2)/25)*DG95+(1-EXP(-LN(2)/25))/(LN(2)/25)*Calculateur!DB96*Calculateur!DD96*VLOOKUP('Données projet'!$B$13,Paramètres!$A$1:$I$88,3,0)*0.475*44/12</f>
        <v>0</v>
      </c>
      <c r="DH96" s="23">
        <f>EXP(-LN(2)/2)*DH95+(1-EXP(-LN(2)/2))/(LN(2)/2)*DB96*DE96*VLOOKUP('Données projet'!$B$13,Paramètres!$A$1:$I$88,3,0)*0.475*44/12</f>
        <v>0</v>
      </c>
      <c r="DI96" s="24">
        <f t="shared" si="69"/>
        <v>26.602753591052419</v>
      </c>
      <c r="DJ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-3.4106051316484809E-13</v>
      </c>
      <c r="DP96" s="18">
        <f>DO96*VLOOKUP('Données projet'!$B$14,Paramètres!$A$1:$I$88,3,0)*VLOOKUP('Données projet'!$B$14,Paramètres!$A$1:$I$88,5,0)</f>
        <v>-2.6602720026858149E-13</v>
      </c>
      <c r="DQ96" s="14" t="e">
        <f t="shared" si="97"/>
        <v>#NUM!</v>
      </c>
      <c r="DR96" s="22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458.14328535055694</v>
      </c>
      <c r="DU96" s="59">
        <f t="shared" si="98"/>
        <v>366.75500153675739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projet'!$B$14,Paramètres!$A$1:$I$88,3,0)*0.475*44/12</f>
        <v>172.54569950199155</v>
      </c>
      <c r="EB96" s="23">
        <f>EXP(-LN(2)/25)*EB95+(1-EXP(-LN(2)/25))/(LN(2)/25)*Calculateur!DW96*Calculateur!DY96*VLOOKUP('Données projet'!$B$14,Paramètres!$A$1:$I$88,3,0)*0.475*44/12</f>
        <v>0</v>
      </c>
      <c r="EC96" s="23">
        <f>EXP(-LN(2)/2)*EC95+(1-EXP(-LN(2)/2))/(LN(2)/2)*DW96*DZ96*VLOOKUP('Données projet'!$B$14,Paramètres!$A$1:$I$88,3,0)*0.475*44/12</f>
        <v>0</v>
      </c>
      <c r="ED96" s="24">
        <f t="shared" si="72"/>
        <v>172.54569950199155</v>
      </c>
      <c r="EE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4.5474735088646412E-13</v>
      </c>
      <c r="EK96" s="18">
        <f>EJ96*VLOOKUP('Données projet'!$B$15,Paramètres!$A$1:$I$88,3,0)*VLOOKUP('Données projet'!$B$15,Paramètres!$A$1:$I$88,5,0)</f>
        <v>3.9017322706058626E-13</v>
      </c>
      <c r="EL96" s="14">
        <f t="shared" si="99"/>
        <v>5.0025007393608908E-12</v>
      </c>
      <c r="EM96" s="22">
        <f t="shared" si="73"/>
        <v>9.3922404915174053E-12</v>
      </c>
      <c r="EN96" s="59">
        <f t="shared" si="74"/>
        <v>293.33333333334269</v>
      </c>
      <c r="EO96" s="59">
        <f ca="1">AVERAGE(OFFSET($EN$3,0,0,'Données projet'!$E$15+1,1))-AVERAGE(OFFSET($H$3,0,0,'Données projet'!$E$15+1,1))</f>
        <v>462.99360395552145</v>
      </c>
      <c r="EP96" s="59">
        <f t="shared" si="100"/>
        <v>153.03880717786046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projet'!$B$15,Paramètres!$A$1:$I$88,3,0)*0.475*44/12</f>
        <v>300.34116648328541</v>
      </c>
      <c r="EW96" s="23">
        <f>EXP(-LN(2)/25)*EW95+(1-EXP(-LN(2)/25))/(LN(2)/25)*Calculateur!ER96*Calculateur!ET96*VLOOKUP('Données projet'!$B$15,Paramètres!$A$1:$I$88,3,0)*0.475*44/12</f>
        <v>0</v>
      </c>
      <c r="EX96" s="23">
        <f>EXP(-LN(2)/2)*EX95+(1-EXP(-LN(2)/2))/(LN(2)/2)*ER96*EU96*VLOOKUP('Données projet'!$B$15,Paramètres!$A$1:$I$88,3,0)*0.475*44/12</f>
        <v>0</v>
      </c>
      <c r="EY96" s="24">
        <f t="shared" si="75"/>
        <v>300.34116648328541</v>
      </c>
      <c r="EZ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3.7799999999999954</v>
      </c>
      <c r="FE96" s="13">
        <f>IF('Données projet'!$A$218&gt;35,FE95+FD96-FM95,IF(A96&lt;'Données projet'!$A$218,$FB$205^A96,IF(A96='Données projet'!$A$218,'Données projet'!$B$218,FE95+FD96-FM95)))</f>
        <v>458.44000000000023</v>
      </c>
      <c r="FF96" s="18">
        <f>FE96*VLOOKUP('Données projet'!$B$16,Paramètres!$A$1:$I$88,3,0)*VLOOKUP('Données projet'!$B$16,Paramètres!$A$1:$I$88,5,0)</f>
        <v>400.49318400000021</v>
      </c>
      <c r="FG96" s="14">
        <f t="shared" si="101"/>
        <v>91.876643537088484</v>
      </c>
      <c r="FH96" s="22">
        <f t="shared" si="76"/>
        <v>857.54411629376273</v>
      </c>
      <c r="FI96" s="59">
        <f t="shared" si="77"/>
        <v>1150.877449627096</v>
      </c>
      <c r="FJ96" s="59">
        <f ca="1">AVERAGE(OFFSET($FI$3,0,0,'Données projet'!$E$16+1,1))-AVERAGE(OFFSET($H$3,0,0,'Données projet'!$E$16+1,1))</f>
        <v>427.76895185088944</v>
      </c>
      <c r="FK96" s="59">
        <f t="shared" si="102"/>
        <v>308.32543361559135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projet'!$B$16,Paramètres!$A$1:$I$88,3,0)*0.475*44/12</f>
        <v>17.374459700752432</v>
      </c>
      <c r="FR96" s="23">
        <f>EXP(-LN(2)/25)*FR95+(1-EXP(-LN(2)/25))/(LN(2)/25)*Calculateur!FM96*Calculateur!FO96*VLOOKUP('Données projet'!$B$16,Paramètres!$A$1:$I$88,3,0)*0.475*44/12</f>
        <v>0</v>
      </c>
      <c r="FS96" s="23">
        <f>EXP(-LN(2)/2)*FS95+(1-EXP(-LN(2)/2))/(LN(2)/2)*FM96*FP96*VLOOKUP('Données projet'!$B$16,Paramètres!$A$1:$I$88,3,0)*0.475*44/12</f>
        <v>0</v>
      </c>
      <c r="FT96" s="24">
        <f t="shared" si="78"/>
        <v>17.374459700752432</v>
      </c>
      <c r="FU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333.00000000000006</v>
      </c>
      <c r="GA96" s="18">
        <f>FZ96*VLOOKUP('Données projet'!$B$17,Paramètres!$A$1:$I$88,3,0)*VLOOKUP('Données projet'!$B$17,Paramètres!$A$1:$I$88,5,0)</f>
        <v>207.79200000000006</v>
      </c>
      <c r="GB96" s="14">
        <f t="shared" si="103"/>
        <v>51.452785725007907</v>
      </c>
      <c r="GC96" s="22">
        <f t="shared" si="79"/>
        <v>451.5180018043888</v>
      </c>
      <c r="GD96" s="59">
        <f t="shared" si="80"/>
        <v>744.85133513772212</v>
      </c>
      <c r="GE96" s="59">
        <f ca="1">AVERAGE(OFFSET($GD$3,0,0,'Données projet'!$E$17+1,1))-AVERAGE(OFFSET($H$3,0,0,'Données projet'!$E$17+1,1))</f>
        <v>247.85542034088905</v>
      </c>
      <c r="GF96" s="59">
        <f t="shared" si="104"/>
        <v>299.52241743660352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projet'!$B$17,Paramètres!$A$1:$I$88,3,0)*0.475*44/12</f>
        <v>19.327600893278913</v>
      </c>
      <c r="GM96" s="23">
        <f>EXP(-LN(2)/25)*GM95+(1-EXP(-LN(2)/25))/(LN(2)/25)*Calculateur!GH96*Calculateur!GJ96*VLOOKUP('Données projet'!$B$17,Paramètres!$A$1:$I$88,3,0)*0.475*44/12</f>
        <v>15.230867330611353</v>
      </c>
      <c r="GN96" s="23">
        <f>EXP(-LN(2)/2)*GN95+(1-EXP(-LN(2)/2))/(LN(2)/2)*GH96*GK96*VLOOKUP('Données projet'!$B$17,Paramètres!$A$1:$I$88,3,0)*0.475*44/12</f>
        <v>4.6181731498271634E-4</v>
      </c>
      <c r="GO96" s="23">
        <f t="shared" si="81"/>
        <v>34.558930041205251</v>
      </c>
      <c r="GP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3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6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5.6</v>
      </c>
      <c r="N97" s="14">
        <f>IF('Données projet'!$A$36&gt;35,N96+M97-V96,IF(A97&lt;'Données projet'!$A$36,$K$205^A97,IF(A97='Données projet'!$A$36,'Données projet'!$B$36,N96+M97-V96)))</f>
        <v>211.59999999999997</v>
      </c>
      <c r="O97" s="14">
        <f>N97*VLOOKUP('Données projet'!$B$9,Paramètres!$A$1:$I$88,3,0)*VLOOKUP('Données projet'!$B$9,Paramètres!$A$1:$I$88,5,0)</f>
        <v>191.45567999999994</v>
      </c>
      <c r="P97" s="14">
        <f t="shared" si="87"/>
        <v>47.861639935303188</v>
      </c>
      <c r="Q97" s="22">
        <f t="shared" si="54"/>
        <v>416.81099888731961</v>
      </c>
      <c r="R97" s="59">
        <f t="shared" si="55"/>
        <v>710.14433222065293</v>
      </c>
      <c r="S97" s="59">
        <f ca="1">AVERAGE(OFFSET($R$3,0,0,'Données projet'!$E$9+1,1))-AVERAGE(OFFSET($H$3,0,0,'Données projet'!$E$9+1,1))</f>
        <v>247.57967230773539</v>
      </c>
      <c r="T97" s="59">
        <f t="shared" si="88"/>
        <v>156.58857589533295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24.398438863131346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24.398438863131346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4.5400000000000089</v>
      </c>
      <c r="AI97" s="14">
        <f>IF('Données projet'!$A$62&gt;35,AI96+AH97-AQ96,IF(A97&lt;'Données projet'!$A$62,$AF$205^A97,IF(A97='Données projet'!$A$62,'Données projet'!$B$62,AI96+AH97-AQ96)))</f>
        <v>576.45999999999947</v>
      </c>
      <c r="AJ97" s="14">
        <f>AI97*VLOOKUP('Données projet'!$B$10,Paramètres!$A$1:$I$88,3,0)*VLOOKUP('Données projet'!$B$10,Paramètres!$A$1:$I$88,5,0)</f>
        <v>458.63157599999954</v>
      </c>
      <c r="AK97" s="14">
        <f t="shared" si="89"/>
        <v>103.56705160597552</v>
      </c>
      <c r="AL97" s="22">
        <f t="shared" si="58"/>
        <v>979.16260974707313</v>
      </c>
      <c r="AM97" s="59">
        <f t="shared" si="59"/>
        <v>1272.4959430804065</v>
      </c>
      <c r="AN97" s="59">
        <f ca="1">AVERAGE(OFFSET($AM$3,0,0,'Données projet'!$E$10+1,1))-AVERAGE(OFFSET($H$3,0,0,'Données projet'!$E$10+1,1))</f>
        <v>504.15006129790828</v>
      </c>
      <c r="AO97" s="59">
        <f t="shared" si="90"/>
        <v>374.39334457402742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19.956582340036796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19.956582340036796</v>
      </c>
      <c r="AY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4.5400000000000089</v>
      </c>
      <c r="BD97" s="13">
        <f>IF('Données projet'!$A$88&gt;35,BD96+BC97-BL96,IF(A97&lt;'Données projet'!$A$88,$BA$205^A97,IF(A97='Données projet'!$A$88,'Données projet'!$B$88,BD96+BC97-BL96)))</f>
        <v>576.45999999999947</v>
      </c>
      <c r="BE97" s="14">
        <f>BD97*VLOOKUP('Données projet'!$B$11,Paramètres!$A$1:$I$88,3,0)*VLOOKUP('Données projet'!$B$11,Paramètres!$A$1:$I$88,5,0)</f>
        <v>458.63157599999954</v>
      </c>
      <c r="BF97" s="14">
        <f t="shared" si="91"/>
        <v>103.56705160597552</v>
      </c>
      <c r="BG97" s="22">
        <f t="shared" si="61"/>
        <v>979.16260974707313</v>
      </c>
      <c r="BH97" s="59">
        <f t="shared" si="62"/>
        <v>1272.4959430804065</v>
      </c>
      <c r="BI97" s="59">
        <f ca="1">AVERAGE(OFFSET($BH$3,0,0,'Données projet'!$E$11+1,1))-AVERAGE(OFFSET($H$3,0,0,'Données projet'!$E$11+1,1))</f>
        <v>504.15006129790828</v>
      </c>
      <c r="BJ97" s="59">
        <f t="shared" si="92"/>
        <v>374.39334457402742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19.956582340036796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19.956582340036796</v>
      </c>
      <c r="BT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-3.4106051316484809E-13</v>
      </c>
      <c r="BZ97" s="14">
        <f>BY97*VLOOKUP('Données projet'!$B$12,Paramètres!$A$1:$I$88,3,0)*VLOOKUP('Données projet'!$B$12,Paramètres!$A$1:$I$88,5,0)</f>
        <v>-2.2878339223098009E-13</v>
      </c>
      <c r="CA97" s="14" t="e">
        <f t="shared" si="93"/>
        <v>#NUM!</v>
      </c>
      <c r="CB97" s="22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387.15063677712425</v>
      </c>
      <c r="CE97" s="59">
        <f t="shared" si="94"/>
        <v>313.19155394370705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179.31191459187681</v>
      </c>
      <c r="CL97" s="23">
        <f>EXP(-LN(2)/25)*CL96+(1-EXP(-LN(2)/25))/(LN(2)/25)*Calculateur!CG97*Calculateur!CI97*VLOOKUP('Données projet'!$B$12,Paramètres!$A$1:$I$88,3,0)*0.475*44/12</f>
        <v>0</v>
      </c>
      <c r="CM97" s="23">
        <f>EXP(-LN(2)/2)*CM96+(1-EXP(-LN(2)/2))/(LN(2)/2)*CG97*CJ97*VLOOKUP('Données projet'!$B$12,Paramètres!$A$1:$I$88,3,0)*0.475*44/12</f>
        <v>0</v>
      </c>
      <c r="CN97" s="24">
        <f t="shared" si="66"/>
        <v>179.31191459187681</v>
      </c>
      <c r="CO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5.6</v>
      </c>
      <c r="CT97" s="13">
        <f>IF('Données projet'!$A$140&gt;35,CT96+CS97-DB96,IF(A97&lt;'Données projet'!$A$140,$CQ$205^A97,IF(A97='Données projet'!$A$140,'Données projet'!$B$140,CT96+CS97-DB96)))</f>
        <v>211.59999999999997</v>
      </c>
      <c r="CU97" s="18">
        <f>CT97*VLOOKUP('Données projet'!$B$13,Paramètres!$A$1:$I$88,3,0)*VLOOKUP('Données projet'!$B$13,Paramètres!$A$1:$I$88,5,0)</f>
        <v>204.65951999999999</v>
      </c>
      <c r="CV97" s="14">
        <f t="shared" si="95"/>
        <v>50.766812591921394</v>
      </c>
      <c r="CW97" s="22">
        <f t="shared" si="67"/>
        <v>444.86752926426306</v>
      </c>
      <c r="CX97" s="59">
        <f t="shared" si="68"/>
        <v>738.20086259759637</v>
      </c>
      <c r="CY97" s="59">
        <f ca="1">AVERAGE(OFFSET($CX$3,0,0,'Données projet'!$E$13+1,1))-AVERAGE(OFFSET($H$3,0,0,'Données projet'!$E$13+1,1))</f>
        <v>306.00894145276209</v>
      </c>
      <c r="CZ97" s="59">
        <f t="shared" si="96"/>
        <v>168.74705421228828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26.081089819209378</v>
      </c>
      <c r="DG97" s="23">
        <f>EXP(-LN(2)/25)*DG96+(1-EXP(-LN(2)/25))/(LN(2)/25)*Calculateur!DB97*Calculateur!DD97*VLOOKUP('Données projet'!$B$13,Paramètres!$A$1:$I$88,3,0)*0.475*44/12</f>
        <v>0</v>
      </c>
      <c r="DH97" s="23">
        <f>EXP(-LN(2)/2)*DH96+(1-EXP(-LN(2)/2))/(LN(2)/2)*DB97*DE97*VLOOKUP('Données projet'!$B$13,Paramètres!$A$1:$I$88,3,0)*0.475*44/12</f>
        <v>0</v>
      </c>
      <c r="DI97" s="24">
        <f t="shared" si="69"/>
        <v>26.081089819209378</v>
      </c>
      <c r="DJ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-3.4106051316484809E-13</v>
      </c>
      <c r="DP97" s="18">
        <f>DO97*VLOOKUP('Données projet'!$B$14,Paramètres!$A$1:$I$88,3,0)*VLOOKUP('Données projet'!$B$14,Paramètres!$A$1:$I$88,5,0)</f>
        <v>-2.6602720026858149E-13</v>
      </c>
      <c r="DQ97" s="14" t="e">
        <f t="shared" si="97"/>
        <v>#NUM!</v>
      </c>
      <c r="DR97" s="22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458.14328535055694</v>
      </c>
      <c r="DU97" s="59">
        <f t="shared" si="98"/>
        <v>366.75500153675739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projet'!$B$14,Paramètres!$A$1:$I$88,3,0)*0.475*44/12</f>
        <v>169.16218357724236</v>
      </c>
      <c r="EB97" s="23">
        <f>EXP(-LN(2)/25)*EB96+(1-EXP(-LN(2)/25))/(LN(2)/25)*Calculateur!DW97*Calculateur!DY97*VLOOKUP('Données projet'!$B$14,Paramètres!$A$1:$I$88,3,0)*0.475*44/12</f>
        <v>0</v>
      </c>
      <c r="EC97" s="23">
        <f>EXP(-LN(2)/2)*EC96+(1-EXP(-LN(2)/2))/(LN(2)/2)*DW97*DZ97*VLOOKUP('Données projet'!$B$14,Paramètres!$A$1:$I$88,3,0)*0.475*44/12</f>
        <v>0</v>
      </c>
      <c r="ED97" s="24">
        <f t="shared" si="72"/>
        <v>169.16218357724236</v>
      </c>
      <c r="EE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4.5474735088646412E-13</v>
      </c>
      <c r="EK97" s="18">
        <f>EJ97*VLOOKUP('Données projet'!$B$15,Paramètres!$A$1:$I$88,3,0)*VLOOKUP('Données projet'!$B$15,Paramètres!$A$1:$I$88,5,0)</f>
        <v>3.9017322706058626E-13</v>
      </c>
      <c r="EL97" s="14">
        <f t="shared" si="99"/>
        <v>5.0025007393608908E-12</v>
      </c>
      <c r="EM97" s="22">
        <f t="shared" si="73"/>
        <v>9.3922404915174053E-12</v>
      </c>
      <c r="EN97" s="59">
        <f t="shared" si="74"/>
        <v>293.33333333334269</v>
      </c>
      <c r="EO97" s="59">
        <f ca="1">AVERAGE(OFFSET($EN$3,0,0,'Données projet'!$E$15+1,1))-AVERAGE(OFFSET($H$3,0,0,'Données projet'!$E$15+1,1))</f>
        <v>462.99360395552145</v>
      </c>
      <c r="EP97" s="59">
        <f t="shared" si="100"/>
        <v>153.03880717786046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projet'!$B$15,Paramètres!$A$1:$I$88,3,0)*0.475*44/12</f>
        <v>294.45165939857122</v>
      </c>
      <c r="EW97" s="23">
        <f>EXP(-LN(2)/25)*EW96+(1-EXP(-LN(2)/25))/(LN(2)/25)*Calculateur!ER97*Calculateur!ET97*VLOOKUP('Données projet'!$B$15,Paramètres!$A$1:$I$88,3,0)*0.475*44/12</f>
        <v>0</v>
      </c>
      <c r="EX97" s="23">
        <f>EXP(-LN(2)/2)*EX96+(1-EXP(-LN(2)/2))/(LN(2)/2)*ER97*EU97*VLOOKUP('Données projet'!$B$15,Paramètres!$A$1:$I$88,3,0)*0.475*44/12</f>
        <v>0</v>
      </c>
      <c r="EY97" s="24">
        <f t="shared" si="75"/>
        <v>294.45165939857122</v>
      </c>
      <c r="EZ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3.7799999999999954</v>
      </c>
      <c r="FE97" s="13">
        <f>IF('Données projet'!$A$218&gt;35,FE96+FD97-FM96,IF(A97&lt;'Données projet'!$A$218,$FB$205^A97,IF(A97='Données projet'!$A$218,'Données projet'!$B$218,FE96+FD97-FM96)))</f>
        <v>462.2200000000002</v>
      </c>
      <c r="FF97" s="18">
        <f>FE97*VLOOKUP('Données projet'!$B$16,Paramètres!$A$1:$I$88,3,0)*VLOOKUP('Données projet'!$B$16,Paramètres!$A$1:$I$88,5,0)</f>
        <v>403.79539200000022</v>
      </c>
      <c r="FG97" s="14">
        <f t="shared" si="101"/>
        <v>92.545699278900102</v>
      </c>
      <c r="FH97" s="22">
        <f t="shared" si="76"/>
        <v>864.46073397741804</v>
      </c>
      <c r="FI97" s="59">
        <f t="shared" si="77"/>
        <v>1157.7940673107514</v>
      </c>
      <c r="FJ97" s="59">
        <f ca="1">AVERAGE(OFFSET($FI$3,0,0,'Données projet'!$E$16+1,1))-AVERAGE(OFFSET($H$3,0,0,'Données projet'!$E$16+1,1))</f>
        <v>427.76895185088944</v>
      </c>
      <c r="FK97" s="59">
        <f t="shared" si="102"/>
        <v>308.32543361559135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projet'!$B$16,Paramètres!$A$1:$I$88,3,0)*0.475*44/12</f>
        <v>17.033757143394691</v>
      </c>
      <c r="FR97" s="23">
        <f>EXP(-LN(2)/25)*FR96+(1-EXP(-LN(2)/25))/(LN(2)/25)*Calculateur!FM97*Calculateur!FO97*VLOOKUP('Données projet'!$B$16,Paramètres!$A$1:$I$88,3,0)*0.475*44/12</f>
        <v>0</v>
      </c>
      <c r="FS97" s="23">
        <f>EXP(-LN(2)/2)*FS96+(1-EXP(-LN(2)/2))/(LN(2)/2)*FM97*FP97*VLOOKUP('Données projet'!$B$16,Paramètres!$A$1:$I$88,3,0)*0.475*44/12</f>
        <v>0</v>
      </c>
      <c r="FT97" s="24">
        <f t="shared" si="78"/>
        <v>17.033757143394691</v>
      </c>
      <c r="FU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333.00000000000006</v>
      </c>
      <c r="GA97" s="18">
        <f>FZ97*VLOOKUP('Données projet'!$B$17,Paramètres!$A$1:$I$88,3,0)*VLOOKUP('Données projet'!$B$17,Paramètres!$A$1:$I$88,5,0)</f>
        <v>207.79200000000006</v>
      </c>
      <c r="GB97" s="14">
        <f t="shared" si="103"/>
        <v>51.452785725007907</v>
      </c>
      <c r="GC97" s="22">
        <f t="shared" si="79"/>
        <v>451.5180018043888</v>
      </c>
      <c r="GD97" s="59">
        <f t="shared" si="80"/>
        <v>744.85133513772212</v>
      </c>
      <c r="GE97" s="59">
        <f ca="1">AVERAGE(OFFSET($GD$3,0,0,'Données projet'!$E$17+1,1))-AVERAGE(OFFSET($H$3,0,0,'Données projet'!$E$17+1,1))</f>
        <v>247.85542034088905</v>
      </c>
      <c r="GF97" s="59">
        <f t="shared" si="104"/>
        <v>299.52241743660352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projet'!$B$17,Paramètres!$A$1:$I$88,3,0)*0.475*44/12</f>
        <v>18.948598428434224</v>
      </c>
      <c r="GM97" s="23">
        <f>EXP(-LN(2)/25)*GM96+(1-EXP(-LN(2)/25))/(LN(2)/25)*Calculateur!GH97*Calculateur!GJ97*VLOOKUP('Données projet'!$B$17,Paramètres!$A$1:$I$88,3,0)*0.475*44/12</f>
        <v>14.814378462499283</v>
      </c>
      <c r="GN97" s="23">
        <f>EXP(-LN(2)/2)*GN96+(1-EXP(-LN(2)/2))/(LN(2)/2)*GH97*GK97*VLOOKUP('Données projet'!$B$17,Paramètres!$A$1:$I$88,3,0)*0.475*44/12</f>
        <v>3.2655415509364252E-4</v>
      </c>
      <c r="GO97" s="23">
        <f t="shared" si="81"/>
        <v>33.763303445088603</v>
      </c>
      <c r="GP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3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6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5.6</v>
      </c>
      <c r="N98" s="14">
        <f>IF('Données projet'!$A$36&gt;35,N97+M98-V97,IF(A98&lt;'Données projet'!$A$36,$K$205^A98,IF(A98='Données projet'!$A$36,'Données projet'!$B$36,N97+M98-V97)))</f>
        <v>217.19999999999996</v>
      </c>
      <c r="O98" s="14">
        <f>N98*VLOOKUP('Données projet'!$B$9,Paramètres!$A$1:$I$88,3,0)*VLOOKUP('Données projet'!$B$9,Paramètres!$A$1:$I$88,5,0)</f>
        <v>196.52255999999997</v>
      </c>
      <c r="P98" s="14">
        <f t="shared" si="87"/>
        <v>48.979153257338155</v>
      </c>
      <c r="Q98" s="22">
        <f t="shared" si="54"/>
        <v>427.58215058986383</v>
      </c>
      <c r="R98" s="59">
        <f t="shared" si="55"/>
        <v>720.91548392319714</v>
      </c>
      <c r="S98" s="59">
        <f ca="1">AVERAGE(OFFSET($R$3,0,0,'Données projet'!$E$9+1,1))-AVERAGE(OFFSET($H$3,0,0,'Données projet'!$E$9+1,1))</f>
        <v>247.57967230773539</v>
      </c>
      <c r="T98" s="59">
        <f t="shared" si="88"/>
        <v>156.58857589533295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23.920000358603613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23.920000358603613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581</v>
      </c>
      <c r="AG98" s="13">
        <f>VLOOKUP(A98,'Données projet'!$A$61:$I$81,9,0)</f>
        <v>4.5400000000000089</v>
      </c>
      <c r="AH98" s="13">
        <f t="array" ref="AH98">INDEX(AG:AG,MIN(IF(ISNUMBER(AG98:AG294),ROW(AG98:AG294),"")))</f>
        <v>4.5400000000000089</v>
      </c>
      <c r="AI98" s="14">
        <f>IF('Données projet'!$A$62&gt;35,AI97+AH98-AQ97,IF(A98&lt;'Données projet'!$A$62,$AF$205^A98,IF(A98='Données projet'!$A$62,'Données projet'!$B$62,AI97+AH98-AQ97)))</f>
        <v>580.99999999999943</v>
      </c>
      <c r="AJ98" s="14">
        <f>AI98*VLOOKUP('Données projet'!$B$10,Paramètres!$A$1:$I$88,3,0)*VLOOKUP('Données projet'!$B$10,Paramètres!$A$1:$I$88,5,0)</f>
        <v>462.24359999999956</v>
      </c>
      <c r="AK98" s="14">
        <f t="shared" si="89"/>
        <v>104.28743794154168</v>
      </c>
      <c r="AL98" s="22">
        <f t="shared" si="58"/>
        <v>986.70822441485097</v>
      </c>
      <c r="AM98" s="59">
        <f t="shared" si="59"/>
        <v>1280.0415577481842</v>
      </c>
      <c r="AN98" s="59">
        <f ca="1">AVERAGE(OFFSET($AM$3,0,0,'Données projet'!$E$10+1,1))-AVERAGE(OFFSET($H$3,0,0,'Données projet'!$E$10+1,1))</f>
        <v>504.15006129790828</v>
      </c>
      <c r="AO98" s="59">
        <f t="shared" si="90"/>
        <v>374.39334457402742</v>
      </c>
      <c r="AP98" s="16">
        <f>IF(ISNA(VLOOKUP(A98,'Données projet'!$A$61:$I$81,3,0)),0,VLOOKUP(A98,'Données projet'!$A$61:$I$81,3,0))</f>
        <v>17</v>
      </c>
      <c r="AQ98" s="16">
        <f>IF(ISNA(VLOOKUP(A98,'Données projet'!$A$61:$I$81,4,0)),0,VLOOKUP(A98,'Données projet'!$A$61:$I$81,4,0))</f>
        <v>7.8</v>
      </c>
      <c r="AR98" s="17">
        <f>IF(ISNA(VLOOKUP(A98,'Données projet'!$A$61:$I$81,5,0)),0%,VLOOKUP(A98,'Données projet'!$A$61:$I$81,5,0)*VLOOKUP('Données projet'!$B$10,Paramètres!$A$1:$I$88,7,0))</f>
        <v>0.42400000000000004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22.473968792802641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22.473968792802641</v>
      </c>
      <c r="AY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581</v>
      </c>
      <c r="BB98" s="13">
        <f>VLOOKUP(A98,'Données projet'!$A$87:$I$107,9,0)</f>
        <v>4.5400000000000089</v>
      </c>
      <c r="BC98" s="13">
        <f t="array" ref="BC98">INDEX(BB:BB,MIN(IF(ISNUMBER(BB98:BB294),ROW(BB98:BB294),"")))</f>
        <v>4.5400000000000089</v>
      </c>
      <c r="BD98" s="13">
        <f>IF('Données projet'!$A$88&gt;35,BD97+BC98-BL97,IF(A98&lt;'Données projet'!$A$88,$BA$205^A98,IF(A98='Données projet'!$A$88,'Données projet'!$B$88,BD97+BC98-BL97)))</f>
        <v>580.99999999999943</v>
      </c>
      <c r="BE98" s="14">
        <f>BD98*VLOOKUP('Données projet'!$B$11,Paramètres!$A$1:$I$88,3,0)*VLOOKUP('Données projet'!$B$11,Paramètres!$A$1:$I$88,5,0)</f>
        <v>462.24359999999956</v>
      </c>
      <c r="BF98" s="14">
        <f t="shared" si="91"/>
        <v>104.28743794154168</v>
      </c>
      <c r="BG98" s="22">
        <f t="shared" si="61"/>
        <v>986.70822441485097</v>
      </c>
      <c r="BH98" s="59">
        <f t="shared" si="62"/>
        <v>1280.0415577481842</v>
      </c>
      <c r="BI98" s="59">
        <f ca="1">AVERAGE(OFFSET($BH$3,0,0,'Données projet'!$E$11+1,1))-AVERAGE(OFFSET($H$3,0,0,'Données projet'!$E$11+1,1))</f>
        <v>504.15006129790828</v>
      </c>
      <c r="BJ98" s="59">
        <f t="shared" si="92"/>
        <v>374.39334457402742</v>
      </c>
      <c r="BK98" s="16">
        <f>IF(ISNA(VLOOKUP(A98,'Données projet'!$A$87:$I$107,3,0)),0,VLOOKUP(A98,'Données projet'!$A$87:$I$107,3,0))</f>
        <v>17</v>
      </c>
      <c r="BL98" s="16">
        <f>IF(ISNA(VLOOKUP(A98,'Données projet'!$A$87:$I$107,4,0)),0,VLOOKUP(A98,'Données projet'!$A$87:$I$107,4,0))</f>
        <v>7.8</v>
      </c>
      <c r="BM98" s="17">
        <f>IF(ISNA(VLOOKUP(A98,'Données projet'!$A$87:$I$107,5,0)),0%,VLOOKUP(A98,'Données projet'!$A$87:$I$107,5,0)*VLOOKUP('Données projet'!$B$11,Paramètres!$A$1:$I$88,7,0))</f>
        <v>0.42400000000000004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22.473968792802641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22.473968792802641</v>
      </c>
      <c r="BT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-3.4106051316484809E-13</v>
      </c>
      <c r="BZ98" s="14">
        <f>BY98*VLOOKUP('Données projet'!$B$12,Paramètres!$A$1:$I$88,3,0)*VLOOKUP('Données projet'!$B$12,Paramètres!$A$1:$I$88,5,0)</f>
        <v>-2.2878339223098009E-13</v>
      </c>
      <c r="CA98" s="14" t="e">
        <f t="shared" si="93"/>
        <v>#NUM!</v>
      </c>
      <c r="CB98" s="22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387.15063677712425</v>
      </c>
      <c r="CE98" s="59">
        <f t="shared" si="94"/>
        <v>313.19155394370705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175.79571731619868</v>
      </c>
      <c r="CL98" s="23">
        <f>EXP(-LN(2)/25)*CL97+(1-EXP(-LN(2)/25))/(LN(2)/25)*Calculateur!CG98*Calculateur!CI98*VLOOKUP('Données projet'!$B$12,Paramètres!$A$1:$I$88,3,0)*0.475*44/12</f>
        <v>0</v>
      </c>
      <c r="CM98" s="23">
        <f>EXP(-LN(2)/2)*CM97+(1-EXP(-LN(2)/2))/(LN(2)/2)*CG98*CJ98*VLOOKUP('Données projet'!$B$12,Paramètres!$A$1:$I$88,3,0)*0.475*44/12</f>
        <v>0</v>
      </c>
      <c r="CN98" s="24">
        <f t="shared" si="66"/>
        <v>175.79571731619868</v>
      </c>
      <c r="CO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5.6</v>
      </c>
      <c r="CT98" s="13">
        <f>IF('Données projet'!$A$140&gt;35,CT97+CS98-DB97,IF(A98&lt;'Données projet'!$A$140,$CQ$205^A98,IF(A98='Données projet'!$A$140,'Données projet'!$B$140,CT97+CS98-DB97)))</f>
        <v>217.19999999999996</v>
      </c>
      <c r="CU98" s="18">
        <f>CT98*VLOOKUP('Données projet'!$B$13,Paramètres!$A$1:$I$88,3,0)*VLOOKUP('Données projet'!$B$13,Paramètres!$A$1:$I$88,5,0)</f>
        <v>210.07584</v>
      </c>
      <c r="CV98" s="14">
        <f t="shared" si="95"/>
        <v>51.952158298115599</v>
      </c>
      <c r="CW98" s="22">
        <f t="shared" si="67"/>
        <v>456.36543036921802</v>
      </c>
      <c r="CX98" s="59">
        <f t="shared" si="68"/>
        <v>749.69876370255133</v>
      </c>
      <c r="CY98" s="59">
        <f ca="1">AVERAGE(OFFSET($CX$3,0,0,'Données projet'!$E$13+1,1))-AVERAGE(OFFSET($H$3,0,0,'Données projet'!$E$13+1,1))</f>
        <v>306.00894145276209</v>
      </c>
      <c r="CZ98" s="59">
        <f t="shared" si="96"/>
        <v>168.74705421228828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25.5696555557487</v>
      </c>
      <c r="DG98" s="23">
        <f>EXP(-LN(2)/25)*DG97+(1-EXP(-LN(2)/25))/(LN(2)/25)*Calculateur!DB98*Calculateur!DD98*VLOOKUP('Données projet'!$B$13,Paramètres!$A$1:$I$88,3,0)*0.475*44/12</f>
        <v>0</v>
      </c>
      <c r="DH98" s="23">
        <f>EXP(-LN(2)/2)*DH97+(1-EXP(-LN(2)/2))/(LN(2)/2)*DB98*DE98*VLOOKUP('Données projet'!$B$13,Paramètres!$A$1:$I$88,3,0)*0.475*44/12</f>
        <v>0</v>
      </c>
      <c r="DI98" s="24">
        <f t="shared" si="69"/>
        <v>25.5696555557487</v>
      </c>
      <c r="DJ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-3.4106051316484809E-13</v>
      </c>
      <c r="DP98" s="18">
        <f>DO98*VLOOKUP('Données projet'!$B$14,Paramètres!$A$1:$I$88,3,0)*VLOOKUP('Données projet'!$B$14,Paramètres!$A$1:$I$88,5,0)</f>
        <v>-2.6602720026858149E-13</v>
      </c>
      <c r="DQ98" s="14" t="e">
        <f t="shared" si="97"/>
        <v>#NUM!</v>
      </c>
      <c r="DR98" s="22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458.14328535055694</v>
      </c>
      <c r="DU98" s="59">
        <f t="shared" si="98"/>
        <v>366.75500153675739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projet'!$B$14,Paramètres!$A$1:$I$88,3,0)*0.475*44/12</f>
        <v>165.84501633603657</v>
      </c>
      <c r="EB98" s="23">
        <f>EXP(-LN(2)/25)*EB97+(1-EXP(-LN(2)/25))/(LN(2)/25)*Calculateur!DW98*Calculateur!DY98*VLOOKUP('Données projet'!$B$14,Paramètres!$A$1:$I$88,3,0)*0.475*44/12</f>
        <v>0</v>
      </c>
      <c r="EC98" s="23">
        <f>EXP(-LN(2)/2)*EC97+(1-EXP(-LN(2)/2))/(LN(2)/2)*DW98*DZ98*VLOOKUP('Données projet'!$B$14,Paramètres!$A$1:$I$88,3,0)*0.475*44/12</f>
        <v>0</v>
      </c>
      <c r="ED98" s="24">
        <f t="shared" si="72"/>
        <v>165.84501633603657</v>
      </c>
      <c r="EE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4.5474735088646412E-13</v>
      </c>
      <c r="EK98" s="18">
        <f>EJ98*VLOOKUP('Données projet'!$B$15,Paramètres!$A$1:$I$88,3,0)*VLOOKUP('Données projet'!$B$15,Paramètres!$A$1:$I$88,5,0)</f>
        <v>3.9017322706058626E-13</v>
      </c>
      <c r="EL98" s="14">
        <f t="shared" si="99"/>
        <v>5.0025007393608908E-12</v>
      </c>
      <c r="EM98" s="22">
        <f t="shared" si="73"/>
        <v>9.3922404915174053E-12</v>
      </c>
      <c r="EN98" s="59">
        <f t="shared" si="74"/>
        <v>293.33333333334269</v>
      </c>
      <c r="EO98" s="59">
        <f ca="1">AVERAGE(OFFSET($EN$3,0,0,'Données projet'!$E$15+1,1))-AVERAGE(OFFSET($H$3,0,0,'Données projet'!$E$15+1,1))</f>
        <v>462.99360395552145</v>
      </c>
      <c r="EP98" s="59">
        <f t="shared" si="100"/>
        <v>153.03880717786046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projet'!$B$15,Paramètres!$A$1:$I$88,3,0)*0.475*44/12</f>
        <v>288.67764195554366</v>
      </c>
      <c r="EW98" s="23">
        <f>EXP(-LN(2)/25)*EW97+(1-EXP(-LN(2)/25))/(LN(2)/25)*Calculateur!ER98*Calculateur!ET98*VLOOKUP('Données projet'!$B$15,Paramètres!$A$1:$I$88,3,0)*0.475*44/12</f>
        <v>0</v>
      </c>
      <c r="EX98" s="23">
        <f>EXP(-LN(2)/2)*EX97+(1-EXP(-LN(2)/2))/(LN(2)/2)*ER98*EU98*VLOOKUP('Données projet'!$B$15,Paramètres!$A$1:$I$88,3,0)*0.475*44/12</f>
        <v>0</v>
      </c>
      <c r="EY98" s="24">
        <f t="shared" si="75"/>
        <v>288.67764195554366</v>
      </c>
      <c r="EZ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466</v>
      </c>
      <c r="FC98" s="13">
        <f>VLOOKUP(A98,'Données projet'!$A$217:$I$237,9,0)</f>
        <v>3.7799999999999954</v>
      </c>
      <c r="FD98" s="13">
        <f t="array" ref="FD98">INDEX(FC:FC,MIN(IF(ISNUMBER(FC98:FC294),ROW(FC98:FC294),"")))</f>
        <v>3.7799999999999954</v>
      </c>
      <c r="FE98" s="13">
        <f>IF('Données projet'!$A$218&gt;35,FE97+FD98-FM97,IF(A98&lt;'Données projet'!$A$218,$FB$205^A98,IF(A98='Données projet'!$A$218,'Données projet'!$B$218,FE97+FD98-FM97)))</f>
        <v>466.00000000000017</v>
      </c>
      <c r="FF98" s="18">
        <f>FE98*VLOOKUP('Données projet'!$B$16,Paramètres!$A$1:$I$88,3,0)*VLOOKUP('Données projet'!$B$16,Paramètres!$A$1:$I$88,5,0)</f>
        <v>407.09760000000017</v>
      </c>
      <c r="FG98" s="14">
        <f t="shared" si="101"/>
        <v>93.214118435154688</v>
      </c>
      <c r="FH98" s="22">
        <f t="shared" si="76"/>
        <v>871.37624294122804</v>
      </c>
      <c r="FI98" s="59">
        <f t="shared" si="77"/>
        <v>1164.7095762745614</v>
      </c>
      <c r="FJ98" s="59">
        <f ca="1">AVERAGE(OFFSET($FI$3,0,0,'Données projet'!$E$16+1,1))-AVERAGE(OFFSET($H$3,0,0,'Données projet'!$E$16+1,1))</f>
        <v>427.76895185088944</v>
      </c>
      <c r="FK98" s="59">
        <f t="shared" si="102"/>
        <v>308.32543361559135</v>
      </c>
      <c r="FL98" s="16">
        <f>IF(ISNA(VLOOKUP(A98,'Données projet'!$A$217:$I$237,3,0)),0,VLOOKUP(A98,'Données projet'!$A$217:$I$237,3,0))</f>
        <v>17</v>
      </c>
      <c r="FM98" s="16">
        <f>IF(ISNA(VLOOKUP(A98,'Données projet'!$A$217:$I$237,4,0)),0,VLOOKUP(A98,'Données projet'!$A$217:$I$237,4,0))</f>
        <v>6.2</v>
      </c>
      <c r="FN98" s="17">
        <f>IF(ISNA(VLOOKUP(A98,'Données projet'!$A$217:$I$237,5,0)),0%,VLOOKUP(A98,'Données projet'!$A$217:$I$237,5,0)*VLOOKUP('Données projet'!$B$16,Paramètres!$A$1:$I$88,7,0))</f>
        <v>0.42400000000000004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projet'!$B$16,Paramètres!$A$1:$I$88,3,0)*0.475*44/12</f>
        <v>19.238470037633185</v>
      </c>
      <c r="FR98" s="23">
        <f>EXP(-LN(2)/25)*FR97+(1-EXP(-LN(2)/25))/(LN(2)/25)*Calculateur!FM98*Calculateur!FO98*VLOOKUP('Données projet'!$B$16,Paramètres!$A$1:$I$88,3,0)*0.475*44/12</f>
        <v>0</v>
      </c>
      <c r="FS98" s="23">
        <f>EXP(-LN(2)/2)*FS97+(1-EXP(-LN(2)/2))/(LN(2)/2)*FM98*FP98*VLOOKUP('Données projet'!$B$16,Paramètres!$A$1:$I$88,3,0)*0.475*44/12</f>
        <v>0</v>
      </c>
      <c r="FT98" s="24">
        <f t="shared" si="78"/>
        <v>19.238470037633185</v>
      </c>
      <c r="FU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333.00000000000006</v>
      </c>
      <c r="GA98" s="18">
        <f>FZ98*VLOOKUP('Données projet'!$B$17,Paramètres!$A$1:$I$88,3,0)*VLOOKUP('Données projet'!$B$17,Paramètres!$A$1:$I$88,5,0)</f>
        <v>207.79200000000006</v>
      </c>
      <c r="GB98" s="14">
        <f t="shared" si="103"/>
        <v>51.452785725007907</v>
      </c>
      <c r="GC98" s="22">
        <f t="shared" si="79"/>
        <v>451.5180018043888</v>
      </c>
      <c r="GD98" s="59">
        <f t="shared" si="80"/>
        <v>744.85133513772212</v>
      </c>
      <c r="GE98" s="59">
        <f ca="1">AVERAGE(OFFSET($GD$3,0,0,'Données projet'!$E$17+1,1))-AVERAGE(OFFSET($H$3,0,0,'Données projet'!$E$17+1,1))</f>
        <v>247.85542034088905</v>
      </c>
      <c r="GF98" s="59">
        <f t="shared" si="104"/>
        <v>299.52241743660352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projet'!$B$17,Paramètres!$A$1:$I$88,3,0)*0.475*44/12</f>
        <v>18.577027970756461</v>
      </c>
      <c r="GM98" s="23">
        <f>EXP(-LN(2)/25)*GM97+(1-EXP(-LN(2)/25))/(LN(2)/25)*Calculateur!GH98*Calculateur!GJ98*VLOOKUP('Données projet'!$B$17,Paramètres!$A$1:$I$88,3,0)*0.475*44/12</f>
        <v>14.409278504387935</v>
      </c>
      <c r="GN98" s="23">
        <f>EXP(-LN(2)/2)*GN97+(1-EXP(-LN(2)/2))/(LN(2)/2)*GH98*GK98*VLOOKUP('Données projet'!$B$17,Paramètres!$A$1:$I$88,3,0)*0.475*44/12</f>
        <v>2.309086574913582E-4</v>
      </c>
      <c r="GO98" s="23">
        <f t="shared" si="81"/>
        <v>32.986537383801888</v>
      </c>
      <c r="GP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3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6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5.6</v>
      </c>
      <c r="N99" s="14">
        <f>IF('Données projet'!$A$36&gt;35,N98+M99-V98,IF(A99&lt;'Données projet'!$A$36,$K$205^A99,IF(A99='Données projet'!$A$36,'Données projet'!$B$36,N98+M99-V98)))</f>
        <v>222.79999999999995</v>
      </c>
      <c r="O99" s="14">
        <f>N99*VLOOKUP('Données projet'!$B$9,Paramètres!$A$1:$I$88,3,0)*VLOOKUP('Données projet'!$B$9,Paramètres!$A$1:$I$88,5,0)</f>
        <v>201.58943999999994</v>
      </c>
      <c r="P99" s="14">
        <f t="shared" si="87"/>
        <v>50.093317439945402</v>
      </c>
      <c r="Q99" s="22">
        <f t="shared" ref="Q99:Q130" si="107">(O99+P99)*0.475*44/12</f>
        <v>438.34746920790479</v>
      </c>
      <c r="R99" s="59">
        <f t="shared" si="55"/>
        <v>731.68080254123811</v>
      </c>
      <c r="S99" s="59">
        <f ca="1">AVERAGE(OFFSET($R$3,0,0,'Données projet'!$E$9+1,1))-AVERAGE(OFFSET($H$3,0,0,'Données projet'!$E$9+1,1))</f>
        <v>247.57967230773539</v>
      </c>
      <c r="T99" s="59">
        <f t="shared" si="88"/>
        <v>156.58857589533295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23.450943741330995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23.450943741330995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3.9599999999999911</v>
      </c>
      <c r="AI99" s="14">
        <f>IF('Données projet'!$A$62&gt;35,AI98+AH99-AQ98,IF(A99&lt;'Données projet'!$A$62,$AF$205^A99,IF(A99='Données projet'!$A$62,'Données projet'!$B$62,AI98+AH99-AQ98)))</f>
        <v>577.15999999999951</v>
      </c>
      <c r="AJ99" s="14">
        <f>AI99*VLOOKUP('Données projet'!$B$10,Paramètres!$A$1:$I$88,3,0)*VLOOKUP('Données projet'!$B$10,Paramètres!$A$1:$I$88,5,0)</f>
        <v>459.18849599999959</v>
      </c>
      <c r="AK99" s="14">
        <f t="shared" si="89"/>
        <v>103.6781673254176</v>
      </c>
      <c r="AL99" s="22">
        <f t="shared" si="58"/>
        <v>980.32610529176839</v>
      </c>
      <c r="AM99" s="59">
        <f t="shared" si="59"/>
        <v>1273.6594386251018</v>
      </c>
      <c r="AN99" s="59">
        <f ca="1">AVERAGE(OFFSET($AM$3,0,0,'Données projet'!$E$10+1,1))-AVERAGE(OFFSET($H$3,0,0,'Données projet'!$E$10+1,1))</f>
        <v>504.15006129790828</v>
      </c>
      <c r="AO99" s="59">
        <f t="shared" si="90"/>
        <v>374.39334457402742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22.033267972543214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22.033267972543214</v>
      </c>
      <c r="AY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3.9599999999999911</v>
      </c>
      <c r="BD99" s="13">
        <f>IF('Données projet'!$A$88&gt;35,BD98+BC99-BL98,IF(A99&lt;'Données projet'!$A$88,$BA$205^A99,IF(A99='Données projet'!$A$88,'Données projet'!$B$88,BD98+BC99-BL98)))</f>
        <v>577.15999999999951</v>
      </c>
      <c r="BE99" s="14">
        <f>BD99*VLOOKUP('Données projet'!$B$11,Paramètres!$A$1:$I$88,3,0)*VLOOKUP('Données projet'!$B$11,Paramètres!$A$1:$I$88,5,0)</f>
        <v>459.18849599999959</v>
      </c>
      <c r="BF99" s="14">
        <f t="shared" si="91"/>
        <v>103.6781673254176</v>
      </c>
      <c r="BG99" s="22">
        <f t="shared" si="61"/>
        <v>980.32610529176839</v>
      </c>
      <c r="BH99" s="59">
        <f t="shared" si="62"/>
        <v>1273.6594386251018</v>
      </c>
      <c r="BI99" s="59">
        <f ca="1">AVERAGE(OFFSET($BH$3,0,0,'Données projet'!$E$11+1,1))-AVERAGE(OFFSET($H$3,0,0,'Données projet'!$E$11+1,1))</f>
        <v>504.15006129790828</v>
      </c>
      <c r="BJ99" s="59">
        <f t="shared" si="92"/>
        <v>374.39334457402742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22.033267972543214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22.033267972543214</v>
      </c>
      <c r="BT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-3.4106051316484809E-13</v>
      </c>
      <c r="BZ99" s="14">
        <f>BY99*VLOOKUP('Données projet'!$B$12,Paramètres!$A$1:$I$88,3,0)*VLOOKUP('Données projet'!$B$12,Paramètres!$A$1:$I$88,5,0)</f>
        <v>-2.2878339223098009E-13</v>
      </c>
      <c r="CA99" s="14" t="e">
        <f t="shared" si="93"/>
        <v>#NUM!</v>
      </c>
      <c r="CB99" s="22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387.15063677712425</v>
      </c>
      <c r="CE99" s="59">
        <f t="shared" si="94"/>
        <v>313.19155394370705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172.34847052442802</v>
      </c>
      <c r="CL99" s="23">
        <f>EXP(-LN(2)/25)*CL98+(1-EXP(-LN(2)/25))/(LN(2)/25)*Calculateur!CG99*Calculateur!CI99*VLOOKUP('Données projet'!$B$12,Paramètres!$A$1:$I$88,3,0)*0.475*44/12</f>
        <v>0</v>
      </c>
      <c r="CM99" s="23">
        <f>EXP(-LN(2)/2)*CM98+(1-EXP(-LN(2)/2))/(LN(2)/2)*CG99*CJ99*VLOOKUP('Données projet'!$B$12,Paramètres!$A$1:$I$88,3,0)*0.475*44/12</f>
        <v>0</v>
      </c>
      <c r="CN99" s="24">
        <f t="shared" si="66"/>
        <v>172.34847052442802</v>
      </c>
      <c r="CO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5.6</v>
      </c>
      <c r="CT99" s="13">
        <f>IF('Données projet'!$A$140&gt;35,CT98+CS99-DB98,IF(A99&lt;'Données projet'!$A$140,$CQ$205^A99,IF(A99='Données projet'!$A$140,'Données projet'!$B$140,CT98+CS99-DB98)))</f>
        <v>222.79999999999995</v>
      </c>
      <c r="CU99" s="18">
        <f>CT99*VLOOKUP('Données projet'!$B$13,Paramètres!$A$1:$I$88,3,0)*VLOOKUP('Données projet'!$B$13,Paramètres!$A$1:$I$88,5,0)</f>
        <v>215.49215999999996</v>
      </c>
      <c r="CV99" s="14">
        <f t="shared" si="95"/>
        <v>53.133951574140184</v>
      </c>
      <c r="CW99" s="22">
        <f t="shared" si="67"/>
        <v>467.85714432496076</v>
      </c>
      <c r="CX99" s="59">
        <f t="shared" si="68"/>
        <v>761.19047765829407</v>
      </c>
      <c r="CY99" s="59">
        <f ca="1">AVERAGE(OFFSET($CX$3,0,0,'Données projet'!$E$13+1,1))-AVERAGE(OFFSET($H$3,0,0,'Données projet'!$E$13+1,1))</f>
        <v>306.00894145276209</v>
      </c>
      <c r="CZ99" s="59">
        <f t="shared" si="96"/>
        <v>168.74705421228828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25.068250206250383</v>
      </c>
      <c r="DG99" s="23">
        <f>EXP(-LN(2)/25)*DG98+(1-EXP(-LN(2)/25))/(LN(2)/25)*Calculateur!DB99*Calculateur!DD99*VLOOKUP('Données projet'!$B$13,Paramètres!$A$1:$I$88,3,0)*0.475*44/12</f>
        <v>0</v>
      </c>
      <c r="DH99" s="23">
        <f>EXP(-LN(2)/2)*DH98+(1-EXP(-LN(2)/2))/(LN(2)/2)*DB99*DE99*VLOOKUP('Données projet'!$B$13,Paramètres!$A$1:$I$88,3,0)*0.475*44/12</f>
        <v>0</v>
      </c>
      <c r="DI99" s="24">
        <f t="shared" si="69"/>
        <v>25.068250206250383</v>
      </c>
      <c r="DJ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-3.4106051316484809E-13</v>
      </c>
      <c r="DP99" s="18">
        <f>DO99*VLOOKUP('Données projet'!$B$14,Paramètres!$A$1:$I$88,3,0)*VLOOKUP('Données projet'!$B$14,Paramètres!$A$1:$I$88,5,0)</f>
        <v>-2.6602720026858149E-13</v>
      </c>
      <c r="DQ99" s="14" t="e">
        <f t="shared" si="97"/>
        <v>#NUM!</v>
      </c>
      <c r="DR99" s="22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458.14328535055694</v>
      </c>
      <c r="DU99" s="59">
        <f t="shared" si="98"/>
        <v>366.75500153675739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projet'!$B$14,Paramètres!$A$1:$I$88,3,0)*0.475*44/12</f>
        <v>162.59289672115858</v>
      </c>
      <c r="EB99" s="23">
        <f>EXP(-LN(2)/25)*EB98+(1-EXP(-LN(2)/25))/(LN(2)/25)*Calculateur!DW99*Calculateur!DY99*VLOOKUP('Données projet'!$B$14,Paramètres!$A$1:$I$88,3,0)*0.475*44/12</f>
        <v>0</v>
      </c>
      <c r="EC99" s="23">
        <f>EXP(-LN(2)/2)*EC98+(1-EXP(-LN(2)/2))/(LN(2)/2)*DW99*DZ99*VLOOKUP('Données projet'!$B$14,Paramètres!$A$1:$I$88,3,0)*0.475*44/12</f>
        <v>0</v>
      </c>
      <c r="ED99" s="24">
        <f t="shared" si="72"/>
        <v>162.59289672115858</v>
      </c>
      <c r="EE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4.5474735088646412E-13</v>
      </c>
      <c r="EK99" s="18">
        <f>EJ99*VLOOKUP('Données projet'!$B$15,Paramètres!$A$1:$I$88,3,0)*VLOOKUP('Données projet'!$B$15,Paramètres!$A$1:$I$88,5,0)</f>
        <v>3.9017322706058626E-13</v>
      </c>
      <c r="EL99" s="14">
        <f t="shared" si="99"/>
        <v>5.0025007393608908E-12</v>
      </c>
      <c r="EM99" s="22">
        <f t="shared" si="73"/>
        <v>9.3922404915174053E-12</v>
      </c>
      <c r="EN99" s="59">
        <f t="shared" si="74"/>
        <v>293.33333333334269</v>
      </c>
      <c r="EO99" s="59">
        <f ca="1">AVERAGE(OFFSET($EN$3,0,0,'Données projet'!$E$15+1,1))-AVERAGE(OFFSET($H$3,0,0,'Données projet'!$E$15+1,1))</f>
        <v>462.99360395552145</v>
      </c>
      <c r="EP99" s="59">
        <f t="shared" si="100"/>
        <v>153.03880717786046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projet'!$B$15,Paramètres!$A$1:$I$88,3,0)*0.475*44/12</f>
        <v>283.01684947277101</v>
      </c>
      <c r="EW99" s="23">
        <f>EXP(-LN(2)/25)*EW98+(1-EXP(-LN(2)/25))/(LN(2)/25)*Calculateur!ER99*Calculateur!ET99*VLOOKUP('Données projet'!$B$15,Paramètres!$A$1:$I$88,3,0)*0.475*44/12</f>
        <v>0</v>
      </c>
      <c r="EX99" s="23">
        <f>EXP(-LN(2)/2)*EX98+(1-EXP(-LN(2)/2))/(LN(2)/2)*ER99*EU99*VLOOKUP('Données projet'!$B$15,Paramètres!$A$1:$I$88,3,0)*0.475*44/12</f>
        <v>0</v>
      </c>
      <c r="EY99" s="24">
        <f t="shared" si="75"/>
        <v>283.01684947277101</v>
      </c>
      <c r="EZ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3.2399999999999975</v>
      </c>
      <c r="FE99" s="13">
        <f>IF('Données projet'!$A$218&gt;35,FE98+FD99-FM98,IF(A99&lt;'Données projet'!$A$218,$FB$205^A99,IF(A99='Données projet'!$A$218,'Données projet'!$B$218,FE98+FD99-FM98)))</f>
        <v>463.04000000000019</v>
      </c>
      <c r="FF99" s="18">
        <f>FE99*VLOOKUP('Données projet'!$B$16,Paramètres!$A$1:$I$88,3,0)*VLOOKUP('Données projet'!$B$16,Paramètres!$A$1:$I$88,5,0)</f>
        <v>404.51174400000025</v>
      </c>
      <c r="FG99" s="14">
        <f t="shared" si="101"/>
        <v>92.690754128881196</v>
      </c>
      <c r="FH99" s="22">
        <f t="shared" si="76"/>
        <v>865.96101757446843</v>
      </c>
      <c r="FI99" s="59">
        <f t="shared" si="77"/>
        <v>1159.2943509078018</v>
      </c>
      <c r="FJ99" s="59">
        <f ca="1">AVERAGE(OFFSET($FI$3,0,0,'Données projet'!$E$16+1,1))-AVERAGE(OFFSET($H$3,0,0,'Données projet'!$E$16+1,1))</f>
        <v>427.76895185088944</v>
      </c>
      <c r="FK99" s="59">
        <f t="shared" si="102"/>
        <v>308.32543361559135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projet'!$B$16,Paramètres!$A$1:$I$88,3,0)*0.475*44/12</f>
        <v>18.861215374503253</v>
      </c>
      <c r="FR99" s="23">
        <f>EXP(-LN(2)/25)*FR98+(1-EXP(-LN(2)/25))/(LN(2)/25)*Calculateur!FM99*Calculateur!FO99*VLOOKUP('Données projet'!$B$16,Paramètres!$A$1:$I$88,3,0)*0.475*44/12</f>
        <v>0</v>
      </c>
      <c r="FS99" s="23">
        <f>EXP(-LN(2)/2)*FS98+(1-EXP(-LN(2)/2))/(LN(2)/2)*FM99*FP99*VLOOKUP('Données projet'!$B$16,Paramètres!$A$1:$I$88,3,0)*0.475*44/12</f>
        <v>0</v>
      </c>
      <c r="FT99" s="24">
        <f t="shared" si="78"/>
        <v>18.861215374503253</v>
      </c>
      <c r="FU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333.00000000000006</v>
      </c>
      <c r="GA99" s="18">
        <f>FZ99*VLOOKUP('Données projet'!$B$17,Paramètres!$A$1:$I$88,3,0)*VLOOKUP('Données projet'!$B$17,Paramètres!$A$1:$I$88,5,0)</f>
        <v>207.79200000000006</v>
      </c>
      <c r="GB99" s="14">
        <f t="shared" si="103"/>
        <v>51.452785725007907</v>
      </c>
      <c r="GC99" s="22">
        <f t="shared" si="79"/>
        <v>451.5180018043888</v>
      </c>
      <c r="GD99" s="59">
        <f t="shared" si="80"/>
        <v>744.85133513772212</v>
      </c>
      <c r="GE99" s="59">
        <f ca="1">AVERAGE(OFFSET($GD$3,0,0,'Données projet'!$E$17+1,1))-AVERAGE(OFFSET($H$3,0,0,'Données projet'!$E$17+1,1))</f>
        <v>247.85542034088905</v>
      </c>
      <c r="GF99" s="59">
        <f t="shared" si="104"/>
        <v>299.52241743660352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projet'!$B$17,Paramètres!$A$1:$I$88,3,0)*0.475*44/12</f>
        <v>18.21274378311816</v>
      </c>
      <c r="GM99" s="23">
        <f>EXP(-LN(2)/25)*GM98+(1-EXP(-LN(2)/25))/(LN(2)/25)*Calculateur!GH99*Calculateur!GJ99*VLOOKUP('Données projet'!$B$17,Paramètres!$A$1:$I$88,3,0)*0.475*44/12</f>
        <v>14.015256025934423</v>
      </c>
      <c r="GN99" s="23">
        <f>EXP(-LN(2)/2)*GN98+(1-EXP(-LN(2)/2))/(LN(2)/2)*GH99*GK99*VLOOKUP('Données projet'!$B$17,Paramètres!$A$1:$I$88,3,0)*0.475*44/12</f>
        <v>1.6327707754682129E-4</v>
      </c>
      <c r="GO99" s="23">
        <f t="shared" si="81"/>
        <v>32.228163086130131</v>
      </c>
      <c r="GP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3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6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5.6</v>
      </c>
      <c r="N100" s="14">
        <f>IF('Données projet'!$A$36&gt;35,N99+M100-V99,IF(A100&lt;'Données projet'!$A$36,$K$205^A100,IF(A100='Données projet'!$A$36,'Données projet'!$B$36,N99+M100-V99)))</f>
        <v>228.39999999999995</v>
      </c>
      <c r="O100" s="14">
        <f>N100*VLOOKUP('Données projet'!$B$9,Paramètres!$A$1:$I$88,3,0)*VLOOKUP('Données projet'!$B$9,Paramètres!$A$1:$I$88,5,0)</f>
        <v>206.65631999999994</v>
      </c>
      <c r="P100" s="14">
        <f t="shared" si="87"/>
        <v>51.20422634371338</v>
      </c>
      <c r="Q100" s="22">
        <f t="shared" si="107"/>
        <v>449.10711821530072</v>
      </c>
      <c r="R100" s="59">
        <f t="shared" si="55"/>
        <v>742.44045154863397</v>
      </c>
      <c r="S100" s="59">
        <f ca="1">AVERAGE(OFFSET($R$3,0,0,'Données projet'!$E$9+1,1))-AVERAGE(OFFSET($H$3,0,0,'Données projet'!$E$9+1,1))</f>
        <v>247.57967230773539</v>
      </c>
      <c r="T100" s="59">
        <f t="shared" si="88"/>
        <v>156.58857589533295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22.991085038226807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22.991085038226807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3.9599999999999911</v>
      </c>
      <c r="AI100" s="14">
        <f>IF('Données projet'!$A$62&gt;35,AI99+AH100-AQ99,IF(A100&lt;'Données projet'!$A$62,$AF$205^A100,IF(A100='Données projet'!$A$62,'Données projet'!$B$62,AI99+AH100-AQ99)))</f>
        <v>581.11999999999955</v>
      </c>
      <c r="AJ100" s="14">
        <f>AI100*VLOOKUP('Données projet'!$B$10,Paramètres!$A$1:$I$88,3,0)*VLOOKUP('Données projet'!$B$10,Paramètres!$A$1:$I$88,5,0)</f>
        <v>462.33907199999965</v>
      </c>
      <c r="AK100" s="14">
        <f t="shared" si="89"/>
        <v>104.30647008045385</v>
      </c>
      <c r="AL100" s="22">
        <f t="shared" si="58"/>
        <v>986.90765245678983</v>
      </c>
      <c r="AM100" s="59">
        <f t="shared" si="59"/>
        <v>1280.2409857901232</v>
      </c>
      <c r="AN100" s="59">
        <f ca="1">AVERAGE(OFFSET($AM$3,0,0,'Données projet'!$E$10+1,1))-AVERAGE(OFFSET($H$3,0,0,'Données projet'!$E$10+1,1))</f>
        <v>504.15006129790828</v>
      </c>
      <c r="AO100" s="59">
        <f t="shared" si="90"/>
        <v>374.39334457402742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21.601209026568117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21.601209026568117</v>
      </c>
      <c r="AY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3.9599999999999911</v>
      </c>
      <c r="BD100" s="13">
        <f>IF('Données projet'!$A$88&gt;35,BD99+BC100-BL99,IF(A100&lt;'Données projet'!$A$88,$BA$205^A100,IF(A100='Données projet'!$A$88,'Données projet'!$B$88,BD99+BC100-BL99)))</f>
        <v>581.11999999999955</v>
      </c>
      <c r="BE100" s="14">
        <f>BD100*VLOOKUP('Données projet'!$B$11,Paramètres!$A$1:$I$88,3,0)*VLOOKUP('Données projet'!$B$11,Paramètres!$A$1:$I$88,5,0)</f>
        <v>462.33907199999965</v>
      </c>
      <c r="BF100" s="14">
        <f t="shared" si="91"/>
        <v>104.30647008045385</v>
      </c>
      <c r="BG100" s="22">
        <f t="shared" si="61"/>
        <v>986.90765245678983</v>
      </c>
      <c r="BH100" s="59">
        <f t="shared" si="62"/>
        <v>1280.2409857901232</v>
      </c>
      <c r="BI100" s="59">
        <f ca="1">AVERAGE(OFFSET($BH$3,0,0,'Données projet'!$E$11+1,1))-AVERAGE(OFFSET($H$3,0,0,'Données projet'!$E$11+1,1))</f>
        <v>504.15006129790828</v>
      </c>
      <c r="BJ100" s="59">
        <f t="shared" si="92"/>
        <v>374.39334457402742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21.601209026568117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21.601209026568117</v>
      </c>
      <c r="BT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-3.4106051316484809E-13</v>
      </c>
      <c r="BZ100" s="14">
        <f>BY100*VLOOKUP('Données projet'!$B$12,Paramètres!$A$1:$I$88,3,0)*VLOOKUP('Données projet'!$B$12,Paramètres!$A$1:$I$88,5,0)</f>
        <v>-2.2878339223098009E-13</v>
      </c>
      <c r="CA100" s="14" t="e">
        <f t="shared" si="93"/>
        <v>#NUM!</v>
      </c>
      <c r="CB100" s="22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387.15063677712425</v>
      </c>
      <c r="CE100" s="59">
        <f t="shared" si="94"/>
        <v>313.19155394370705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168.96882213963104</v>
      </c>
      <c r="CL100" s="23">
        <f>EXP(-LN(2)/25)*CL99+(1-EXP(-LN(2)/25))/(LN(2)/25)*Calculateur!CG100*Calculateur!CI100*VLOOKUP('Données projet'!$B$12,Paramètres!$A$1:$I$88,3,0)*0.475*44/12</f>
        <v>0</v>
      </c>
      <c r="CM100" s="23">
        <f>EXP(-LN(2)/2)*CM99+(1-EXP(-LN(2)/2))/(LN(2)/2)*CG100*CJ100*VLOOKUP('Données projet'!$B$12,Paramètres!$A$1:$I$88,3,0)*0.475*44/12</f>
        <v>0</v>
      </c>
      <c r="CN100" s="24">
        <f t="shared" si="66"/>
        <v>168.96882213963104</v>
      </c>
      <c r="CO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5.6</v>
      </c>
      <c r="CT100" s="13">
        <f>IF('Données projet'!$A$140&gt;35,CT99+CS100-DB99,IF(A100&lt;'Données projet'!$A$140,$CQ$205^A100,IF(A100='Données projet'!$A$140,'Données projet'!$B$140,CT99+CS100-DB99)))</f>
        <v>228.39999999999995</v>
      </c>
      <c r="CU100" s="18">
        <f>CT100*VLOOKUP('Données projet'!$B$13,Paramètres!$A$1:$I$88,3,0)*VLOOKUP('Données projet'!$B$13,Paramètres!$A$1:$I$88,5,0)</f>
        <v>220.90847999999997</v>
      </c>
      <c r="CV100" s="14">
        <f t="shared" si="95"/>
        <v>54.312291977864817</v>
      </c>
      <c r="CW100" s="22">
        <f t="shared" si="67"/>
        <v>479.34284452811448</v>
      </c>
      <c r="CX100" s="59">
        <f t="shared" si="68"/>
        <v>772.67617786144774</v>
      </c>
      <c r="CY100" s="59">
        <f ca="1">AVERAGE(OFFSET($CX$3,0,0,'Données projet'!$E$13+1,1))-AVERAGE(OFFSET($H$3,0,0,'Données projet'!$E$13+1,1))</f>
        <v>306.00894145276209</v>
      </c>
      <c r="CZ100" s="59">
        <f t="shared" si="96"/>
        <v>168.74705421228828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24.576677109828665</v>
      </c>
      <c r="DG100" s="23">
        <f>EXP(-LN(2)/25)*DG99+(1-EXP(-LN(2)/25))/(LN(2)/25)*Calculateur!DB100*Calculateur!DD100*VLOOKUP('Données projet'!$B$13,Paramètres!$A$1:$I$88,3,0)*0.475*44/12</f>
        <v>0</v>
      </c>
      <c r="DH100" s="23">
        <f>EXP(-LN(2)/2)*DH99+(1-EXP(-LN(2)/2))/(LN(2)/2)*DB100*DE100*VLOOKUP('Données projet'!$B$13,Paramètres!$A$1:$I$88,3,0)*0.475*44/12</f>
        <v>0</v>
      </c>
      <c r="DI100" s="24">
        <f t="shared" si="69"/>
        <v>24.576677109828665</v>
      </c>
      <c r="DJ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-3.4106051316484809E-13</v>
      </c>
      <c r="DP100" s="18">
        <f>DO100*VLOOKUP('Données projet'!$B$14,Paramètres!$A$1:$I$88,3,0)*VLOOKUP('Données projet'!$B$14,Paramètres!$A$1:$I$88,5,0)</f>
        <v>-2.6602720026858149E-13</v>
      </c>
      <c r="DQ100" s="14" t="e">
        <f t="shared" si="97"/>
        <v>#NUM!</v>
      </c>
      <c r="DR100" s="22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458.14328535055694</v>
      </c>
      <c r="DU100" s="59">
        <f t="shared" si="98"/>
        <v>366.75500153675739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projet'!$B$14,Paramètres!$A$1:$I$88,3,0)*0.475*44/12</f>
        <v>159.40454918833126</v>
      </c>
      <c r="EB100" s="23">
        <f>EXP(-LN(2)/25)*EB99+(1-EXP(-LN(2)/25))/(LN(2)/25)*Calculateur!DW100*Calculateur!DY100*VLOOKUP('Données projet'!$B$14,Paramètres!$A$1:$I$88,3,0)*0.475*44/12</f>
        <v>0</v>
      </c>
      <c r="EC100" s="23">
        <f>EXP(-LN(2)/2)*EC99+(1-EXP(-LN(2)/2))/(LN(2)/2)*DW100*DZ100*VLOOKUP('Données projet'!$B$14,Paramètres!$A$1:$I$88,3,0)*0.475*44/12</f>
        <v>0</v>
      </c>
      <c r="ED100" s="24">
        <f t="shared" si="72"/>
        <v>159.40454918833126</v>
      </c>
      <c r="EE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4.5474735088646412E-13</v>
      </c>
      <c r="EK100" s="18">
        <f>EJ100*VLOOKUP('Données projet'!$B$15,Paramètres!$A$1:$I$88,3,0)*VLOOKUP('Données projet'!$B$15,Paramètres!$A$1:$I$88,5,0)</f>
        <v>3.9017322706058626E-13</v>
      </c>
      <c r="EL100" s="14">
        <f t="shared" si="99"/>
        <v>5.0025007393608908E-12</v>
      </c>
      <c r="EM100" s="22">
        <f t="shared" si="73"/>
        <v>9.3922404915174053E-12</v>
      </c>
      <c r="EN100" s="59">
        <f t="shared" si="74"/>
        <v>293.33333333334269</v>
      </c>
      <c r="EO100" s="59">
        <f ca="1">AVERAGE(OFFSET($EN$3,0,0,'Données projet'!$E$15+1,1))-AVERAGE(OFFSET($H$3,0,0,'Données projet'!$E$15+1,1))</f>
        <v>462.99360395552145</v>
      </c>
      <c r="EP100" s="59">
        <f t="shared" si="100"/>
        <v>153.03880717786046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projet'!$B$15,Paramètres!$A$1:$I$88,3,0)*0.475*44/12</f>
        <v>277.46706167784305</v>
      </c>
      <c r="EW100" s="23">
        <f>EXP(-LN(2)/25)*EW99+(1-EXP(-LN(2)/25))/(LN(2)/25)*Calculateur!ER100*Calculateur!ET100*VLOOKUP('Données projet'!$B$15,Paramètres!$A$1:$I$88,3,0)*0.475*44/12</f>
        <v>0</v>
      </c>
      <c r="EX100" s="23">
        <f>EXP(-LN(2)/2)*EX99+(1-EXP(-LN(2)/2))/(LN(2)/2)*ER100*EU100*VLOOKUP('Données projet'!$B$15,Paramètres!$A$1:$I$88,3,0)*0.475*44/12</f>
        <v>0</v>
      </c>
      <c r="EY100" s="24">
        <f t="shared" si="75"/>
        <v>277.46706167784305</v>
      </c>
      <c r="EZ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3.2399999999999975</v>
      </c>
      <c r="FE100" s="13">
        <f>IF('Données projet'!$A$218&gt;35,FE99+FD100-FM99,IF(A100&lt;'Données projet'!$A$218,$FB$205^A100,IF(A100='Données projet'!$A$218,'Données projet'!$B$218,FE99+FD100-FM99)))</f>
        <v>466.2800000000002</v>
      </c>
      <c r="FF100" s="18">
        <f>FE100*VLOOKUP('Données projet'!$B$16,Paramètres!$A$1:$I$88,3,0)*VLOOKUP('Données projet'!$B$16,Paramètres!$A$1:$I$88,5,0)</f>
        <v>407.3422080000002</v>
      </c>
      <c r="FG100" s="14">
        <f t="shared" si="101"/>
        <v>93.263605800647767</v>
      </c>
      <c r="FH100" s="22">
        <f t="shared" si="76"/>
        <v>871.88845903612855</v>
      </c>
      <c r="FI100" s="59">
        <f t="shared" si="77"/>
        <v>1165.2217923694618</v>
      </c>
      <c r="FJ100" s="59">
        <f ca="1">AVERAGE(OFFSET($FI$3,0,0,'Données projet'!$E$16+1,1))-AVERAGE(OFFSET($H$3,0,0,'Données projet'!$E$16+1,1))</f>
        <v>427.76895185088944</v>
      </c>
      <c r="FK100" s="59">
        <f t="shared" si="102"/>
        <v>308.32543361559135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projet'!$B$16,Paramètres!$A$1:$I$88,3,0)*0.475*44/12</f>
        <v>18.491358445214676</v>
      </c>
      <c r="FR100" s="23">
        <f>EXP(-LN(2)/25)*FR99+(1-EXP(-LN(2)/25))/(LN(2)/25)*Calculateur!FM100*Calculateur!FO100*VLOOKUP('Données projet'!$B$16,Paramètres!$A$1:$I$88,3,0)*0.475*44/12</f>
        <v>0</v>
      </c>
      <c r="FS100" s="23">
        <f>EXP(-LN(2)/2)*FS99+(1-EXP(-LN(2)/2))/(LN(2)/2)*FM100*FP100*VLOOKUP('Données projet'!$B$16,Paramètres!$A$1:$I$88,3,0)*0.475*44/12</f>
        <v>0</v>
      </c>
      <c r="FT100" s="24">
        <f t="shared" si="78"/>
        <v>18.491358445214676</v>
      </c>
      <c r="FU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333.00000000000006</v>
      </c>
      <c r="GA100" s="18">
        <f>FZ100*VLOOKUP('Données projet'!$B$17,Paramètres!$A$1:$I$88,3,0)*VLOOKUP('Données projet'!$B$17,Paramètres!$A$1:$I$88,5,0)</f>
        <v>207.79200000000006</v>
      </c>
      <c r="GB100" s="14">
        <f t="shared" si="103"/>
        <v>51.452785725007907</v>
      </c>
      <c r="GC100" s="22">
        <f t="shared" si="79"/>
        <v>451.5180018043888</v>
      </c>
      <c r="GD100" s="59">
        <f t="shared" si="80"/>
        <v>744.85133513772212</v>
      </c>
      <c r="GE100" s="59">
        <f ca="1">AVERAGE(OFFSET($GD$3,0,0,'Données projet'!$E$17+1,1))-AVERAGE(OFFSET($H$3,0,0,'Données projet'!$E$17+1,1))</f>
        <v>247.85542034088905</v>
      </c>
      <c r="GF100" s="59">
        <f t="shared" si="104"/>
        <v>299.52241743660352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projet'!$B$17,Paramètres!$A$1:$I$88,3,0)*0.475*44/12</f>
        <v>17.85560298620803</v>
      </c>
      <c r="GM100" s="23">
        <f>EXP(-LN(2)/25)*GM99+(1-EXP(-LN(2)/25))/(LN(2)/25)*Calculateur!GH100*Calculateur!GJ100*VLOOKUP('Données projet'!$B$17,Paramètres!$A$1:$I$88,3,0)*0.475*44/12</f>
        <v>13.632008112874965</v>
      </c>
      <c r="GN100" s="23">
        <f>EXP(-LN(2)/2)*GN99+(1-EXP(-LN(2)/2))/(LN(2)/2)*GH100*GK100*VLOOKUP('Données projet'!$B$17,Paramètres!$A$1:$I$88,3,0)*0.475*44/12</f>
        <v>1.1545432874567913E-4</v>
      </c>
      <c r="GO100" s="23">
        <f t="shared" si="81"/>
        <v>31.487726553411743</v>
      </c>
      <c r="GP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3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6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5.6</v>
      </c>
      <c r="N101" s="14">
        <f>IF('Données projet'!$A$36&gt;35,N100+M101-V100,IF(A101&lt;'Données projet'!$A$36,$K$205^A101,IF(A101='Données projet'!$A$36,'Données projet'!$B$36,N100+M101-V100)))</f>
        <v>233.99999999999994</v>
      </c>
      <c r="O101" s="14">
        <f>N101*VLOOKUP('Données projet'!$B$9,Paramètres!$A$1:$I$88,3,0)*VLOOKUP('Données projet'!$B$9,Paramètres!$A$1:$I$88,5,0)</f>
        <v>211.72319999999996</v>
      </c>
      <c r="P101" s="14">
        <f t="shared" si="87"/>
        <v>52.311968964212078</v>
      </c>
      <c r="Q101" s="22">
        <f t="shared" si="107"/>
        <v>459.86125261266926</v>
      </c>
      <c r="R101" s="59">
        <f t="shared" si="55"/>
        <v>753.19458594600258</v>
      </c>
      <c r="S101" s="59">
        <f ca="1">AVERAGE(OFFSET($R$3,0,0,'Données projet'!$E$9+1,1))-AVERAGE(OFFSET($H$3,0,0,'Données projet'!$E$9+1,1))</f>
        <v>247.57967230773539</v>
      </c>
      <c r="T101" s="59">
        <f t="shared" si="88"/>
        <v>156.58857589533295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22.540243883804379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22.540243883804379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3.9599999999999911</v>
      </c>
      <c r="AI101" s="14">
        <f>IF('Données projet'!$A$62&gt;35,AI100+AH101-AQ100,IF(A101&lt;'Données projet'!$A$62,$AF$205^A101,IF(A101='Données projet'!$A$62,'Données projet'!$B$62,AI100+AH101-AQ100)))</f>
        <v>585.07999999999959</v>
      </c>
      <c r="AJ101" s="14">
        <f>AI101*VLOOKUP('Données projet'!$B$10,Paramètres!$A$1:$I$88,3,0)*VLOOKUP('Données projet'!$B$10,Paramètres!$A$1:$I$88,5,0)</f>
        <v>465.4896479999997</v>
      </c>
      <c r="AK101" s="14">
        <f t="shared" si="89"/>
        <v>104.93427465968246</v>
      </c>
      <c r="AL101" s="22">
        <f t="shared" si="58"/>
        <v>993.48833196561293</v>
      </c>
      <c r="AM101" s="59">
        <f t="shared" si="59"/>
        <v>1286.8216652989463</v>
      </c>
      <c r="AN101" s="59">
        <f ca="1">AVERAGE(OFFSET($AM$3,0,0,'Données projet'!$E$10+1,1))-AVERAGE(OFFSET($H$3,0,0,'Données projet'!$E$10+1,1))</f>
        <v>504.15006129790828</v>
      </c>
      <c r="AO101" s="59">
        <f t="shared" si="90"/>
        <v>374.39334457402742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21.177622492993656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21.177622492993656</v>
      </c>
      <c r="AY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3.9599999999999911</v>
      </c>
      <c r="BD101" s="13">
        <f>IF('Données projet'!$A$88&gt;35,BD100+BC101-BL100,IF(A101&lt;'Données projet'!$A$88,$BA$205^A101,IF(A101='Données projet'!$A$88,'Données projet'!$B$88,BD100+BC101-BL100)))</f>
        <v>585.07999999999959</v>
      </c>
      <c r="BE101" s="14">
        <f>BD101*VLOOKUP('Données projet'!$B$11,Paramètres!$A$1:$I$88,3,0)*VLOOKUP('Données projet'!$B$11,Paramètres!$A$1:$I$88,5,0)</f>
        <v>465.4896479999997</v>
      </c>
      <c r="BF101" s="14">
        <f t="shared" si="91"/>
        <v>104.93427465968246</v>
      </c>
      <c r="BG101" s="22">
        <f t="shared" si="61"/>
        <v>993.48833196561293</v>
      </c>
      <c r="BH101" s="59">
        <f t="shared" si="62"/>
        <v>1286.8216652989463</v>
      </c>
      <c r="BI101" s="59">
        <f ca="1">AVERAGE(OFFSET($BH$3,0,0,'Données projet'!$E$11+1,1))-AVERAGE(OFFSET($H$3,0,0,'Données projet'!$E$11+1,1))</f>
        <v>504.15006129790828</v>
      </c>
      <c r="BJ101" s="59">
        <f t="shared" si="92"/>
        <v>374.39334457402742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21.177622492993656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21.177622492993656</v>
      </c>
      <c r="BT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-3.4106051316484809E-13</v>
      </c>
      <c r="BZ101" s="14">
        <f>BY101*VLOOKUP('Données projet'!$B$12,Paramètres!$A$1:$I$88,3,0)*VLOOKUP('Données projet'!$B$12,Paramètres!$A$1:$I$88,5,0)</f>
        <v>-2.2878339223098009E-13</v>
      </c>
      <c r="CA101" s="14" t="e">
        <f t="shared" si="93"/>
        <v>#NUM!</v>
      </c>
      <c r="CB101" s="22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387.15063677712425</v>
      </c>
      <c r="CE101" s="59">
        <f t="shared" si="94"/>
        <v>313.19155394370705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165.65544659827796</v>
      </c>
      <c r="CL101" s="23">
        <f>EXP(-LN(2)/25)*CL100+(1-EXP(-LN(2)/25))/(LN(2)/25)*Calculateur!CG101*Calculateur!CI101*VLOOKUP('Données projet'!$B$12,Paramètres!$A$1:$I$88,3,0)*0.475*44/12</f>
        <v>0</v>
      </c>
      <c r="CM101" s="23">
        <f>EXP(-LN(2)/2)*CM100+(1-EXP(-LN(2)/2))/(LN(2)/2)*CG101*CJ101*VLOOKUP('Données projet'!$B$12,Paramètres!$A$1:$I$88,3,0)*0.475*44/12</f>
        <v>0</v>
      </c>
      <c r="CN101" s="24">
        <f t="shared" si="66"/>
        <v>165.65544659827796</v>
      </c>
      <c r="CO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5.6</v>
      </c>
      <c r="CT101" s="13">
        <f>IF('Données projet'!$A$140&gt;35,CT100+CS101-DB100,IF(A101&lt;'Données projet'!$A$140,$CQ$205^A101,IF(A101='Données projet'!$A$140,'Données projet'!$B$140,CT100+CS101-DB100)))</f>
        <v>233.99999999999994</v>
      </c>
      <c r="CU101" s="18">
        <f>CT101*VLOOKUP('Données projet'!$B$13,Paramètres!$A$1:$I$88,3,0)*VLOOKUP('Données projet'!$B$13,Paramètres!$A$1:$I$88,5,0)</f>
        <v>226.32479999999993</v>
      </c>
      <c r="CV101" s="14">
        <f t="shared" si="95"/>
        <v>55.48727390683667</v>
      </c>
      <c r="CW101" s="22">
        <f t="shared" si="67"/>
        <v>490.8226953877404</v>
      </c>
      <c r="CX101" s="59">
        <f t="shared" si="68"/>
        <v>784.15602872107365</v>
      </c>
      <c r="CY101" s="59">
        <f ca="1">AVERAGE(OFFSET($CX$3,0,0,'Données projet'!$E$13+1,1))-AVERAGE(OFFSET($H$3,0,0,'Données projet'!$E$13+1,1))</f>
        <v>306.00894145276209</v>
      </c>
      <c r="CZ101" s="59">
        <f t="shared" si="96"/>
        <v>168.74705421228828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24.094743461997794</v>
      </c>
      <c r="DG101" s="23">
        <f>EXP(-LN(2)/25)*DG100+(1-EXP(-LN(2)/25))/(LN(2)/25)*Calculateur!DB101*Calculateur!DD101*VLOOKUP('Données projet'!$B$13,Paramètres!$A$1:$I$88,3,0)*0.475*44/12</f>
        <v>0</v>
      </c>
      <c r="DH101" s="23">
        <f>EXP(-LN(2)/2)*DH100+(1-EXP(-LN(2)/2))/(LN(2)/2)*DB101*DE101*VLOOKUP('Données projet'!$B$13,Paramètres!$A$1:$I$88,3,0)*0.475*44/12</f>
        <v>0</v>
      </c>
      <c r="DI101" s="24">
        <f t="shared" si="69"/>
        <v>24.094743461997794</v>
      </c>
      <c r="DJ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-3.4106051316484809E-13</v>
      </c>
      <c r="DP101" s="18">
        <f>DO101*VLOOKUP('Données projet'!$B$14,Paramètres!$A$1:$I$88,3,0)*VLOOKUP('Données projet'!$B$14,Paramètres!$A$1:$I$88,5,0)</f>
        <v>-2.6602720026858149E-13</v>
      </c>
      <c r="DQ101" s="14" t="e">
        <f t="shared" si="97"/>
        <v>#NUM!</v>
      </c>
      <c r="DR101" s="22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458.14328535055694</v>
      </c>
      <c r="DU101" s="59">
        <f t="shared" si="98"/>
        <v>366.75500153675739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projet'!$B$14,Paramètres!$A$1:$I$88,3,0)*0.475*44/12</f>
        <v>156.27872320592269</v>
      </c>
      <c r="EB101" s="23">
        <f>EXP(-LN(2)/25)*EB100+(1-EXP(-LN(2)/25))/(LN(2)/25)*Calculateur!DW101*Calculateur!DY101*VLOOKUP('Données projet'!$B$14,Paramètres!$A$1:$I$88,3,0)*0.475*44/12</f>
        <v>0</v>
      </c>
      <c r="EC101" s="23">
        <f>EXP(-LN(2)/2)*EC100+(1-EXP(-LN(2)/2))/(LN(2)/2)*DW101*DZ101*VLOOKUP('Données projet'!$B$14,Paramètres!$A$1:$I$88,3,0)*0.475*44/12</f>
        <v>0</v>
      </c>
      <c r="ED101" s="24">
        <f t="shared" si="72"/>
        <v>156.27872320592269</v>
      </c>
      <c r="EE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4.5474735088646412E-13</v>
      </c>
      <c r="EK101" s="18">
        <f>EJ101*VLOOKUP('Données projet'!$B$15,Paramètres!$A$1:$I$88,3,0)*VLOOKUP('Données projet'!$B$15,Paramètres!$A$1:$I$88,5,0)</f>
        <v>3.9017322706058626E-13</v>
      </c>
      <c r="EL101" s="14">
        <f t="shared" si="99"/>
        <v>5.0025007393608908E-12</v>
      </c>
      <c r="EM101" s="22">
        <f t="shared" si="73"/>
        <v>9.3922404915174053E-12</v>
      </c>
      <c r="EN101" s="59">
        <f t="shared" si="74"/>
        <v>293.33333333334269</v>
      </c>
      <c r="EO101" s="59">
        <f ca="1">AVERAGE(OFFSET($EN$3,0,0,'Données projet'!$E$15+1,1))-AVERAGE(OFFSET($H$3,0,0,'Données projet'!$E$15+1,1))</f>
        <v>462.99360395552145</v>
      </c>
      <c r="EP101" s="59">
        <f t="shared" si="100"/>
        <v>153.03880717786046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projet'!$B$15,Paramètres!$A$1:$I$88,3,0)*0.475*44/12</f>
        <v>272.02610183653729</v>
      </c>
      <c r="EW101" s="23">
        <f>EXP(-LN(2)/25)*EW100+(1-EXP(-LN(2)/25))/(LN(2)/25)*Calculateur!ER101*Calculateur!ET101*VLOOKUP('Données projet'!$B$15,Paramètres!$A$1:$I$88,3,0)*0.475*44/12</f>
        <v>0</v>
      </c>
      <c r="EX101" s="23">
        <f>EXP(-LN(2)/2)*EX100+(1-EXP(-LN(2)/2))/(LN(2)/2)*ER101*EU101*VLOOKUP('Données projet'!$B$15,Paramètres!$A$1:$I$88,3,0)*0.475*44/12</f>
        <v>0</v>
      </c>
      <c r="EY101" s="24">
        <f t="shared" si="75"/>
        <v>272.02610183653729</v>
      </c>
      <c r="EZ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3.2399999999999975</v>
      </c>
      <c r="FE101" s="13">
        <f>IF('Données projet'!$A$218&gt;35,FE100+FD101-FM100,IF(A101&lt;'Données projet'!$A$218,$FB$205^A101,IF(A101='Données projet'!$A$218,'Données projet'!$B$218,FE100+FD101-FM100)))</f>
        <v>469.52000000000021</v>
      </c>
      <c r="FF101" s="18">
        <f>FE101*VLOOKUP('Données projet'!$B$16,Paramètres!$A$1:$I$88,3,0)*VLOOKUP('Données projet'!$B$16,Paramètres!$A$1:$I$88,5,0)</f>
        <v>410.17267200000026</v>
      </c>
      <c r="FG101" s="14">
        <f t="shared" si="101"/>
        <v>93.835994322632956</v>
      </c>
      <c r="FH101" s="22">
        <f t="shared" si="76"/>
        <v>877.8150938452527</v>
      </c>
      <c r="FI101" s="59">
        <f t="shared" si="77"/>
        <v>1171.148427178586</v>
      </c>
      <c r="FJ101" s="59">
        <f ca="1">AVERAGE(OFFSET($FI$3,0,0,'Données projet'!$E$16+1,1))-AVERAGE(OFFSET($H$3,0,0,'Données projet'!$E$16+1,1))</f>
        <v>427.76895185088944</v>
      </c>
      <c r="FK101" s="59">
        <f t="shared" si="102"/>
        <v>308.32543361559135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projet'!$B$16,Paramètres!$A$1:$I$88,3,0)*0.475*44/12</f>
        <v>18.128754184718996</v>
      </c>
      <c r="FR101" s="23">
        <f>EXP(-LN(2)/25)*FR100+(1-EXP(-LN(2)/25))/(LN(2)/25)*Calculateur!FM101*Calculateur!FO101*VLOOKUP('Données projet'!$B$16,Paramètres!$A$1:$I$88,3,0)*0.475*44/12</f>
        <v>0</v>
      </c>
      <c r="FS101" s="23">
        <f>EXP(-LN(2)/2)*FS100+(1-EXP(-LN(2)/2))/(LN(2)/2)*FM101*FP101*VLOOKUP('Données projet'!$B$16,Paramètres!$A$1:$I$88,3,0)*0.475*44/12</f>
        <v>0</v>
      </c>
      <c r="FT101" s="24">
        <f t="shared" si="78"/>
        <v>18.128754184718996</v>
      </c>
      <c r="FU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333.00000000000006</v>
      </c>
      <c r="GA101" s="18">
        <f>FZ101*VLOOKUP('Données projet'!$B$17,Paramètres!$A$1:$I$88,3,0)*VLOOKUP('Données projet'!$B$17,Paramètres!$A$1:$I$88,5,0)</f>
        <v>207.79200000000006</v>
      </c>
      <c r="GB101" s="14">
        <f t="shared" si="103"/>
        <v>51.452785725007907</v>
      </c>
      <c r="GC101" s="22">
        <f t="shared" si="79"/>
        <v>451.5180018043888</v>
      </c>
      <c r="GD101" s="59">
        <f t="shared" si="80"/>
        <v>744.85133513772212</v>
      </c>
      <c r="GE101" s="59">
        <f ca="1">AVERAGE(OFFSET($GD$3,0,0,'Données projet'!$E$17+1,1))-AVERAGE(OFFSET($H$3,0,0,'Données projet'!$E$17+1,1))</f>
        <v>247.85542034088905</v>
      </c>
      <c r="GF101" s="59">
        <f t="shared" si="104"/>
        <v>299.52241743660352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projet'!$B$17,Paramètres!$A$1:$I$88,3,0)*0.475*44/12</f>
        <v>17.505465502490932</v>
      </c>
      <c r="GM101" s="23">
        <f>EXP(-LN(2)/25)*GM100+(1-EXP(-LN(2)/25))/(LN(2)/25)*Calculateur!GH101*Calculateur!GJ101*VLOOKUP('Données projet'!$B$17,Paramètres!$A$1:$I$88,3,0)*0.475*44/12</f>
        <v>13.259240134152249</v>
      </c>
      <c r="GN101" s="23">
        <f>EXP(-LN(2)/2)*GN100+(1-EXP(-LN(2)/2))/(LN(2)/2)*GH101*GK101*VLOOKUP('Données projet'!$B$17,Paramètres!$A$1:$I$88,3,0)*0.475*44/12</f>
        <v>8.1638538773410658E-5</v>
      </c>
      <c r="GO101" s="23">
        <f t="shared" si="81"/>
        <v>30.764787275181952</v>
      </c>
      <c r="GP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3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6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5.6</v>
      </c>
      <c r="N102" s="14">
        <f>IF('Données projet'!$A$36&gt;35,N101+M102-V101,IF(A102&lt;'Données projet'!$A$36,$K$205^A102,IF(A102='Données projet'!$A$36,'Données projet'!$B$36,N101+M102-V101)))</f>
        <v>239.59999999999994</v>
      </c>
      <c r="O102" s="14">
        <f>N102*VLOOKUP('Données projet'!$B$9,Paramètres!$A$1:$I$88,3,0)*VLOOKUP('Données projet'!$B$9,Paramètres!$A$1:$I$88,5,0)</f>
        <v>216.79007999999996</v>
      </c>
      <c r="P102" s="14">
        <f t="shared" si="87"/>
        <v>53.416629794462551</v>
      </c>
      <c r="Q102" s="22">
        <f t="shared" si="107"/>
        <v>470.61001955868886</v>
      </c>
      <c r="R102" s="59">
        <f t="shared" si="55"/>
        <v>763.94335289202218</v>
      </c>
      <c r="S102" s="59">
        <f ca="1">AVERAGE(OFFSET($R$3,0,0,'Données projet'!$E$9+1,1))-AVERAGE(OFFSET($H$3,0,0,'Données projet'!$E$9+1,1))</f>
        <v>247.57967230773539</v>
      </c>
      <c r="T102" s="59">
        <f t="shared" si="88"/>
        <v>156.58857589533295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22.098243449434225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22.098243449434225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3.9599999999999911</v>
      </c>
      <c r="AI102" s="14">
        <f>IF('Données projet'!$A$62&gt;35,AI101+AH102-AQ101,IF(A102&lt;'Données projet'!$A$62,$AF$205^A102,IF(A102='Données projet'!$A$62,'Données projet'!$B$62,AI101+AH102-AQ101)))</f>
        <v>589.03999999999962</v>
      </c>
      <c r="AJ102" s="14">
        <f>AI102*VLOOKUP('Données projet'!$B$10,Paramètres!$A$1:$I$88,3,0)*VLOOKUP('Données projet'!$B$10,Paramètres!$A$1:$I$88,5,0)</f>
        <v>468.64022399999971</v>
      </c>
      <c r="AK102" s="14">
        <f t="shared" si="89"/>
        <v>105.56158482596271</v>
      </c>
      <c r="AL102" s="22">
        <f t="shared" si="58"/>
        <v>1000.0681503718846</v>
      </c>
      <c r="AM102" s="59">
        <f t="shared" si="59"/>
        <v>1293.401483705218</v>
      </c>
      <c r="AN102" s="59">
        <f ca="1">AVERAGE(OFFSET($AM$3,0,0,'Données projet'!$E$10+1,1))-AVERAGE(OFFSET($H$3,0,0,'Données projet'!$E$10+1,1))</f>
        <v>504.15006129790828</v>
      </c>
      <c r="AO102" s="59">
        <f t="shared" si="90"/>
        <v>374.39334457402742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20.762342232980316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20.762342232980316</v>
      </c>
      <c r="AY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3.9599999999999911</v>
      </c>
      <c r="BD102" s="13">
        <f>IF('Données projet'!$A$88&gt;35,BD101+BC102-BL101,IF(A102&lt;'Données projet'!$A$88,$BA$205^A102,IF(A102='Données projet'!$A$88,'Données projet'!$B$88,BD101+BC102-BL101)))</f>
        <v>589.03999999999962</v>
      </c>
      <c r="BE102" s="14">
        <f>BD102*VLOOKUP('Données projet'!$B$11,Paramètres!$A$1:$I$88,3,0)*VLOOKUP('Données projet'!$B$11,Paramètres!$A$1:$I$88,5,0)</f>
        <v>468.64022399999971</v>
      </c>
      <c r="BF102" s="14">
        <f t="shared" si="91"/>
        <v>105.56158482596271</v>
      </c>
      <c r="BG102" s="22">
        <f t="shared" si="61"/>
        <v>1000.0681503718846</v>
      </c>
      <c r="BH102" s="59">
        <f t="shared" si="62"/>
        <v>1293.401483705218</v>
      </c>
      <c r="BI102" s="59">
        <f ca="1">AVERAGE(OFFSET($BH$3,0,0,'Données projet'!$E$11+1,1))-AVERAGE(OFFSET($H$3,0,0,'Données projet'!$E$11+1,1))</f>
        <v>504.15006129790828</v>
      </c>
      <c r="BJ102" s="59">
        <f t="shared" si="92"/>
        <v>374.39334457402742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20.762342232980316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20.762342232980316</v>
      </c>
      <c r="BT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-3.4106051316484809E-13</v>
      </c>
      <c r="BZ102" s="14">
        <f>BY102*VLOOKUP('Données projet'!$B$12,Paramètres!$A$1:$I$88,3,0)*VLOOKUP('Données projet'!$B$12,Paramètres!$A$1:$I$88,5,0)</f>
        <v>-2.2878339223098009E-13</v>
      </c>
      <c r="CA102" s="14" t="e">
        <f t="shared" si="93"/>
        <v>#NUM!</v>
      </c>
      <c r="CB102" s="22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387.15063677712425</v>
      </c>
      <c r="CE102" s="59">
        <f t="shared" si="94"/>
        <v>313.19155394370705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162.4070443303313</v>
      </c>
      <c r="CL102" s="23">
        <f>EXP(-LN(2)/25)*CL101+(1-EXP(-LN(2)/25))/(LN(2)/25)*Calculateur!CG102*Calculateur!CI102*VLOOKUP('Données projet'!$B$12,Paramètres!$A$1:$I$88,3,0)*0.475*44/12</f>
        <v>0</v>
      </c>
      <c r="CM102" s="23">
        <f>EXP(-LN(2)/2)*CM101+(1-EXP(-LN(2)/2))/(LN(2)/2)*CG102*CJ102*VLOOKUP('Données projet'!$B$12,Paramètres!$A$1:$I$88,3,0)*0.475*44/12</f>
        <v>0</v>
      </c>
      <c r="CN102" s="24">
        <f t="shared" si="66"/>
        <v>162.4070443303313</v>
      </c>
      <c r="CO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5.6</v>
      </c>
      <c r="CT102" s="13">
        <f>IF('Données projet'!$A$140&gt;35,CT101+CS102-DB101,IF(A102&lt;'Données projet'!$A$140,$CQ$205^A102,IF(A102='Données projet'!$A$140,'Données projet'!$B$140,CT101+CS102-DB101)))</f>
        <v>239.59999999999994</v>
      </c>
      <c r="CU102" s="18">
        <f>CT102*VLOOKUP('Données projet'!$B$13,Paramètres!$A$1:$I$88,3,0)*VLOOKUP('Données projet'!$B$13,Paramètres!$A$1:$I$88,5,0)</f>
        <v>231.74111999999994</v>
      </c>
      <c r="CV102" s="14">
        <f t="shared" si="95"/>
        <v>56.658986982752438</v>
      </c>
      <c r="CW102" s="22">
        <f t="shared" si="67"/>
        <v>502.29685299496037</v>
      </c>
      <c r="CX102" s="59">
        <f t="shared" si="68"/>
        <v>795.63018632829369</v>
      </c>
      <c r="CY102" s="59">
        <f ca="1">AVERAGE(OFFSET($CX$3,0,0,'Données projet'!$E$13+1,1))-AVERAGE(OFFSET($H$3,0,0,'Données projet'!$E$13+1,1))</f>
        <v>306.00894145276209</v>
      </c>
      <c r="CZ102" s="59">
        <f t="shared" si="96"/>
        <v>168.74705421228828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23.622260239050387</v>
      </c>
      <c r="DG102" s="23">
        <f>EXP(-LN(2)/25)*DG101+(1-EXP(-LN(2)/25))/(LN(2)/25)*Calculateur!DB102*Calculateur!DD102*VLOOKUP('Données projet'!$B$13,Paramètres!$A$1:$I$88,3,0)*0.475*44/12</f>
        <v>0</v>
      </c>
      <c r="DH102" s="23">
        <f>EXP(-LN(2)/2)*DH101+(1-EXP(-LN(2)/2))/(LN(2)/2)*DB102*DE102*VLOOKUP('Données projet'!$B$13,Paramètres!$A$1:$I$88,3,0)*0.475*44/12</f>
        <v>0</v>
      </c>
      <c r="DI102" s="24">
        <f t="shared" si="69"/>
        <v>23.622260239050387</v>
      </c>
      <c r="DJ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-3.4106051316484809E-13</v>
      </c>
      <c r="DP102" s="18">
        <f>DO102*VLOOKUP('Données projet'!$B$14,Paramètres!$A$1:$I$88,3,0)*VLOOKUP('Données projet'!$B$14,Paramètres!$A$1:$I$88,5,0)</f>
        <v>-2.6602720026858149E-13</v>
      </c>
      <c r="DQ102" s="14" t="e">
        <f t="shared" si="97"/>
        <v>#NUM!</v>
      </c>
      <c r="DR102" s="22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458.14328535055694</v>
      </c>
      <c r="DU102" s="59">
        <f t="shared" si="98"/>
        <v>366.75500153675739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projet'!$B$14,Paramètres!$A$1:$I$88,3,0)*0.475*44/12</f>
        <v>153.21419276446358</v>
      </c>
      <c r="EB102" s="23">
        <f>EXP(-LN(2)/25)*EB101+(1-EXP(-LN(2)/25))/(LN(2)/25)*Calculateur!DW102*Calculateur!DY102*VLOOKUP('Données projet'!$B$14,Paramètres!$A$1:$I$88,3,0)*0.475*44/12</f>
        <v>0</v>
      </c>
      <c r="EC102" s="23">
        <f>EXP(-LN(2)/2)*EC101+(1-EXP(-LN(2)/2))/(LN(2)/2)*DW102*DZ102*VLOOKUP('Données projet'!$B$14,Paramètres!$A$1:$I$88,3,0)*0.475*44/12</f>
        <v>0</v>
      </c>
      <c r="ED102" s="24">
        <f t="shared" si="72"/>
        <v>153.21419276446358</v>
      </c>
      <c r="EE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4.5474735088646412E-13</v>
      </c>
      <c r="EK102" s="18">
        <f>EJ102*VLOOKUP('Données projet'!$B$15,Paramètres!$A$1:$I$88,3,0)*VLOOKUP('Données projet'!$B$15,Paramètres!$A$1:$I$88,5,0)</f>
        <v>3.9017322706058626E-13</v>
      </c>
      <c r="EL102" s="14">
        <f t="shared" si="99"/>
        <v>5.0025007393608908E-12</v>
      </c>
      <c r="EM102" s="22">
        <f t="shared" si="73"/>
        <v>9.3922404915174053E-12</v>
      </c>
      <c r="EN102" s="59">
        <f t="shared" si="74"/>
        <v>293.33333333334269</v>
      </c>
      <c r="EO102" s="59">
        <f ca="1">AVERAGE(OFFSET($EN$3,0,0,'Données projet'!$E$15+1,1))-AVERAGE(OFFSET($H$3,0,0,'Données projet'!$E$15+1,1))</f>
        <v>462.99360395552145</v>
      </c>
      <c r="EP102" s="59">
        <f t="shared" si="100"/>
        <v>153.03880717786046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projet'!$B$15,Paramètres!$A$1:$I$88,3,0)*0.475*44/12</f>
        <v>266.69183589906174</v>
      </c>
      <c r="EW102" s="23">
        <f>EXP(-LN(2)/25)*EW101+(1-EXP(-LN(2)/25))/(LN(2)/25)*Calculateur!ER102*Calculateur!ET102*VLOOKUP('Données projet'!$B$15,Paramètres!$A$1:$I$88,3,0)*0.475*44/12</f>
        <v>0</v>
      </c>
      <c r="EX102" s="23">
        <f>EXP(-LN(2)/2)*EX101+(1-EXP(-LN(2)/2))/(LN(2)/2)*ER102*EU102*VLOOKUP('Données projet'!$B$15,Paramètres!$A$1:$I$88,3,0)*0.475*44/12</f>
        <v>0</v>
      </c>
      <c r="EY102" s="24">
        <f t="shared" si="75"/>
        <v>266.69183589906174</v>
      </c>
      <c r="EZ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3.2399999999999975</v>
      </c>
      <c r="FE102" s="13">
        <f>IF('Données projet'!$A$218&gt;35,FE101+FD102-FM101,IF(A102&lt;'Données projet'!$A$218,$FB$205^A102,IF(A102='Données projet'!$A$218,'Données projet'!$B$218,FE101+FD102-FM101)))</f>
        <v>472.76000000000022</v>
      </c>
      <c r="FF102" s="18">
        <f>FE102*VLOOKUP('Données projet'!$B$16,Paramètres!$A$1:$I$88,3,0)*VLOOKUP('Données projet'!$B$16,Paramètres!$A$1:$I$88,5,0)</f>
        <v>413.00313600000021</v>
      </c>
      <c r="FG102" s="14">
        <f t="shared" si="101"/>
        <v>94.407923261521233</v>
      </c>
      <c r="FH102" s="22">
        <f t="shared" si="76"/>
        <v>883.74092821381657</v>
      </c>
      <c r="FI102" s="59">
        <f t="shared" si="77"/>
        <v>1177.0742615471499</v>
      </c>
      <c r="FJ102" s="59">
        <f ca="1">AVERAGE(OFFSET($FI$3,0,0,'Données projet'!$E$16+1,1))-AVERAGE(OFFSET($H$3,0,0,'Données projet'!$E$16+1,1))</f>
        <v>427.76895185088944</v>
      </c>
      <c r="FK102" s="59">
        <f t="shared" si="102"/>
        <v>308.32543361559135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projet'!$B$16,Paramètres!$A$1:$I$88,3,0)*0.475*44/12</f>
        <v>17.773260372604877</v>
      </c>
      <c r="FR102" s="23">
        <f>EXP(-LN(2)/25)*FR101+(1-EXP(-LN(2)/25))/(LN(2)/25)*Calculateur!FM102*Calculateur!FO102*VLOOKUP('Données projet'!$B$16,Paramètres!$A$1:$I$88,3,0)*0.475*44/12</f>
        <v>0</v>
      </c>
      <c r="FS102" s="23">
        <f>EXP(-LN(2)/2)*FS101+(1-EXP(-LN(2)/2))/(LN(2)/2)*FM102*FP102*VLOOKUP('Données projet'!$B$16,Paramètres!$A$1:$I$88,3,0)*0.475*44/12</f>
        <v>0</v>
      </c>
      <c r="FT102" s="24">
        <f t="shared" si="78"/>
        <v>17.773260372604877</v>
      </c>
      <c r="FU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333.00000000000006</v>
      </c>
      <c r="GA102" s="18">
        <f>FZ102*VLOOKUP('Données projet'!$B$17,Paramètres!$A$1:$I$88,3,0)*VLOOKUP('Données projet'!$B$17,Paramètres!$A$1:$I$88,5,0)</f>
        <v>207.79200000000006</v>
      </c>
      <c r="GB102" s="14">
        <f t="shared" si="103"/>
        <v>51.452785725007907</v>
      </c>
      <c r="GC102" s="22">
        <f t="shared" si="79"/>
        <v>451.5180018043888</v>
      </c>
      <c r="GD102" s="59">
        <f t="shared" si="80"/>
        <v>744.85133513772212</v>
      </c>
      <c r="GE102" s="59">
        <f ca="1">AVERAGE(OFFSET($GD$3,0,0,'Données projet'!$E$17+1,1))-AVERAGE(OFFSET($H$3,0,0,'Données projet'!$E$17+1,1))</f>
        <v>247.85542034088905</v>
      </c>
      <c r="GF102" s="59">
        <f t="shared" si="104"/>
        <v>299.52241743660352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projet'!$B$17,Paramètres!$A$1:$I$88,3,0)*0.475*44/12</f>
        <v>17.162194001266748</v>
      </c>
      <c r="GM102" s="23">
        <f>EXP(-LN(2)/25)*GM101+(1-EXP(-LN(2)/25))/(LN(2)/25)*Calculateur!GH102*Calculateur!GJ102*VLOOKUP('Données projet'!$B$17,Paramètres!$A$1:$I$88,3,0)*0.475*44/12</f>
        <v>12.896665515410721</v>
      </c>
      <c r="GN102" s="23">
        <f>EXP(-LN(2)/2)*GN101+(1-EXP(-LN(2)/2))/(LN(2)/2)*GH102*GK102*VLOOKUP('Données projet'!$B$17,Paramètres!$A$1:$I$88,3,0)*0.475*44/12</f>
        <v>5.772716437283957E-5</v>
      </c>
      <c r="GO102" s="23">
        <f t="shared" si="81"/>
        <v>30.05891724384184</v>
      </c>
      <c r="GP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3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6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5.6</v>
      </c>
      <c r="N103" s="14">
        <f>IF('Données projet'!$A$36&gt;35,N102+M103-V102,IF(A103&lt;'Données projet'!$A$36,$K$205^A103,IF(A103='Données projet'!$A$36,'Données projet'!$B$36,N102+M103-V102)))</f>
        <v>245.19999999999993</v>
      </c>
      <c r="O103" s="14">
        <f>N103*VLOOKUP('Données projet'!$B$9,Paramètres!$A$1:$I$88,3,0)*VLOOKUP('Données projet'!$B$9,Paramètres!$A$1:$I$88,5,0)</f>
        <v>221.85695999999993</v>
      </c>
      <c r="P103" s="14">
        <f t="shared" si="87"/>
        <v>54.518289152565778</v>
      </c>
      <c r="Q103" s="22">
        <f t="shared" si="107"/>
        <v>481.35355894071859</v>
      </c>
      <c r="R103" s="59">
        <f t="shared" si="55"/>
        <v>774.68689227405184</v>
      </c>
      <c r="S103" s="59">
        <f ca="1">AVERAGE(OFFSET($R$3,0,0,'Données projet'!$E$9+1,1))-AVERAGE(OFFSET($H$3,0,0,'Données projet'!$E$9+1,1))</f>
        <v>247.57967230773539</v>
      </c>
      <c r="T103" s="59">
        <f t="shared" si="88"/>
        <v>156.58857589533295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21.664910373988423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21.664910373988423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593</v>
      </c>
      <c r="AG103" s="13">
        <f>VLOOKUP(A103,'Données projet'!$A$61:$I$81,9,0)</f>
        <v>3.9599999999999911</v>
      </c>
      <c r="AH103" s="13">
        <f t="array" ref="AH103">INDEX(AG:AG,MIN(IF(ISNUMBER(AG103:AG299),ROW(AG103:AG299),"")))</f>
        <v>3.9599999999999911</v>
      </c>
      <c r="AI103" s="14">
        <f>IF('Données projet'!$A$62&gt;35,AI102+AH103-AQ102,IF(A103&lt;'Données projet'!$A$62,$AF$205^A103,IF(A103='Données projet'!$A$62,'Données projet'!$B$62,AI102+AH103-AQ102)))</f>
        <v>592.99999999999966</v>
      </c>
      <c r="AJ103" s="14">
        <f>AI103*VLOOKUP('Données projet'!$B$10,Paramètres!$A$1:$I$88,3,0)*VLOOKUP('Données projet'!$B$10,Paramètres!$A$1:$I$88,5,0)</f>
        <v>471.79079999999976</v>
      </c>
      <c r="AK103" s="14">
        <f t="shared" si="89"/>
        <v>106.18840428863523</v>
      </c>
      <c r="AL103" s="22">
        <f t="shared" si="58"/>
        <v>1006.6471141360392</v>
      </c>
      <c r="AM103" s="59">
        <f t="shared" si="59"/>
        <v>1299.9804474693726</v>
      </c>
      <c r="AN103" s="59">
        <f ca="1">AVERAGE(OFFSET($AM$3,0,0,'Données projet'!$E$10+1,1))-AVERAGE(OFFSET($H$3,0,0,'Données projet'!$E$10+1,1))</f>
        <v>504.15006129790828</v>
      </c>
      <c r="AO103" s="59">
        <f t="shared" si="90"/>
        <v>374.39334457402742</v>
      </c>
      <c r="AP103" s="16">
        <f>IF(ISNA(VLOOKUP(A103,'Données projet'!$A$61:$I$81,3,0)),0,VLOOKUP(A103,'Données projet'!$A$61:$I$81,3,0))</f>
        <v>18</v>
      </c>
      <c r="AQ103" s="16">
        <f>IF(ISNA(VLOOKUP(A103,'Données projet'!$A$61:$I$81,4,0)),0,VLOOKUP(A103,'Données projet'!$A$61:$I$81,4,0))</f>
        <v>593</v>
      </c>
      <c r="AR103" s="17">
        <f>IF(ISNA(VLOOKUP(A103,'Données projet'!$A$61:$I$81,5,0)),0%,VLOOKUP(A103,'Données projet'!$A$61:$I$81,5,0)*VLOOKUP('Données projet'!$B$10,Paramètres!$A$1:$I$88,7,0))</f>
        <v>0.42400000000000004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241.4927253736993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241.4927253736993</v>
      </c>
      <c r="AY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593</v>
      </c>
      <c r="BB103" s="13">
        <f>VLOOKUP(A103,'Données projet'!$A$87:$I$107,9,0)</f>
        <v>3.9599999999999911</v>
      </c>
      <c r="BC103" s="13">
        <f t="array" ref="BC103">INDEX(BB:BB,MIN(IF(ISNUMBER(BB103:BB299),ROW(BB103:BB299),"")))</f>
        <v>3.9599999999999911</v>
      </c>
      <c r="BD103" s="13">
        <f>IF('Données projet'!$A$88&gt;35,BD102+BC103-BL102,IF(A103&lt;'Données projet'!$A$88,$BA$205^A103,IF(A103='Données projet'!$A$88,'Données projet'!$B$88,BD102+BC103-BL102)))</f>
        <v>592.99999999999966</v>
      </c>
      <c r="BE103" s="14">
        <f>BD103*VLOOKUP('Données projet'!$B$11,Paramètres!$A$1:$I$88,3,0)*VLOOKUP('Données projet'!$B$11,Paramètres!$A$1:$I$88,5,0)</f>
        <v>471.79079999999976</v>
      </c>
      <c r="BF103" s="14">
        <f t="shared" si="91"/>
        <v>106.18840428863523</v>
      </c>
      <c r="BG103" s="22">
        <f t="shared" si="61"/>
        <v>1006.6471141360392</v>
      </c>
      <c r="BH103" s="59">
        <f t="shared" si="62"/>
        <v>1299.9804474693726</v>
      </c>
      <c r="BI103" s="59">
        <f ca="1">AVERAGE(OFFSET($BH$3,0,0,'Données projet'!$E$11+1,1))-AVERAGE(OFFSET($H$3,0,0,'Données projet'!$E$11+1,1))</f>
        <v>504.15006129790828</v>
      </c>
      <c r="BJ103" s="59">
        <f t="shared" si="92"/>
        <v>374.39334457402742</v>
      </c>
      <c r="BK103" s="16">
        <f>IF(ISNA(VLOOKUP(A103,'Données projet'!$A$87:$I$107,3,0)),0,VLOOKUP(A103,'Données projet'!$A$87:$I$107,3,0))</f>
        <v>18</v>
      </c>
      <c r="BL103" s="16">
        <f>IF(ISNA(VLOOKUP(A103,'Données projet'!$A$87:$I$107,4,0)),0,VLOOKUP(A103,'Données projet'!$A$87:$I$107,4,0))</f>
        <v>593</v>
      </c>
      <c r="BM103" s="17">
        <f>IF(ISNA(VLOOKUP(A103,'Données projet'!$A$87:$I$107,5,0)),0%,VLOOKUP(A103,'Données projet'!$A$87:$I$107,5,0)*VLOOKUP('Données projet'!$B$11,Paramètres!$A$1:$I$88,7,0))</f>
        <v>0.42400000000000004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241.4927253736993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241.4927253736993</v>
      </c>
      <c r="BT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-3.4106051316484809E-13</v>
      </c>
      <c r="BZ103" s="14">
        <f>BY103*VLOOKUP('Données projet'!$B$12,Paramètres!$A$1:$I$88,3,0)*VLOOKUP('Données projet'!$B$12,Paramètres!$A$1:$I$88,5,0)</f>
        <v>-2.2878339223098009E-13</v>
      </c>
      <c r="CA103" s="14" t="e">
        <f t="shared" si="93"/>
        <v>#NUM!</v>
      </c>
      <c r="CB103" s="22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387.15063677712425</v>
      </c>
      <c r="CE103" s="59">
        <f t="shared" si="94"/>
        <v>313.19155394370705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159.22234124952934</v>
      </c>
      <c r="CL103" s="23">
        <f>EXP(-LN(2)/25)*CL102+(1-EXP(-LN(2)/25))/(LN(2)/25)*Calculateur!CG103*Calculateur!CI103*VLOOKUP('Données projet'!$B$12,Paramètres!$A$1:$I$88,3,0)*0.475*44/12</f>
        <v>0</v>
      </c>
      <c r="CM103" s="23">
        <f>EXP(-LN(2)/2)*CM102+(1-EXP(-LN(2)/2))/(LN(2)/2)*CG103*CJ103*VLOOKUP('Données projet'!$B$12,Paramètres!$A$1:$I$88,3,0)*0.475*44/12</f>
        <v>0</v>
      </c>
      <c r="CN103" s="24">
        <f t="shared" si="66"/>
        <v>159.22234124952934</v>
      </c>
      <c r="CO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5.6</v>
      </c>
      <c r="CT103" s="13">
        <f>IF('Données projet'!$A$140&gt;35,CT102+CS103-DB102,IF(A103&lt;'Données projet'!$A$140,$CQ$205^A103,IF(A103='Données projet'!$A$140,'Données projet'!$B$140,CT102+CS103-DB102)))</f>
        <v>245.19999999999993</v>
      </c>
      <c r="CU103" s="18">
        <f>CT103*VLOOKUP('Données projet'!$B$13,Paramètres!$A$1:$I$88,3,0)*VLOOKUP('Données projet'!$B$13,Paramètres!$A$1:$I$88,5,0)</f>
        <v>237.15743999999992</v>
      </c>
      <c r="CV103" s="14">
        <f t="shared" si="95"/>
        <v>57.827516398972989</v>
      </c>
      <c r="CW103" s="22">
        <f t="shared" si="67"/>
        <v>513.7654657282111</v>
      </c>
      <c r="CX103" s="59">
        <f t="shared" si="68"/>
        <v>807.09879906154447</v>
      </c>
      <c r="CY103" s="59">
        <f ca="1">AVERAGE(OFFSET($CX$3,0,0,'Données projet'!$E$13+1,1))-AVERAGE(OFFSET($H$3,0,0,'Données projet'!$E$13+1,1))</f>
        <v>306.00894145276209</v>
      </c>
      <c r="CZ103" s="59">
        <f t="shared" si="96"/>
        <v>168.74705421228828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23.159042123918667</v>
      </c>
      <c r="DG103" s="23">
        <f>EXP(-LN(2)/25)*DG102+(1-EXP(-LN(2)/25))/(LN(2)/25)*Calculateur!DB103*Calculateur!DD103*VLOOKUP('Données projet'!$B$13,Paramètres!$A$1:$I$88,3,0)*0.475*44/12</f>
        <v>0</v>
      </c>
      <c r="DH103" s="23">
        <f>EXP(-LN(2)/2)*DH102+(1-EXP(-LN(2)/2))/(LN(2)/2)*DB103*DE103*VLOOKUP('Données projet'!$B$13,Paramètres!$A$1:$I$88,3,0)*0.475*44/12</f>
        <v>0</v>
      </c>
      <c r="DI103" s="24">
        <f t="shared" si="69"/>
        <v>23.159042123918667</v>
      </c>
      <c r="DJ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-3.4106051316484809E-13</v>
      </c>
      <c r="DP103" s="18">
        <f>DO103*VLOOKUP('Données projet'!$B$14,Paramètres!$A$1:$I$88,3,0)*VLOOKUP('Données projet'!$B$14,Paramètres!$A$1:$I$88,5,0)</f>
        <v>-2.6602720026858149E-13</v>
      </c>
      <c r="DQ103" s="14" t="e">
        <f t="shared" si="97"/>
        <v>#NUM!</v>
      </c>
      <c r="DR103" s="22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458.14328535055694</v>
      </c>
      <c r="DU103" s="59">
        <f t="shared" si="98"/>
        <v>366.75500153675739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projet'!$B$14,Paramètres!$A$1:$I$88,3,0)*0.475*44/12</f>
        <v>150.20975589578248</v>
      </c>
      <c r="EB103" s="23">
        <f>EXP(-LN(2)/25)*EB102+(1-EXP(-LN(2)/25))/(LN(2)/25)*Calculateur!DW103*Calculateur!DY103*VLOOKUP('Données projet'!$B$14,Paramètres!$A$1:$I$88,3,0)*0.475*44/12</f>
        <v>0</v>
      </c>
      <c r="EC103" s="23">
        <f>EXP(-LN(2)/2)*EC102+(1-EXP(-LN(2)/2))/(LN(2)/2)*DW103*DZ103*VLOOKUP('Données projet'!$B$14,Paramètres!$A$1:$I$88,3,0)*0.475*44/12</f>
        <v>0</v>
      </c>
      <c r="ED103" s="24">
        <f t="shared" si="72"/>
        <v>150.20975589578248</v>
      </c>
      <c r="EE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4.5474735088646412E-13</v>
      </c>
      <c r="EK103" s="18">
        <f>EJ103*VLOOKUP('Données projet'!$B$15,Paramètres!$A$1:$I$88,3,0)*VLOOKUP('Données projet'!$B$15,Paramètres!$A$1:$I$88,5,0)</f>
        <v>3.9017322706058626E-13</v>
      </c>
      <c r="EL103" s="14">
        <f t="shared" si="99"/>
        <v>5.0025007393608908E-12</v>
      </c>
      <c r="EM103" s="22">
        <f t="shared" si="73"/>
        <v>9.3922404915174053E-12</v>
      </c>
      <c r="EN103" s="59">
        <f t="shared" si="74"/>
        <v>293.33333333334269</v>
      </c>
      <c r="EO103" s="59">
        <f ca="1">AVERAGE(OFFSET($EN$3,0,0,'Données projet'!$E$15+1,1))-AVERAGE(OFFSET($H$3,0,0,'Données projet'!$E$15+1,1))</f>
        <v>462.99360395552145</v>
      </c>
      <c r="EP103" s="59">
        <f t="shared" si="100"/>
        <v>153.03880717786046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projet'!$B$15,Paramètres!$A$1:$I$88,3,0)*0.475*44/12</f>
        <v>261.4621716630391</v>
      </c>
      <c r="EW103" s="23">
        <f>EXP(-LN(2)/25)*EW102+(1-EXP(-LN(2)/25))/(LN(2)/25)*Calculateur!ER103*Calculateur!ET103*VLOOKUP('Données projet'!$B$15,Paramètres!$A$1:$I$88,3,0)*0.475*44/12</f>
        <v>0</v>
      </c>
      <c r="EX103" s="23">
        <f>EXP(-LN(2)/2)*EX102+(1-EXP(-LN(2)/2))/(LN(2)/2)*ER103*EU103*VLOOKUP('Données projet'!$B$15,Paramètres!$A$1:$I$88,3,0)*0.475*44/12</f>
        <v>0</v>
      </c>
      <c r="EY103" s="24">
        <f t="shared" si="75"/>
        <v>261.4621716630391</v>
      </c>
      <c r="EZ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476</v>
      </c>
      <c r="FC103" s="13">
        <f>VLOOKUP(A103,'Données projet'!$A$217:$I$237,9,0)</f>
        <v>3.2399999999999975</v>
      </c>
      <c r="FD103" s="13">
        <f t="array" ref="FD103">INDEX(FC:FC,MIN(IF(ISNUMBER(FC103:FC299),ROW(FC103:FC299),"")))</f>
        <v>3.2399999999999975</v>
      </c>
      <c r="FE103" s="13">
        <f>IF('Données projet'!$A$218&gt;35,FE102+FD103-FM102,IF(A103&lt;'Données projet'!$A$218,$FB$205^A103,IF(A103='Données projet'!$A$218,'Données projet'!$B$218,FE102+FD103-FM102)))</f>
        <v>476.00000000000023</v>
      </c>
      <c r="FF103" s="18">
        <f>FE103*VLOOKUP('Données projet'!$B$16,Paramètres!$A$1:$I$88,3,0)*VLOOKUP('Données projet'!$B$16,Paramètres!$A$1:$I$88,5,0)</f>
        <v>415.83360000000027</v>
      </c>
      <c r="FG103" s="14">
        <f t="shared" si="101"/>
        <v>94.979396132283952</v>
      </c>
      <c r="FH103" s="22">
        <f t="shared" si="76"/>
        <v>889.66596826372836</v>
      </c>
      <c r="FI103" s="59">
        <f t="shared" si="77"/>
        <v>1182.9993015970617</v>
      </c>
      <c r="FJ103" s="59">
        <f ca="1">AVERAGE(OFFSET($FI$3,0,0,'Données projet'!$E$16+1,1))-AVERAGE(OFFSET($H$3,0,0,'Données projet'!$E$16+1,1))</f>
        <v>427.76895185088944</v>
      </c>
      <c r="FK103" s="59">
        <f t="shared" si="102"/>
        <v>308.32543361559135</v>
      </c>
      <c r="FL103" s="16">
        <f>IF(ISNA(VLOOKUP(A103,'Données projet'!$A$217:$I$237,3,0)),0,VLOOKUP(A103,'Données projet'!$A$217:$I$237,3,0))</f>
        <v>18</v>
      </c>
      <c r="FM103" s="16">
        <f>IF(ISNA(VLOOKUP(A103,'Données projet'!$A$217:$I$237,4,0)),0,VLOOKUP(A103,'Données projet'!$A$217:$I$237,4,0))</f>
        <v>476</v>
      </c>
      <c r="FN103" s="17">
        <f>IF(ISNA(VLOOKUP(A103,'Données projet'!$A$217:$I$237,5,0)),0%,VLOOKUP(A103,'Données projet'!$A$217:$I$237,5,0)*VLOOKUP('Données projet'!$B$16,Paramètres!$A$1:$I$88,7,0))</f>
        <v>0.42400000000000004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projet'!$B$16,Paramètres!$A$1:$I$88,3,0)*0.475*44/12</f>
        <v>212.33403008588701</v>
      </c>
      <c r="FR103" s="23">
        <f>EXP(-LN(2)/25)*FR102+(1-EXP(-LN(2)/25))/(LN(2)/25)*Calculateur!FM103*Calculateur!FO103*VLOOKUP('Données projet'!$B$16,Paramètres!$A$1:$I$88,3,0)*0.475*44/12</f>
        <v>0</v>
      </c>
      <c r="FS103" s="23">
        <f>EXP(-LN(2)/2)*FS102+(1-EXP(-LN(2)/2))/(LN(2)/2)*FM103*FP103*VLOOKUP('Données projet'!$B$16,Paramètres!$A$1:$I$88,3,0)*0.475*44/12</f>
        <v>0</v>
      </c>
      <c r="FT103" s="24">
        <f t="shared" si="78"/>
        <v>212.33403008588701</v>
      </c>
      <c r="FU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333.00000000000006</v>
      </c>
      <c r="GA103" s="18">
        <f>FZ103*VLOOKUP('Données projet'!$B$17,Paramètres!$A$1:$I$88,3,0)*VLOOKUP('Données projet'!$B$17,Paramètres!$A$1:$I$88,5,0)</f>
        <v>207.79200000000006</v>
      </c>
      <c r="GB103" s="14">
        <f t="shared" si="103"/>
        <v>51.452785725007907</v>
      </c>
      <c r="GC103" s="22">
        <f t="shared" si="79"/>
        <v>451.5180018043888</v>
      </c>
      <c r="GD103" s="59">
        <f t="shared" si="80"/>
        <v>744.85133513772212</v>
      </c>
      <c r="GE103" s="59">
        <f ca="1">AVERAGE(OFFSET($GD$3,0,0,'Données projet'!$E$17+1,1))-AVERAGE(OFFSET($H$3,0,0,'Données projet'!$E$17+1,1))</f>
        <v>247.85542034088905</v>
      </c>
      <c r="GF103" s="59">
        <f t="shared" si="104"/>
        <v>299.52241743660352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projet'!$B$17,Paramètres!$A$1:$I$88,3,0)*0.475*44/12</f>
        <v>16.825653844806627</v>
      </c>
      <c r="GM103" s="23">
        <f>EXP(-LN(2)/25)*GM102+(1-EXP(-LN(2)/25))/(LN(2)/25)*Calculateur!GH103*Calculateur!GJ103*VLOOKUP('Données projet'!$B$17,Paramètres!$A$1:$I$88,3,0)*0.475*44/12</f>
        <v>12.544005518685651</v>
      </c>
      <c r="GN103" s="23">
        <f>EXP(-LN(2)/2)*GN102+(1-EXP(-LN(2)/2))/(LN(2)/2)*GH103*GK103*VLOOKUP('Données projet'!$B$17,Paramètres!$A$1:$I$88,3,0)*0.475*44/12</f>
        <v>4.0819269386705336E-5</v>
      </c>
      <c r="GO103" s="23">
        <f t="shared" si="81"/>
        <v>29.369700182761665</v>
      </c>
      <c r="GP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3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6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5.6</v>
      </c>
      <c r="N104" s="14">
        <f>IF('Données projet'!$A$36&gt;35,N103+M104-V103,IF(A104&lt;'Données projet'!$A$36,$K$205^A104,IF(A104='Données projet'!$A$36,'Données projet'!$B$36,N103+M104-V103)))</f>
        <v>250.79999999999993</v>
      </c>
      <c r="O104" s="14">
        <f>N104*VLOOKUP('Données projet'!$B$9,Paramètres!$A$1:$I$88,3,0)*VLOOKUP('Données projet'!$B$9,Paramètres!$A$1:$I$88,5,0)</f>
        <v>226.92383999999993</v>
      </c>
      <c r="P104" s="14">
        <f t="shared" si="87"/>
        <v>55.617023478556483</v>
      </c>
      <c r="Q104" s="22">
        <f t="shared" si="107"/>
        <v>492.09200389181893</v>
      </c>
      <c r="R104" s="59">
        <f t="shared" si="55"/>
        <v>785.42533722515225</v>
      </c>
      <c r="S104" s="59">
        <f ca="1">AVERAGE(OFFSET($R$3,0,0,'Données projet'!$E$9+1,1))-AVERAGE(OFFSET($H$3,0,0,'Données projet'!$E$9+1,1))</f>
        <v>247.57967230773539</v>
      </c>
      <c r="T104" s="59">
        <f t="shared" si="88"/>
        <v>156.58857589533295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21.240074695845035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21.240074695845035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-3.4106051316484809E-13</v>
      </c>
      <c r="AJ104" s="14">
        <f>AI104*VLOOKUP('Données projet'!$B$10,Paramètres!$A$1:$I$88,3,0)*VLOOKUP('Données projet'!$B$10,Paramètres!$A$1:$I$88,5,0)</f>
        <v>-2.7134774427395314E-13</v>
      </c>
      <c r="AK104" s="14" t="e">
        <f t="shared" si="89"/>
        <v>#NUM!</v>
      </c>
      <c r="AL104" s="22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504.15006129790828</v>
      </c>
      <c r="AO104" s="59">
        <f t="shared" si="90"/>
        <v>374.39334457402742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236.75720032513925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236.75720032513925</v>
      </c>
      <c r="AY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-3.4106051316484809E-13</v>
      </c>
      <c r="BE104" s="14">
        <f>BD104*VLOOKUP('Données projet'!$B$11,Paramètres!$A$1:$I$88,3,0)*VLOOKUP('Données projet'!$B$11,Paramètres!$A$1:$I$88,5,0)</f>
        <v>-2.7134774427395314E-13</v>
      </c>
      <c r="BF104" s="14" t="e">
        <f t="shared" si="91"/>
        <v>#NUM!</v>
      </c>
      <c r="BG104" s="22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504.15006129790828</v>
      </c>
      <c r="BJ104" s="59">
        <f t="shared" si="92"/>
        <v>374.39334457402742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236.75720032513925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236.75720032513925</v>
      </c>
      <c r="BT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-3.4106051316484809E-13</v>
      </c>
      <c r="BZ104" s="14">
        <f>BY104*VLOOKUP('Données projet'!$B$12,Paramètres!$A$1:$I$88,3,0)*VLOOKUP('Données projet'!$B$12,Paramètres!$A$1:$I$88,5,0)</f>
        <v>-2.2878339223098009E-13</v>
      </c>
      <c r="CA104" s="14" t="e">
        <f t="shared" si="93"/>
        <v>#NUM!</v>
      </c>
      <c r="CB104" s="22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387.15063677712425</v>
      </c>
      <c r="CE104" s="59">
        <f t="shared" si="94"/>
        <v>313.19155394370705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156.10008825366481</v>
      </c>
      <c r="CL104" s="23">
        <f>EXP(-LN(2)/25)*CL103+(1-EXP(-LN(2)/25))/(LN(2)/25)*Calculateur!CG104*Calculateur!CI104*VLOOKUP('Données projet'!$B$12,Paramètres!$A$1:$I$88,3,0)*0.475*44/12</f>
        <v>0</v>
      </c>
      <c r="CM104" s="23">
        <f>EXP(-LN(2)/2)*CM103+(1-EXP(-LN(2)/2))/(LN(2)/2)*CG104*CJ104*VLOOKUP('Données projet'!$B$12,Paramètres!$A$1:$I$88,3,0)*0.475*44/12</f>
        <v>0</v>
      </c>
      <c r="CN104" s="24">
        <f t="shared" si="66"/>
        <v>156.10008825366481</v>
      </c>
      <c r="CO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5.6</v>
      </c>
      <c r="CT104" s="13">
        <f>IF('Données projet'!$A$140&gt;35,CT103+CS104-DB103,IF(A104&lt;'Données projet'!$A$140,$CQ$205^A104,IF(A104='Données projet'!$A$140,'Données projet'!$B$140,CT103+CS104-DB103)))</f>
        <v>250.79999999999993</v>
      </c>
      <c r="CU104" s="18">
        <f>CT104*VLOOKUP('Données projet'!$B$13,Paramètres!$A$1:$I$88,3,0)*VLOOKUP('Données projet'!$B$13,Paramètres!$A$1:$I$88,5,0)</f>
        <v>242.57375999999994</v>
      </c>
      <c r="CV104" s="14">
        <f t="shared" si="95"/>
        <v>58.992943235397327</v>
      </c>
      <c r="CW104" s="22">
        <f t="shared" si="67"/>
        <v>525.22867480165019</v>
      </c>
      <c r="CX104" s="59">
        <f t="shared" si="68"/>
        <v>818.56200813498344</v>
      </c>
      <c r="CY104" s="59">
        <f ca="1">AVERAGE(OFFSET($CX$3,0,0,'Données projet'!$E$13+1,1))-AVERAGE(OFFSET($H$3,0,0,'Données projet'!$E$13+1,1))</f>
        <v>306.00894145276209</v>
      </c>
      <c r="CZ104" s="59">
        <f t="shared" si="96"/>
        <v>168.74705421228828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22.704907433489527</v>
      </c>
      <c r="DG104" s="23">
        <f>EXP(-LN(2)/25)*DG103+(1-EXP(-LN(2)/25))/(LN(2)/25)*Calculateur!DB104*Calculateur!DD104*VLOOKUP('Données projet'!$B$13,Paramètres!$A$1:$I$88,3,0)*0.475*44/12</f>
        <v>0</v>
      </c>
      <c r="DH104" s="23">
        <f>EXP(-LN(2)/2)*DH103+(1-EXP(-LN(2)/2))/(LN(2)/2)*DB104*DE104*VLOOKUP('Données projet'!$B$13,Paramètres!$A$1:$I$88,3,0)*0.475*44/12</f>
        <v>0</v>
      </c>
      <c r="DI104" s="24">
        <f t="shared" si="69"/>
        <v>22.704907433489527</v>
      </c>
      <c r="DJ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-3.4106051316484809E-13</v>
      </c>
      <c r="DP104" s="18">
        <f>DO104*VLOOKUP('Données projet'!$B$14,Paramètres!$A$1:$I$88,3,0)*VLOOKUP('Données projet'!$B$14,Paramètres!$A$1:$I$88,5,0)</f>
        <v>-2.6602720026858149E-13</v>
      </c>
      <c r="DQ104" s="14" t="e">
        <f t="shared" si="97"/>
        <v>#NUM!</v>
      </c>
      <c r="DR104" s="22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458.14328535055694</v>
      </c>
      <c r="DU104" s="59">
        <f t="shared" si="98"/>
        <v>366.75500153675739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projet'!$B$14,Paramètres!$A$1:$I$88,3,0)*0.475*44/12</f>
        <v>147.26423420157067</v>
      </c>
      <c r="EB104" s="23">
        <f>EXP(-LN(2)/25)*EB103+(1-EXP(-LN(2)/25))/(LN(2)/25)*Calculateur!DW104*Calculateur!DY104*VLOOKUP('Données projet'!$B$14,Paramètres!$A$1:$I$88,3,0)*0.475*44/12</f>
        <v>0</v>
      </c>
      <c r="EC104" s="23">
        <f>EXP(-LN(2)/2)*EC103+(1-EXP(-LN(2)/2))/(LN(2)/2)*DW104*DZ104*VLOOKUP('Données projet'!$B$14,Paramètres!$A$1:$I$88,3,0)*0.475*44/12</f>
        <v>0</v>
      </c>
      <c r="ED104" s="24">
        <f t="shared" si="72"/>
        <v>147.26423420157067</v>
      </c>
      <c r="EE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4.5474735088646412E-13</v>
      </c>
      <c r="EK104" s="18">
        <f>EJ104*VLOOKUP('Données projet'!$B$15,Paramètres!$A$1:$I$88,3,0)*VLOOKUP('Données projet'!$B$15,Paramètres!$A$1:$I$88,5,0)</f>
        <v>3.9017322706058626E-13</v>
      </c>
      <c r="EL104" s="14">
        <f t="shared" si="99"/>
        <v>5.0025007393608908E-12</v>
      </c>
      <c r="EM104" s="22">
        <f t="shared" si="73"/>
        <v>9.3922404915174053E-12</v>
      </c>
      <c r="EN104" s="59">
        <f t="shared" si="74"/>
        <v>293.33333333334269</v>
      </c>
      <c r="EO104" s="59">
        <f ca="1">AVERAGE(OFFSET($EN$3,0,0,'Données projet'!$E$15+1,1))-AVERAGE(OFFSET($H$3,0,0,'Données projet'!$E$15+1,1))</f>
        <v>462.99360395552145</v>
      </c>
      <c r="EP104" s="59">
        <f t="shared" si="100"/>
        <v>153.03880717786046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projet'!$B$15,Paramètres!$A$1:$I$88,3,0)*0.475*44/12</f>
        <v>256.33505795290466</v>
      </c>
      <c r="EW104" s="23">
        <f>EXP(-LN(2)/25)*EW103+(1-EXP(-LN(2)/25))/(LN(2)/25)*Calculateur!ER104*Calculateur!ET104*VLOOKUP('Données projet'!$B$15,Paramètres!$A$1:$I$88,3,0)*0.475*44/12</f>
        <v>0</v>
      </c>
      <c r="EX104" s="23">
        <f>EXP(-LN(2)/2)*EX103+(1-EXP(-LN(2)/2))/(LN(2)/2)*ER104*EU104*VLOOKUP('Données projet'!$B$15,Paramètres!$A$1:$I$88,3,0)*0.475*44/12</f>
        <v>0</v>
      </c>
      <c r="EY104" s="24">
        <f t="shared" si="75"/>
        <v>256.33505795290466</v>
      </c>
      <c r="EZ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2.2737367544323206E-13</v>
      </c>
      <c r="FF104" s="18">
        <f>FE104*VLOOKUP('Données projet'!$B$16,Paramètres!$A$1:$I$88,3,0)*VLOOKUP('Données projet'!$B$16,Paramètres!$A$1:$I$88,5,0)</f>
        <v>1.9863364286720756E-13</v>
      </c>
      <c r="FG104" s="14">
        <f t="shared" si="101"/>
        <v>2.7549360720371426E-12</v>
      </c>
      <c r="FH104" s="22">
        <f t="shared" si="76"/>
        <v>5.144133920125077E-12</v>
      </c>
      <c r="FI104" s="59">
        <f t="shared" si="77"/>
        <v>293.33333333333843</v>
      </c>
      <c r="FJ104" s="59">
        <f ca="1">AVERAGE(OFFSET($FI$3,0,0,'Données projet'!$E$16+1,1))-AVERAGE(OFFSET($H$3,0,0,'Données projet'!$E$16+1,1))</f>
        <v>427.76895185088944</v>
      </c>
      <c r="FK104" s="59">
        <f t="shared" si="102"/>
        <v>308.32543361559135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projet'!$B$16,Paramètres!$A$1:$I$88,3,0)*0.475*44/12</f>
        <v>208.17028926687297</v>
      </c>
      <c r="FR104" s="23">
        <f>EXP(-LN(2)/25)*FR103+(1-EXP(-LN(2)/25))/(LN(2)/25)*Calculateur!FM104*Calculateur!FO104*VLOOKUP('Données projet'!$B$16,Paramètres!$A$1:$I$88,3,0)*0.475*44/12</f>
        <v>0</v>
      </c>
      <c r="FS104" s="23">
        <f>EXP(-LN(2)/2)*FS103+(1-EXP(-LN(2)/2))/(LN(2)/2)*FM104*FP104*VLOOKUP('Données projet'!$B$16,Paramètres!$A$1:$I$88,3,0)*0.475*44/12</f>
        <v>0</v>
      </c>
      <c r="FT104" s="24">
        <f t="shared" si="78"/>
        <v>208.17028926687297</v>
      </c>
      <c r="FU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333.00000000000006</v>
      </c>
      <c r="GA104" s="18">
        <f>FZ104*VLOOKUP('Données projet'!$B$17,Paramètres!$A$1:$I$88,3,0)*VLOOKUP('Données projet'!$B$17,Paramètres!$A$1:$I$88,5,0)</f>
        <v>207.79200000000006</v>
      </c>
      <c r="GB104" s="14">
        <f t="shared" si="103"/>
        <v>51.452785725007907</v>
      </c>
      <c r="GC104" s="22">
        <f t="shared" si="79"/>
        <v>451.5180018043888</v>
      </c>
      <c r="GD104" s="59">
        <f t="shared" si="80"/>
        <v>744.85133513772212</v>
      </c>
      <c r="GE104" s="59">
        <f ca="1">AVERAGE(OFFSET($GD$3,0,0,'Données projet'!$E$17+1,1))-AVERAGE(OFFSET($H$3,0,0,'Données projet'!$E$17+1,1))</f>
        <v>247.85542034088905</v>
      </c>
      <c r="GF104" s="59">
        <f t="shared" si="104"/>
        <v>299.52241743660352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projet'!$B$17,Paramètres!$A$1:$I$88,3,0)*0.475*44/12</f>
        <v>16.495713035545464</v>
      </c>
      <c r="GM104" s="23">
        <f>EXP(-LN(2)/25)*GM103+(1-EXP(-LN(2)/25))/(LN(2)/25)*Calculateur!GH104*Calculateur!GJ104*VLOOKUP('Données projet'!$B$17,Paramètres!$A$1:$I$88,3,0)*0.475*44/12</f>
        <v>12.200989028116611</v>
      </c>
      <c r="GN104" s="23">
        <f>EXP(-LN(2)/2)*GN103+(1-EXP(-LN(2)/2))/(LN(2)/2)*GH104*GK104*VLOOKUP('Données projet'!$B$17,Paramètres!$A$1:$I$88,3,0)*0.475*44/12</f>
        <v>2.8863582186419788E-5</v>
      </c>
      <c r="GO104" s="23">
        <f t="shared" si="81"/>
        <v>28.696730927244261</v>
      </c>
      <c r="GP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3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6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5.6</v>
      </c>
      <c r="N105" s="14">
        <f>IF('Données projet'!$A$36&gt;35,N104+M105-V104,IF(A105&lt;'Données projet'!$A$36,$K$205^A105,IF(A105='Données projet'!$A$36,'Données projet'!$B$36,N104+M105-V104)))</f>
        <v>256.39999999999992</v>
      </c>
      <c r="O105" s="14">
        <f>N105*VLOOKUP('Données projet'!$B$9,Paramètres!$A$1:$I$88,3,0)*VLOOKUP('Données projet'!$B$9,Paramètres!$A$1:$I$88,5,0)</f>
        <v>231.9907199999999</v>
      </c>
      <c r="P105" s="14">
        <f t="shared" si="87"/>
        <v>56.71290560399715</v>
      </c>
      <c r="Q105" s="22">
        <f t="shared" si="107"/>
        <v>502.82548126029491</v>
      </c>
      <c r="R105" s="59">
        <f t="shared" si="55"/>
        <v>796.15881459362822</v>
      </c>
      <c r="S105" s="59">
        <f ca="1">AVERAGE(OFFSET($R$3,0,0,'Données projet'!$E$9+1,1))-AVERAGE(OFFSET($H$3,0,0,'Données projet'!$E$9+1,1))</f>
        <v>247.57967230773539</v>
      </c>
      <c r="T105" s="59">
        <f t="shared" si="88"/>
        <v>156.58857589533295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20.82356978622586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20.82356978622586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-3.4106051316484809E-13</v>
      </c>
      <c r="AJ105" s="14">
        <f>AI105*VLOOKUP('Données projet'!$B$10,Paramètres!$A$1:$I$88,3,0)*VLOOKUP('Données projet'!$B$10,Paramètres!$A$1:$I$88,5,0)</f>
        <v>-2.7134774427395314E-13</v>
      </c>
      <c r="AK105" s="14" t="e">
        <f t="shared" si="89"/>
        <v>#NUM!</v>
      </c>
      <c r="AL105" s="22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504.15006129790828</v>
      </c>
      <c r="AO105" s="59">
        <f t="shared" si="90"/>
        <v>374.39334457402742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232.11453603439639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232.11453603439639</v>
      </c>
      <c r="AY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-3.4106051316484809E-13</v>
      </c>
      <c r="BE105" s="14">
        <f>BD105*VLOOKUP('Données projet'!$B$11,Paramètres!$A$1:$I$88,3,0)*VLOOKUP('Données projet'!$B$11,Paramètres!$A$1:$I$88,5,0)</f>
        <v>-2.7134774427395314E-13</v>
      </c>
      <c r="BF105" s="14" t="e">
        <f t="shared" si="91"/>
        <v>#NUM!</v>
      </c>
      <c r="BG105" s="22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504.15006129790828</v>
      </c>
      <c r="BJ105" s="59">
        <f t="shared" si="92"/>
        <v>374.39334457402742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232.11453603439639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232.11453603439639</v>
      </c>
      <c r="BT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-3.4106051316484809E-13</v>
      </c>
      <c r="BZ105" s="14">
        <f>BY105*VLOOKUP('Données projet'!$B$12,Paramètres!$A$1:$I$88,3,0)*VLOOKUP('Données projet'!$B$12,Paramètres!$A$1:$I$88,5,0)</f>
        <v>-2.2878339223098009E-13</v>
      </c>
      <c r="CA105" s="14" t="e">
        <f t="shared" si="93"/>
        <v>#NUM!</v>
      </c>
      <c r="CB105" s="22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387.15063677712425</v>
      </c>
      <c r="CE105" s="59">
        <f t="shared" si="94"/>
        <v>313.19155394370705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153.03906073466291</v>
      </c>
      <c r="CL105" s="23">
        <f>EXP(-LN(2)/25)*CL104+(1-EXP(-LN(2)/25))/(LN(2)/25)*Calculateur!CG105*Calculateur!CI105*VLOOKUP('Données projet'!$B$12,Paramètres!$A$1:$I$88,3,0)*0.475*44/12</f>
        <v>0</v>
      </c>
      <c r="CM105" s="23">
        <f>EXP(-LN(2)/2)*CM104+(1-EXP(-LN(2)/2))/(LN(2)/2)*CG105*CJ105*VLOOKUP('Données projet'!$B$12,Paramètres!$A$1:$I$88,3,0)*0.475*44/12</f>
        <v>0</v>
      </c>
      <c r="CN105" s="24">
        <f t="shared" si="66"/>
        <v>153.03906073466291</v>
      </c>
      <c r="CO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5.6</v>
      </c>
      <c r="CT105" s="13">
        <f>IF('Données projet'!$A$140&gt;35,CT104+CS105-DB104,IF(A105&lt;'Données projet'!$A$140,$CQ$205^A105,IF(A105='Données projet'!$A$140,'Données projet'!$B$140,CT104+CS105-DB104)))</f>
        <v>256.39999999999992</v>
      </c>
      <c r="CU105" s="18">
        <f>CT105*VLOOKUP('Données projet'!$B$13,Paramètres!$A$1:$I$88,3,0)*VLOOKUP('Données projet'!$B$13,Paramètres!$A$1:$I$88,5,0)</f>
        <v>247.99007999999995</v>
      </c>
      <c r="CV105" s="14">
        <f t="shared" si="95"/>
        <v>60.155344744419764</v>
      </c>
      <c r="CW105" s="22">
        <f t="shared" si="67"/>
        <v>536.68661476319767</v>
      </c>
      <c r="CX105" s="59">
        <f t="shared" si="68"/>
        <v>830.01994809653092</v>
      </c>
      <c r="CY105" s="59">
        <f ca="1">AVERAGE(OFFSET($CX$3,0,0,'Données projet'!$E$13+1,1))-AVERAGE(OFFSET($H$3,0,0,'Données projet'!$E$13+1,1))</f>
        <v>306.00894145276209</v>
      </c>
      <c r="CZ105" s="59">
        <f t="shared" si="96"/>
        <v>168.74705421228828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22.259678047344895</v>
      </c>
      <c r="DG105" s="23">
        <f>EXP(-LN(2)/25)*DG104+(1-EXP(-LN(2)/25))/(LN(2)/25)*Calculateur!DB105*Calculateur!DD105*VLOOKUP('Données projet'!$B$13,Paramètres!$A$1:$I$88,3,0)*0.475*44/12</f>
        <v>0</v>
      </c>
      <c r="DH105" s="23">
        <f>EXP(-LN(2)/2)*DH104+(1-EXP(-LN(2)/2))/(LN(2)/2)*DB105*DE105*VLOOKUP('Données projet'!$B$13,Paramètres!$A$1:$I$88,3,0)*0.475*44/12</f>
        <v>0</v>
      </c>
      <c r="DI105" s="24">
        <f t="shared" si="69"/>
        <v>22.259678047344895</v>
      </c>
      <c r="DJ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-3.4106051316484809E-13</v>
      </c>
      <c r="DP105" s="18">
        <f>DO105*VLOOKUP('Données projet'!$B$14,Paramètres!$A$1:$I$88,3,0)*VLOOKUP('Données projet'!$B$14,Paramètres!$A$1:$I$88,5,0)</f>
        <v>-2.6602720026858149E-13</v>
      </c>
      <c r="DQ105" s="14" t="e">
        <f t="shared" si="97"/>
        <v>#NUM!</v>
      </c>
      <c r="DR105" s="22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458.14328535055694</v>
      </c>
      <c r="DU105" s="59">
        <f t="shared" si="98"/>
        <v>366.75500153675739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projet'!$B$14,Paramètres!$A$1:$I$88,3,0)*0.475*44/12</f>
        <v>144.37647239119153</v>
      </c>
      <c r="EB105" s="23">
        <f>EXP(-LN(2)/25)*EB104+(1-EXP(-LN(2)/25))/(LN(2)/25)*Calculateur!DW105*Calculateur!DY105*VLOOKUP('Données projet'!$B$14,Paramètres!$A$1:$I$88,3,0)*0.475*44/12</f>
        <v>0</v>
      </c>
      <c r="EC105" s="23">
        <f>EXP(-LN(2)/2)*EC104+(1-EXP(-LN(2)/2))/(LN(2)/2)*DW105*DZ105*VLOOKUP('Données projet'!$B$14,Paramètres!$A$1:$I$88,3,0)*0.475*44/12</f>
        <v>0</v>
      </c>
      <c r="ED105" s="24">
        <f t="shared" si="72"/>
        <v>144.37647239119153</v>
      </c>
      <c r="EE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4.5474735088646412E-13</v>
      </c>
      <c r="EK105" s="18">
        <f>EJ105*VLOOKUP('Données projet'!$B$15,Paramètres!$A$1:$I$88,3,0)*VLOOKUP('Données projet'!$B$15,Paramètres!$A$1:$I$88,5,0)</f>
        <v>3.9017322706058626E-13</v>
      </c>
      <c r="EL105" s="14">
        <f t="shared" si="99"/>
        <v>5.0025007393608908E-12</v>
      </c>
      <c r="EM105" s="22">
        <f t="shared" si="73"/>
        <v>9.3922404915174053E-12</v>
      </c>
      <c r="EN105" s="59">
        <f t="shared" si="74"/>
        <v>293.33333333334269</v>
      </c>
      <c r="EO105" s="59">
        <f ca="1">AVERAGE(OFFSET($EN$3,0,0,'Données projet'!$E$15+1,1))-AVERAGE(OFFSET($H$3,0,0,'Données projet'!$E$15+1,1))</f>
        <v>462.99360395552145</v>
      </c>
      <c r="EP105" s="59">
        <f t="shared" si="100"/>
        <v>153.03880717786046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projet'!$B$15,Paramètres!$A$1:$I$88,3,0)*0.475*44/12</f>
        <v>251.30848381539539</v>
      </c>
      <c r="EW105" s="23">
        <f>EXP(-LN(2)/25)*EW104+(1-EXP(-LN(2)/25))/(LN(2)/25)*Calculateur!ER105*Calculateur!ET105*VLOOKUP('Données projet'!$B$15,Paramètres!$A$1:$I$88,3,0)*0.475*44/12</f>
        <v>0</v>
      </c>
      <c r="EX105" s="23">
        <f>EXP(-LN(2)/2)*EX104+(1-EXP(-LN(2)/2))/(LN(2)/2)*ER105*EU105*VLOOKUP('Données projet'!$B$15,Paramètres!$A$1:$I$88,3,0)*0.475*44/12</f>
        <v>0</v>
      </c>
      <c r="EY105" s="24">
        <f t="shared" si="75"/>
        <v>251.30848381539539</v>
      </c>
      <c r="EZ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2.2737367544323206E-13</v>
      </c>
      <c r="FF105" s="18">
        <f>FE105*VLOOKUP('Données projet'!$B$16,Paramètres!$A$1:$I$88,3,0)*VLOOKUP('Données projet'!$B$16,Paramètres!$A$1:$I$88,5,0)</f>
        <v>1.9863364286720756E-13</v>
      </c>
      <c r="FG105" s="14">
        <f t="shared" si="101"/>
        <v>2.7549360720371426E-12</v>
      </c>
      <c r="FH105" s="22">
        <f t="shared" si="76"/>
        <v>5.144133920125077E-12</v>
      </c>
      <c r="FI105" s="59">
        <f t="shared" si="77"/>
        <v>293.33333333333843</v>
      </c>
      <c r="FJ105" s="59">
        <f ca="1">AVERAGE(OFFSET($FI$3,0,0,'Données projet'!$E$16+1,1))-AVERAGE(OFFSET($H$3,0,0,'Données projet'!$E$16+1,1))</f>
        <v>427.76895185088944</v>
      </c>
      <c r="FK105" s="59">
        <f t="shared" si="102"/>
        <v>308.32543361559135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projet'!$B$16,Paramètres!$A$1:$I$88,3,0)*0.475*44/12</f>
        <v>204.08819686568867</v>
      </c>
      <c r="FR105" s="23">
        <f>EXP(-LN(2)/25)*FR104+(1-EXP(-LN(2)/25))/(LN(2)/25)*Calculateur!FM105*Calculateur!FO105*VLOOKUP('Données projet'!$B$16,Paramètres!$A$1:$I$88,3,0)*0.475*44/12</f>
        <v>0</v>
      </c>
      <c r="FS105" s="23">
        <f>EXP(-LN(2)/2)*FS104+(1-EXP(-LN(2)/2))/(LN(2)/2)*FM105*FP105*VLOOKUP('Données projet'!$B$16,Paramètres!$A$1:$I$88,3,0)*0.475*44/12</f>
        <v>0</v>
      </c>
      <c r="FT105" s="24">
        <f t="shared" si="78"/>
        <v>204.08819686568867</v>
      </c>
      <c r="FU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333.00000000000006</v>
      </c>
      <c r="GA105" s="18">
        <f>FZ105*VLOOKUP('Données projet'!$B$17,Paramètres!$A$1:$I$88,3,0)*VLOOKUP('Données projet'!$B$17,Paramètres!$A$1:$I$88,5,0)</f>
        <v>207.79200000000006</v>
      </c>
      <c r="GB105" s="14">
        <f t="shared" si="103"/>
        <v>51.452785725007907</v>
      </c>
      <c r="GC105" s="22">
        <f t="shared" si="79"/>
        <v>451.5180018043888</v>
      </c>
      <c r="GD105" s="59">
        <f t="shared" si="80"/>
        <v>744.85133513772212</v>
      </c>
      <c r="GE105" s="59">
        <f ca="1">AVERAGE(OFFSET($GD$3,0,0,'Données projet'!$E$17+1,1))-AVERAGE(OFFSET($H$3,0,0,'Données projet'!$E$17+1,1))</f>
        <v>247.85542034088905</v>
      </c>
      <c r="GF105" s="59">
        <f t="shared" si="104"/>
        <v>299.52241743660352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projet'!$B$17,Paramètres!$A$1:$I$88,3,0)*0.475*44/12</f>
        <v>16.172242164309889</v>
      </c>
      <c r="GM105" s="23">
        <f>EXP(-LN(2)/25)*GM104+(1-EXP(-LN(2)/25))/(LN(2)/25)*Calculateur!GH105*Calculateur!GJ105*VLOOKUP('Données projet'!$B$17,Paramètres!$A$1:$I$88,3,0)*0.475*44/12</f>
        <v>11.867352341520634</v>
      </c>
      <c r="GN105" s="23">
        <f>EXP(-LN(2)/2)*GN104+(1-EXP(-LN(2)/2))/(LN(2)/2)*GH105*GK105*VLOOKUP('Données projet'!$B$17,Paramètres!$A$1:$I$88,3,0)*0.475*44/12</f>
        <v>2.0409634693352671E-5</v>
      </c>
      <c r="GO105" s="23">
        <f t="shared" si="81"/>
        <v>28.039614915465215</v>
      </c>
      <c r="GP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3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6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>
        <f>VLOOKUP(A106,'Données projet'!$A$35:$I$55,2,0)</f>
        <v>262</v>
      </c>
      <c r="L106" s="13">
        <f>VLOOKUP(A106,'Données projet'!$A$35:$I$55,9,0)</f>
        <v>5.6</v>
      </c>
      <c r="M106" s="13">
        <f t="array" ref="M106">INDEX(L:L,MIN(IF(ISNUMBER(L106:L302),ROW(L106:L302),"")))</f>
        <v>5.6</v>
      </c>
      <c r="N106" s="14">
        <f>IF('Données projet'!$A$36&gt;35,N105+M106-V105,IF(A106&lt;'Données projet'!$A$36,$K$205^A106,IF(A106='Données projet'!$A$36,'Données projet'!$B$36,N105+M106-V105)))</f>
        <v>261.99999999999994</v>
      </c>
      <c r="O106" s="14">
        <f>N106*VLOOKUP('Données projet'!$B$9,Paramètres!$A$1:$I$88,3,0)*VLOOKUP('Données projet'!$B$9,Paramètres!$A$1:$I$88,5,0)</f>
        <v>237.05759999999992</v>
      </c>
      <c r="P106" s="14">
        <f t="shared" si="87"/>
        <v>57.806004997354641</v>
      </c>
      <c r="Q106" s="22">
        <f t="shared" si="107"/>
        <v>513.5541120370591</v>
      </c>
      <c r="R106" s="59">
        <f t="shared" si="55"/>
        <v>806.88744537039247</v>
      </c>
      <c r="S106" s="59">
        <f ca="1">AVERAGE(OFFSET($R$3,0,0,'Données projet'!$E$9+1,1))-AVERAGE(OFFSET($H$3,0,0,'Données projet'!$E$9+1,1))</f>
        <v>247.57967230773539</v>
      </c>
      <c r="T106" s="59">
        <f t="shared" si="88"/>
        <v>156.58857589533295</v>
      </c>
      <c r="U106" s="16">
        <f>IF(ISNA(VLOOKUP(A106,'Données projet'!$A$35:$I$55,3,0)),0,VLOOKUP(A106,'Données projet'!$A$35:$I$55,3,0))</f>
        <v>8</v>
      </c>
      <c r="V106" s="16">
        <f>IF(ISNA(VLOOKUP(A106,'Données projet'!$A$35:$I$55,4,0)),0,VLOOKUP(A106,'Données projet'!$A$35:$I$55,4,0))</f>
        <v>38</v>
      </c>
      <c r="W106" s="17">
        <f>IF(ISNA(VLOOKUP(A106,'Données projet'!$A$35:$I$55,5,0)),0%,VLOOKUP(A106,'Données projet'!$A$35:$I$55,5,0)*VLOOKUP('Données projet'!$B$9,Paramètres!$A$1:$I$88,7,0))</f>
        <v>0.215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28.58710811095095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28.58710811095095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-3.4106051316484809E-13</v>
      </c>
      <c r="AJ106" s="14">
        <f>AI106*VLOOKUP('Données projet'!$B$10,Paramètres!$A$1:$I$88,3,0)*VLOOKUP('Données projet'!$B$10,Paramètres!$A$1:$I$88,5,0)</f>
        <v>-2.7134774427395314E-13</v>
      </c>
      <c r="AK106" s="14" t="e">
        <f t="shared" si="89"/>
        <v>#NUM!</v>
      </c>
      <c r="AL106" s="22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504.15006129790828</v>
      </c>
      <c r="AO106" s="59">
        <f t="shared" si="90"/>
        <v>374.39334457402742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227.5629115586494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227.5629115586494</v>
      </c>
      <c r="AY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-3.4106051316484809E-13</v>
      </c>
      <c r="BE106" s="14">
        <f>BD106*VLOOKUP('Données projet'!$B$11,Paramètres!$A$1:$I$88,3,0)*VLOOKUP('Données projet'!$B$11,Paramètres!$A$1:$I$88,5,0)</f>
        <v>-2.7134774427395314E-13</v>
      </c>
      <c r="BF106" s="14" t="e">
        <f t="shared" si="91"/>
        <v>#NUM!</v>
      </c>
      <c r="BG106" s="22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504.15006129790828</v>
      </c>
      <c r="BJ106" s="59">
        <f t="shared" si="92"/>
        <v>374.39334457402742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227.5629115586494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227.5629115586494</v>
      </c>
      <c r="BT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-3.4106051316484809E-13</v>
      </c>
      <c r="BZ106" s="14">
        <f>BY106*VLOOKUP('Données projet'!$B$12,Paramètres!$A$1:$I$88,3,0)*VLOOKUP('Données projet'!$B$12,Paramètres!$A$1:$I$88,5,0)</f>
        <v>-2.2878339223098009E-13</v>
      </c>
      <c r="CA106" s="14" t="e">
        <f t="shared" si="93"/>
        <v>#NUM!</v>
      </c>
      <c r="CB106" s="22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387.15063677712425</v>
      </c>
      <c r="CE106" s="59">
        <f t="shared" si="94"/>
        <v>313.19155394370705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150.03805809826619</v>
      </c>
      <c r="CL106" s="23">
        <f>EXP(-LN(2)/25)*CL105+(1-EXP(-LN(2)/25))/(LN(2)/25)*Calculateur!CG106*Calculateur!CI106*VLOOKUP('Données projet'!$B$12,Paramètres!$A$1:$I$88,3,0)*0.475*44/12</f>
        <v>0</v>
      </c>
      <c r="CM106" s="23">
        <f>EXP(-LN(2)/2)*CM105+(1-EXP(-LN(2)/2))/(LN(2)/2)*CG106*CJ106*VLOOKUP('Données projet'!$B$12,Paramètres!$A$1:$I$88,3,0)*0.475*44/12</f>
        <v>0</v>
      </c>
      <c r="CN106" s="24">
        <f t="shared" si="66"/>
        <v>150.03805809826619</v>
      </c>
      <c r="CO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>
        <f>VLOOKUP(A106,'Données projet'!$A$139:$I$159,2,0)</f>
        <v>262</v>
      </c>
      <c r="CR106" s="13">
        <f>VLOOKUP(A106,'Données projet'!$A$139:$I$159,9,0)</f>
        <v>5.6</v>
      </c>
      <c r="CS106" s="13">
        <f t="array" ref="CS106">INDEX(CR:CR,MIN(IF(ISNUMBER(CR106:CR302),ROW(CR106:CR302),"")))</f>
        <v>5.6</v>
      </c>
      <c r="CT106" s="13">
        <f>IF('Données projet'!$A$140&gt;35,CT105+CS106-DB105,IF(A106&lt;'Données projet'!$A$140,$CQ$205^A106,IF(A106='Données projet'!$A$140,'Données projet'!$B$140,CT105+CS106-DB105)))</f>
        <v>261.99999999999994</v>
      </c>
      <c r="CU106" s="18">
        <f>CT106*VLOOKUP('Données projet'!$B$13,Paramètres!$A$1:$I$88,3,0)*VLOOKUP('Données projet'!$B$13,Paramètres!$A$1:$I$88,5,0)</f>
        <v>253.40639999999996</v>
      </c>
      <c r="CV106" s="14">
        <f t="shared" si="95"/>
        <v>61.314794611201144</v>
      </c>
      <c r="CW106" s="22">
        <f t="shared" si="67"/>
        <v>548.13941394784194</v>
      </c>
      <c r="CX106" s="59">
        <f t="shared" si="68"/>
        <v>841.47274728117532</v>
      </c>
      <c r="CY106" s="59">
        <f ca="1">AVERAGE(OFFSET($CX$3,0,0,'Données projet'!$E$13+1,1))-AVERAGE(OFFSET($H$3,0,0,'Données projet'!$E$13+1,1))</f>
        <v>306.00894145276209</v>
      </c>
      <c r="CZ106" s="59">
        <f t="shared" si="96"/>
        <v>168.74705421228828</v>
      </c>
      <c r="DA106" s="16">
        <f>IF(ISNA(VLOOKUP(A106,'Données projet'!$A$139:$I$159,3,0)),0,VLOOKUP(A106,'Données projet'!$A$139:$I$159,3,0))</f>
        <v>8</v>
      </c>
      <c r="DB106" s="16">
        <f>IF(ISNA(VLOOKUP(A106,'Données projet'!$A$139:$I$159,4,0)),0,VLOOKUP(A106,'Données projet'!$A$139:$I$159,4,0))</f>
        <v>38</v>
      </c>
      <c r="DC106" s="17">
        <f>IF(ISNA(VLOOKUP(A106,'Données projet'!$A$139:$I$159,5,0)),0%,VLOOKUP(A106,'Données projet'!$A$139:$I$159,5,0)*VLOOKUP('Données projet'!$B$13,Paramètres!$A$1:$I$88,7,0))</f>
        <v>0.215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30.558632808257926</v>
      </c>
      <c r="DG106" s="23">
        <f>EXP(-LN(2)/25)*DG105+(1-EXP(-LN(2)/25))/(LN(2)/25)*Calculateur!DB106*Calculateur!DD106*VLOOKUP('Données projet'!$B$13,Paramètres!$A$1:$I$88,3,0)*0.475*44/12</f>
        <v>0</v>
      </c>
      <c r="DH106" s="23">
        <f>EXP(-LN(2)/2)*DH105+(1-EXP(-LN(2)/2))/(LN(2)/2)*DB106*DE106*VLOOKUP('Données projet'!$B$13,Paramètres!$A$1:$I$88,3,0)*0.475*44/12</f>
        <v>0</v>
      </c>
      <c r="DI106" s="24">
        <f t="shared" si="69"/>
        <v>30.558632808257926</v>
      </c>
      <c r="DJ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-3.4106051316484809E-13</v>
      </c>
      <c r="DP106" s="18">
        <f>DO106*VLOOKUP('Données projet'!$B$14,Paramètres!$A$1:$I$88,3,0)*VLOOKUP('Données projet'!$B$14,Paramètres!$A$1:$I$88,5,0)</f>
        <v>-2.6602720026858149E-13</v>
      </c>
      <c r="DQ106" s="14" t="e">
        <f t="shared" si="97"/>
        <v>#NUM!</v>
      </c>
      <c r="DR106" s="22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458.14328535055694</v>
      </c>
      <c r="DU106" s="59">
        <f t="shared" si="98"/>
        <v>366.75500153675739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projet'!$B$14,Paramètres!$A$1:$I$88,3,0)*0.475*44/12</f>
        <v>141.54533782855313</v>
      </c>
      <c r="EB106" s="23">
        <f>EXP(-LN(2)/25)*EB105+(1-EXP(-LN(2)/25))/(LN(2)/25)*Calculateur!DW106*Calculateur!DY106*VLOOKUP('Données projet'!$B$14,Paramètres!$A$1:$I$88,3,0)*0.475*44/12</f>
        <v>0</v>
      </c>
      <c r="EC106" s="23">
        <f>EXP(-LN(2)/2)*EC105+(1-EXP(-LN(2)/2))/(LN(2)/2)*DW106*DZ106*VLOOKUP('Données projet'!$B$14,Paramètres!$A$1:$I$88,3,0)*0.475*44/12</f>
        <v>0</v>
      </c>
      <c r="ED106" s="24">
        <f t="shared" si="72"/>
        <v>141.54533782855313</v>
      </c>
      <c r="EE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4.5474735088646412E-13</v>
      </c>
      <c r="EK106" s="18">
        <f>EJ106*VLOOKUP('Données projet'!$B$15,Paramètres!$A$1:$I$88,3,0)*VLOOKUP('Données projet'!$B$15,Paramètres!$A$1:$I$88,5,0)</f>
        <v>3.9017322706058626E-13</v>
      </c>
      <c r="EL106" s="14">
        <f t="shared" si="99"/>
        <v>5.0025007393608908E-12</v>
      </c>
      <c r="EM106" s="22">
        <f t="shared" si="73"/>
        <v>9.3922404915174053E-12</v>
      </c>
      <c r="EN106" s="59">
        <f t="shared" si="74"/>
        <v>293.33333333334269</v>
      </c>
      <c r="EO106" s="59">
        <f ca="1">AVERAGE(OFFSET($EN$3,0,0,'Données projet'!$E$15+1,1))-AVERAGE(OFFSET($H$3,0,0,'Données projet'!$E$15+1,1))</f>
        <v>462.99360395552145</v>
      </c>
      <c r="EP106" s="59">
        <f t="shared" si="100"/>
        <v>153.03880717786046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projet'!$B$15,Paramètres!$A$1:$I$88,3,0)*0.475*44/12</f>
        <v>246.38047773081516</v>
      </c>
      <c r="EW106" s="23">
        <f>EXP(-LN(2)/25)*EW105+(1-EXP(-LN(2)/25))/(LN(2)/25)*Calculateur!ER106*Calculateur!ET106*VLOOKUP('Données projet'!$B$15,Paramètres!$A$1:$I$88,3,0)*0.475*44/12</f>
        <v>0</v>
      </c>
      <c r="EX106" s="23">
        <f>EXP(-LN(2)/2)*EX105+(1-EXP(-LN(2)/2))/(LN(2)/2)*ER106*EU106*VLOOKUP('Données projet'!$B$15,Paramètres!$A$1:$I$88,3,0)*0.475*44/12</f>
        <v>0</v>
      </c>
      <c r="EY106" s="24">
        <f t="shared" si="75"/>
        <v>246.38047773081516</v>
      </c>
      <c r="EZ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2.2737367544323206E-13</v>
      </c>
      <c r="FF106" s="18">
        <f>FE106*VLOOKUP('Données projet'!$B$16,Paramètres!$A$1:$I$88,3,0)*VLOOKUP('Données projet'!$B$16,Paramètres!$A$1:$I$88,5,0)</f>
        <v>1.9863364286720756E-13</v>
      </c>
      <c r="FG106" s="14">
        <f t="shared" si="101"/>
        <v>2.7549360720371426E-12</v>
      </c>
      <c r="FH106" s="22">
        <f t="shared" si="76"/>
        <v>5.144133920125077E-12</v>
      </c>
      <c r="FI106" s="59">
        <f t="shared" si="77"/>
        <v>293.33333333333843</v>
      </c>
      <c r="FJ106" s="59">
        <f ca="1">AVERAGE(OFFSET($FI$3,0,0,'Données projet'!$E$16+1,1))-AVERAGE(OFFSET($H$3,0,0,'Données projet'!$E$16+1,1))</f>
        <v>427.76895185088944</v>
      </c>
      <c r="FK106" s="59">
        <f t="shared" si="102"/>
        <v>308.32543361559135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projet'!$B$16,Paramètres!$A$1:$I$88,3,0)*0.475*44/12</f>
        <v>200.08615180666106</v>
      </c>
      <c r="FR106" s="23">
        <f>EXP(-LN(2)/25)*FR105+(1-EXP(-LN(2)/25))/(LN(2)/25)*Calculateur!FM106*Calculateur!FO106*VLOOKUP('Données projet'!$B$16,Paramètres!$A$1:$I$88,3,0)*0.475*44/12</f>
        <v>0</v>
      </c>
      <c r="FS106" s="23">
        <f>EXP(-LN(2)/2)*FS105+(1-EXP(-LN(2)/2))/(LN(2)/2)*FM106*FP106*VLOOKUP('Données projet'!$B$16,Paramètres!$A$1:$I$88,3,0)*0.475*44/12</f>
        <v>0</v>
      </c>
      <c r="FT106" s="24">
        <f t="shared" si="78"/>
        <v>200.08615180666106</v>
      </c>
      <c r="FU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333.00000000000006</v>
      </c>
      <c r="GA106" s="18">
        <f>FZ106*VLOOKUP('Données projet'!$B$17,Paramètres!$A$1:$I$88,3,0)*VLOOKUP('Données projet'!$B$17,Paramètres!$A$1:$I$88,5,0)</f>
        <v>207.79200000000006</v>
      </c>
      <c r="GB106" s="14">
        <f t="shared" si="103"/>
        <v>51.452785725007907</v>
      </c>
      <c r="GC106" s="22">
        <f t="shared" si="79"/>
        <v>451.5180018043888</v>
      </c>
      <c r="GD106" s="59">
        <f t="shared" si="80"/>
        <v>744.85133513772212</v>
      </c>
      <c r="GE106" s="59">
        <f ca="1">AVERAGE(OFFSET($GD$3,0,0,'Données projet'!$E$17+1,1))-AVERAGE(OFFSET($H$3,0,0,'Données projet'!$E$17+1,1))</f>
        <v>247.85542034088905</v>
      </c>
      <c r="GF106" s="59">
        <f t="shared" si="104"/>
        <v>299.52241743660352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projet'!$B$17,Paramètres!$A$1:$I$88,3,0)*0.475*44/12</f>
        <v>15.855114359561494</v>
      </c>
      <c r="GM106" s="23">
        <f>EXP(-LN(2)/25)*GM105+(1-EXP(-LN(2)/25))/(LN(2)/25)*Calculateur!GH106*Calculateur!GJ106*VLOOKUP('Données projet'!$B$17,Paramètres!$A$1:$I$88,3,0)*0.475*44/12</f>
        <v>11.542838967664816</v>
      </c>
      <c r="GN106" s="23">
        <f>EXP(-LN(2)/2)*GN105+(1-EXP(-LN(2)/2))/(LN(2)/2)*GH106*GK106*VLOOKUP('Données projet'!$B$17,Paramètres!$A$1:$I$88,3,0)*0.475*44/12</f>
        <v>1.4431791093209898E-5</v>
      </c>
      <c r="GO106" s="23">
        <f t="shared" si="81"/>
        <v>27.397967759017405</v>
      </c>
      <c r="GP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3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6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6</v>
      </c>
      <c r="N107" s="14">
        <f>IF('Données projet'!$A$36&gt;35,N106+M107-V106,IF(A107&lt;'Données projet'!$A$36,$K$205^A107,IF(A107='Données projet'!$A$36,'Données projet'!$B$36,N106+M107-V106)))</f>
        <v>229.99999999999994</v>
      </c>
      <c r="O107" s="14">
        <f>N107*VLOOKUP('Données projet'!$B$9,Paramètres!$A$1:$I$88,3,0)*VLOOKUP('Données projet'!$B$9,Paramètres!$A$1:$I$88,5,0)</f>
        <v>208.10399999999993</v>
      </c>
      <c r="P107" s="14">
        <f t="shared" si="87"/>
        <v>51.52104354893045</v>
      </c>
      <c r="Q107" s="22">
        <f t="shared" si="107"/>
        <v>452.18028418105376</v>
      </c>
      <c r="R107" s="59">
        <f t="shared" si="55"/>
        <v>745.51361751438708</v>
      </c>
      <c r="S107" s="59">
        <f ca="1">AVERAGE(OFFSET($R$3,0,0,'Données projet'!$E$9+1,1))-AVERAGE(OFFSET($H$3,0,0,'Données projet'!$E$9+1,1))</f>
        <v>247.57967230773539</v>
      </c>
      <c r="T107" s="59">
        <f t="shared" si="88"/>
        <v>156.58857589533295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28.026532357309446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28.026532357309446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-3.4106051316484809E-13</v>
      </c>
      <c r="AJ107" s="14">
        <f>AI107*VLOOKUP('Données projet'!$B$10,Paramètres!$A$1:$I$88,3,0)*VLOOKUP('Données projet'!$B$10,Paramètres!$A$1:$I$88,5,0)</f>
        <v>-2.7134774427395314E-13</v>
      </c>
      <c r="AK107" s="14" t="e">
        <f t="shared" si="89"/>
        <v>#NUM!</v>
      </c>
      <c r="AL107" s="22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504.15006129790828</v>
      </c>
      <c r="AO107" s="59">
        <f t="shared" si="90"/>
        <v>374.39334457402742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223.10054166265502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223.10054166265502</v>
      </c>
      <c r="AY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-3.4106051316484809E-13</v>
      </c>
      <c r="BE107" s="14">
        <f>BD107*VLOOKUP('Données projet'!$B$11,Paramètres!$A$1:$I$88,3,0)*VLOOKUP('Données projet'!$B$11,Paramètres!$A$1:$I$88,5,0)</f>
        <v>-2.7134774427395314E-13</v>
      </c>
      <c r="BF107" s="14" t="e">
        <f t="shared" si="91"/>
        <v>#NUM!</v>
      </c>
      <c r="BG107" s="22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504.15006129790828</v>
      </c>
      <c r="BJ107" s="59">
        <f t="shared" si="92"/>
        <v>374.39334457402742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223.10054166265502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223.10054166265502</v>
      </c>
      <c r="BT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-3.4106051316484809E-13</v>
      </c>
      <c r="BZ107" s="14">
        <f>BY107*VLOOKUP('Données projet'!$B$12,Paramètres!$A$1:$I$88,3,0)*VLOOKUP('Données projet'!$B$12,Paramètres!$A$1:$I$88,5,0)</f>
        <v>-2.2878339223098009E-13</v>
      </c>
      <c r="CA107" s="14" t="e">
        <f t="shared" si="93"/>
        <v>#NUM!</v>
      </c>
      <c r="CB107" s="22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387.15063677712425</v>
      </c>
      <c r="CE107" s="59">
        <f t="shared" si="94"/>
        <v>313.19155394370705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147.09590329313835</v>
      </c>
      <c r="CL107" s="23">
        <f>EXP(-LN(2)/25)*CL106+(1-EXP(-LN(2)/25))/(LN(2)/25)*Calculateur!CG107*Calculateur!CI107*VLOOKUP('Données projet'!$B$12,Paramètres!$A$1:$I$88,3,0)*0.475*44/12</f>
        <v>0</v>
      </c>
      <c r="CM107" s="23">
        <f>EXP(-LN(2)/2)*CM106+(1-EXP(-LN(2)/2))/(LN(2)/2)*CG107*CJ107*VLOOKUP('Données projet'!$B$12,Paramètres!$A$1:$I$88,3,0)*0.475*44/12</f>
        <v>0</v>
      </c>
      <c r="CN107" s="24">
        <f t="shared" si="66"/>
        <v>147.09590329313835</v>
      </c>
      <c r="CO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6</v>
      </c>
      <c r="CT107" s="13">
        <f>IF('Données projet'!$A$140&gt;35,CT106+CS107-DB106,IF(A107&lt;'Données projet'!$A$140,$CQ$205^A107,IF(A107='Données projet'!$A$140,'Données projet'!$B$140,CT106+CS107-DB106)))</f>
        <v>229.99999999999994</v>
      </c>
      <c r="CU107" s="18">
        <f>CT107*VLOOKUP('Données projet'!$B$13,Paramètres!$A$1:$I$88,3,0)*VLOOKUP('Données projet'!$B$13,Paramètres!$A$1:$I$88,5,0)</f>
        <v>222.45599999999996</v>
      </c>
      <c r="CV107" s="14">
        <f t="shared" si="95"/>
        <v>54.648339796219815</v>
      </c>
      <c r="CW107" s="22">
        <f t="shared" si="67"/>
        <v>482.6233918117494</v>
      </c>
      <c r="CX107" s="59">
        <f t="shared" si="68"/>
        <v>775.95672514508271</v>
      </c>
      <c r="CY107" s="59">
        <f ca="1">AVERAGE(OFFSET($CX$3,0,0,'Données projet'!$E$13+1,1))-AVERAGE(OFFSET($H$3,0,0,'Données projet'!$E$13+1,1))</f>
        <v>306.00894145276209</v>
      </c>
      <c r="CZ107" s="59">
        <f t="shared" si="96"/>
        <v>168.74705421228828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29.95939665781356</v>
      </c>
      <c r="DG107" s="23">
        <f>EXP(-LN(2)/25)*DG106+(1-EXP(-LN(2)/25))/(LN(2)/25)*Calculateur!DB107*Calculateur!DD107*VLOOKUP('Données projet'!$B$13,Paramètres!$A$1:$I$88,3,0)*0.475*44/12</f>
        <v>0</v>
      </c>
      <c r="DH107" s="23">
        <f>EXP(-LN(2)/2)*DH106+(1-EXP(-LN(2)/2))/(LN(2)/2)*DB107*DE107*VLOOKUP('Données projet'!$B$13,Paramètres!$A$1:$I$88,3,0)*0.475*44/12</f>
        <v>0</v>
      </c>
      <c r="DI107" s="24">
        <f t="shared" si="69"/>
        <v>29.95939665781356</v>
      </c>
      <c r="DJ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-3.4106051316484809E-13</v>
      </c>
      <c r="DP107" s="18">
        <f>DO107*VLOOKUP('Données projet'!$B$14,Paramètres!$A$1:$I$88,3,0)*VLOOKUP('Données projet'!$B$14,Paramètres!$A$1:$I$88,5,0)</f>
        <v>-2.6602720026858149E-13</v>
      </c>
      <c r="DQ107" s="14" t="e">
        <f t="shared" si="97"/>
        <v>#NUM!</v>
      </c>
      <c r="DR107" s="22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458.14328535055694</v>
      </c>
      <c r="DU107" s="59">
        <f t="shared" si="98"/>
        <v>366.75500153675739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projet'!$B$14,Paramètres!$A$1:$I$88,3,0)*0.475*44/12</f>
        <v>138.76972008786649</v>
      </c>
      <c r="EB107" s="23">
        <f>EXP(-LN(2)/25)*EB106+(1-EXP(-LN(2)/25))/(LN(2)/25)*Calculateur!DW107*Calculateur!DY107*VLOOKUP('Données projet'!$B$14,Paramètres!$A$1:$I$88,3,0)*0.475*44/12</f>
        <v>0</v>
      </c>
      <c r="EC107" s="23">
        <f>EXP(-LN(2)/2)*EC106+(1-EXP(-LN(2)/2))/(LN(2)/2)*DW107*DZ107*VLOOKUP('Données projet'!$B$14,Paramètres!$A$1:$I$88,3,0)*0.475*44/12</f>
        <v>0</v>
      </c>
      <c r="ED107" s="24">
        <f t="shared" si="72"/>
        <v>138.76972008786649</v>
      </c>
      <c r="EE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4.5474735088646412E-13</v>
      </c>
      <c r="EK107" s="18">
        <f>EJ107*VLOOKUP('Données projet'!$B$15,Paramètres!$A$1:$I$88,3,0)*VLOOKUP('Données projet'!$B$15,Paramètres!$A$1:$I$88,5,0)</f>
        <v>3.9017322706058626E-13</v>
      </c>
      <c r="EL107" s="14">
        <f t="shared" si="99"/>
        <v>5.0025007393608908E-12</v>
      </c>
      <c r="EM107" s="22">
        <f t="shared" si="73"/>
        <v>9.3922404915174053E-12</v>
      </c>
      <c r="EN107" s="59">
        <f t="shared" si="74"/>
        <v>293.33333333334269</v>
      </c>
      <c r="EO107" s="59">
        <f ca="1">AVERAGE(OFFSET($EN$3,0,0,'Données projet'!$E$15+1,1))-AVERAGE(OFFSET($H$3,0,0,'Données projet'!$E$15+1,1))</f>
        <v>462.99360395552145</v>
      </c>
      <c r="EP107" s="59">
        <f t="shared" si="100"/>
        <v>153.03880717786046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projet'!$B$15,Paramètres!$A$1:$I$88,3,0)*0.475*44/12</f>
        <v>241.54910683976664</v>
      </c>
      <c r="EW107" s="23">
        <f>EXP(-LN(2)/25)*EW106+(1-EXP(-LN(2)/25))/(LN(2)/25)*Calculateur!ER107*Calculateur!ET107*VLOOKUP('Données projet'!$B$15,Paramètres!$A$1:$I$88,3,0)*0.475*44/12</f>
        <v>0</v>
      </c>
      <c r="EX107" s="23">
        <f>EXP(-LN(2)/2)*EX106+(1-EXP(-LN(2)/2))/(LN(2)/2)*ER107*EU107*VLOOKUP('Données projet'!$B$15,Paramètres!$A$1:$I$88,3,0)*0.475*44/12</f>
        <v>0</v>
      </c>
      <c r="EY107" s="24">
        <f t="shared" si="75"/>
        <v>241.54910683976664</v>
      </c>
      <c r="EZ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2.2737367544323206E-13</v>
      </c>
      <c r="FF107" s="18">
        <f>FE107*VLOOKUP('Données projet'!$B$16,Paramètres!$A$1:$I$88,3,0)*VLOOKUP('Données projet'!$B$16,Paramètres!$A$1:$I$88,5,0)</f>
        <v>1.9863364286720756E-13</v>
      </c>
      <c r="FG107" s="14">
        <f t="shared" si="101"/>
        <v>2.7549360720371426E-12</v>
      </c>
      <c r="FH107" s="22">
        <f t="shared" si="76"/>
        <v>5.144133920125077E-12</v>
      </c>
      <c r="FI107" s="59">
        <f t="shared" si="77"/>
        <v>293.33333333333843</v>
      </c>
      <c r="FJ107" s="59">
        <f ca="1">AVERAGE(OFFSET($FI$3,0,0,'Données projet'!$E$16+1,1))-AVERAGE(OFFSET($H$3,0,0,'Données projet'!$E$16+1,1))</f>
        <v>427.76895185088944</v>
      </c>
      <c r="FK107" s="59">
        <f t="shared" si="102"/>
        <v>308.32543361559135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projet'!$B$16,Paramètres!$A$1:$I$88,3,0)*0.475*44/12</f>
        <v>196.16258441023456</v>
      </c>
      <c r="FR107" s="23">
        <f>EXP(-LN(2)/25)*FR106+(1-EXP(-LN(2)/25))/(LN(2)/25)*Calculateur!FM107*Calculateur!FO107*VLOOKUP('Données projet'!$B$16,Paramètres!$A$1:$I$88,3,0)*0.475*44/12</f>
        <v>0</v>
      </c>
      <c r="FS107" s="23">
        <f>EXP(-LN(2)/2)*FS106+(1-EXP(-LN(2)/2))/(LN(2)/2)*FM107*FP107*VLOOKUP('Données projet'!$B$16,Paramètres!$A$1:$I$88,3,0)*0.475*44/12</f>
        <v>0</v>
      </c>
      <c r="FT107" s="24">
        <f t="shared" si="78"/>
        <v>196.16258441023456</v>
      </c>
      <c r="FU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333.00000000000006</v>
      </c>
      <c r="GA107" s="18">
        <f>FZ107*VLOOKUP('Données projet'!$B$17,Paramètres!$A$1:$I$88,3,0)*VLOOKUP('Données projet'!$B$17,Paramètres!$A$1:$I$88,5,0)</f>
        <v>207.79200000000006</v>
      </c>
      <c r="GB107" s="14">
        <f t="shared" si="103"/>
        <v>51.452785725007907</v>
      </c>
      <c r="GC107" s="22">
        <f t="shared" si="79"/>
        <v>451.5180018043888</v>
      </c>
      <c r="GD107" s="59">
        <f t="shared" si="80"/>
        <v>744.85133513772212</v>
      </c>
      <c r="GE107" s="59">
        <f ca="1">AVERAGE(OFFSET($GD$3,0,0,'Données projet'!$E$17+1,1))-AVERAGE(OFFSET($H$3,0,0,'Données projet'!$E$17+1,1))</f>
        <v>247.85542034088905</v>
      </c>
      <c r="GF107" s="59">
        <f t="shared" si="104"/>
        <v>299.52241743660352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projet'!$B$17,Paramètres!$A$1:$I$88,3,0)*0.475*44/12</f>
        <v>15.544205237635353</v>
      </c>
      <c r="GM107" s="23">
        <f>EXP(-LN(2)/25)*GM106+(1-EXP(-LN(2)/25))/(LN(2)/25)*Calculateur!GH107*Calculateur!GJ107*VLOOKUP('Données projet'!$B$17,Paramètres!$A$1:$I$88,3,0)*0.475*44/12</f>
        <v>11.227199429082502</v>
      </c>
      <c r="GN107" s="23">
        <f>EXP(-LN(2)/2)*GN106+(1-EXP(-LN(2)/2))/(LN(2)/2)*GH107*GK107*VLOOKUP('Données projet'!$B$17,Paramètres!$A$1:$I$88,3,0)*0.475*44/12</f>
        <v>1.0204817346676337E-5</v>
      </c>
      <c r="GO107" s="23">
        <f t="shared" si="81"/>
        <v>26.771414871535203</v>
      </c>
      <c r="GP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3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6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6</v>
      </c>
      <c r="N108" s="14">
        <f>IF('Données projet'!$A$36&gt;35,N107+M108-V107,IF(A108&lt;'Données projet'!$A$36,$K$205^A108,IF(A108='Données projet'!$A$36,'Données projet'!$B$36,N107+M108-V107)))</f>
        <v>235.99999999999994</v>
      </c>
      <c r="O108" s="14">
        <f>N108*VLOOKUP('Données projet'!$B$9,Paramètres!$A$1:$I$88,3,0)*VLOOKUP('Données projet'!$B$9,Paramètres!$A$1:$I$88,5,0)</f>
        <v>213.53279999999995</v>
      </c>
      <c r="P108" s="14">
        <f t="shared" si="87"/>
        <v>52.706840209271185</v>
      </c>
      <c r="Q108" s="22">
        <f t="shared" si="107"/>
        <v>463.70070669781393</v>
      </c>
      <c r="R108" s="59">
        <f t="shared" si="55"/>
        <v>757.03404003114724</v>
      </c>
      <c r="S108" s="59">
        <f ca="1">AVERAGE(OFFSET($R$3,0,0,'Données projet'!$E$9+1,1))-AVERAGE(OFFSET($H$3,0,0,'Données projet'!$E$9+1,1))</f>
        <v>247.57967230773539</v>
      </c>
      <c r="T108" s="59">
        <f t="shared" si="88"/>
        <v>156.58857589533295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27.476949152279403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27.476949152279403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-3.4106051316484809E-13</v>
      </c>
      <c r="AJ108" s="14">
        <f>AI108*VLOOKUP('Données projet'!$B$10,Paramètres!$A$1:$I$88,3,0)*VLOOKUP('Données projet'!$B$10,Paramètres!$A$1:$I$88,5,0)</f>
        <v>-2.7134774427395314E-13</v>
      </c>
      <c r="AK108" s="14" t="e">
        <f t="shared" si="89"/>
        <v>#NUM!</v>
      </c>
      <c r="AL108" s="22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504.15006129790828</v>
      </c>
      <c r="AO108" s="59">
        <f t="shared" si="90"/>
        <v>374.39334457402742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218.72567611854419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218.72567611854419</v>
      </c>
      <c r="AY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-3.4106051316484809E-13</v>
      </c>
      <c r="BE108" s="14">
        <f>BD108*VLOOKUP('Données projet'!$B$11,Paramètres!$A$1:$I$88,3,0)*VLOOKUP('Données projet'!$B$11,Paramètres!$A$1:$I$88,5,0)</f>
        <v>-2.7134774427395314E-13</v>
      </c>
      <c r="BF108" s="14" t="e">
        <f t="shared" si="91"/>
        <v>#NUM!</v>
      </c>
      <c r="BG108" s="22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504.15006129790828</v>
      </c>
      <c r="BJ108" s="59">
        <f t="shared" si="92"/>
        <v>374.39334457402742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218.72567611854419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218.72567611854419</v>
      </c>
      <c r="BT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-3.4106051316484809E-13</v>
      </c>
      <c r="BZ108" s="14">
        <f>BY108*VLOOKUP('Données projet'!$B$12,Paramètres!$A$1:$I$88,3,0)*VLOOKUP('Données projet'!$B$12,Paramètres!$A$1:$I$88,5,0)</f>
        <v>-2.2878339223098009E-13</v>
      </c>
      <c r="CA108" s="14" t="e">
        <f t="shared" si="93"/>
        <v>#NUM!</v>
      </c>
      <c r="CB108" s="22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387.15063677712425</v>
      </c>
      <c r="CE108" s="59">
        <f t="shared" si="94"/>
        <v>313.19155394370705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144.21144234920183</v>
      </c>
      <c r="CL108" s="23">
        <f>EXP(-LN(2)/25)*CL107+(1-EXP(-LN(2)/25))/(LN(2)/25)*Calculateur!CG108*Calculateur!CI108*VLOOKUP('Données projet'!$B$12,Paramètres!$A$1:$I$88,3,0)*0.475*44/12</f>
        <v>0</v>
      </c>
      <c r="CM108" s="23">
        <f>EXP(-LN(2)/2)*CM107+(1-EXP(-LN(2)/2))/(LN(2)/2)*CG108*CJ108*VLOOKUP('Données projet'!$B$12,Paramètres!$A$1:$I$88,3,0)*0.475*44/12</f>
        <v>0</v>
      </c>
      <c r="CN108" s="24">
        <f t="shared" si="66"/>
        <v>144.21144234920183</v>
      </c>
      <c r="CO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6</v>
      </c>
      <c r="CT108" s="13">
        <f>IF('Données projet'!$A$140&gt;35,CT107+CS108-DB107,IF(A108&lt;'Données projet'!$A$140,$CQ$205^A108,IF(A108='Données projet'!$A$140,'Données projet'!$B$140,CT107+CS108-DB107)))</f>
        <v>235.99999999999994</v>
      </c>
      <c r="CU108" s="18">
        <f>CT108*VLOOKUP('Données projet'!$B$13,Paramètres!$A$1:$I$88,3,0)*VLOOKUP('Données projet'!$B$13,Paramètres!$A$1:$I$88,5,0)</f>
        <v>228.25919999999996</v>
      </c>
      <c r="CV108" s="14">
        <f t="shared" si="95"/>
        <v>55.906113598141786</v>
      </c>
      <c r="CW108" s="22">
        <f t="shared" si="67"/>
        <v>494.92125451676355</v>
      </c>
      <c r="CX108" s="59">
        <f t="shared" si="68"/>
        <v>788.25458785009687</v>
      </c>
      <c r="CY108" s="59">
        <f ca="1">AVERAGE(OFFSET($CX$3,0,0,'Données projet'!$E$13+1,1))-AVERAGE(OFFSET($H$3,0,0,'Données projet'!$E$13+1,1))</f>
        <v>306.00894145276209</v>
      </c>
      <c r="CZ108" s="59">
        <f t="shared" si="96"/>
        <v>168.74705421228828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29.371911162781448</v>
      </c>
      <c r="DG108" s="23">
        <f>EXP(-LN(2)/25)*DG107+(1-EXP(-LN(2)/25))/(LN(2)/25)*Calculateur!DB108*Calculateur!DD108*VLOOKUP('Données projet'!$B$13,Paramètres!$A$1:$I$88,3,0)*0.475*44/12</f>
        <v>0</v>
      </c>
      <c r="DH108" s="23">
        <f>EXP(-LN(2)/2)*DH107+(1-EXP(-LN(2)/2))/(LN(2)/2)*DB108*DE108*VLOOKUP('Données projet'!$B$13,Paramètres!$A$1:$I$88,3,0)*0.475*44/12</f>
        <v>0</v>
      </c>
      <c r="DI108" s="24">
        <f t="shared" si="69"/>
        <v>29.371911162781448</v>
      </c>
      <c r="DJ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-3.4106051316484809E-13</v>
      </c>
      <c r="DP108" s="18">
        <f>DO108*VLOOKUP('Données projet'!$B$14,Paramètres!$A$1:$I$88,3,0)*VLOOKUP('Données projet'!$B$14,Paramètres!$A$1:$I$88,5,0)</f>
        <v>-2.6602720026858149E-13</v>
      </c>
      <c r="DQ108" s="14" t="e">
        <f t="shared" si="97"/>
        <v>#NUM!</v>
      </c>
      <c r="DR108" s="22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458.14328535055694</v>
      </c>
      <c r="DU108" s="59">
        <f t="shared" si="98"/>
        <v>366.75500153675739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projet'!$B$14,Paramètres!$A$1:$I$88,3,0)*0.475*44/12</f>
        <v>136.04853051811506</v>
      </c>
      <c r="EB108" s="23">
        <f>EXP(-LN(2)/25)*EB107+(1-EXP(-LN(2)/25))/(LN(2)/25)*Calculateur!DW108*Calculateur!DY108*VLOOKUP('Données projet'!$B$14,Paramètres!$A$1:$I$88,3,0)*0.475*44/12</f>
        <v>0</v>
      </c>
      <c r="EC108" s="23">
        <f>EXP(-LN(2)/2)*EC107+(1-EXP(-LN(2)/2))/(LN(2)/2)*DW108*DZ108*VLOOKUP('Données projet'!$B$14,Paramètres!$A$1:$I$88,3,0)*0.475*44/12</f>
        <v>0</v>
      </c>
      <c r="ED108" s="24">
        <f t="shared" si="72"/>
        <v>136.04853051811506</v>
      </c>
      <c r="EE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4.5474735088646412E-13</v>
      </c>
      <c r="EK108" s="18">
        <f>EJ108*VLOOKUP('Données projet'!$B$15,Paramètres!$A$1:$I$88,3,0)*VLOOKUP('Données projet'!$B$15,Paramètres!$A$1:$I$88,5,0)</f>
        <v>3.9017322706058626E-13</v>
      </c>
      <c r="EL108" s="14">
        <f t="shared" si="99"/>
        <v>5.0025007393608908E-12</v>
      </c>
      <c r="EM108" s="22">
        <f t="shared" si="73"/>
        <v>9.3922404915174053E-12</v>
      </c>
      <c r="EN108" s="59">
        <f t="shared" si="74"/>
        <v>293.33333333334269</v>
      </c>
      <c r="EO108" s="59">
        <f ca="1">AVERAGE(OFFSET($EN$3,0,0,'Données projet'!$E$15+1,1))-AVERAGE(OFFSET($H$3,0,0,'Données projet'!$E$15+1,1))</f>
        <v>462.99360395552145</v>
      </c>
      <c r="EP108" s="59">
        <f t="shared" si="100"/>
        <v>153.03880717786046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projet'!$B$15,Paramètres!$A$1:$I$88,3,0)*0.475*44/12</f>
        <v>236.81247618504631</v>
      </c>
      <c r="EW108" s="23">
        <f>EXP(-LN(2)/25)*EW107+(1-EXP(-LN(2)/25))/(LN(2)/25)*Calculateur!ER108*Calculateur!ET108*VLOOKUP('Données projet'!$B$15,Paramètres!$A$1:$I$88,3,0)*0.475*44/12</f>
        <v>0</v>
      </c>
      <c r="EX108" s="23">
        <f>EXP(-LN(2)/2)*EX107+(1-EXP(-LN(2)/2))/(LN(2)/2)*ER108*EU108*VLOOKUP('Données projet'!$B$15,Paramètres!$A$1:$I$88,3,0)*0.475*44/12</f>
        <v>0</v>
      </c>
      <c r="EY108" s="24">
        <f t="shared" si="75"/>
        <v>236.81247618504631</v>
      </c>
      <c r="EZ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2.2737367544323206E-13</v>
      </c>
      <c r="FF108" s="18">
        <f>FE108*VLOOKUP('Données projet'!$B$16,Paramètres!$A$1:$I$88,3,0)*VLOOKUP('Données projet'!$B$16,Paramètres!$A$1:$I$88,5,0)</f>
        <v>1.9863364286720756E-13</v>
      </c>
      <c r="FG108" s="14">
        <f t="shared" si="101"/>
        <v>2.7549360720371426E-12</v>
      </c>
      <c r="FH108" s="22">
        <f t="shared" si="76"/>
        <v>5.144133920125077E-12</v>
      </c>
      <c r="FI108" s="59">
        <f t="shared" si="77"/>
        <v>293.33333333333843</v>
      </c>
      <c r="FJ108" s="59">
        <f ca="1">AVERAGE(OFFSET($FI$3,0,0,'Données projet'!$E$16+1,1))-AVERAGE(OFFSET($H$3,0,0,'Données projet'!$E$16+1,1))</f>
        <v>427.76895185088944</v>
      </c>
      <c r="FK108" s="59">
        <f t="shared" si="102"/>
        <v>308.32543361559135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projet'!$B$16,Paramètres!$A$1:$I$88,3,0)*0.475*44/12</f>
        <v>192.31595577731215</v>
      </c>
      <c r="FR108" s="23">
        <f>EXP(-LN(2)/25)*FR107+(1-EXP(-LN(2)/25))/(LN(2)/25)*Calculateur!FM108*Calculateur!FO108*VLOOKUP('Données projet'!$B$16,Paramètres!$A$1:$I$88,3,0)*0.475*44/12</f>
        <v>0</v>
      </c>
      <c r="FS108" s="23">
        <f>EXP(-LN(2)/2)*FS107+(1-EXP(-LN(2)/2))/(LN(2)/2)*FM108*FP108*VLOOKUP('Données projet'!$B$16,Paramètres!$A$1:$I$88,3,0)*0.475*44/12</f>
        <v>0</v>
      </c>
      <c r="FT108" s="24">
        <f t="shared" si="78"/>
        <v>192.31595577731215</v>
      </c>
      <c r="FU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333.00000000000006</v>
      </c>
      <c r="GA108" s="18">
        <f>FZ108*VLOOKUP('Données projet'!$B$17,Paramètres!$A$1:$I$88,3,0)*VLOOKUP('Données projet'!$B$17,Paramètres!$A$1:$I$88,5,0)</f>
        <v>207.79200000000006</v>
      </c>
      <c r="GB108" s="14">
        <f t="shared" si="103"/>
        <v>51.452785725007907</v>
      </c>
      <c r="GC108" s="22">
        <f t="shared" si="79"/>
        <v>451.5180018043888</v>
      </c>
      <c r="GD108" s="59">
        <f t="shared" si="80"/>
        <v>744.85133513772212</v>
      </c>
      <c r="GE108" s="59">
        <f ca="1">AVERAGE(OFFSET($GD$3,0,0,'Données projet'!$E$17+1,1))-AVERAGE(OFFSET($H$3,0,0,'Données projet'!$E$17+1,1))</f>
        <v>247.85542034088905</v>
      </c>
      <c r="GF108" s="59">
        <f t="shared" si="104"/>
        <v>299.52241743660352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projet'!$B$17,Paramètres!$A$1:$I$88,3,0)*0.475*44/12</f>
        <v>15.239392853954344</v>
      </c>
      <c r="GM108" s="23">
        <f>EXP(-LN(2)/25)*GM107+(1-EXP(-LN(2)/25))/(LN(2)/25)*Calculateur!GH108*Calculateur!GJ108*VLOOKUP('Données projet'!$B$17,Paramètres!$A$1:$I$88,3,0)*0.475*44/12</f>
        <v>10.920191070281483</v>
      </c>
      <c r="GN108" s="23">
        <f>EXP(-LN(2)/2)*GN107+(1-EXP(-LN(2)/2))/(LN(2)/2)*GH108*GK108*VLOOKUP('Données projet'!$B$17,Paramètres!$A$1:$I$88,3,0)*0.475*44/12</f>
        <v>7.2158955466049496E-6</v>
      </c>
      <c r="GO108" s="23">
        <f t="shared" si="81"/>
        <v>26.159591140131372</v>
      </c>
      <c r="GP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3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6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6</v>
      </c>
      <c r="N109" s="14">
        <f>IF('Données projet'!$A$36&gt;35,N108+M109-V108,IF(A109&lt;'Données projet'!$A$36,$K$205^A109,IF(A109='Données projet'!$A$36,'Données projet'!$B$36,N108+M109-V108)))</f>
        <v>241.99999999999994</v>
      </c>
      <c r="O109" s="14">
        <f>N109*VLOOKUP('Données projet'!$B$9,Paramètres!$A$1:$I$88,3,0)*VLOOKUP('Données projet'!$B$9,Paramètres!$A$1:$I$88,5,0)</f>
        <v>218.96159999999995</v>
      </c>
      <c r="P109" s="14">
        <f t="shared" si="87"/>
        <v>53.88913250370743</v>
      </c>
      <c r="Q109" s="22">
        <f t="shared" si="107"/>
        <v>475.21502577729035</v>
      </c>
      <c r="R109" s="59">
        <f t="shared" si="55"/>
        <v>768.54835911062366</v>
      </c>
      <c r="S109" s="59">
        <f ca="1">AVERAGE(OFFSET($R$3,0,0,'Données projet'!$E$9+1,1))-AVERAGE(OFFSET($H$3,0,0,'Données projet'!$E$9+1,1))</f>
        <v>247.57967230773539</v>
      </c>
      <c r="T109" s="59">
        <f t="shared" si="88"/>
        <v>156.58857589533295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26.938142938687346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26.938142938687346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-3.4106051316484809E-13</v>
      </c>
      <c r="AJ109" s="14">
        <f>AI109*VLOOKUP('Données projet'!$B$10,Paramètres!$A$1:$I$88,3,0)*VLOOKUP('Données projet'!$B$10,Paramètres!$A$1:$I$88,5,0)</f>
        <v>-2.7134774427395314E-13</v>
      </c>
      <c r="AK109" s="14" t="e">
        <f t="shared" si="89"/>
        <v>#NUM!</v>
      </c>
      <c r="AL109" s="22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504.15006129790828</v>
      </c>
      <c r="AO109" s="59">
        <f t="shared" si="90"/>
        <v>374.39334457402742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214.43659901934888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214.43659901934888</v>
      </c>
      <c r="AY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-3.4106051316484809E-13</v>
      </c>
      <c r="BE109" s="14">
        <f>BD109*VLOOKUP('Données projet'!$B$11,Paramètres!$A$1:$I$88,3,0)*VLOOKUP('Données projet'!$B$11,Paramètres!$A$1:$I$88,5,0)</f>
        <v>-2.7134774427395314E-13</v>
      </c>
      <c r="BF109" s="14" t="e">
        <f t="shared" si="91"/>
        <v>#NUM!</v>
      </c>
      <c r="BG109" s="22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504.15006129790828</v>
      </c>
      <c r="BJ109" s="59">
        <f t="shared" si="92"/>
        <v>374.39334457402742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214.43659901934888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214.43659901934888</v>
      </c>
      <c r="BT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-3.4106051316484809E-13</v>
      </c>
      <c r="BZ109" s="14">
        <f>BY109*VLOOKUP('Données projet'!$B$12,Paramètres!$A$1:$I$88,3,0)*VLOOKUP('Données projet'!$B$12,Paramètres!$A$1:$I$88,5,0)</f>
        <v>-2.2878339223098009E-13</v>
      </c>
      <c r="CA109" s="14" t="e">
        <f t="shared" si="93"/>
        <v>#NUM!</v>
      </c>
      <c r="CB109" s="22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387.15063677712425</v>
      </c>
      <c r="CE109" s="59">
        <f t="shared" si="94"/>
        <v>313.19155394370705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141.38354392502845</v>
      </c>
      <c r="CL109" s="23">
        <f>EXP(-LN(2)/25)*CL108+(1-EXP(-LN(2)/25))/(LN(2)/25)*Calculateur!CG109*Calculateur!CI109*VLOOKUP('Données projet'!$B$12,Paramètres!$A$1:$I$88,3,0)*0.475*44/12</f>
        <v>0</v>
      </c>
      <c r="CM109" s="23">
        <f>EXP(-LN(2)/2)*CM108+(1-EXP(-LN(2)/2))/(LN(2)/2)*CG109*CJ109*VLOOKUP('Données projet'!$B$12,Paramètres!$A$1:$I$88,3,0)*0.475*44/12</f>
        <v>0</v>
      </c>
      <c r="CN109" s="24">
        <f t="shared" si="66"/>
        <v>141.38354392502845</v>
      </c>
      <c r="CO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6</v>
      </c>
      <c r="CT109" s="13">
        <f>IF('Données projet'!$A$140&gt;35,CT108+CS109-DB108,IF(A109&lt;'Données projet'!$A$140,$CQ$205^A109,IF(A109='Données projet'!$A$140,'Données projet'!$B$140,CT108+CS109-DB108)))</f>
        <v>241.99999999999994</v>
      </c>
      <c r="CU109" s="18">
        <f>CT109*VLOOKUP('Données projet'!$B$13,Paramètres!$A$1:$I$88,3,0)*VLOOKUP('Données projet'!$B$13,Paramètres!$A$1:$I$88,5,0)</f>
        <v>234.06239999999994</v>
      </c>
      <c r="CV109" s="14">
        <f t="shared" si="95"/>
        <v>57.16017032126387</v>
      </c>
      <c r="CW109" s="22">
        <f t="shared" si="67"/>
        <v>507.21264330953437</v>
      </c>
      <c r="CX109" s="59">
        <f t="shared" si="68"/>
        <v>800.54597664286769</v>
      </c>
      <c r="CY109" s="59">
        <f ca="1">AVERAGE(OFFSET($CX$3,0,0,'Données projet'!$E$13+1,1))-AVERAGE(OFFSET($H$3,0,0,'Données projet'!$E$13+1,1))</f>
        <v>306.00894145276209</v>
      </c>
      <c r="CZ109" s="59">
        <f t="shared" si="96"/>
        <v>168.74705421228828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28.795945899976143</v>
      </c>
      <c r="DG109" s="23">
        <f>EXP(-LN(2)/25)*DG108+(1-EXP(-LN(2)/25))/(LN(2)/25)*Calculateur!DB109*Calculateur!DD109*VLOOKUP('Données projet'!$B$13,Paramètres!$A$1:$I$88,3,0)*0.475*44/12</f>
        <v>0</v>
      </c>
      <c r="DH109" s="23">
        <f>EXP(-LN(2)/2)*DH108+(1-EXP(-LN(2)/2))/(LN(2)/2)*DB109*DE109*VLOOKUP('Données projet'!$B$13,Paramètres!$A$1:$I$88,3,0)*0.475*44/12</f>
        <v>0</v>
      </c>
      <c r="DI109" s="24">
        <f t="shared" si="69"/>
        <v>28.795945899976143</v>
      </c>
      <c r="DJ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-3.4106051316484809E-13</v>
      </c>
      <c r="DP109" s="18">
        <f>DO109*VLOOKUP('Données projet'!$B$14,Paramètres!$A$1:$I$88,3,0)*VLOOKUP('Données projet'!$B$14,Paramètres!$A$1:$I$88,5,0)</f>
        <v>-2.6602720026858149E-13</v>
      </c>
      <c r="DQ109" s="14" t="e">
        <f t="shared" si="97"/>
        <v>#NUM!</v>
      </c>
      <c r="DR109" s="22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458.14328535055694</v>
      </c>
      <c r="DU109" s="59">
        <f t="shared" si="98"/>
        <v>366.75500153675739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projet'!$B$14,Paramètres!$A$1:$I$88,3,0)*0.475*44/12</f>
        <v>133.38070181606471</v>
      </c>
      <c r="EB109" s="23">
        <f>EXP(-LN(2)/25)*EB108+(1-EXP(-LN(2)/25))/(LN(2)/25)*Calculateur!DW109*Calculateur!DY109*VLOOKUP('Données projet'!$B$14,Paramètres!$A$1:$I$88,3,0)*0.475*44/12</f>
        <v>0</v>
      </c>
      <c r="EC109" s="23">
        <f>EXP(-LN(2)/2)*EC108+(1-EXP(-LN(2)/2))/(LN(2)/2)*DW109*DZ109*VLOOKUP('Données projet'!$B$14,Paramètres!$A$1:$I$88,3,0)*0.475*44/12</f>
        <v>0</v>
      </c>
      <c r="ED109" s="24">
        <f t="shared" si="72"/>
        <v>133.38070181606471</v>
      </c>
      <c r="EE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4.5474735088646412E-13</v>
      </c>
      <c r="EK109" s="18">
        <f>EJ109*VLOOKUP('Données projet'!$B$15,Paramètres!$A$1:$I$88,3,0)*VLOOKUP('Données projet'!$B$15,Paramètres!$A$1:$I$88,5,0)</f>
        <v>3.9017322706058626E-13</v>
      </c>
      <c r="EL109" s="14">
        <f t="shared" si="99"/>
        <v>5.0025007393608908E-12</v>
      </c>
      <c r="EM109" s="22">
        <f t="shared" si="73"/>
        <v>9.3922404915174053E-12</v>
      </c>
      <c r="EN109" s="59">
        <f t="shared" si="74"/>
        <v>293.33333333334269</v>
      </c>
      <c r="EO109" s="59">
        <f ca="1">AVERAGE(OFFSET($EN$3,0,0,'Données projet'!$E$15+1,1))-AVERAGE(OFFSET($H$3,0,0,'Données projet'!$E$15+1,1))</f>
        <v>462.99360395552145</v>
      </c>
      <c r="EP109" s="59">
        <f t="shared" si="100"/>
        <v>153.03880717786046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projet'!$B$15,Paramètres!$A$1:$I$88,3,0)*0.475*44/12</f>
        <v>232.16872796840562</v>
      </c>
      <c r="EW109" s="23">
        <f>EXP(-LN(2)/25)*EW108+(1-EXP(-LN(2)/25))/(LN(2)/25)*Calculateur!ER109*Calculateur!ET109*VLOOKUP('Données projet'!$B$15,Paramètres!$A$1:$I$88,3,0)*0.475*44/12</f>
        <v>0</v>
      </c>
      <c r="EX109" s="23">
        <f>EXP(-LN(2)/2)*EX108+(1-EXP(-LN(2)/2))/(LN(2)/2)*ER109*EU109*VLOOKUP('Données projet'!$B$15,Paramètres!$A$1:$I$88,3,0)*0.475*44/12</f>
        <v>0</v>
      </c>
      <c r="EY109" s="24">
        <f t="shared" si="75"/>
        <v>232.16872796840562</v>
      </c>
      <c r="EZ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2.2737367544323206E-13</v>
      </c>
      <c r="FF109" s="18">
        <f>FE109*VLOOKUP('Données projet'!$B$16,Paramètres!$A$1:$I$88,3,0)*VLOOKUP('Données projet'!$B$16,Paramètres!$A$1:$I$88,5,0)</f>
        <v>1.9863364286720756E-13</v>
      </c>
      <c r="FG109" s="14">
        <f t="shared" si="101"/>
        <v>2.7549360720371426E-12</v>
      </c>
      <c r="FH109" s="22">
        <f t="shared" si="76"/>
        <v>5.144133920125077E-12</v>
      </c>
      <c r="FI109" s="59">
        <f t="shared" si="77"/>
        <v>293.33333333333843</v>
      </c>
      <c r="FJ109" s="59">
        <f ca="1">AVERAGE(OFFSET($FI$3,0,0,'Données projet'!$E$16+1,1))-AVERAGE(OFFSET($H$3,0,0,'Données projet'!$E$16+1,1))</f>
        <v>427.76895185088944</v>
      </c>
      <c r="FK109" s="59">
        <f t="shared" si="102"/>
        <v>308.32543361559135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projet'!$B$16,Paramètres!$A$1:$I$88,3,0)*0.475*44/12</f>
        <v>188.54475718566957</v>
      </c>
      <c r="FR109" s="23">
        <f>EXP(-LN(2)/25)*FR108+(1-EXP(-LN(2)/25))/(LN(2)/25)*Calculateur!FM109*Calculateur!FO109*VLOOKUP('Données projet'!$B$16,Paramètres!$A$1:$I$88,3,0)*0.475*44/12</f>
        <v>0</v>
      </c>
      <c r="FS109" s="23">
        <f>EXP(-LN(2)/2)*FS108+(1-EXP(-LN(2)/2))/(LN(2)/2)*FM109*FP109*VLOOKUP('Données projet'!$B$16,Paramètres!$A$1:$I$88,3,0)*0.475*44/12</f>
        <v>0</v>
      </c>
      <c r="FT109" s="24">
        <f t="shared" si="78"/>
        <v>188.54475718566957</v>
      </c>
      <c r="FU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333.00000000000006</v>
      </c>
      <c r="GA109" s="18">
        <f>FZ109*VLOOKUP('Données projet'!$B$17,Paramètres!$A$1:$I$88,3,0)*VLOOKUP('Données projet'!$B$17,Paramètres!$A$1:$I$88,5,0)</f>
        <v>207.79200000000006</v>
      </c>
      <c r="GB109" s="14">
        <f t="shared" si="103"/>
        <v>51.452785725007907</v>
      </c>
      <c r="GC109" s="22">
        <f t="shared" si="79"/>
        <v>451.5180018043888</v>
      </c>
      <c r="GD109" s="59">
        <f t="shared" si="80"/>
        <v>744.85133513772212</v>
      </c>
      <c r="GE109" s="59">
        <f ca="1">AVERAGE(OFFSET($GD$3,0,0,'Données projet'!$E$17+1,1))-AVERAGE(OFFSET($H$3,0,0,'Données projet'!$E$17+1,1))</f>
        <v>247.85542034088905</v>
      </c>
      <c r="GF109" s="59">
        <f t="shared" si="104"/>
        <v>299.52241743660352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projet'!$B$17,Paramètres!$A$1:$I$88,3,0)*0.475*44/12</f>
        <v>14.940557655200124</v>
      </c>
      <c r="GM109" s="23">
        <f>EXP(-LN(2)/25)*GM108+(1-EXP(-LN(2)/25))/(LN(2)/25)*Calculateur!GH109*Calculateur!GJ109*VLOOKUP('Données projet'!$B$17,Paramètres!$A$1:$I$88,3,0)*0.475*44/12</f>
        <v>10.621577871196745</v>
      </c>
      <c r="GN109" s="23">
        <f>EXP(-LN(2)/2)*GN108+(1-EXP(-LN(2)/2))/(LN(2)/2)*GH109*GK109*VLOOKUP('Données projet'!$B$17,Paramètres!$A$1:$I$88,3,0)*0.475*44/12</f>
        <v>5.1024086733381695E-6</v>
      </c>
      <c r="GO109" s="23">
        <f t="shared" si="81"/>
        <v>25.56214062880554</v>
      </c>
      <c r="GP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3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6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6</v>
      </c>
      <c r="N110" s="14">
        <f>IF('Données projet'!$A$36&gt;35,N109+M110-V109,IF(A110&lt;'Données projet'!$A$36,$K$205^A110,IF(A110='Données projet'!$A$36,'Données projet'!$B$36,N109+M110-V109)))</f>
        <v>247.99999999999994</v>
      </c>
      <c r="O110" s="14">
        <f>N110*VLOOKUP('Données projet'!$B$9,Paramètres!$A$1:$I$88,3,0)*VLOOKUP('Données projet'!$B$9,Paramètres!$A$1:$I$88,5,0)</f>
        <v>224.39039999999991</v>
      </c>
      <c r="P110" s="14">
        <f t="shared" si="87"/>
        <v>55.068017311015808</v>
      </c>
      <c r="Q110" s="22">
        <f t="shared" si="107"/>
        <v>486.72341015001911</v>
      </c>
      <c r="R110" s="59">
        <f t="shared" si="55"/>
        <v>780.05674348335242</v>
      </c>
      <c r="S110" s="59">
        <f ca="1">AVERAGE(OFFSET($R$3,0,0,'Données projet'!$E$9+1,1))-AVERAGE(OFFSET($H$3,0,0,'Données projet'!$E$9+1,1))</f>
        <v>247.57967230773539</v>
      </c>
      <c r="T110" s="59">
        <f t="shared" si="88"/>
        <v>156.58857589533295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26.409902386304488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26.409902386304488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-3.4106051316484809E-13</v>
      </c>
      <c r="AJ110" s="14">
        <f>AI110*VLOOKUP('Données projet'!$B$10,Paramètres!$A$1:$I$88,3,0)*VLOOKUP('Données projet'!$B$10,Paramètres!$A$1:$I$88,5,0)</f>
        <v>-2.7134774427395314E-13</v>
      </c>
      <c r="AK110" s="14" t="e">
        <f t="shared" si="89"/>
        <v>#NUM!</v>
      </c>
      <c r="AL110" s="22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504.15006129790828</v>
      </c>
      <c r="AO110" s="59">
        <f t="shared" si="90"/>
        <v>374.39334457402742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210.23162810599007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210.23162810599007</v>
      </c>
      <c r="AY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-3.4106051316484809E-13</v>
      </c>
      <c r="BE110" s="14">
        <f>BD110*VLOOKUP('Données projet'!$B$11,Paramètres!$A$1:$I$88,3,0)*VLOOKUP('Données projet'!$B$11,Paramètres!$A$1:$I$88,5,0)</f>
        <v>-2.7134774427395314E-13</v>
      </c>
      <c r="BF110" s="14" t="e">
        <f t="shared" si="91"/>
        <v>#NUM!</v>
      </c>
      <c r="BG110" s="22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504.15006129790828</v>
      </c>
      <c r="BJ110" s="59">
        <f t="shared" si="92"/>
        <v>374.39334457402742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210.23162810599007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210.23162810599007</v>
      </c>
      <c r="BT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-3.4106051316484809E-13</v>
      </c>
      <c r="BZ110" s="14">
        <f>BY110*VLOOKUP('Données projet'!$B$12,Paramètres!$A$1:$I$88,3,0)*VLOOKUP('Données projet'!$B$12,Paramètres!$A$1:$I$88,5,0)</f>
        <v>-2.2878339223098009E-13</v>
      </c>
      <c r="CA110" s="14" t="e">
        <f t="shared" si="93"/>
        <v>#NUM!</v>
      </c>
      <c r="CB110" s="22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387.15063677712425</v>
      </c>
      <c r="CE110" s="59">
        <f t="shared" si="94"/>
        <v>313.19155394370705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138.6110988641054</v>
      </c>
      <c r="CL110" s="23">
        <f>EXP(-LN(2)/25)*CL109+(1-EXP(-LN(2)/25))/(LN(2)/25)*Calculateur!CG110*Calculateur!CI110*VLOOKUP('Données projet'!$B$12,Paramètres!$A$1:$I$88,3,0)*0.475*44/12</f>
        <v>0</v>
      </c>
      <c r="CM110" s="23">
        <f>EXP(-LN(2)/2)*CM109+(1-EXP(-LN(2)/2))/(LN(2)/2)*CG110*CJ110*VLOOKUP('Données projet'!$B$12,Paramètres!$A$1:$I$88,3,0)*0.475*44/12</f>
        <v>0</v>
      </c>
      <c r="CN110" s="24">
        <f t="shared" si="66"/>
        <v>138.6110988641054</v>
      </c>
      <c r="CO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6</v>
      </c>
      <c r="CT110" s="13">
        <f>IF('Données projet'!$A$140&gt;35,CT109+CS110-DB109,IF(A110&lt;'Données projet'!$A$140,$CQ$205^A110,IF(A110='Données projet'!$A$140,'Données projet'!$B$140,CT109+CS110-DB109)))</f>
        <v>247.99999999999994</v>
      </c>
      <c r="CU110" s="18">
        <f>CT110*VLOOKUP('Données projet'!$B$13,Paramètres!$A$1:$I$88,3,0)*VLOOKUP('Données projet'!$B$13,Paramètres!$A$1:$I$88,5,0)</f>
        <v>239.86559999999994</v>
      </c>
      <c r="CV110" s="14">
        <f t="shared" si="95"/>
        <v>58.410612724846153</v>
      </c>
      <c r="CW110" s="22">
        <f t="shared" si="67"/>
        <v>519.49773716244033</v>
      </c>
      <c r="CX110" s="59">
        <f t="shared" si="68"/>
        <v>812.8310704957737</v>
      </c>
      <c r="CY110" s="59">
        <f ca="1">AVERAGE(OFFSET($CX$3,0,0,'Données projet'!$E$13+1,1))-AVERAGE(OFFSET($H$3,0,0,'Données projet'!$E$13+1,1))</f>
        <v>306.00894145276209</v>
      </c>
      <c r="CZ110" s="59">
        <f t="shared" si="96"/>
        <v>168.74705421228828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28.23127496467033</v>
      </c>
      <c r="DG110" s="23">
        <f>EXP(-LN(2)/25)*DG109+(1-EXP(-LN(2)/25))/(LN(2)/25)*Calculateur!DB110*Calculateur!DD110*VLOOKUP('Données projet'!$B$13,Paramètres!$A$1:$I$88,3,0)*0.475*44/12</f>
        <v>0</v>
      </c>
      <c r="DH110" s="23">
        <f>EXP(-LN(2)/2)*DH109+(1-EXP(-LN(2)/2))/(LN(2)/2)*DB110*DE110*VLOOKUP('Données projet'!$B$13,Paramètres!$A$1:$I$88,3,0)*0.475*44/12</f>
        <v>0</v>
      </c>
      <c r="DI110" s="24">
        <f t="shared" si="69"/>
        <v>28.23127496467033</v>
      </c>
      <c r="DJ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-3.4106051316484809E-13</v>
      </c>
      <c r="DP110" s="18">
        <f>DO110*VLOOKUP('Données projet'!$B$14,Paramètres!$A$1:$I$88,3,0)*VLOOKUP('Données projet'!$B$14,Paramètres!$A$1:$I$88,5,0)</f>
        <v>-2.6602720026858149E-13</v>
      </c>
      <c r="DQ110" s="14" t="e">
        <f t="shared" si="97"/>
        <v>#NUM!</v>
      </c>
      <c r="DR110" s="22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458.14328535055694</v>
      </c>
      <c r="DU110" s="59">
        <f t="shared" si="98"/>
        <v>366.75500153675739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projet'!$B$14,Paramètres!$A$1:$I$88,3,0)*0.475*44/12</f>
        <v>130.76518760764674</v>
      </c>
      <c r="EB110" s="23">
        <f>EXP(-LN(2)/25)*EB109+(1-EXP(-LN(2)/25))/(LN(2)/25)*Calculateur!DW110*Calculateur!DY110*VLOOKUP('Données projet'!$B$14,Paramètres!$A$1:$I$88,3,0)*0.475*44/12</f>
        <v>0</v>
      </c>
      <c r="EC110" s="23">
        <f>EXP(-LN(2)/2)*EC109+(1-EXP(-LN(2)/2))/(LN(2)/2)*DW110*DZ110*VLOOKUP('Données projet'!$B$14,Paramètres!$A$1:$I$88,3,0)*0.475*44/12</f>
        <v>0</v>
      </c>
      <c r="ED110" s="24">
        <f t="shared" si="72"/>
        <v>130.76518760764674</v>
      </c>
      <c r="EE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4.5474735088646412E-13</v>
      </c>
      <c r="EK110" s="18">
        <f>EJ110*VLOOKUP('Données projet'!$B$15,Paramètres!$A$1:$I$88,3,0)*VLOOKUP('Données projet'!$B$15,Paramètres!$A$1:$I$88,5,0)</f>
        <v>3.9017322706058626E-13</v>
      </c>
      <c r="EL110" s="14">
        <f t="shared" si="99"/>
        <v>5.0025007393608908E-12</v>
      </c>
      <c r="EM110" s="22">
        <f t="shared" si="73"/>
        <v>9.3922404915174053E-12</v>
      </c>
      <c r="EN110" s="59">
        <f t="shared" si="74"/>
        <v>293.33333333334269</v>
      </c>
      <c r="EO110" s="59">
        <f ca="1">AVERAGE(OFFSET($EN$3,0,0,'Données projet'!$E$15+1,1))-AVERAGE(OFFSET($H$3,0,0,'Données projet'!$E$15+1,1))</f>
        <v>462.99360395552145</v>
      </c>
      <c r="EP110" s="59">
        <f t="shared" si="100"/>
        <v>153.03880717786046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projet'!$B$15,Paramètres!$A$1:$I$88,3,0)*0.475*44/12</f>
        <v>227.61604082188651</v>
      </c>
      <c r="EW110" s="23">
        <f>EXP(-LN(2)/25)*EW109+(1-EXP(-LN(2)/25))/(LN(2)/25)*Calculateur!ER110*Calculateur!ET110*VLOOKUP('Données projet'!$B$15,Paramètres!$A$1:$I$88,3,0)*0.475*44/12</f>
        <v>0</v>
      </c>
      <c r="EX110" s="23">
        <f>EXP(-LN(2)/2)*EX109+(1-EXP(-LN(2)/2))/(LN(2)/2)*ER110*EU110*VLOOKUP('Données projet'!$B$15,Paramètres!$A$1:$I$88,3,0)*0.475*44/12</f>
        <v>0</v>
      </c>
      <c r="EY110" s="24">
        <f t="shared" si="75"/>
        <v>227.61604082188651</v>
      </c>
      <c r="EZ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2.2737367544323206E-13</v>
      </c>
      <c r="FF110" s="18">
        <f>FE110*VLOOKUP('Données projet'!$B$16,Paramètres!$A$1:$I$88,3,0)*VLOOKUP('Données projet'!$B$16,Paramètres!$A$1:$I$88,5,0)</f>
        <v>1.9863364286720756E-13</v>
      </c>
      <c r="FG110" s="14">
        <f t="shared" si="101"/>
        <v>2.7549360720371426E-12</v>
      </c>
      <c r="FH110" s="22">
        <f t="shared" si="76"/>
        <v>5.144133920125077E-12</v>
      </c>
      <c r="FI110" s="59">
        <f t="shared" si="77"/>
        <v>293.33333333333843</v>
      </c>
      <c r="FJ110" s="59">
        <f ca="1">AVERAGE(OFFSET($FI$3,0,0,'Données projet'!$E$16+1,1))-AVERAGE(OFFSET($H$3,0,0,'Données projet'!$E$16+1,1))</f>
        <v>427.76895185088944</v>
      </c>
      <c r="FK110" s="59">
        <f t="shared" si="102"/>
        <v>308.32543361559135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projet'!$B$16,Paramètres!$A$1:$I$88,3,0)*0.475*44/12</f>
        <v>184.84750949820506</v>
      </c>
      <c r="FR110" s="23">
        <f>EXP(-LN(2)/25)*FR109+(1-EXP(-LN(2)/25))/(LN(2)/25)*Calculateur!FM110*Calculateur!FO110*VLOOKUP('Données projet'!$B$16,Paramètres!$A$1:$I$88,3,0)*0.475*44/12</f>
        <v>0</v>
      </c>
      <c r="FS110" s="23">
        <f>EXP(-LN(2)/2)*FS109+(1-EXP(-LN(2)/2))/(LN(2)/2)*FM110*FP110*VLOOKUP('Données projet'!$B$16,Paramètres!$A$1:$I$88,3,0)*0.475*44/12</f>
        <v>0</v>
      </c>
      <c r="FT110" s="24">
        <f t="shared" si="78"/>
        <v>184.84750949820506</v>
      </c>
      <c r="FU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333.00000000000006</v>
      </c>
      <c r="GA110" s="18">
        <f>FZ110*VLOOKUP('Données projet'!$B$17,Paramètres!$A$1:$I$88,3,0)*VLOOKUP('Données projet'!$B$17,Paramètres!$A$1:$I$88,5,0)</f>
        <v>207.79200000000006</v>
      </c>
      <c r="GB110" s="14">
        <f t="shared" si="103"/>
        <v>51.452785725007907</v>
      </c>
      <c r="GC110" s="22">
        <f t="shared" si="79"/>
        <v>451.5180018043888</v>
      </c>
      <c r="GD110" s="59">
        <f t="shared" si="80"/>
        <v>744.85133513772212</v>
      </c>
      <c r="GE110" s="59">
        <f ca="1">AVERAGE(OFFSET($GD$3,0,0,'Données projet'!$E$17+1,1))-AVERAGE(OFFSET($H$3,0,0,'Données projet'!$E$17+1,1))</f>
        <v>247.85542034088905</v>
      </c>
      <c r="GF110" s="59">
        <f t="shared" si="104"/>
        <v>299.52241743660352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projet'!$B$17,Paramètres!$A$1:$I$88,3,0)*0.475*44/12</f>
        <v>14.647582432422</v>
      </c>
      <c r="GM110" s="23">
        <f>EXP(-LN(2)/25)*GM109+(1-EXP(-LN(2)/25))/(LN(2)/25)*Calculateur!GH110*Calculateur!GJ110*VLOOKUP('Données projet'!$B$17,Paramètres!$A$1:$I$88,3,0)*0.475*44/12</f>
        <v>10.331130265744365</v>
      </c>
      <c r="GN110" s="23">
        <f>EXP(-LN(2)/2)*GN109+(1-EXP(-LN(2)/2))/(LN(2)/2)*GH110*GK110*VLOOKUP('Données projet'!$B$17,Paramètres!$A$1:$I$88,3,0)*0.475*44/12</f>
        <v>3.6079477733024757E-6</v>
      </c>
      <c r="GO110" s="23">
        <f t="shared" si="81"/>
        <v>24.978716306114137</v>
      </c>
      <c r="GP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3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6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6</v>
      </c>
      <c r="N111" s="14">
        <f>IF('Données projet'!$A$36&gt;35,N110+M111-V110,IF(A111&lt;'Données projet'!$A$36,$K$205^A111,IF(A111='Données projet'!$A$36,'Données projet'!$B$36,N110+M111-V110)))</f>
        <v>253.99999999999994</v>
      </c>
      <c r="O111" s="14">
        <f>N111*VLOOKUP('Données projet'!$B$9,Paramètres!$A$1:$I$88,3,0)*VLOOKUP('Données projet'!$B$9,Paramètres!$A$1:$I$88,5,0)</f>
        <v>229.81919999999997</v>
      </c>
      <c r="P111" s="14">
        <f t="shared" si="87"/>
        <v>56.243586554989342</v>
      </c>
      <c r="Q111" s="22">
        <f t="shared" si="107"/>
        <v>498.22601991660639</v>
      </c>
      <c r="R111" s="59">
        <f t="shared" si="55"/>
        <v>791.5593532499397</v>
      </c>
      <c r="S111" s="59">
        <f ca="1">AVERAGE(OFFSET($R$3,0,0,'Données projet'!$E$9+1,1))-AVERAGE(OFFSET($H$3,0,0,'Données projet'!$E$9+1,1))</f>
        <v>247.57967230773539</v>
      </c>
      <c r="T111" s="59">
        <f t="shared" si="88"/>
        <v>156.58857589533295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25.892020308958934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25.892020308958934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-3.4106051316484809E-13</v>
      </c>
      <c r="AJ111" s="14">
        <f>AI111*VLOOKUP('Données projet'!$B$10,Paramètres!$A$1:$I$88,3,0)*VLOOKUP('Données projet'!$B$10,Paramètres!$A$1:$I$88,5,0)</f>
        <v>-2.7134774427395314E-13</v>
      </c>
      <c r="AK111" s="14" t="e">
        <f t="shared" si="89"/>
        <v>#NUM!</v>
      </c>
      <c r="AL111" s="22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504.15006129790828</v>
      </c>
      <c r="AO111" s="59">
        <f t="shared" si="90"/>
        <v>374.39334457402742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206.10911410746323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206.10911410746323</v>
      </c>
      <c r="AY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-3.4106051316484809E-13</v>
      </c>
      <c r="BE111" s="14">
        <f>BD111*VLOOKUP('Données projet'!$B$11,Paramètres!$A$1:$I$88,3,0)*VLOOKUP('Données projet'!$B$11,Paramètres!$A$1:$I$88,5,0)</f>
        <v>-2.7134774427395314E-13</v>
      </c>
      <c r="BF111" s="14" t="e">
        <f t="shared" si="91"/>
        <v>#NUM!</v>
      </c>
      <c r="BG111" s="22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504.15006129790828</v>
      </c>
      <c r="BJ111" s="59">
        <f t="shared" si="92"/>
        <v>374.39334457402742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206.10911410746323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206.10911410746323</v>
      </c>
      <c r="BT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-3.4106051316484809E-13</v>
      </c>
      <c r="BZ111" s="14">
        <f>BY111*VLOOKUP('Données projet'!$B$12,Paramètres!$A$1:$I$88,3,0)*VLOOKUP('Données projet'!$B$12,Paramètres!$A$1:$I$88,5,0)</f>
        <v>-2.2878339223098009E-13</v>
      </c>
      <c r="CA111" s="14" t="e">
        <f t="shared" si="93"/>
        <v>#NUM!</v>
      </c>
      <c r="CB111" s="22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387.15063677712425</v>
      </c>
      <c r="CE111" s="59">
        <f t="shared" si="94"/>
        <v>313.19155394370705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135.89301975980254</v>
      </c>
      <c r="CL111" s="23">
        <f>EXP(-LN(2)/25)*CL110+(1-EXP(-LN(2)/25))/(LN(2)/25)*Calculateur!CG111*Calculateur!CI111*VLOOKUP('Données projet'!$B$12,Paramètres!$A$1:$I$88,3,0)*0.475*44/12</f>
        <v>0</v>
      </c>
      <c r="CM111" s="23">
        <f>EXP(-LN(2)/2)*CM110+(1-EXP(-LN(2)/2))/(LN(2)/2)*CG111*CJ111*VLOOKUP('Données projet'!$B$12,Paramètres!$A$1:$I$88,3,0)*0.475*44/12</f>
        <v>0</v>
      </c>
      <c r="CN111" s="24">
        <f t="shared" si="66"/>
        <v>135.89301975980254</v>
      </c>
      <c r="CO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6</v>
      </c>
      <c r="CT111" s="13">
        <f>IF('Données projet'!$A$140&gt;35,CT110+CS111-DB110,IF(A111&lt;'Données projet'!$A$140,$CQ$205^A111,IF(A111='Données projet'!$A$140,'Données projet'!$B$140,CT110+CS111-DB110)))</f>
        <v>253.99999999999994</v>
      </c>
      <c r="CU111" s="18">
        <f>CT111*VLOOKUP('Données projet'!$B$13,Paramètres!$A$1:$I$88,3,0)*VLOOKUP('Données projet'!$B$13,Paramètres!$A$1:$I$88,5,0)</f>
        <v>245.66879999999995</v>
      </c>
      <c r="CV111" s="14">
        <f t="shared" si="95"/>
        <v>59.657538312400263</v>
      </c>
      <c r="CW111" s="22">
        <f t="shared" si="67"/>
        <v>531.77670589409706</v>
      </c>
      <c r="CX111" s="59">
        <f t="shared" si="68"/>
        <v>825.11003922743043</v>
      </c>
      <c r="CY111" s="59">
        <f ca="1">AVERAGE(OFFSET($CX$3,0,0,'Données projet'!$E$13+1,1))-AVERAGE(OFFSET($H$3,0,0,'Données projet'!$E$13+1,1))</f>
        <v>306.00894145276209</v>
      </c>
      <c r="CZ111" s="59">
        <f t="shared" si="96"/>
        <v>168.74705421228828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27.6776768819906</v>
      </c>
      <c r="DG111" s="23">
        <f>EXP(-LN(2)/25)*DG110+(1-EXP(-LN(2)/25))/(LN(2)/25)*Calculateur!DB111*Calculateur!DD111*VLOOKUP('Données projet'!$B$13,Paramètres!$A$1:$I$88,3,0)*0.475*44/12</f>
        <v>0</v>
      </c>
      <c r="DH111" s="23">
        <f>EXP(-LN(2)/2)*DH110+(1-EXP(-LN(2)/2))/(LN(2)/2)*DB111*DE111*VLOOKUP('Données projet'!$B$13,Paramètres!$A$1:$I$88,3,0)*0.475*44/12</f>
        <v>0</v>
      </c>
      <c r="DI111" s="24">
        <f t="shared" si="69"/>
        <v>27.6776768819906</v>
      </c>
      <c r="DJ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-3.4106051316484809E-13</v>
      </c>
      <c r="DP111" s="18">
        <f>DO111*VLOOKUP('Données projet'!$B$14,Paramètres!$A$1:$I$88,3,0)*VLOOKUP('Données projet'!$B$14,Paramètres!$A$1:$I$88,5,0)</f>
        <v>-2.6602720026858149E-13</v>
      </c>
      <c r="DQ111" s="14" t="e">
        <f t="shared" si="97"/>
        <v>#NUM!</v>
      </c>
      <c r="DR111" s="22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458.14328535055694</v>
      </c>
      <c r="DU111" s="59">
        <f t="shared" si="98"/>
        <v>366.75500153675739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projet'!$B$14,Paramètres!$A$1:$I$88,3,0)*0.475*44/12</f>
        <v>128.20096203754969</v>
      </c>
      <c r="EB111" s="23">
        <f>EXP(-LN(2)/25)*EB110+(1-EXP(-LN(2)/25))/(LN(2)/25)*Calculateur!DW111*Calculateur!DY111*VLOOKUP('Données projet'!$B$14,Paramètres!$A$1:$I$88,3,0)*0.475*44/12</f>
        <v>0</v>
      </c>
      <c r="EC111" s="23">
        <f>EXP(-LN(2)/2)*EC110+(1-EXP(-LN(2)/2))/(LN(2)/2)*DW111*DZ111*VLOOKUP('Données projet'!$B$14,Paramètres!$A$1:$I$88,3,0)*0.475*44/12</f>
        <v>0</v>
      </c>
      <c r="ED111" s="24">
        <f t="shared" si="72"/>
        <v>128.20096203754969</v>
      </c>
      <c r="EE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4.5474735088646412E-13</v>
      </c>
      <c r="EK111" s="18">
        <f>EJ111*VLOOKUP('Données projet'!$B$15,Paramètres!$A$1:$I$88,3,0)*VLOOKUP('Données projet'!$B$15,Paramètres!$A$1:$I$88,5,0)</f>
        <v>3.9017322706058626E-13</v>
      </c>
      <c r="EL111" s="14">
        <f t="shared" si="99"/>
        <v>5.0025007393608908E-12</v>
      </c>
      <c r="EM111" s="22">
        <f t="shared" si="73"/>
        <v>9.3922404915174053E-12</v>
      </c>
      <c r="EN111" s="59">
        <f t="shared" si="74"/>
        <v>293.33333333334269</v>
      </c>
      <c r="EO111" s="59">
        <f ca="1">AVERAGE(OFFSET($EN$3,0,0,'Données projet'!$E$15+1,1))-AVERAGE(OFFSET($H$3,0,0,'Données projet'!$E$15+1,1))</f>
        <v>462.99360395552145</v>
      </c>
      <c r="EP111" s="59">
        <f t="shared" si="100"/>
        <v>153.03880717786046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projet'!$B$15,Paramètres!$A$1:$I$88,3,0)*0.475*44/12</f>
        <v>223.15262909344568</v>
      </c>
      <c r="EW111" s="23">
        <f>EXP(-LN(2)/25)*EW110+(1-EXP(-LN(2)/25))/(LN(2)/25)*Calculateur!ER111*Calculateur!ET111*VLOOKUP('Données projet'!$B$15,Paramètres!$A$1:$I$88,3,0)*0.475*44/12</f>
        <v>0</v>
      </c>
      <c r="EX111" s="23">
        <f>EXP(-LN(2)/2)*EX110+(1-EXP(-LN(2)/2))/(LN(2)/2)*ER111*EU111*VLOOKUP('Données projet'!$B$15,Paramètres!$A$1:$I$88,3,0)*0.475*44/12</f>
        <v>0</v>
      </c>
      <c r="EY111" s="24">
        <f t="shared" si="75"/>
        <v>223.15262909344568</v>
      </c>
      <c r="EZ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2.2737367544323206E-13</v>
      </c>
      <c r="FF111" s="18">
        <f>FE111*VLOOKUP('Données projet'!$B$16,Paramètres!$A$1:$I$88,3,0)*VLOOKUP('Données projet'!$B$16,Paramètres!$A$1:$I$88,5,0)</f>
        <v>1.9863364286720756E-13</v>
      </c>
      <c r="FG111" s="14">
        <f t="shared" si="101"/>
        <v>2.7549360720371426E-12</v>
      </c>
      <c r="FH111" s="22">
        <f t="shared" si="76"/>
        <v>5.144133920125077E-12</v>
      </c>
      <c r="FI111" s="59">
        <f t="shared" si="77"/>
        <v>293.33333333333843</v>
      </c>
      <c r="FJ111" s="59">
        <f ca="1">AVERAGE(OFFSET($FI$3,0,0,'Données projet'!$E$16+1,1))-AVERAGE(OFFSET($H$3,0,0,'Données projet'!$E$16+1,1))</f>
        <v>427.76895185088944</v>
      </c>
      <c r="FK111" s="59">
        <f t="shared" si="102"/>
        <v>308.32543361559135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projet'!$B$16,Paramètres!$A$1:$I$88,3,0)*0.475*44/12</f>
        <v>181.22276258279331</v>
      </c>
      <c r="FR111" s="23">
        <f>EXP(-LN(2)/25)*FR110+(1-EXP(-LN(2)/25))/(LN(2)/25)*Calculateur!FM111*Calculateur!FO111*VLOOKUP('Données projet'!$B$16,Paramètres!$A$1:$I$88,3,0)*0.475*44/12</f>
        <v>0</v>
      </c>
      <c r="FS111" s="23">
        <f>EXP(-LN(2)/2)*FS110+(1-EXP(-LN(2)/2))/(LN(2)/2)*FM111*FP111*VLOOKUP('Données projet'!$B$16,Paramètres!$A$1:$I$88,3,0)*0.475*44/12</f>
        <v>0</v>
      </c>
      <c r="FT111" s="24">
        <f t="shared" si="78"/>
        <v>181.22276258279331</v>
      </c>
      <c r="FU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333.00000000000006</v>
      </c>
      <c r="GA111" s="18">
        <f>FZ111*VLOOKUP('Données projet'!$B$17,Paramètres!$A$1:$I$88,3,0)*VLOOKUP('Données projet'!$B$17,Paramètres!$A$1:$I$88,5,0)</f>
        <v>207.79200000000006</v>
      </c>
      <c r="GB111" s="14">
        <f t="shared" si="103"/>
        <v>51.452785725007907</v>
      </c>
      <c r="GC111" s="22">
        <f t="shared" si="79"/>
        <v>451.5180018043888</v>
      </c>
      <c r="GD111" s="59">
        <f t="shared" si="80"/>
        <v>744.85133513772212</v>
      </c>
      <c r="GE111" s="59">
        <f ca="1">AVERAGE(OFFSET($GD$3,0,0,'Données projet'!$E$17+1,1))-AVERAGE(OFFSET($H$3,0,0,'Données projet'!$E$17+1,1))</f>
        <v>247.85542034088905</v>
      </c>
      <c r="GF111" s="59">
        <f t="shared" si="104"/>
        <v>299.52241743660352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projet'!$B$17,Paramètres!$A$1:$I$88,3,0)*0.475*44/12</f>
        <v>14.360352275065315</v>
      </c>
      <c r="GM111" s="23">
        <f>EXP(-LN(2)/25)*GM110+(1-EXP(-LN(2)/25))/(LN(2)/25)*Calculateur!GH111*Calculateur!GJ111*VLOOKUP('Données projet'!$B$17,Paramètres!$A$1:$I$88,3,0)*0.475*44/12</f>
        <v>10.048624965337057</v>
      </c>
      <c r="GN111" s="23">
        <f>EXP(-LN(2)/2)*GN110+(1-EXP(-LN(2)/2))/(LN(2)/2)*GH111*GK111*VLOOKUP('Données projet'!$B$17,Paramètres!$A$1:$I$88,3,0)*0.475*44/12</f>
        <v>2.5512043366690852E-6</v>
      </c>
      <c r="GO111" s="23">
        <f t="shared" si="81"/>
        <v>24.408979791606708</v>
      </c>
      <c r="GP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3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6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6</v>
      </c>
      <c r="N112" s="14">
        <f>IF('Données projet'!$A$36&gt;35,N111+M112-V111,IF(A112&lt;'Données projet'!$A$36,$K$205^A112,IF(A112='Données projet'!$A$36,'Données projet'!$B$36,N111+M112-V111)))</f>
        <v>259.99999999999994</v>
      </c>
      <c r="O112" s="14">
        <f>N112*VLOOKUP('Données projet'!$B$9,Paramètres!$A$1:$I$88,3,0)*VLOOKUP('Données projet'!$B$9,Paramètres!$A$1:$I$88,5,0)</f>
        <v>235.24799999999993</v>
      </c>
      <c r="P112" s="14">
        <f t="shared" si="87"/>
        <v>57.41592756883739</v>
      </c>
      <c r="Q112" s="22">
        <f t="shared" si="107"/>
        <v>509.72300718239165</v>
      </c>
      <c r="R112" s="59">
        <f t="shared" si="55"/>
        <v>803.05634051572497</v>
      </c>
      <c r="S112" s="59">
        <f ca="1">AVERAGE(OFFSET($R$3,0,0,'Données projet'!$E$9+1,1))-AVERAGE(OFFSET($H$3,0,0,'Données projet'!$E$9+1,1))</f>
        <v>247.57967230773539</v>
      </c>
      <c r="T112" s="59">
        <f t="shared" si="88"/>
        <v>156.58857589533295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25.384293583273251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25.384293583273251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-3.4106051316484809E-13</v>
      </c>
      <c r="AJ112" s="14">
        <f>AI112*VLOOKUP('Données projet'!$B$10,Paramètres!$A$1:$I$88,3,0)*VLOOKUP('Données projet'!$B$10,Paramètres!$A$1:$I$88,5,0)</f>
        <v>-2.7134774427395314E-13</v>
      </c>
      <c r="AK112" s="14" t="e">
        <f t="shared" si="89"/>
        <v>#NUM!</v>
      </c>
      <c r="AL112" s="22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504.15006129790828</v>
      </c>
      <c r="AO112" s="59">
        <f t="shared" si="90"/>
        <v>374.39334457402742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202.06744009396223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202.06744009396223</v>
      </c>
      <c r="AY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-3.4106051316484809E-13</v>
      </c>
      <c r="BE112" s="14">
        <f>BD112*VLOOKUP('Données projet'!$B$11,Paramètres!$A$1:$I$88,3,0)*VLOOKUP('Données projet'!$B$11,Paramètres!$A$1:$I$88,5,0)</f>
        <v>-2.7134774427395314E-13</v>
      </c>
      <c r="BF112" s="14" t="e">
        <f t="shared" si="91"/>
        <v>#NUM!</v>
      </c>
      <c r="BG112" s="22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504.15006129790828</v>
      </c>
      <c r="BJ112" s="59">
        <f t="shared" si="92"/>
        <v>374.39334457402742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202.06744009396223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202.06744009396223</v>
      </c>
      <c r="BT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-3.4106051316484809E-13</v>
      </c>
      <c r="BZ112" s="14">
        <f>BY112*VLOOKUP('Données projet'!$B$12,Paramètres!$A$1:$I$88,3,0)*VLOOKUP('Données projet'!$B$12,Paramètres!$A$1:$I$88,5,0)</f>
        <v>-2.2878339223098009E-13</v>
      </c>
      <c r="CA112" s="14" t="e">
        <f t="shared" si="93"/>
        <v>#NUM!</v>
      </c>
      <c r="CB112" s="22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387.15063677712425</v>
      </c>
      <c r="CE112" s="59">
        <f t="shared" si="94"/>
        <v>313.19155394370705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133.22824052887049</v>
      </c>
      <c r="CL112" s="23">
        <f>EXP(-LN(2)/25)*CL111+(1-EXP(-LN(2)/25))/(LN(2)/25)*Calculateur!CG112*Calculateur!CI112*VLOOKUP('Données projet'!$B$12,Paramètres!$A$1:$I$88,3,0)*0.475*44/12</f>
        <v>0</v>
      </c>
      <c r="CM112" s="23">
        <f>EXP(-LN(2)/2)*CM111+(1-EXP(-LN(2)/2))/(LN(2)/2)*CG112*CJ112*VLOOKUP('Données projet'!$B$12,Paramètres!$A$1:$I$88,3,0)*0.475*44/12</f>
        <v>0</v>
      </c>
      <c r="CN112" s="24">
        <f t="shared" si="66"/>
        <v>133.22824052887049</v>
      </c>
      <c r="CO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6</v>
      </c>
      <c r="CT112" s="13">
        <f>IF('Données projet'!$A$140&gt;35,CT111+CS112-DB111,IF(A112&lt;'Données projet'!$A$140,$CQ$205^A112,IF(A112='Données projet'!$A$140,'Données projet'!$B$140,CT111+CS112-DB111)))</f>
        <v>259.99999999999994</v>
      </c>
      <c r="CU112" s="18">
        <f>CT112*VLOOKUP('Données projet'!$B$13,Paramètres!$A$1:$I$88,3,0)*VLOOKUP('Données projet'!$B$13,Paramètres!$A$1:$I$88,5,0)</f>
        <v>251.47199999999995</v>
      </c>
      <c r="CV112" s="14">
        <f t="shared" si="95"/>
        <v>60.901039718208651</v>
      </c>
      <c r="CW112" s="22">
        <f t="shared" si="67"/>
        <v>544.04971084254657</v>
      </c>
      <c r="CX112" s="59">
        <f t="shared" si="68"/>
        <v>837.38304417587983</v>
      </c>
      <c r="CY112" s="59">
        <f ca="1">AVERAGE(OFFSET($CX$3,0,0,'Données projet'!$E$13+1,1))-AVERAGE(OFFSET($H$3,0,0,'Données projet'!$E$13+1,1))</f>
        <v>306.00894145276209</v>
      </c>
      <c r="CZ112" s="59">
        <f t="shared" si="96"/>
        <v>168.74705421228828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27.134934520050731</v>
      </c>
      <c r="DG112" s="23">
        <f>EXP(-LN(2)/25)*DG111+(1-EXP(-LN(2)/25))/(LN(2)/25)*Calculateur!DB112*Calculateur!DD112*VLOOKUP('Données projet'!$B$13,Paramètres!$A$1:$I$88,3,0)*0.475*44/12</f>
        <v>0</v>
      </c>
      <c r="DH112" s="23">
        <f>EXP(-LN(2)/2)*DH111+(1-EXP(-LN(2)/2))/(LN(2)/2)*DB112*DE112*VLOOKUP('Données projet'!$B$13,Paramètres!$A$1:$I$88,3,0)*0.475*44/12</f>
        <v>0</v>
      </c>
      <c r="DI112" s="24">
        <f t="shared" si="69"/>
        <v>27.134934520050731</v>
      </c>
      <c r="DJ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-3.4106051316484809E-13</v>
      </c>
      <c r="DP112" s="18">
        <f>DO112*VLOOKUP('Données projet'!$B$14,Paramètres!$A$1:$I$88,3,0)*VLOOKUP('Données projet'!$B$14,Paramètres!$A$1:$I$88,5,0)</f>
        <v>-2.6602720026858149E-13</v>
      </c>
      <c r="DQ112" s="14" t="e">
        <f t="shared" si="97"/>
        <v>#NUM!</v>
      </c>
      <c r="DR112" s="22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458.14328535055694</v>
      </c>
      <c r="DU112" s="59">
        <f t="shared" si="98"/>
        <v>366.75500153675739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projet'!$B$14,Paramètres!$A$1:$I$88,3,0)*0.475*44/12</f>
        <v>125.68701936685908</v>
      </c>
      <c r="EB112" s="23">
        <f>EXP(-LN(2)/25)*EB111+(1-EXP(-LN(2)/25))/(LN(2)/25)*Calculateur!DW112*Calculateur!DY112*VLOOKUP('Données projet'!$B$14,Paramètres!$A$1:$I$88,3,0)*0.475*44/12</f>
        <v>0</v>
      </c>
      <c r="EC112" s="23">
        <f>EXP(-LN(2)/2)*EC111+(1-EXP(-LN(2)/2))/(LN(2)/2)*DW112*DZ112*VLOOKUP('Données projet'!$B$14,Paramètres!$A$1:$I$88,3,0)*0.475*44/12</f>
        <v>0</v>
      </c>
      <c r="ED112" s="24">
        <f t="shared" si="72"/>
        <v>125.68701936685908</v>
      </c>
      <c r="EE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4.5474735088646412E-13</v>
      </c>
      <c r="EK112" s="18">
        <f>EJ112*VLOOKUP('Données projet'!$B$15,Paramètres!$A$1:$I$88,3,0)*VLOOKUP('Données projet'!$B$15,Paramètres!$A$1:$I$88,5,0)</f>
        <v>3.9017322706058626E-13</v>
      </c>
      <c r="EL112" s="14">
        <f t="shared" si="99"/>
        <v>5.0025007393608908E-12</v>
      </c>
      <c r="EM112" s="22">
        <f t="shared" si="73"/>
        <v>9.3922404915174053E-12</v>
      </c>
      <c r="EN112" s="59">
        <f t="shared" si="74"/>
        <v>293.33333333334269</v>
      </c>
      <c r="EO112" s="59">
        <f ca="1">AVERAGE(OFFSET($EN$3,0,0,'Données projet'!$E$15+1,1))-AVERAGE(OFFSET($H$3,0,0,'Données projet'!$E$15+1,1))</f>
        <v>462.99360395552145</v>
      </c>
      <c r="EP112" s="59">
        <f t="shared" si="100"/>
        <v>153.03880717786046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projet'!$B$15,Paramètres!$A$1:$I$88,3,0)*0.475*44/12</f>
        <v>218.77674214658725</v>
      </c>
      <c r="EW112" s="23">
        <f>EXP(-LN(2)/25)*EW111+(1-EXP(-LN(2)/25))/(LN(2)/25)*Calculateur!ER112*Calculateur!ET112*VLOOKUP('Données projet'!$B$15,Paramètres!$A$1:$I$88,3,0)*0.475*44/12</f>
        <v>0</v>
      </c>
      <c r="EX112" s="23">
        <f>EXP(-LN(2)/2)*EX111+(1-EXP(-LN(2)/2))/(LN(2)/2)*ER112*EU112*VLOOKUP('Données projet'!$B$15,Paramètres!$A$1:$I$88,3,0)*0.475*44/12</f>
        <v>0</v>
      </c>
      <c r="EY112" s="24">
        <f t="shared" si="75"/>
        <v>218.77674214658725</v>
      </c>
      <c r="EZ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2.2737367544323206E-13</v>
      </c>
      <c r="FF112" s="18">
        <f>FE112*VLOOKUP('Données projet'!$B$16,Paramètres!$A$1:$I$88,3,0)*VLOOKUP('Données projet'!$B$16,Paramètres!$A$1:$I$88,5,0)</f>
        <v>1.9863364286720756E-13</v>
      </c>
      <c r="FG112" s="14">
        <f t="shared" si="101"/>
        <v>2.7549360720371426E-12</v>
      </c>
      <c r="FH112" s="22">
        <f t="shared" si="76"/>
        <v>5.144133920125077E-12</v>
      </c>
      <c r="FI112" s="59">
        <f t="shared" si="77"/>
        <v>293.33333333333843</v>
      </c>
      <c r="FJ112" s="59">
        <f ca="1">AVERAGE(OFFSET($FI$3,0,0,'Données projet'!$E$16+1,1))-AVERAGE(OFFSET($H$3,0,0,'Données projet'!$E$16+1,1))</f>
        <v>427.76895185088944</v>
      </c>
      <c r="FK112" s="59">
        <f t="shared" si="102"/>
        <v>308.32543361559135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projet'!$B$16,Paramètres!$A$1:$I$88,3,0)*0.475*44/12</f>
        <v>177.66909474351547</v>
      </c>
      <c r="FR112" s="23">
        <f>EXP(-LN(2)/25)*FR111+(1-EXP(-LN(2)/25))/(LN(2)/25)*Calculateur!FM112*Calculateur!FO112*VLOOKUP('Données projet'!$B$16,Paramètres!$A$1:$I$88,3,0)*0.475*44/12</f>
        <v>0</v>
      </c>
      <c r="FS112" s="23">
        <f>EXP(-LN(2)/2)*FS111+(1-EXP(-LN(2)/2))/(LN(2)/2)*FM112*FP112*VLOOKUP('Données projet'!$B$16,Paramètres!$A$1:$I$88,3,0)*0.475*44/12</f>
        <v>0</v>
      </c>
      <c r="FT112" s="24">
        <f t="shared" si="78"/>
        <v>177.66909474351547</v>
      </c>
      <c r="FU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333.00000000000006</v>
      </c>
      <c r="GA112" s="18">
        <f>FZ112*VLOOKUP('Données projet'!$B$17,Paramètres!$A$1:$I$88,3,0)*VLOOKUP('Données projet'!$B$17,Paramètres!$A$1:$I$88,5,0)</f>
        <v>207.79200000000006</v>
      </c>
      <c r="GB112" s="14">
        <f t="shared" si="103"/>
        <v>51.452785725007907</v>
      </c>
      <c r="GC112" s="22">
        <f t="shared" si="79"/>
        <v>451.5180018043888</v>
      </c>
      <c r="GD112" s="59">
        <f t="shared" si="80"/>
        <v>744.85133513772212</v>
      </c>
      <c r="GE112" s="59">
        <f ca="1">AVERAGE(OFFSET($GD$3,0,0,'Données projet'!$E$17+1,1))-AVERAGE(OFFSET($H$3,0,0,'Données projet'!$E$17+1,1))</f>
        <v>247.85542034088905</v>
      </c>
      <c r="GF112" s="59">
        <f t="shared" si="104"/>
        <v>299.52241743660352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projet'!$B$17,Paramètres!$A$1:$I$88,3,0)*0.475*44/12</f>
        <v>14.078754525901298</v>
      </c>
      <c r="GM112" s="23">
        <f>EXP(-LN(2)/25)*GM111+(1-EXP(-LN(2)/25))/(LN(2)/25)*Calculateur!GH112*Calculateur!GJ112*VLOOKUP('Données projet'!$B$17,Paramètres!$A$1:$I$88,3,0)*0.475*44/12</f>
        <v>9.7738447872256948</v>
      </c>
      <c r="GN112" s="23">
        <f>EXP(-LN(2)/2)*GN111+(1-EXP(-LN(2)/2))/(LN(2)/2)*GH112*GK112*VLOOKUP('Données projet'!$B$17,Paramètres!$A$1:$I$88,3,0)*0.475*44/12</f>
        <v>1.803973886651238E-6</v>
      </c>
      <c r="GO112" s="23">
        <f t="shared" si="81"/>
        <v>23.852601117100882</v>
      </c>
      <c r="GP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3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6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6</v>
      </c>
      <c r="N113" s="14">
        <f>IF('Données projet'!$A$36&gt;35,N112+M113-V112,IF(A113&lt;'Données projet'!$A$36,$K$205^A113,IF(A113='Données projet'!$A$36,'Données projet'!$B$36,N112+M113-V112)))</f>
        <v>265.99999999999994</v>
      </c>
      <c r="O113" s="14">
        <f>N113*VLOOKUP('Données projet'!$B$9,Paramètres!$A$1:$I$88,3,0)*VLOOKUP('Données projet'!$B$9,Paramètres!$A$1:$I$88,5,0)</f>
        <v>240.67679999999993</v>
      </c>
      <c r="P113" s="14">
        <f t="shared" si="87"/>
        <v>58.585123425001029</v>
      </c>
      <c r="Q113" s="22">
        <f t="shared" si="107"/>
        <v>521.21451663187668</v>
      </c>
      <c r="R113" s="59">
        <f t="shared" si="55"/>
        <v>814.54784996520993</v>
      </c>
      <c r="S113" s="59">
        <f ca="1">AVERAGE(OFFSET($R$3,0,0,'Données projet'!$E$9+1,1))-AVERAGE(OFFSET($H$3,0,0,'Données projet'!$E$9+1,1))</f>
        <v>247.57967230773539</v>
      </c>
      <c r="T113" s="59">
        <f t="shared" si="88"/>
        <v>156.58857589533295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24.88652306899554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24.88652306899554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-3.4106051316484809E-13</v>
      </c>
      <c r="AJ113" s="14">
        <f>AI113*VLOOKUP('Données projet'!$B$10,Paramètres!$A$1:$I$88,3,0)*VLOOKUP('Données projet'!$B$10,Paramètres!$A$1:$I$88,5,0)</f>
        <v>-2.7134774427395314E-13</v>
      </c>
      <c r="AK113" s="14" t="e">
        <f t="shared" si="89"/>
        <v>#NUM!</v>
      </c>
      <c r="AL113" s="22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504.15006129790828</v>
      </c>
      <c r="AO113" s="59">
        <f t="shared" si="90"/>
        <v>374.39334457402742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198.10502084268828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198.10502084268828</v>
      </c>
      <c r="AY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-3.4106051316484809E-13</v>
      </c>
      <c r="BE113" s="14">
        <f>BD113*VLOOKUP('Données projet'!$B$11,Paramètres!$A$1:$I$88,3,0)*VLOOKUP('Données projet'!$B$11,Paramètres!$A$1:$I$88,5,0)</f>
        <v>-2.7134774427395314E-13</v>
      </c>
      <c r="BF113" s="14" t="e">
        <f t="shared" si="91"/>
        <v>#NUM!</v>
      </c>
      <c r="BG113" s="22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504.15006129790828</v>
      </c>
      <c r="BJ113" s="59">
        <f t="shared" si="92"/>
        <v>374.39334457402742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198.10502084268828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198.10502084268828</v>
      </c>
      <c r="BT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-3.4106051316484809E-13</v>
      </c>
      <c r="BZ113" s="14">
        <f>BY113*VLOOKUP('Données projet'!$B$12,Paramètres!$A$1:$I$88,3,0)*VLOOKUP('Données projet'!$B$12,Paramètres!$A$1:$I$88,5,0)</f>
        <v>-2.2878339223098009E-13</v>
      </c>
      <c r="CA113" s="14" t="e">
        <f t="shared" si="93"/>
        <v>#NUM!</v>
      </c>
      <c r="CB113" s="22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387.15063677712425</v>
      </c>
      <c r="CE113" s="59">
        <f t="shared" si="94"/>
        <v>313.19155394370705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130.61571599330219</v>
      </c>
      <c r="CL113" s="23">
        <f>EXP(-LN(2)/25)*CL112+(1-EXP(-LN(2)/25))/(LN(2)/25)*Calculateur!CG113*Calculateur!CI113*VLOOKUP('Données projet'!$B$12,Paramètres!$A$1:$I$88,3,0)*0.475*44/12</f>
        <v>0</v>
      </c>
      <c r="CM113" s="23">
        <f>EXP(-LN(2)/2)*CM112+(1-EXP(-LN(2)/2))/(LN(2)/2)*CG113*CJ113*VLOOKUP('Données projet'!$B$12,Paramètres!$A$1:$I$88,3,0)*0.475*44/12</f>
        <v>0</v>
      </c>
      <c r="CN113" s="24">
        <f t="shared" si="66"/>
        <v>130.61571599330219</v>
      </c>
      <c r="CO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6</v>
      </c>
      <c r="CT113" s="13">
        <f>IF('Données projet'!$A$140&gt;35,CT112+CS113-DB112,IF(A113&lt;'Données projet'!$A$140,$CQ$205^A113,IF(A113='Données projet'!$A$140,'Données projet'!$B$140,CT112+CS113-DB112)))</f>
        <v>265.99999999999994</v>
      </c>
      <c r="CU113" s="18">
        <f>CT113*VLOOKUP('Données projet'!$B$13,Paramètres!$A$1:$I$88,3,0)*VLOOKUP('Données projet'!$B$13,Paramètres!$A$1:$I$88,5,0)</f>
        <v>257.27519999999993</v>
      </c>
      <c r="CV113" s="14">
        <f t="shared" si="95"/>
        <v>62.141205057159539</v>
      </c>
      <c r="CW113" s="22">
        <f t="shared" si="67"/>
        <v>556.31690547455264</v>
      </c>
      <c r="CX113" s="59">
        <f t="shared" si="68"/>
        <v>849.6502388078859</v>
      </c>
      <c r="CY113" s="59">
        <f ca="1">AVERAGE(OFFSET($CX$3,0,0,'Données projet'!$E$13+1,1))-AVERAGE(OFFSET($H$3,0,0,'Données projet'!$E$13+1,1))</f>
        <v>306.00894145276209</v>
      </c>
      <c r="CZ113" s="59">
        <f t="shared" si="96"/>
        <v>168.74705421228828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26.60283500478835</v>
      </c>
      <c r="DG113" s="23">
        <f>EXP(-LN(2)/25)*DG112+(1-EXP(-LN(2)/25))/(LN(2)/25)*Calculateur!DB113*Calculateur!DD113*VLOOKUP('Données projet'!$B$13,Paramètres!$A$1:$I$88,3,0)*0.475*44/12</f>
        <v>0</v>
      </c>
      <c r="DH113" s="23">
        <f>EXP(-LN(2)/2)*DH112+(1-EXP(-LN(2)/2))/(LN(2)/2)*DB113*DE113*VLOOKUP('Données projet'!$B$13,Paramètres!$A$1:$I$88,3,0)*0.475*44/12</f>
        <v>0</v>
      </c>
      <c r="DI113" s="24">
        <f t="shared" si="69"/>
        <v>26.60283500478835</v>
      </c>
      <c r="DJ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-3.4106051316484809E-13</v>
      </c>
      <c r="DP113" s="18">
        <f>DO113*VLOOKUP('Données projet'!$B$14,Paramètres!$A$1:$I$88,3,0)*VLOOKUP('Données projet'!$B$14,Paramètres!$A$1:$I$88,5,0)</f>
        <v>-2.6602720026858149E-13</v>
      </c>
      <c r="DQ113" s="14" t="e">
        <f t="shared" si="97"/>
        <v>#NUM!</v>
      </c>
      <c r="DR113" s="22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458.14328535055694</v>
      </c>
      <c r="DU113" s="59">
        <f t="shared" si="98"/>
        <v>366.75500153675739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projet'!$B$14,Paramètres!$A$1:$I$88,3,0)*0.475*44/12</f>
        <v>123.22237357858708</v>
      </c>
      <c r="EB113" s="23">
        <f>EXP(-LN(2)/25)*EB112+(1-EXP(-LN(2)/25))/(LN(2)/25)*Calculateur!DW113*Calculateur!DY113*VLOOKUP('Données projet'!$B$14,Paramètres!$A$1:$I$88,3,0)*0.475*44/12</f>
        <v>0</v>
      </c>
      <c r="EC113" s="23">
        <f>EXP(-LN(2)/2)*EC112+(1-EXP(-LN(2)/2))/(LN(2)/2)*DW113*DZ113*VLOOKUP('Données projet'!$B$14,Paramètres!$A$1:$I$88,3,0)*0.475*44/12</f>
        <v>0</v>
      </c>
      <c r="ED113" s="24">
        <f t="shared" si="72"/>
        <v>123.22237357858708</v>
      </c>
      <c r="EE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4.5474735088646412E-13</v>
      </c>
      <c r="EK113" s="18">
        <f>EJ113*VLOOKUP('Données projet'!$B$15,Paramètres!$A$1:$I$88,3,0)*VLOOKUP('Données projet'!$B$15,Paramètres!$A$1:$I$88,5,0)</f>
        <v>3.9017322706058626E-13</v>
      </c>
      <c r="EL113" s="14">
        <f t="shared" si="99"/>
        <v>5.0025007393608908E-12</v>
      </c>
      <c r="EM113" s="22">
        <f t="shared" si="73"/>
        <v>9.3922404915174053E-12</v>
      </c>
      <c r="EN113" s="59">
        <f t="shared" si="74"/>
        <v>293.33333333334269</v>
      </c>
      <c r="EO113" s="59">
        <f ca="1">AVERAGE(OFFSET($EN$3,0,0,'Données projet'!$E$15+1,1))-AVERAGE(OFFSET($H$3,0,0,'Données projet'!$E$15+1,1))</f>
        <v>462.99360395552145</v>
      </c>
      <c r="EP113" s="59">
        <f t="shared" si="100"/>
        <v>153.03880717786046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projet'!$B$15,Paramètres!$A$1:$I$88,3,0)*0.475*44/12</f>
        <v>214.48666367372923</v>
      </c>
      <c r="EW113" s="23">
        <f>EXP(-LN(2)/25)*EW112+(1-EXP(-LN(2)/25))/(LN(2)/25)*Calculateur!ER113*Calculateur!ET113*VLOOKUP('Données projet'!$B$15,Paramètres!$A$1:$I$88,3,0)*0.475*44/12</f>
        <v>0</v>
      </c>
      <c r="EX113" s="23">
        <f>EXP(-LN(2)/2)*EX112+(1-EXP(-LN(2)/2))/(LN(2)/2)*ER113*EU113*VLOOKUP('Données projet'!$B$15,Paramètres!$A$1:$I$88,3,0)*0.475*44/12</f>
        <v>0</v>
      </c>
      <c r="EY113" s="24">
        <f t="shared" si="75"/>
        <v>214.48666367372923</v>
      </c>
      <c r="EZ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2.2737367544323206E-13</v>
      </c>
      <c r="FF113" s="18">
        <f>FE113*VLOOKUP('Données projet'!$B$16,Paramètres!$A$1:$I$88,3,0)*VLOOKUP('Données projet'!$B$16,Paramètres!$A$1:$I$88,5,0)</f>
        <v>1.9863364286720756E-13</v>
      </c>
      <c r="FG113" s="14">
        <f t="shared" si="101"/>
        <v>2.7549360720371426E-12</v>
      </c>
      <c r="FH113" s="22">
        <f t="shared" si="76"/>
        <v>5.144133920125077E-12</v>
      </c>
      <c r="FI113" s="59">
        <f t="shared" si="77"/>
        <v>293.33333333333843</v>
      </c>
      <c r="FJ113" s="59">
        <f ca="1">AVERAGE(OFFSET($FI$3,0,0,'Données projet'!$E$16+1,1))-AVERAGE(OFFSET($H$3,0,0,'Données projet'!$E$16+1,1))</f>
        <v>427.76895185088944</v>
      </c>
      <c r="FK113" s="59">
        <f t="shared" si="102"/>
        <v>308.32543361559135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projet'!$B$16,Paramètres!$A$1:$I$88,3,0)*0.475*44/12</f>
        <v>174.18511216304253</v>
      </c>
      <c r="FR113" s="23">
        <f>EXP(-LN(2)/25)*FR112+(1-EXP(-LN(2)/25))/(LN(2)/25)*Calculateur!FM113*Calculateur!FO113*VLOOKUP('Données projet'!$B$16,Paramètres!$A$1:$I$88,3,0)*0.475*44/12</f>
        <v>0</v>
      </c>
      <c r="FS113" s="23">
        <f>EXP(-LN(2)/2)*FS112+(1-EXP(-LN(2)/2))/(LN(2)/2)*FM113*FP113*VLOOKUP('Données projet'!$B$16,Paramètres!$A$1:$I$88,3,0)*0.475*44/12</f>
        <v>0</v>
      </c>
      <c r="FT113" s="24">
        <f t="shared" si="78"/>
        <v>174.18511216304253</v>
      </c>
      <c r="FU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333.00000000000006</v>
      </c>
      <c r="GA113" s="18">
        <f>FZ113*VLOOKUP('Données projet'!$B$17,Paramètres!$A$1:$I$88,3,0)*VLOOKUP('Données projet'!$B$17,Paramètres!$A$1:$I$88,5,0)</f>
        <v>207.79200000000006</v>
      </c>
      <c r="GB113" s="14">
        <f t="shared" si="103"/>
        <v>51.452785725007907</v>
      </c>
      <c r="GC113" s="22">
        <f t="shared" si="79"/>
        <v>451.5180018043888</v>
      </c>
      <c r="GD113" s="59">
        <f t="shared" si="80"/>
        <v>744.85133513772212</v>
      </c>
      <c r="GE113" s="59">
        <f ca="1">AVERAGE(OFFSET($GD$3,0,0,'Données projet'!$E$17+1,1))-AVERAGE(OFFSET($H$3,0,0,'Données projet'!$E$17+1,1))</f>
        <v>247.85542034088905</v>
      </c>
      <c r="GF113" s="59">
        <f t="shared" si="104"/>
        <v>299.52241743660352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projet'!$B$17,Paramètres!$A$1:$I$88,3,0)*0.475*44/12</f>
        <v>13.802678736840718</v>
      </c>
      <c r="GM113" s="23">
        <f>EXP(-LN(2)/25)*GM112+(1-EXP(-LN(2)/25))/(LN(2)/25)*Calculateur!GH113*Calculateur!GJ113*VLOOKUP('Données projet'!$B$17,Paramètres!$A$1:$I$88,3,0)*0.475*44/12</f>
        <v>9.5065784875348491</v>
      </c>
      <c r="GN113" s="23">
        <f>EXP(-LN(2)/2)*GN112+(1-EXP(-LN(2)/2))/(LN(2)/2)*GH113*GK113*VLOOKUP('Données projet'!$B$17,Paramètres!$A$1:$I$88,3,0)*0.475*44/12</f>
        <v>1.2756021683345428E-6</v>
      </c>
      <c r="GO113" s="23">
        <f t="shared" si="81"/>
        <v>23.309258499977737</v>
      </c>
      <c r="GP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3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6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6</v>
      </c>
      <c r="N114" s="14">
        <f>IF('Données projet'!$A$36&gt;35,N113+M114-V113,IF(A114&lt;'Données projet'!$A$36,$K$205^A114,IF(A114='Données projet'!$A$36,'Données projet'!$B$36,N113+M114-V113)))</f>
        <v>271.99999999999994</v>
      </c>
      <c r="O114" s="14">
        <f>N114*VLOOKUP('Données projet'!$B$9,Paramètres!$A$1:$I$88,3,0)*VLOOKUP('Données projet'!$B$9,Paramètres!$A$1:$I$88,5,0)</f>
        <v>246.10559999999995</v>
      </c>
      <c r="P114" s="14">
        <f t="shared" si="87"/>
        <v>59.751253234371873</v>
      </c>
      <c r="Q114" s="22">
        <f t="shared" si="107"/>
        <v>532.7006860498642</v>
      </c>
      <c r="R114" s="59">
        <f t="shared" si="55"/>
        <v>826.03401938319757</v>
      </c>
      <c r="S114" s="59">
        <f ca="1">AVERAGE(OFFSET($R$3,0,0,'Données projet'!$E$9+1,1))-AVERAGE(OFFSET($H$3,0,0,'Données projet'!$E$9+1,1))</f>
        <v>247.57967230773539</v>
      </c>
      <c r="T114" s="59">
        <f t="shared" si="88"/>
        <v>156.58857589533295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24.398513530892782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24.398513530892782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-3.4106051316484809E-13</v>
      </c>
      <c r="AJ114" s="14">
        <f>AI114*VLOOKUP('Données projet'!$B$10,Paramètres!$A$1:$I$88,3,0)*VLOOKUP('Données projet'!$B$10,Paramètres!$A$1:$I$88,5,0)</f>
        <v>-2.7134774427395314E-13</v>
      </c>
      <c r="AK114" s="14" t="e">
        <f t="shared" si="89"/>
        <v>#NUM!</v>
      </c>
      <c r="AL114" s="22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504.15006129790828</v>
      </c>
      <c r="AO114" s="59">
        <f t="shared" si="90"/>
        <v>374.39334457402742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194.22030221609469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194.22030221609469</v>
      </c>
      <c r="AY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-3.4106051316484809E-13</v>
      </c>
      <c r="BE114" s="14">
        <f>BD114*VLOOKUP('Données projet'!$B$11,Paramètres!$A$1:$I$88,3,0)*VLOOKUP('Données projet'!$B$11,Paramètres!$A$1:$I$88,5,0)</f>
        <v>-2.7134774427395314E-13</v>
      </c>
      <c r="BF114" s="14" t="e">
        <f t="shared" si="91"/>
        <v>#NUM!</v>
      </c>
      <c r="BG114" s="22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504.15006129790828</v>
      </c>
      <c r="BJ114" s="59">
        <f t="shared" si="92"/>
        <v>374.39334457402742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194.22030221609469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194.22030221609469</v>
      </c>
      <c r="BT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-3.4106051316484809E-13</v>
      </c>
      <c r="BZ114" s="14">
        <f>BY114*VLOOKUP('Données projet'!$B$12,Paramètres!$A$1:$I$88,3,0)*VLOOKUP('Données projet'!$B$12,Paramètres!$A$1:$I$88,5,0)</f>
        <v>-2.2878339223098009E-13</v>
      </c>
      <c r="CA114" s="14" t="e">
        <f t="shared" si="93"/>
        <v>#NUM!</v>
      </c>
      <c r="CB114" s="22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387.15063677712425</v>
      </c>
      <c r="CE114" s="59">
        <f t="shared" si="94"/>
        <v>313.19155394370705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128.05442147039375</v>
      </c>
      <c r="CL114" s="23">
        <f>EXP(-LN(2)/25)*CL113+(1-EXP(-LN(2)/25))/(LN(2)/25)*Calculateur!CG114*Calculateur!CI114*VLOOKUP('Données projet'!$B$12,Paramètres!$A$1:$I$88,3,0)*0.475*44/12</f>
        <v>0</v>
      </c>
      <c r="CM114" s="23">
        <f>EXP(-LN(2)/2)*CM113+(1-EXP(-LN(2)/2))/(LN(2)/2)*CG114*CJ114*VLOOKUP('Données projet'!$B$12,Paramètres!$A$1:$I$88,3,0)*0.475*44/12</f>
        <v>0</v>
      </c>
      <c r="CN114" s="24">
        <f t="shared" si="66"/>
        <v>128.05442147039375</v>
      </c>
      <c r="CO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6</v>
      </c>
      <c r="CT114" s="13">
        <f>IF('Données projet'!$A$140&gt;35,CT113+CS114-DB113,IF(A114&lt;'Données projet'!$A$140,$CQ$205^A114,IF(A114='Données projet'!$A$140,'Données projet'!$B$140,CT113+CS114-DB113)))</f>
        <v>271.99999999999994</v>
      </c>
      <c r="CU114" s="18">
        <f>CT114*VLOOKUP('Données projet'!$B$13,Paramètres!$A$1:$I$88,3,0)*VLOOKUP('Données projet'!$B$13,Paramètres!$A$1:$I$88,5,0)</f>
        <v>263.07839999999993</v>
      </c>
      <c r="CV114" s="14">
        <f t="shared" si="95"/>
        <v>63.378118242127911</v>
      </c>
      <c r="CW114" s="22">
        <f t="shared" si="67"/>
        <v>568.57843593837265</v>
      </c>
      <c r="CX114" s="59">
        <f t="shared" si="68"/>
        <v>861.91176927170591</v>
      </c>
      <c r="CY114" s="59">
        <f ca="1">AVERAGE(OFFSET($CX$3,0,0,'Données projet'!$E$13+1,1))-AVERAGE(OFFSET($H$3,0,0,'Données projet'!$E$13+1,1))</f>
        <v>306.00894145276209</v>
      </c>
      <c r="CZ114" s="59">
        <f t="shared" si="96"/>
        <v>168.74705421228828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26.081169636471607</v>
      </c>
      <c r="DG114" s="23">
        <f>EXP(-LN(2)/25)*DG113+(1-EXP(-LN(2)/25))/(LN(2)/25)*Calculateur!DB114*Calculateur!DD114*VLOOKUP('Données projet'!$B$13,Paramètres!$A$1:$I$88,3,0)*0.475*44/12</f>
        <v>0</v>
      </c>
      <c r="DH114" s="23">
        <f>EXP(-LN(2)/2)*DH113+(1-EXP(-LN(2)/2))/(LN(2)/2)*DB114*DE114*VLOOKUP('Données projet'!$B$13,Paramètres!$A$1:$I$88,3,0)*0.475*44/12</f>
        <v>0</v>
      </c>
      <c r="DI114" s="24">
        <f t="shared" si="69"/>
        <v>26.081169636471607</v>
      </c>
      <c r="DJ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-3.4106051316484809E-13</v>
      </c>
      <c r="DP114" s="18">
        <f>DO114*VLOOKUP('Données projet'!$B$14,Paramètres!$A$1:$I$88,3,0)*VLOOKUP('Données projet'!$B$14,Paramètres!$A$1:$I$88,5,0)</f>
        <v>-2.6602720026858149E-13</v>
      </c>
      <c r="DQ114" s="14" t="e">
        <f t="shared" si="97"/>
        <v>#NUM!</v>
      </c>
      <c r="DR114" s="22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458.14328535055694</v>
      </c>
      <c r="DU114" s="59">
        <f t="shared" si="98"/>
        <v>366.75500153675739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projet'!$B$14,Paramètres!$A$1:$I$88,3,0)*0.475*44/12</f>
        <v>120.80605799093762</v>
      </c>
      <c r="EB114" s="23">
        <f>EXP(-LN(2)/25)*EB113+(1-EXP(-LN(2)/25))/(LN(2)/25)*Calculateur!DW114*Calculateur!DY114*VLOOKUP('Données projet'!$B$14,Paramètres!$A$1:$I$88,3,0)*0.475*44/12</f>
        <v>0</v>
      </c>
      <c r="EC114" s="23">
        <f>EXP(-LN(2)/2)*EC113+(1-EXP(-LN(2)/2))/(LN(2)/2)*DW114*DZ114*VLOOKUP('Données projet'!$B$14,Paramètres!$A$1:$I$88,3,0)*0.475*44/12</f>
        <v>0</v>
      </c>
      <c r="ED114" s="24">
        <f t="shared" si="72"/>
        <v>120.80605799093762</v>
      </c>
      <c r="EE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4.5474735088646412E-13</v>
      </c>
      <c r="EK114" s="18">
        <f>EJ114*VLOOKUP('Données projet'!$B$15,Paramètres!$A$1:$I$88,3,0)*VLOOKUP('Données projet'!$B$15,Paramètres!$A$1:$I$88,5,0)</f>
        <v>3.9017322706058626E-13</v>
      </c>
      <c r="EL114" s="14">
        <f t="shared" si="99"/>
        <v>5.0025007393608908E-12</v>
      </c>
      <c r="EM114" s="22">
        <f t="shared" si="73"/>
        <v>9.3922404915174053E-12</v>
      </c>
      <c r="EN114" s="59">
        <f t="shared" si="74"/>
        <v>293.33333333334269</v>
      </c>
      <c r="EO114" s="59">
        <f ca="1">AVERAGE(OFFSET($EN$3,0,0,'Données projet'!$E$15+1,1))-AVERAGE(OFFSET($H$3,0,0,'Données projet'!$E$15+1,1))</f>
        <v>462.99360395552145</v>
      </c>
      <c r="EP114" s="59">
        <f t="shared" si="100"/>
        <v>153.03880717786046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projet'!$B$15,Paramètres!$A$1:$I$88,3,0)*0.475*44/12</f>
        <v>210.28071102303446</v>
      </c>
      <c r="EW114" s="23">
        <f>EXP(-LN(2)/25)*EW113+(1-EXP(-LN(2)/25))/(LN(2)/25)*Calculateur!ER114*Calculateur!ET114*VLOOKUP('Données projet'!$B$15,Paramètres!$A$1:$I$88,3,0)*0.475*44/12</f>
        <v>0</v>
      </c>
      <c r="EX114" s="23">
        <f>EXP(-LN(2)/2)*EX113+(1-EXP(-LN(2)/2))/(LN(2)/2)*ER114*EU114*VLOOKUP('Données projet'!$B$15,Paramètres!$A$1:$I$88,3,0)*0.475*44/12</f>
        <v>0</v>
      </c>
      <c r="EY114" s="24">
        <f t="shared" si="75"/>
        <v>210.28071102303446</v>
      </c>
      <c r="EZ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2.2737367544323206E-13</v>
      </c>
      <c r="FF114" s="18">
        <f>FE114*VLOOKUP('Données projet'!$B$16,Paramètres!$A$1:$I$88,3,0)*VLOOKUP('Données projet'!$B$16,Paramètres!$A$1:$I$88,5,0)</f>
        <v>1.9863364286720756E-13</v>
      </c>
      <c r="FG114" s="14">
        <f t="shared" si="101"/>
        <v>2.7549360720371426E-12</v>
      </c>
      <c r="FH114" s="22">
        <f t="shared" si="76"/>
        <v>5.144133920125077E-12</v>
      </c>
      <c r="FI114" s="59">
        <f t="shared" si="77"/>
        <v>293.33333333333843</v>
      </c>
      <c r="FJ114" s="59">
        <f ca="1">AVERAGE(OFFSET($FI$3,0,0,'Données projet'!$E$16+1,1))-AVERAGE(OFFSET($H$3,0,0,'Données projet'!$E$16+1,1))</f>
        <v>427.76895185088944</v>
      </c>
      <c r="FK114" s="59">
        <f t="shared" si="102"/>
        <v>308.32543361559135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projet'!$B$16,Paramètres!$A$1:$I$88,3,0)*0.475*44/12</f>
        <v>170.76944835595313</v>
      </c>
      <c r="FR114" s="23">
        <f>EXP(-LN(2)/25)*FR113+(1-EXP(-LN(2)/25))/(LN(2)/25)*Calculateur!FM114*Calculateur!FO114*VLOOKUP('Données projet'!$B$16,Paramètres!$A$1:$I$88,3,0)*0.475*44/12</f>
        <v>0</v>
      </c>
      <c r="FS114" s="23">
        <f>EXP(-LN(2)/2)*FS113+(1-EXP(-LN(2)/2))/(LN(2)/2)*FM114*FP114*VLOOKUP('Données projet'!$B$16,Paramètres!$A$1:$I$88,3,0)*0.475*44/12</f>
        <v>0</v>
      </c>
      <c r="FT114" s="24">
        <f t="shared" si="78"/>
        <v>170.76944835595313</v>
      </c>
      <c r="FU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333.00000000000006</v>
      </c>
      <c r="GA114" s="18">
        <f>FZ114*VLOOKUP('Données projet'!$B$17,Paramètres!$A$1:$I$88,3,0)*VLOOKUP('Données projet'!$B$17,Paramètres!$A$1:$I$88,5,0)</f>
        <v>207.79200000000006</v>
      </c>
      <c r="GB114" s="14">
        <f t="shared" si="103"/>
        <v>51.452785725007907</v>
      </c>
      <c r="GC114" s="22">
        <f t="shared" si="79"/>
        <v>451.5180018043888</v>
      </c>
      <c r="GD114" s="59">
        <f t="shared" si="80"/>
        <v>744.85133513772212</v>
      </c>
      <c r="GE114" s="59">
        <f ca="1">AVERAGE(OFFSET($GD$3,0,0,'Données projet'!$E$17+1,1))-AVERAGE(OFFSET($H$3,0,0,'Données projet'!$E$17+1,1))</f>
        <v>247.85542034088905</v>
      </c>
      <c r="GF114" s="59">
        <f t="shared" si="104"/>
        <v>299.52241743660352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projet'!$B$17,Paramètres!$A$1:$I$88,3,0)*0.475*44/12</f>
        <v>13.532016625614014</v>
      </c>
      <c r="GM114" s="23">
        <f>EXP(-LN(2)/25)*GM113+(1-EXP(-LN(2)/25))/(LN(2)/25)*Calculateur!GH114*Calculateur!GJ114*VLOOKUP('Données projet'!$B$17,Paramètres!$A$1:$I$88,3,0)*0.475*44/12</f>
        <v>9.2466205988639736</v>
      </c>
      <c r="GN114" s="23">
        <f>EXP(-LN(2)/2)*GN113+(1-EXP(-LN(2)/2))/(LN(2)/2)*GH114*GK114*VLOOKUP('Données projet'!$B$17,Paramètres!$A$1:$I$88,3,0)*0.475*44/12</f>
        <v>9.0198694332561913E-7</v>
      </c>
      <c r="GO114" s="23">
        <f t="shared" si="81"/>
        <v>22.778638126464934</v>
      </c>
      <c r="GP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3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6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6</v>
      </c>
      <c r="N115" s="14">
        <f>IF('Données projet'!$A$36&gt;35,N114+M115-V114,IF(A115&lt;'Données projet'!$A$36,$K$205^A115,IF(A115='Données projet'!$A$36,'Données projet'!$B$36,N114+M115-V114)))</f>
        <v>277.99999999999994</v>
      </c>
      <c r="O115" s="14">
        <f>N115*VLOOKUP('Données projet'!$B$9,Paramètres!$A$1:$I$88,3,0)*VLOOKUP('Données projet'!$B$9,Paramètres!$A$1:$I$88,5,0)</f>
        <v>251.53439999999995</v>
      </c>
      <c r="P115" s="14">
        <f t="shared" si="87"/>
        <v>60.914392418364585</v>
      </c>
      <c r="Q115" s="22">
        <f t="shared" si="107"/>
        <v>544.18164679531822</v>
      </c>
      <c r="R115" s="59">
        <f t="shared" si="55"/>
        <v>837.51498012865159</v>
      </c>
      <c r="S115" s="59">
        <f ca="1">AVERAGE(OFFSET($R$3,0,0,'Données projet'!$E$9+1,1))-AVERAGE(OFFSET($H$3,0,0,'Données projet'!$E$9+1,1))</f>
        <v>247.57967230773539</v>
      </c>
      <c r="T115" s="59">
        <f t="shared" si="88"/>
        <v>156.58857589533295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23.920073562175791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23.920073562175791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-3.4106051316484809E-13</v>
      </c>
      <c r="AJ115" s="14">
        <f>AI115*VLOOKUP('Données projet'!$B$10,Paramètres!$A$1:$I$88,3,0)*VLOOKUP('Données projet'!$B$10,Paramètres!$A$1:$I$88,5,0)</f>
        <v>-2.7134774427395314E-13</v>
      </c>
      <c r="AK115" s="14" t="e">
        <f t="shared" si="89"/>
        <v>#NUM!</v>
      </c>
      <c r="AL115" s="22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504.15006129790828</v>
      </c>
      <c r="AO115" s="59">
        <f t="shared" si="90"/>
        <v>374.39334457402742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190.41176055232421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190.41176055232421</v>
      </c>
      <c r="AY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-3.4106051316484809E-13</v>
      </c>
      <c r="BE115" s="14">
        <f>BD115*VLOOKUP('Données projet'!$B$11,Paramètres!$A$1:$I$88,3,0)*VLOOKUP('Données projet'!$B$11,Paramètres!$A$1:$I$88,5,0)</f>
        <v>-2.7134774427395314E-13</v>
      </c>
      <c r="BF115" s="14" t="e">
        <f t="shared" si="91"/>
        <v>#NUM!</v>
      </c>
      <c r="BG115" s="22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504.15006129790828</v>
      </c>
      <c r="BJ115" s="59">
        <f t="shared" si="92"/>
        <v>374.39334457402742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190.41176055232421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190.41176055232421</v>
      </c>
      <c r="BT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-3.4106051316484809E-13</v>
      </c>
      <c r="BZ115" s="14">
        <f>BY115*VLOOKUP('Données projet'!$B$12,Paramètres!$A$1:$I$88,3,0)*VLOOKUP('Données projet'!$B$12,Paramètres!$A$1:$I$88,5,0)</f>
        <v>-2.2878339223098009E-13</v>
      </c>
      <c r="CA115" s="14" t="e">
        <f t="shared" si="93"/>
        <v>#NUM!</v>
      </c>
      <c r="CB115" s="22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387.15063677712425</v>
      </c>
      <c r="CE115" s="59">
        <f t="shared" si="94"/>
        <v>313.19155394370705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125.54335237084415</v>
      </c>
      <c r="CL115" s="23">
        <f>EXP(-LN(2)/25)*CL114+(1-EXP(-LN(2)/25))/(LN(2)/25)*Calculateur!CG115*Calculateur!CI115*VLOOKUP('Données projet'!$B$12,Paramètres!$A$1:$I$88,3,0)*0.475*44/12</f>
        <v>0</v>
      </c>
      <c r="CM115" s="23">
        <f>EXP(-LN(2)/2)*CM114+(1-EXP(-LN(2)/2))/(LN(2)/2)*CG115*CJ115*VLOOKUP('Données projet'!$B$12,Paramètres!$A$1:$I$88,3,0)*0.475*44/12</f>
        <v>0</v>
      </c>
      <c r="CN115" s="24">
        <f t="shared" si="66"/>
        <v>125.54335237084415</v>
      </c>
      <c r="CO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6</v>
      </c>
      <c r="CT115" s="13">
        <f>IF('Données projet'!$A$140&gt;35,CT114+CS115-DB114,IF(A115&lt;'Données projet'!$A$140,$CQ$205^A115,IF(A115='Données projet'!$A$140,'Données projet'!$B$140,CT114+CS115-DB114)))</f>
        <v>277.99999999999994</v>
      </c>
      <c r="CU115" s="18">
        <f>CT115*VLOOKUP('Données projet'!$B$13,Paramètres!$A$1:$I$88,3,0)*VLOOKUP('Données projet'!$B$13,Paramètres!$A$1:$I$88,5,0)</f>
        <v>268.88159999999993</v>
      </c>
      <c r="CV115" s="14">
        <f t="shared" si="95"/>
        <v>64.611859272562612</v>
      </c>
      <c r="CW115" s="22">
        <f t="shared" si="67"/>
        <v>580.83444156637972</v>
      </c>
      <c r="CX115" s="59">
        <f t="shared" si="68"/>
        <v>874.16777489971309</v>
      </c>
      <c r="CY115" s="59">
        <f ca="1">AVERAGE(OFFSET($CX$3,0,0,'Données projet'!$E$13+1,1))-AVERAGE(OFFSET($H$3,0,0,'Données projet'!$E$13+1,1))</f>
        <v>306.00894145276209</v>
      </c>
      <c r="CZ115" s="59">
        <f t="shared" si="96"/>
        <v>168.74705421228828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25.569733807843097</v>
      </c>
      <c r="DG115" s="23">
        <f>EXP(-LN(2)/25)*DG114+(1-EXP(-LN(2)/25))/(LN(2)/25)*Calculateur!DB115*Calculateur!DD115*VLOOKUP('Données projet'!$B$13,Paramètres!$A$1:$I$88,3,0)*0.475*44/12</f>
        <v>0</v>
      </c>
      <c r="DH115" s="23">
        <f>EXP(-LN(2)/2)*DH114+(1-EXP(-LN(2)/2))/(LN(2)/2)*DB115*DE115*VLOOKUP('Données projet'!$B$13,Paramètres!$A$1:$I$88,3,0)*0.475*44/12</f>
        <v>0</v>
      </c>
      <c r="DI115" s="24">
        <f t="shared" si="69"/>
        <v>25.569733807843097</v>
      </c>
      <c r="DJ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-3.4106051316484809E-13</v>
      </c>
      <c r="DP115" s="18">
        <f>DO115*VLOOKUP('Données projet'!$B$14,Paramètres!$A$1:$I$88,3,0)*VLOOKUP('Données projet'!$B$14,Paramètres!$A$1:$I$88,5,0)</f>
        <v>-2.6602720026858149E-13</v>
      </c>
      <c r="DQ115" s="14" t="e">
        <f t="shared" si="97"/>
        <v>#NUM!</v>
      </c>
      <c r="DR115" s="22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458.14328535055694</v>
      </c>
      <c r="DU115" s="59">
        <f t="shared" si="98"/>
        <v>366.75500153675739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projet'!$B$14,Paramètres!$A$1:$I$88,3,0)*0.475*44/12</f>
        <v>118.43712487815498</v>
      </c>
      <c r="EB115" s="23">
        <f>EXP(-LN(2)/25)*EB114+(1-EXP(-LN(2)/25))/(LN(2)/25)*Calculateur!DW115*Calculateur!DY115*VLOOKUP('Données projet'!$B$14,Paramètres!$A$1:$I$88,3,0)*0.475*44/12</f>
        <v>0</v>
      </c>
      <c r="EC115" s="23">
        <f>EXP(-LN(2)/2)*EC114+(1-EXP(-LN(2)/2))/(LN(2)/2)*DW115*DZ115*VLOOKUP('Données projet'!$B$14,Paramètres!$A$1:$I$88,3,0)*0.475*44/12</f>
        <v>0</v>
      </c>
      <c r="ED115" s="24">
        <f t="shared" si="72"/>
        <v>118.43712487815498</v>
      </c>
      <c r="EE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4.5474735088646412E-13</v>
      </c>
      <c r="EK115" s="18">
        <f>EJ115*VLOOKUP('Données projet'!$B$15,Paramètres!$A$1:$I$88,3,0)*VLOOKUP('Données projet'!$B$15,Paramètres!$A$1:$I$88,5,0)</f>
        <v>3.9017322706058626E-13</v>
      </c>
      <c r="EL115" s="14">
        <f t="shared" si="99"/>
        <v>5.0025007393608908E-12</v>
      </c>
      <c r="EM115" s="22">
        <f t="shared" si="73"/>
        <v>9.3922404915174053E-12</v>
      </c>
      <c r="EN115" s="59">
        <f t="shared" si="74"/>
        <v>293.33333333334269</v>
      </c>
      <c r="EO115" s="59">
        <f ca="1">AVERAGE(OFFSET($EN$3,0,0,'Données projet'!$E$15+1,1))-AVERAGE(OFFSET($H$3,0,0,'Données projet'!$E$15+1,1))</f>
        <v>462.99360395552145</v>
      </c>
      <c r="EP115" s="59">
        <f t="shared" si="100"/>
        <v>153.03880717786046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projet'!$B$15,Paramètres!$A$1:$I$88,3,0)*0.475*44/12</f>
        <v>206.157234538442</v>
      </c>
      <c r="EW115" s="23">
        <f>EXP(-LN(2)/25)*EW114+(1-EXP(-LN(2)/25))/(LN(2)/25)*Calculateur!ER115*Calculateur!ET115*VLOOKUP('Données projet'!$B$15,Paramètres!$A$1:$I$88,3,0)*0.475*44/12</f>
        <v>0</v>
      </c>
      <c r="EX115" s="23">
        <f>EXP(-LN(2)/2)*EX114+(1-EXP(-LN(2)/2))/(LN(2)/2)*ER115*EU115*VLOOKUP('Données projet'!$B$15,Paramètres!$A$1:$I$88,3,0)*0.475*44/12</f>
        <v>0</v>
      </c>
      <c r="EY115" s="24">
        <f t="shared" si="75"/>
        <v>206.157234538442</v>
      </c>
      <c r="EZ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2.2737367544323206E-13</v>
      </c>
      <c r="FF115" s="18">
        <f>FE115*VLOOKUP('Données projet'!$B$16,Paramètres!$A$1:$I$88,3,0)*VLOOKUP('Données projet'!$B$16,Paramètres!$A$1:$I$88,5,0)</f>
        <v>1.9863364286720756E-13</v>
      </c>
      <c r="FG115" s="14">
        <f t="shared" si="101"/>
        <v>2.7549360720371426E-12</v>
      </c>
      <c r="FH115" s="22">
        <f t="shared" si="76"/>
        <v>5.144133920125077E-12</v>
      </c>
      <c r="FI115" s="59">
        <f t="shared" si="77"/>
        <v>293.33333333333843</v>
      </c>
      <c r="FJ115" s="59">
        <f ca="1">AVERAGE(OFFSET($FI$3,0,0,'Données projet'!$E$16+1,1))-AVERAGE(OFFSET($H$3,0,0,'Données projet'!$E$16+1,1))</f>
        <v>427.76895185088944</v>
      </c>
      <c r="FK115" s="59">
        <f t="shared" si="102"/>
        <v>308.32543361559135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projet'!$B$16,Paramètres!$A$1:$I$88,3,0)*0.475*44/12</f>
        <v>167.42076363277152</v>
      </c>
      <c r="FR115" s="23">
        <f>EXP(-LN(2)/25)*FR114+(1-EXP(-LN(2)/25))/(LN(2)/25)*Calculateur!FM115*Calculateur!FO115*VLOOKUP('Données projet'!$B$16,Paramètres!$A$1:$I$88,3,0)*0.475*44/12</f>
        <v>0</v>
      </c>
      <c r="FS115" s="23">
        <f>EXP(-LN(2)/2)*FS114+(1-EXP(-LN(2)/2))/(LN(2)/2)*FM115*FP115*VLOOKUP('Données projet'!$B$16,Paramètres!$A$1:$I$88,3,0)*0.475*44/12</f>
        <v>0</v>
      </c>
      <c r="FT115" s="24">
        <f t="shared" si="78"/>
        <v>167.42076363277152</v>
      </c>
      <c r="FU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333.00000000000006</v>
      </c>
      <c r="GA115" s="18">
        <f>FZ115*VLOOKUP('Données projet'!$B$17,Paramètres!$A$1:$I$88,3,0)*VLOOKUP('Données projet'!$B$17,Paramètres!$A$1:$I$88,5,0)</f>
        <v>207.79200000000006</v>
      </c>
      <c r="GB115" s="14">
        <f t="shared" si="103"/>
        <v>51.452785725007907</v>
      </c>
      <c r="GC115" s="22">
        <f t="shared" si="79"/>
        <v>451.5180018043888</v>
      </c>
      <c r="GD115" s="59">
        <f t="shared" si="80"/>
        <v>744.85133513772212</v>
      </c>
      <c r="GE115" s="59">
        <f ca="1">AVERAGE(OFFSET($GD$3,0,0,'Données projet'!$E$17+1,1))-AVERAGE(OFFSET($H$3,0,0,'Données projet'!$E$17+1,1))</f>
        <v>247.85542034088905</v>
      </c>
      <c r="GF115" s="59">
        <f t="shared" si="104"/>
        <v>299.52241743660352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projet'!$B$17,Paramètres!$A$1:$I$88,3,0)*0.475*44/12</f>
        <v>13.266662033300879</v>
      </c>
      <c r="GM115" s="23">
        <f>EXP(-LN(2)/25)*GM114+(1-EXP(-LN(2)/25))/(LN(2)/25)*Calculateur!GH115*Calculateur!GJ115*VLOOKUP('Données projet'!$B$17,Paramètres!$A$1:$I$88,3,0)*0.475*44/12</f>
        <v>8.9937712723293952</v>
      </c>
      <c r="GN115" s="23">
        <f>EXP(-LN(2)/2)*GN114+(1-EXP(-LN(2)/2))/(LN(2)/2)*GH115*GK115*VLOOKUP('Données projet'!$B$17,Paramètres!$A$1:$I$88,3,0)*0.475*44/12</f>
        <v>6.378010841672714E-7</v>
      </c>
      <c r="GO115" s="23">
        <f t="shared" si="81"/>
        <v>22.260433943431355</v>
      </c>
      <c r="GP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3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6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>
        <f>VLOOKUP(A116,'Données projet'!$A$35:$I$55,2,0)</f>
        <v>284</v>
      </c>
      <c r="L116" s="13">
        <f>VLOOKUP(A116,'Données projet'!$A$35:$I$55,9,0)</f>
        <v>6</v>
      </c>
      <c r="M116" s="13">
        <f t="array" ref="M116">INDEX(L:L,MIN(IF(ISNUMBER(L116:L312),ROW(L116:L312),"")))</f>
        <v>6</v>
      </c>
      <c r="N116" s="14">
        <f>IF('Données projet'!$A$36&gt;35,N115+M116-V115,IF(A116&lt;'Données projet'!$A$36,$K$205^A116,IF(A116='Données projet'!$A$36,'Données projet'!$B$36,N115+M116-V115)))</f>
        <v>283.99999999999994</v>
      </c>
      <c r="O116" s="14">
        <f>N116*VLOOKUP('Données projet'!$B$9,Paramètres!$A$1:$I$88,3,0)*VLOOKUP('Données projet'!$B$9,Paramètres!$A$1:$I$88,5,0)</f>
        <v>256.96319999999992</v>
      </c>
      <c r="P116" s="14">
        <f t="shared" si="87"/>
        <v>62.074612956838024</v>
      </c>
      <c r="Q116" s="22">
        <f t="shared" si="107"/>
        <v>555.65752423315928</v>
      </c>
      <c r="R116" s="59">
        <f t="shared" si="55"/>
        <v>848.99085756649265</v>
      </c>
      <c r="S116" s="59">
        <f ca="1">AVERAGE(OFFSET($R$3,0,0,'Données projet'!$E$9+1,1))-AVERAGE(OFFSET($H$3,0,0,'Données projet'!$E$9+1,1))</f>
        <v>247.57967230773539</v>
      </c>
      <c r="T116" s="59">
        <f t="shared" si="88"/>
        <v>156.58857589533295</v>
      </c>
      <c r="U116" s="16">
        <f>IF(ISNA(VLOOKUP(A116,'Données projet'!$A$35:$I$55,3,0)),0,VLOOKUP(A116,'Données projet'!$A$35:$I$55,3,0))</f>
        <v>9</v>
      </c>
      <c r="V116" s="16">
        <f>IF(ISNA(VLOOKUP(A116,'Données projet'!$A$35:$I$55,4,0)),0,VLOOKUP(A116,'Données projet'!$A$35:$I$55,4,0))</f>
        <v>42</v>
      </c>
      <c r="W116" s="17">
        <f>IF(ISNA(VLOOKUP(A116,'Données projet'!$A$35:$I$55,5,0)),0%,VLOOKUP(A116,'Données projet'!$A$35:$I$55,5,0)*VLOOKUP('Données projet'!$B$9,Paramètres!$A$1:$I$88,7,0))</f>
        <v>0.25800000000000001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34.289503448539485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34.289503448539485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-3.4106051316484809E-13</v>
      </c>
      <c r="AJ116" s="14">
        <f>AI116*VLOOKUP('Données projet'!$B$10,Paramètres!$A$1:$I$88,3,0)*VLOOKUP('Données projet'!$B$10,Paramètres!$A$1:$I$88,5,0)</f>
        <v>-2.7134774427395314E-13</v>
      </c>
      <c r="AK116" s="14" t="e">
        <f t="shared" si="89"/>
        <v>#NUM!</v>
      </c>
      <c r="AL116" s="22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504.15006129790828</v>
      </c>
      <c r="AO116" s="59">
        <f t="shared" si="90"/>
        <v>374.39334457402742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186.67790206759923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186.67790206759923</v>
      </c>
      <c r="AY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-3.4106051316484809E-13</v>
      </c>
      <c r="BE116" s="14">
        <f>BD116*VLOOKUP('Données projet'!$B$11,Paramètres!$A$1:$I$88,3,0)*VLOOKUP('Données projet'!$B$11,Paramètres!$A$1:$I$88,5,0)</f>
        <v>-2.7134774427395314E-13</v>
      </c>
      <c r="BF116" s="14" t="e">
        <f t="shared" si="91"/>
        <v>#NUM!</v>
      </c>
      <c r="BG116" s="22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504.15006129790828</v>
      </c>
      <c r="BJ116" s="59">
        <f t="shared" si="92"/>
        <v>374.39334457402742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186.67790206759923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186.67790206759923</v>
      </c>
      <c r="BT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-3.4106051316484809E-13</v>
      </c>
      <c r="BZ116" s="14">
        <f>BY116*VLOOKUP('Données projet'!$B$12,Paramètres!$A$1:$I$88,3,0)*VLOOKUP('Données projet'!$B$12,Paramètres!$A$1:$I$88,5,0)</f>
        <v>-2.2878339223098009E-13</v>
      </c>
      <c r="CA116" s="14" t="e">
        <f t="shared" si="93"/>
        <v>#NUM!</v>
      </c>
      <c r="CB116" s="22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387.15063677712425</v>
      </c>
      <c r="CE116" s="59">
        <f t="shared" si="94"/>
        <v>313.19155394370705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123.0815238047358</v>
      </c>
      <c r="CL116" s="23">
        <f>EXP(-LN(2)/25)*CL115+(1-EXP(-LN(2)/25))/(LN(2)/25)*Calculateur!CG116*Calculateur!CI116*VLOOKUP('Données projet'!$B$12,Paramètres!$A$1:$I$88,3,0)*0.475*44/12</f>
        <v>0</v>
      </c>
      <c r="CM116" s="23">
        <f>EXP(-LN(2)/2)*CM115+(1-EXP(-LN(2)/2))/(LN(2)/2)*CG116*CJ116*VLOOKUP('Données projet'!$B$12,Paramètres!$A$1:$I$88,3,0)*0.475*44/12</f>
        <v>0</v>
      </c>
      <c r="CN116" s="24">
        <f t="shared" si="66"/>
        <v>123.0815238047358</v>
      </c>
      <c r="CO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>
        <f>VLOOKUP(A116,'Données projet'!$A$139:$I$159,2,0)</f>
        <v>284</v>
      </c>
      <c r="CR116" s="13">
        <f>VLOOKUP(A116,'Données projet'!$A$139:$I$159,9,0)</f>
        <v>6</v>
      </c>
      <c r="CS116" s="13">
        <f t="array" ref="CS116">INDEX(CR:CR,MIN(IF(ISNUMBER(CR116:CR312),ROW(CR116:CR312),"")))</f>
        <v>6</v>
      </c>
      <c r="CT116" s="13">
        <f>IF('Données projet'!$A$140&gt;35,CT115+CS116-DB115,IF(A116&lt;'Données projet'!$A$140,$CQ$205^A116,IF(A116='Données projet'!$A$140,'Données projet'!$B$140,CT115+CS116-DB115)))</f>
        <v>283.99999999999994</v>
      </c>
      <c r="CU116" s="18">
        <f>CT116*VLOOKUP('Données projet'!$B$13,Paramètres!$A$1:$I$88,3,0)*VLOOKUP('Données projet'!$B$13,Paramètres!$A$1:$I$88,5,0)</f>
        <v>274.68479999999994</v>
      </c>
      <c r="CV116" s="14">
        <f t="shared" si="95"/>
        <v>65.842504497456659</v>
      </c>
      <c r="CW116" s="22">
        <f t="shared" si="67"/>
        <v>593.08505533307027</v>
      </c>
      <c r="CX116" s="59">
        <f t="shared" si="68"/>
        <v>886.41838866640364</v>
      </c>
      <c r="CY116" s="59">
        <f ca="1">AVERAGE(OFFSET($CX$3,0,0,'Données projet'!$E$13+1,1))-AVERAGE(OFFSET($H$3,0,0,'Données projet'!$E$13+1,1))</f>
        <v>306.00894145276209</v>
      </c>
      <c r="CZ116" s="59">
        <f t="shared" si="96"/>
        <v>168.74705421228828</v>
      </c>
      <c r="DA116" s="16">
        <f>IF(ISNA(VLOOKUP(A116,'Données projet'!$A$139:$I$159,3,0)),0,VLOOKUP(A116,'Données projet'!$A$139:$I$159,3,0))</f>
        <v>9</v>
      </c>
      <c r="DB116" s="16">
        <f>IF(ISNA(VLOOKUP(A116,'Données projet'!$A$139:$I$159,4,0)),0,VLOOKUP(A116,'Données projet'!$A$139:$I$159,4,0))</f>
        <v>42</v>
      </c>
      <c r="DC116" s="17">
        <f>IF(ISNA(VLOOKUP(A116,'Données projet'!$A$139:$I$159,5,0)),0%,VLOOKUP(A116,'Données projet'!$A$139:$I$159,5,0)*VLOOKUP('Données projet'!$B$13,Paramètres!$A$1:$I$88,7,0))</f>
        <v>0.25800000000000001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36.654296789818083</v>
      </c>
      <c r="DG116" s="23">
        <f>EXP(-LN(2)/25)*DG115+(1-EXP(-LN(2)/25))/(LN(2)/25)*Calculateur!DB116*Calculateur!DD116*VLOOKUP('Données projet'!$B$13,Paramètres!$A$1:$I$88,3,0)*0.475*44/12</f>
        <v>0</v>
      </c>
      <c r="DH116" s="23">
        <f>EXP(-LN(2)/2)*DH115+(1-EXP(-LN(2)/2))/(LN(2)/2)*DB116*DE116*VLOOKUP('Données projet'!$B$13,Paramètres!$A$1:$I$88,3,0)*0.475*44/12</f>
        <v>0</v>
      </c>
      <c r="DI116" s="24">
        <f t="shared" si="69"/>
        <v>36.654296789818083</v>
      </c>
      <c r="DJ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-3.4106051316484809E-13</v>
      </c>
      <c r="DP116" s="18">
        <f>DO116*VLOOKUP('Données projet'!$B$14,Paramètres!$A$1:$I$88,3,0)*VLOOKUP('Données projet'!$B$14,Paramètres!$A$1:$I$88,5,0)</f>
        <v>-2.6602720026858149E-13</v>
      </c>
      <c r="DQ116" s="14" t="e">
        <f t="shared" si="97"/>
        <v>#NUM!</v>
      </c>
      <c r="DR116" s="22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458.14328535055694</v>
      </c>
      <c r="DU116" s="59">
        <f t="shared" si="98"/>
        <v>366.75500153675739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projet'!$B$14,Paramètres!$A$1:$I$88,3,0)*0.475*44/12</f>
        <v>116.11464509880747</v>
      </c>
      <c r="EB116" s="23">
        <f>EXP(-LN(2)/25)*EB115+(1-EXP(-LN(2)/25))/(LN(2)/25)*Calculateur!DW116*Calculateur!DY116*VLOOKUP('Données projet'!$B$14,Paramètres!$A$1:$I$88,3,0)*0.475*44/12</f>
        <v>0</v>
      </c>
      <c r="EC116" s="23">
        <f>EXP(-LN(2)/2)*EC115+(1-EXP(-LN(2)/2))/(LN(2)/2)*DW116*DZ116*VLOOKUP('Données projet'!$B$14,Paramètres!$A$1:$I$88,3,0)*0.475*44/12</f>
        <v>0</v>
      </c>
      <c r="ED116" s="24">
        <f t="shared" si="72"/>
        <v>116.11464509880747</v>
      </c>
      <c r="EE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4.5474735088646412E-13</v>
      </c>
      <c r="EK116" s="18">
        <f>EJ116*VLOOKUP('Données projet'!$B$15,Paramètres!$A$1:$I$88,3,0)*VLOOKUP('Données projet'!$B$15,Paramètres!$A$1:$I$88,5,0)</f>
        <v>3.9017322706058626E-13</v>
      </c>
      <c r="EL116" s="14">
        <f t="shared" si="99"/>
        <v>5.0025007393608908E-12</v>
      </c>
      <c r="EM116" s="22">
        <f t="shared" si="73"/>
        <v>9.3922404915174053E-12</v>
      </c>
      <c r="EN116" s="59">
        <f t="shared" si="74"/>
        <v>293.33333333334269</v>
      </c>
      <c r="EO116" s="59">
        <f ca="1">AVERAGE(OFFSET($EN$3,0,0,'Données projet'!$E$15+1,1))-AVERAGE(OFFSET($H$3,0,0,'Données projet'!$E$15+1,1))</f>
        <v>462.99360395552145</v>
      </c>
      <c r="EP116" s="59">
        <f t="shared" si="100"/>
        <v>153.03880717786046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projet'!$B$15,Paramètres!$A$1:$I$88,3,0)*0.475*44/12</f>
        <v>202.11461691264009</v>
      </c>
      <c r="EW116" s="23">
        <f>EXP(-LN(2)/25)*EW115+(1-EXP(-LN(2)/25))/(LN(2)/25)*Calculateur!ER116*Calculateur!ET116*VLOOKUP('Données projet'!$B$15,Paramètres!$A$1:$I$88,3,0)*0.475*44/12</f>
        <v>0</v>
      </c>
      <c r="EX116" s="23">
        <f>EXP(-LN(2)/2)*EX115+(1-EXP(-LN(2)/2))/(LN(2)/2)*ER116*EU116*VLOOKUP('Données projet'!$B$15,Paramètres!$A$1:$I$88,3,0)*0.475*44/12</f>
        <v>0</v>
      </c>
      <c r="EY116" s="24">
        <f t="shared" si="75"/>
        <v>202.11461691264009</v>
      </c>
      <c r="EZ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2.2737367544323206E-13</v>
      </c>
      <c r="FF116" s="18">
        <f>FE116*VLOOKUP('Données projet'!$B$16,Paramètres!$A$1:$I$88,3,0)*VLOOKUP('Données projet'!$B$16,Paramètres!$A$1:$I$88,5,0)</f>
        <v>1.9863364286720756E-13</v>
      </c>
      <c r="FG116" s="14">
        <f t="shared" si="101"/>
        <v>2.7549360720371426E-12</v>
      </c>
      <c r="FH116" s="22">
        <f t="shared" si="76"/>
        <v>5.144133920125077E-12</v>
      </c>
      <c r="FI116" s="59">
        <f t="shared" si="77"/>
        <v>293.33333333333843</v>
      </c>
      <c r="FJ116" s="59">
        <f ca="1">AVERAGE(OFFSET($FI$3,0,0,'Données projet'!$E$16+1,1))-AVERAGE(OFFSET($H$3,0,0,'Données projet'!$E$16+1,1))</f>
        <v>427.76895185088944</v>
      </c>
      <c r="FK116" s="59">
        <f t="shared" si="102"/>
        <v>308.32543361559135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projet'!$B$16,Paramètres!$A$1:$I$88,3,0)*0.475*44/12</f>
        <v>164.13774457451552</v>
      </c>
      <c r="FR116" s="23">
        <f>EXP(-LN(2)/25)*FR115+(1-EXP(-LN(2)/25))/(LN(2)/25)*Calculateur!FM116*Calculateur!FO116*VLOOKUP('Données projet'!$B$16,Paramètres!$A$1:$I$88,3,0)*0.475*44/12</f>
        <v>0</v>
      </c>
      <c r="FS116" s="23">
        <f>EXP(-LN(2)/2)*FS115+(1-EXP(-LN(2)/2))/(LN(2)/2)*FM116*FP116*VLOOKUP('Données projet'!$B$16,Paramètres!$A$1:$I$88,3,0)*0.475*44/12</f>
        <v>0</v>
      </c>
      <c r="FT116" s="24">
        <f t="shared" si="78"/>
        <v>164.13774457451552</v>
      </c>
      <c r="FU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333.00000000000006</v>
      </c>
      <c r="GA116" s="18">
        <f>FZ116*VLOOKUP('Données projet'!$B$17,Paramètres!$A$1:$I$88,3,0)*VLOOKUP('Données projet'!$B$17,Paramètres!$A$1:$I$88,5,0)</f>
        <v>207.79200000000006</v>
      </c>
      <c r="GB116" s="14">
        <f t="shared" si="103"/>
        <v>51.452785725007907</v>
      </c>
      <c r="GC116" s="22">
        <f t="shared" si="79"/>
        <v>451.5180018043888</v>
      </c>
      <c r="GD116" s="59">
        <f t="shared" si="80"/>
        <v>744.85133513772212</v>
      </c>
      <c r="GE116" s="59">
        <f ca="1">AVERAGE(OFFSET($GD$3,0,0,'Données projet'!$E$17+1,1))-AVERAGE(OFFSET($H$3,0,0,'Données projet'!$E$17+1,1))</f>
        <v>247.85542034088905</v>
      </c>
      <c r="GF116" s="59">
        <f t="shared" si="104"/>
        <v>299.52241743660352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projet'!$B$17,Paramètres!$A$1:$I$88,3,0)*0.475*44/12</f>
        <v>13.006510882692684</v>
      </c>
      <c r="GM116" s="23">
        <f>EXP(-LN(2)/25)*GM115+(1-EXP(-LN(2)/25))/(LN(2)/25)*Calculateur!GH116*Calculateur!GJ116*VLOOKUP('Données projet'!$B$17,Paramètres!$A$1:$I$88,3,0)*0.475*44/12</f>
        <v>8.7478361239256728</v>
      </c>
      <c r="GN116" s="23">
        <f>EXP(-LN(2)/2)*GN115+(1-EXP(-LN(2)/2))/(LN(2)/2)*GH116*GK116*VLOOKUP('Données projet'!$B$17,Paramètres!$A$1:$I$88,3,0)*0.475*44/12</f>
        <v>4.5099347166280956E-7</v>
      </c>
      <c r="GO116" s="23">
        <f t="shared" si="81"/>
        <v>21.754347457611829</v>
      </c>
      <c r="GP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3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6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6.4</v>
      </c>
      <c r="N117" s="14">
        <f>IF('Données projet'!$A$36&gt;35,N116+M117-V116,IF(A117&lt;'Données projet'!$A$36,$K$205^A117,IF(A117='Données projet'!$A$36,'Données projet'!$B$36,N116+M117-V116)))</f>
        <v>248.39999999999992</v>
      </c>
      <c r="O117" s="14">
        <f>N117*VLOOKUP('Données projet'!$B$9,Paramètres!$A$1:$I$88,3,0)*VLOOKUP('Données projet'!$B$9,Paramètres!$A$1:$I$88,5,0)</f>
        <v>224.75231999999991</v>
      </c>
      <c r="P117" s="14">
        <f t="shared" si="87"/>
        <v>55.146490754971083</v>
      </c>
      <c r="Q117" s="22">
        <f t="shared" si="107"/>
        <v>487.49042873157447</v>
      </c>
      <c r="R117" s="59">
        <f t="shared" si="55"/>
        <v>780.82376206490778</v>
      </c>
      <c r="S117" s="59">
        <f ca="1">AVERAGE(OFFSET($R$3,0,0,'Données projet'!$E$9+1,1))-AVERAGE(OFFSET($H$3,0,0,'Données projet'!$E$9+1,1))</f>
        <v>247.57967230773539</v>
      </c>
      <c r="T117" s="59">
        <f t="shared" si="88"/>
        <v>156.58857589533295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33.617107200445588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33.617107200445588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-3.4106051316484809E-13</v>
      </c>
      <c r="AJ117" s="14">
        <f>AI117*VLOOKUP('Données projet'!$B$10,Paramètres!$A$1:$I$88,3,0)*VLOOKUP('Données projet'!$B$10,Paramètres!$A$1:$I$88,5,0)</f>
        <v>-2.7134774427395314E-13</v>
      </c>
      <c r="AK117" s="14" t="e">
        <f t="shared" si="89"/>
        <v>#NUM!</v>
      </c>
      <c r="AL117" s="22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504.15006129790828</v>
      </c>
      <c r="AO117" s="59">
        <f t="shared" si="90"/>
        <v>374.39334457402742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183.01726227033092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183.01726227033092</v>
      </c>
      <c r="AY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-3.4106051316484809E-13</v>
      </c>
      <c r="BE117" s="14">
        <f>BD117*VLOOKUP('Données projet'!$B$11,Paramètres!$A$1:$I$88,3,0)*VLOOKUP('Données projet'!$B$11,Paramètres!$A$1:$I$88,5,0)</f>
        <v>-2.7134774427395314E-13</v>
      </c>
      <c r="BF117" s="14" t="e">
        <f t="shared" si="91"/>
        <v>#NUM!</v>
      </c>
      <c r="BG117" s="22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504.15006129790828</v>
      </c>
      <c r="BJ117" s="59">
        <f t="shared" si="92"/>
        <v>374.39334457402742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183.01726227033092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183.01726227033092</v>
      </c>
      <c r="BT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-3.4106051316484809E-13</v>
      </c>
      <c r="BZ117" s="14">
        <f>BY117*VLOOKUP('Données projet'!$B$12,Paramètres!$A$1:$I$88,3,0)*VLOOKUP('Données projet'!$B$12,Paramètres!$A$1:$I$88,5,0)</f>
        <v>-2.2878339223098009E-13</v>
      </c>
      <c r="CA117" s="14" t="e">
        <f t="shared" si="93"/>
        <v>#NUM!</v>
      </c>
      <c r="CB117" s="22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387.15063677712425</v>
      </c>
      <c r="CE117" s="59">
        <f t="shared" si="94"/>
        <v>313.19155394370705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120.66797019524167</v>
      </c>
      <c r="CL117" s="23">
        <f>EXP(-LN(2)/25)*CL116+(1-EXP(-LN(2)/25))/(LN(2)/25)*Calculateur!CG117*Calculateur!CI117*VLOOKUP('Données projet'!$B$12,Paramètres!$A$1:$I$88,3,0)*0.475*44/12</f>
        <v>0</v>
      </c>
      <c r="CM117" s="23">
        <f>EXP(-LN(2)/2)*CM116+(1-EXP(-LN(2)/2))/(LN(2)/2)*CG117*CJ117*VLOOKUP('Données projet'!$B$12,Paramètres!$A$1:$I$88,3,0)*0.475*44/12</f>
        <v>0</v>
      </c>
      <c r="CN117" s="24">
        <f t="shared" si="66"/>
        <v>120.66797019524167</v>
      </c>
      <c r="CO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6.4</v>
      </c>
      <c r="CT117" s="13">
        <f>IF('Données projet'!$A$140&gt;35,CT116+CS117-DB116,IF(A117&lt;'Données projet'!$A$140,$CQ$205^A117,IF(A117='Données projet'!$A$140,'Données projet'!$B$140,CT116+CS117-DB116)))</f>
        <v>248.39999999999992</v>
      </c>
      <c r="CU117" s="18">
        <f>CT117*VLOOKUP('Données projet'!$B$13,Paramètres!$A$1:$I$88,3,0)*VLOOKUP('Données projet'!$B$13,Paramètres!$A$1:$I$88,5,0)</f>
        <v>240.25247999999993</v>
      </c>
      <c r="CV117" s="14">
        <f t="shared" si="95"/>
        <v>58.493849459485894</v>
      </c>
      <c r="CW117" s="22">
        <f t="shared" si="67"/>
        <v>520.31652380860442</v>
      </c>
      <c r="CX117" s="59">
        <f t="shared" si="68"/>
        <v>813.64985714193767</v>
      </c>
      <c r="CY117" s="59">
        <f ca="1">AVERAGE(OFFSET($CX$3,0,0,'Données projet'!$E$13+1,1))-AVERAGE(OFFSET($H$3,0,0,'Données projet'!$E$13+1,1))</f>
        <v>306.00894145276209</v>
      </c>
      <c r="CZ117" s="59">
        <f t="shared" si="96"/>
        <v>168.74705421228828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35.935528386683231</v>
      </c>
      <c r="DG117" s="23">
        <f>EXP(-LN(2)/25)*DG116+(1-EXP(-LN(2)/25))/(LN(2)/25)*Calculateur!DB117*Calculateur!DD117*VLOOKUP('Données projet'!$B$13,Paramètres!$A$1:$I$88,3,0)*0.475*44/12</f>
        <v>0</v>
      </c>
      <c r="DH117" s="23">
        <f>EXP(-LN(2)/2)*DH116+(1-EXP(-LN(2)/2))/(LN(2)/2)*DB117*DE117*VLOOKUP('Données projet'!$B$13,Paramètres!$A$1:$I$88,3,0)*0.475*44/12</f>
        <v>0</v>
      </c>
      <c r="DI117" s="24">
        <f t="shared" si="69"/>
        <v>35.935528386683231</v>
      </c>
      <c r="DJ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-3.4106051316484809E-13</v>
      </c>
      <c r="DP117" s="18">
        <f>DO117*VLOOKUP('Données projet'!$B$14,Paramètres!$A$1:$I$88,3,0)*VLOOKUP('Données projet'!$B$14,Paramètres!$A$1:$I$88,5,0)</f>
        <v>-2.6602720026858149E-13</v>
      </c>
      <c r="DQ117" s="14" t="e">
        <f t="shared" si="97"/>
        <v>#NUM!</v>
      </c>
      <c r="DR117" s="22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458.14328535055694</v>
      </c>
      <c r="DU117" s="59">
        <f t="shared" si="98"/>
        <v>366.75500153675739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projet'!$B$14,Paramètres!$A$1:$I$88,3,0)*0.475*44/12</f>
        <v>113.83770773136018</v>
      </c>
      <c r="EB117" s="23">
        <f>EXP(-LN(2)/25)*EB116+(1-EXP(-LN(2)/25))/(LN(2)/25)*Calculateur!DW117*Calculateur!DY117*VLOOKUP('Données projet'!$B$14,Paramètres!$A$1:$I$88,3,0)*0.475*44/12</f>
        <v>0</v>
      </c>
      <c r="EC117" s="23">
        <f>EXP(-LN(2)/2)*EC116+(1-EXP(-LN(2)/2))/(LN(2)/2)*DW117*DZ117*VLOOKUP('Données projet'!$B$14,Paramètres!$A$1:$I$88,3,0)*0.475*44/12</f>
        <v>0</v>
      </c>
      <c r="ED117" s="24">
        <f t="shared" si="72"/>
        <v>113.83770773136018</v>
      </c>
      <c r="EE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4.5474735088646412E-13</v>
      </c>
      <c r="EK117" s="18">
        <f>EJ117*VLOOKUP('Données projet'!$B$15,Paramètres!$A$1:$I$88,3,0)*VLOOKUP('Données projet'!$B$15,Paramètres!$A$1:$I$88,5,0)</f>
        <v>3.9017322706058626E-13</v>
      </c>
      <c r="EL117" s="14">
        <f t="shared" si="99"/>
        <v>5.0025007393608908E-12</v>
      </c>
      <c r="EM117" s="22">
        <f t="shared" si="73"/>
        <v>9.3922404915174053E-12</v>
      </c>
      <c r="EN117" s="59">
        <f t="shared" si="74"/>
        <v>293.33333333334269</v>
      </c>
      <c r="EO117" s="59">
        <f ca="1">AVERAGE(OFFSET($EN$3,0,0,'Données projet'!$E$15+1,1))-AVERAGE(OFFSET($H$3,0,0,'Données projet'!$E$15+1,1))</f>
        <v>462.99360395552145</v>
      </c>
      <c r="EP117" s="59">
        <f t="shared" si="100"/>
        <v>153.03880717786046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projet'!$B$15,Paramètres!$A$1:$I$88,3,0)*0.475*44/12</f>
        <v>198.15127255272688</v>
      </c>
      <c r="EW117" s="23">
        <f>EXP(-LN(2)/25)*EW116+(1-EXP(-LN(2)/25))/(LN(2)/25)*Calculateur!ER117*Calculateur!ET117*VLOOKUP('Données projet'!$B$15,Paramètres!$A$1:$I$88,3,0)*0.475*44/12</f>
        <v>0</v>
      </c>
      <c r="EX117" s="23">
        <f>EXP(-LN(2)/2)*EX116+(1-EXP(-LN(2)/2))/(LN(2)/2)*ER117*EU117*VLOOKUP('Données projet'!$B$15,Paramètres!$A$1:$I$88,3,0)*0.475*44/12</f>
        <v>0</v>
      </c>
      <c r="EY117" s="24">
        <f t="shared" si="75"/>
        <v>198.15127255272688</v>
      </c>
      <c r="EZ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2.2737367544323206E-13</v>
      </c>
      <c r="FF117" s="18">
        <f>FE117*VLOOKUP('Données projet'!$B$16,Paramètres!$A$1:$I$88,3,0)*VLOOKUP('Données projet'!$B$16,Paramètres!$A$1:$I$88,5,0)</f>
        <v>1.9863364286720756E-13</v>
      </c>
      <c r="FG117" s="14">
        <f t="shared" si="101"/>
        <v>2.7549360720371426E-12</v>
      </c>
      <c r="FH117" s="22">
        <f t="shared" si="76"/>
        <v>5.144133920125077E-12</v>
      </c>
      <c r="FI117" s="59">
        <f t="shared" si="77"/>
        <v>293.33333333333843</v>
      </c>
      <c r="FJ117" s="59">
        <f ca="1">AVERAGE(OFFSET($FI$3,0,0,'Données projet'!$E$16+1,1))-AVERAGE(OFFSET($H$3,0,0,'Données projet'!$E$16+1,1))</f>
        <v>427.76895185088944</v>
      </c>
      <c r="FK117" s="59">
        <f t="shared" si="102"/>
        <v>308.32543361559135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projet'!$B$16,Paramètres!$A$1:$I$88,3,0)*0.475*44/12</f>
        <v>160.91910351754802</v>
      </c>
      <c r="FR117" s="23">
        <f>EXP(-LN(2)/25)*FR116+(1-EXP(-LN(2)/25))/(LN(2)/25)*Calculateur!FM117*Calculateur!FO117*VLOOKUP('Données projet'!$B$16,Paramètres!$A$1:$I$88,3,0)*0.475*44/12</f>
        <v>0</v>
      </c>
      <c r="FS117" s="23">
        <f>EXP(-LN(2)/2)*FS116+(1-EXP(-LN(2)/2))/(LN(2)/2)*FM117*FP117*VLOOKUP('Données projet'!$B$16,Paramètres!$A$1:$I$88,3,0)*0.475*44/12</f>
        <v>0</v>
      </c>
      <c r="FT117" s="24">
        <f t="shared" si="78"/>
        <v>160.91910351754802</v>
      </c>
      <c r="FU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333.00000000000006</v>
      </c>
      <c r="GA117" s="18">
        <f>FZ117*VLOOKUP('Données projet'!$B$17,Paramètres!$A$1:$I$88,3,0)*VLOOKUP('Données projet'!$B$17,Paramètres!$A$1:$I$88,5,0)</f>
        <v>207.79200000000006</v>
      </c>
      <c r="GB117" s="14">
        <f t="shared" si="103"/>
        <v>51.452785725007907</v>
      </c>
      <c r="GC117" s="22">
        <f t="shared" si="79"/>
        <v>451.5180018043888</v>
      </c>
      <c r="GD117" s="59">
        <f t="shared" si="80"/>
        <v>744.85133513772212</v>
      </c>
      <c r="GE117" s="59">
        <f ca="1">AVERAGE(OFFSET($GD$3,0,0,'Données projet'!$E$17+1,1))-AVERAGE(OFFSET($H$3,0,0,'Données projet'!$E$17+1,1))</f>
        <v>247.85542034088905</v>
      </c>
      <c r="GF117" s="59">
        <f t="shared" si="104"/>
        <v>299.52241743660352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projet'!$B$17,Paramètres!$A$1:$I$88,3,0)*0.475*44/12</f>
        <v>12.751461137471381</v>
      </c>
      <c r="GM117" s="23">
        <f>EXP(-LN(2)/25)*GM116+(1-EXP(-LN(2)/25))/(LN(2)/25)*Calculateur!GH117*Calculateur!GJ117*VLOOKUP('Données projet'!$B$17,Paramètres!$A$1:$I$88,3,0)*0.475*44/12</f>
        <v>8.5086260850882169</v>
      </c>
      <c r="GN117" s="23">
        <f>EXP(-LN(2)/2)*GN116+(1-EXP(-LN(2)/2))/(LN(2)/2)*GH117*GK117*VLOOKUP('Données projet'!$B$17,Paramètres!$A$1:$I$88,3,0)*0.475*44/12</f>
        <v>3.189005420836357E-7</v>
      </c>
      <c r="GO117" s="23">
        <f t="shared" si="81"/>
        <v>21.260087541460141</v>
      </c>
      <c r="GP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3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6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6.4</v>
      </c>
      <c r="N118" s="14">
        <f>IF('Données projet'!$A$36&gt;35,N117+M118-V117,IF(A118&lt;'Données projet'!$A$36,$K$205^A118,IF(A118='Données projet'!$A$36,'Données projet'!$B$36,N117+M118-V117)))</f>
        <v>254.79999999999993</v>
      </c>
      <c r="O118" s="14">
        <f>N118*VLOOKUP('Données projet'!$B$9,Paramètres!$A$1:$I$88,3,0)*VLOOKUP('Données projet'!$B$9,Paramètres!$A$1:$I$88,5,0)</f>
        <v>230.54303999999991</v>
      </c>
      <c r="P118" s="14">
        <f t="shared" si="87"/>
        <v>56.400083354856683</v>
      </c>
      <c r="Q118" s="22">
        <f t="shared" si="107"/>
        <v>499.75927317637519</v>
      </c>
      <c r="R118" s="59">
        <f t="shared" si="55"/>
        <v>793.0926065097085</v>
      </c>
      <c r="S118" s="59">
        <f ca="1">AVERAGE(OFFSET($R$3,0,0,'Données projet'!$E$9+1,1))-AVERAGE(OFFSET($H$3,0,0,'Données projet'!$E$9+1,1))</f>
        <v>247.57967230773539</v>
      </c>
      <c r="T118" s="59">
        <f t="shared" si="88"/>
        <v>156.58857589533295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32.9578962326556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32.9578962326556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-3.4106051316484809E-13</v>
      </c>
      <c r="AJ118" s="14">
        <f>AI118*VLOOKUP('Données projet'!$B$10,Paramètres!$A$1:$I$88,3,0)*VLOOKUP('Données projet'!$B$10,Paramètres!$A$1:$I$88,5,0)</f>
        <v>-2.7134774427395314E-13</v>
      </c>
      <c r="AK118" s="14" t="e">
        <f t="shared" si="89"/>
        <v>#NUM!</v>
      </c>
      <c r="AL118" s="22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504.15006129790828</v>
      </c>
      <c r="AO118" s="59">
        <f t="shared" si="90"/>
        <v>374.39334457402742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179.4284053867172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179.4284053867172</v>
      </c>
      <c r="AY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-3.4106051316484809E-13</v>
      </c>
      <c r="BE118" s="14">
        <f>BD118*VLOOKUP('Données projet'!$B$11,Paramètres!$A$1:$I$88,3,0)*VLOOKUP('Données projet'!$B$11,Paramètres!$A$1:$I$88,5,0)</f>
        <v>-2.7134774427395314E-13</v>
      </c>
      <c r="BF118" s="14" t="e">
        <f t="shared" si="91"/>
        <v>#NUM!</v>
      </c>
      <c r="BG118" s="22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504.15006129790828</v>
      </c>
      <c r="BJ118" s="59">
        <f t="shared" si="92"/>
        <v>374.39334457402742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179.4284053867172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179.4284053867172</v>
      </c>
      <c r="BT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-3.4106051316484809E-13</v>
      </c>
      <c r="BZ118" s="14">
        <f>BY118*VLOOKUP('Données projet'!$B$12,Paramètres!$A$1:$I$88,3,0)*VLOOKUP('Données projet'!$B$12,Paramètres!$A$1:$I$88,5,0)</f>
        <v>-2.2878339223098009E-13</v>
      </c>
      <c r="CA118" s="14" t="e">
        <f t="shared" si="93"/>
        <v>#NUM!</v>
      </c>
      <c r="CB118" s="22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387.15063677712425</v>
      </c>
      <c r="CE118" s="59">
        <f t="shared" si="94"/>
        <v>313.19155394370705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118.30174489990738</v>
      </c>
      <c r="CL118" s="23">
        <f>EXP(-LN(2)/25)*CL117+(1-EXP(-LN(2)/25))/(LN(2)/25)*Calculateur!CG118*Calculateur!CI118*VLOOKUP('Données projet'!$B$12,Paramètres!$A$1:$I$88,3,0)*0.475*44/12</f>
        <v>0</v>
      </c>
      <c r="CM118" s="23">
        <f>EXP(-LN(2)/2)*CM117+(1-EXP(-LN(2)/2))/(LN(2)/2)*CG118*CJ118*VLOOKUP('Données projet'!$B$12,Paramètres!$A$1:$I$88,3,0)*0.475*44/12</f>
        <v>0</v>
      </c>
      <c r="CN118" s="24">
        <f t="shared" si="66"/>
        <v>118.30174489990738</v>
      </c>
      <c r="CO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6.4</v>
      </c>
      <c r="CT118" s="13">
        <f>IF('Données projet'!$A$140&gt;35,CT117+CS118-DB117,IF(A118&lt;'Données projet'!$A$140,$CQ$205^A118,IF(A118='Données projet'!$A$140,'Données projet'!$B$140,CT117+CS118-DB117)))</f>
        <v>254.79999999999993</v>
      </c>
      <c r="CU118" s="18">
        <f>CT118*VLOOKUP('Données projet'!$B$13,Paramètres!$A$1:$I$88,3,0)*VLOOKUP('Données projet'!$B$13,Paramètres!$A$1:$I$88,5,0)</f>
        <v>246.44255999999993</v>
      </c>
      <c r="CV118" s="14">
        <f t="shared" si="95"/>
        <v>59.823534373564023</v>
      </c>
      <c r="CW118" s="22">
        <f t="shared" si="67"/>
        <v>533.41344770062381</v>
      </c>
      <c r="CX118" s="59">
        <f t="shared" si="68"/>
        <v>826.74678103395718</v>
      </c>
      <c r="CY118" s="59">
        <f ca="1">AVERAGE(OFFSET($CX$3,0,0,'Données projet'!$E$13+1,1))-AVERAGE(OFFSET($H$3,0,0,'Données projet'!$E$13+1,1))</f>
        <v>306.00894145276209</v>
      </c>
      <c r="CZ118" s="59">
        <f t="shared" si="96"/>
        <v>168.74705421228828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35.230854593528413</v>
      </c>
      <c r="DG118" s="23">
        <f>EXP(-LN(2)/25)*DG117+(1-EXP(-LN(2)/25))/(LN(2)/25)*Calculateur!DB118*Calculateur!DD118*VLOOKUP('Données projet'!$B$13,Paramètres!$A$1:$I$88,3,0)*0.475*44/12</f>
        <v>0</v>
      </c>
      <c r="DH118" s="23">
        <f>EXP(-LN(2)/2)*DH117+(1-EXP(-LN(2)/2))/(LN(2)/2)*DB118*DE118*VLOOKUP('Données projet'!$B$13,Paramètres!$A$1:$I$88,3,0)*0.475*44/12</f>
        <v>0</v>
      </c>
      <c r="DI118" s="24">
        <f t="shared" si="69"/>
        <v>35.230854593528413</v>
      </c>
      <c r="DJ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-3.4106051316484809E-13</v>
      </c>
      <c r="DP118" s="18">
        <f>DO118*VLOOKUP('Données projet'!$B$14,Paramètres!$A$1:$I$88,3,0)*VLOOKUP('Données projet'!$B$14,Paramètres!$A$1:$I$88,5,0)</f>
        <v>-2.6602720026858149E-13</v>
      </c>
      <c r="DQ118" s="14" t="e">
        <f t="shared" si="97"/>
        <v>#NUM!</v>
      </c>
      <c r="DR118" s="22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458.14328535055694</v>
      </c>
      <c r="DU118" s="59">
        <f t="shared" si="98"/>
        <v>366.75500153675739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projet'!$B$14,Paramètres!$A$1:$I$88,3,0)*0.475*44/12</f>
        <v>111.60541971689388</v>
      </c>
      <c r="EB118" s="23">
        <f>EXP(-LN(2)/25)*EB117+(1-EXP(-LN(2)/25))/(LN(2)/25)*Calculateur!DW118*Calculateur!DY118*VLOOKUP('Données projet'!$B$14,Paramètres!$A$1:$I$88,3,0)*0.475*44/12</f>
        <v>0</v>
      </c>
      <c r="EC118" s="23">
        <f>EXP(-LN(2)/2)*EC117+(1-EXP(-LN(2)/2))/(LN(2)/2)*DW118*DZ118*VLOOKUP('Données projet'!$B$14,Paramètres!$A$1:$I$88,3,0)*0.475*44/12</f>
        <v>0</v>
      </c>
      <c r="ED118" s="24">
        <f t="shared" si="72"/>
        <v>111.60541971689388</v>
      </c>
      <c r="EE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4.5474735088646412E-13</v>
      </c>
      <c r="EK118" s="18">
        <f>EJ118*VLOOKUP('Données projet'!$B$15,Paramètres!$A$1:$I$88,3,0)*VLOOKUP('Données projet'!$B$15,Paramètres!$A$1:$I$88,5,0)</f>
        <v>3.9017322706058626E-13</v>
      </c>
      <c r="EL118" s="14">
        <f t="shared" si="99"/>
        <v>5.0025007393608908E-12</v>
      </c>
      <c r="EM118" s="22">
        <f t="shared" si="73"/>
        <v>9.3922404915174053E-12</v>
      </c>
      <c r="EN118" s="59">
        <f t="shared" si="74"/>
        <v>293.33333333334269</v>
      </c>
      <c r="EO118" s="59">
        <f ca="1">AVERAGE(OFFSET($EN$3,0,0,'Données projet'!$E$15+1,1))-AVERAGE(OFFSET($H$3,0,0,'Données projet'!$E$15+1,1))</f>
        <v>462.99360395552145</v>
      </c>
      <c r="EP118" s="59">
        <f t="shared" si="100"/>
        <v>153.03880717786046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projet'!$B$15,Paramètres!$A$1:$I$88,3,0)*0.475*44/12</f>
        <v>194.26564695831019</v>
      </c>
      <c r="EW118" s="23">
        <f>EXP(-LN(2)/25)*EW117+(1-EXP(-LN(2)/25))/(LN(2)/25)*Calculateur!ER118*Calculateur!ET118*VLOOKUP('Données projet'!$B$15,Paramètres!$A$1:$I$88,3,0)*0.475*44/12</f>
        <v>0</v>
      </c>
      <c r="EX118" s="23">
        <f>EXP(-LN(2)/2)*EX117+(1-EXP(-LN(2)/2))/(LN(2)/2)*ER118*EU118*VLOOKUP('Données projet'!$B$15,Paramètres!$A$1:$I$88,3,0)*0.475*44/12</f>
        <v>0</v>
      </c>
      <c r="EY118" s="24">
        <f t="shared" si="75"/>
        <v>194.26564695831019</v>
      </c>
      <c r="EZ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2.2737367544323206E-13</v>
      </c>
      <c r="FF118" s="18">
        <f>FE118*VLOOKUP('Données projet'!$B$16,Paramètres!$A$1:$I$88,3,0)*VLOOKUP('Données projet'!$B$16,Paramètres!$A$1:$I$88,5,0)</f>
        <v>1.9863364286720756E-13</v>
      </c>
      <c r="FG118" s="14">
        <f t="shared" si="101"/>
        <v>2.7549360720371426E-12</v>
      </c>
      <c r="FH118" s="22">
        <f t="shared" si="76"/>
        <v>5.144133920125077E-12</v>
      </c>
      <c r="FI118" s="59">
        <f t="shared" si="77"/>
        <v>293.33333333333843</v>
      </c>
      <c r="FJ118" s="59">
        <f ca="1">AVERAGE(OFFSET($FI$3,0,0,'Données projet'!$E$16+1,1))-AVERAGE(OFFSET($H$3,0,0,'Données projet'!$E$16+1,1))</f>
        <v>427.76895185088944</v>
      </c>
      <c r="FK118" s="59">
        <f t="shared" si="102"/>
        <v>308.32543361559135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projet'!$B$16,Paramètres!$A$1:$I$88,3,0)*0.475*44/12</f>
        <v>157.76357804853046</v>
      </c>
      <c r="FR118" s="23">
        <f>EXP(-LN(2)/25)*FR117+(1-EXP(-LN(2)/25))/(LN(2)/25)*Calculateur!FM118*Calculateur!FO118*VLOOKUP('Données projet'!$B$16,Paramètres!$A$1:$I$88,3,0)*0.475*44/12</f>
        <v>0</v>
      </c>
      <c r="FS118" s="23">
        <f>EXP(-LN(2)/2)*FS117+(1-EXP(-LN(2)/2))/(LN(2)/2)*FM118*FP118*VLOOKUP('Données projet'!$B$16,Paramètres!$A$1:$I$88,3,0)*0.475*44/12</f>
        <v>0</v>
      </c>
      <c r="FT118" s="24">
        <f t="shared" si="78"/>
        <v>157.76357804853046</v>
      </c>
      <c r="FU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333.00000000000006</v>
      </c>
      <c r="GA118" s="18">
        <f>FZ118*VLOOKUP('Données projet'!$B$17,Paramètres!$A$1:$I$88,3,0)*VLOOKUP('Données projet'!$B$17,Paramètres!$A$1:$I$88,5,0)</f>
        <v>207.79200000000006</v>
      </c>
      <c r="GB118" s="14">
        <f t="shared" si="103"/>
        <v>51.452785725007907</v>
      </c>
      <c r="GC118" s="22">
        <f t="shared" si="79"/>
        <v>451.5180018043888</v>
      </c>
      <c r="GD118" s="59">
        <f t="shared" si="80"/>
        <v>744.85133513772212</v>
      </c>
      <c r="GE118" s="59">
        <f ca="1">AVERAGE(OFFSET($GD$3,0,0,'Données projet'!$E$17+1,1))-AVERAGE(OFFSET($H$3,0,0,'Données projet'!$E$17+1,1))</f>
        <v>247.85542034088905</v>
      </c>
      <c r="GF118" s="59">
        <f t="shared" si="104"/>
        <v>299.52241743660352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projet'!$B$17,Paramètres!$A$1:$I$88,3,0)*0.475*44/12</f>
        <v>12.501412762188885</v>
      </c>
      <c r="GM118" s="23">
        <f>EXP(-LN(2)/25)*GM117+(1-EXP(-LN(2)/25))/(LN(2)/25)*Calculateur!GH118*Calculateur!GJ118*VLOOKUP('Données projet'!$B$17,Paramètres!$A$1:$I$88,3,0)*0.475*44/12</f>
        <v>8.2759572573422808</v>
      </c>
      <c r="GN118" s="23">
        <f>EXP(-LN(2)/2)*GN117+(1-EXP(-LN(2)/2))/(LN(2)/2)*GH118*GK118*VLOOKUP('Données projet'!$B$17,Paramètres!$A$1:$I$88,3,0)*0.475*44/12</f>
        <v>2.2549673583140478E-7</v>
      </c>
      <c r="GO118" s="23">
        <f t="shared" si="81"/>
        <v>20.7773702450279</v>
      </c>
      <c r="GP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3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6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6.4</v>
      </c>
      <c r="N119" s="14">
        <f>IF('Données projet'!$A$36&gt;35,N118+M119-V118,IF(A119&lt;'Données projet'!$A$36,$K$205^A119,IF(A119='Données projet'!$A$36,'Données projet'!$B$36,N118+M119-V118)))</f>
        <v>261.19999999999993</v>
      </c>
      <c r="O119" s="14">
        <f>N119*VLOOKUP('Données projet'!$B$9,Paramètres!$A$1:$I$88,3,0)*VLOOKUP('Données projet'!$B$9,Paramètres!$A$1:$I$88,5,0)</f>
        <v>236.33375999999993</v>
      </c>
      <c r="P119" s="14">
        <f t="shared" si="87"/>
        <v>57.650015765889798</v>
      </c>
      <c r="Q119" s="22">
        <f t="shared" si="107"/>
        <v>512.0217427922579</v>
      </c>
      <c r="R119" s="59">
        <f t="shared" si="55"/>
        <v>805.35507612559127</v>
      </c>
      <c r="S119" s="59">
        <f ca="1">AVERAGE(OFFSET($R$3,0,0,'Données projet'!$E$9+1,1))-AVERAGE(OFFSET($H$3,0,0,'Données projet'!$E$9+1,1))</f>
        <v>247.57967230773539</v>
      </c>
      <c r="T119" s="59">
        <f t="shared" si="88"/>
        <v>156.58857589533295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32.311611989864986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32.311611989864986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-3.4106051316484809E-13</v>
      </c>
      <c r="AJ119" s="14">
        <f>AI119*VLOOKUP('Données projet'!$B$10,Paramètres!$A$1:$I$88,3,0)*VLOOKUP('Données projet'!$B$10,Paramètres!$A$1:$I$88,5,0)</f>
        <v>-2.7134774427395314E-13</v>
      </c>
      <c r="AK119" s="14" t="e">
        <f t="shared" si="89"/>
        <v>#NUM!</v>
      </c>
      <c r="AL119" s="22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504.15006129790828</v>
      </c>
      <c r="AO119" s="59">
        <f t="shared" si="90"/>
        <v>374.39334457402742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175.90992379760462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175.90992379760462</v>
      </c>
      <c r="AY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-3.4106051316484809E-13</v>
      </c>
      <c r="BE119" s="14">
        <f>BD119*VLOOKUP('Données projet'!$B$11,Paramètres!$A$1:$I$88,3,0)*VLOOKUP('Données projet'!$B$11,Paramètres!$A$1:$I$88,5,0)</f>
        <v>-2.7134774427395314E-13</v>
      </c>
      <c r="BF119" s="14" t="e">
        <f t="shared" si="91"/>
        <v>#NUM!</v>
      </c>
      <c r="BG119" s="22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504.15006129790828</v>
      </c>
      <c r="BJ119" s="59">
        <f t="shared" si="92"/>
        <v>374.39334457402742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175.90992379760462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175.90992379760462</v>
      </c>
      <c r="BT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-3.4106051316484809E-13</v>
      </c>
      <c r="BZ119" s="14">
        <f>BY119*VLOOKUP('Données projet'!$B$12,Paramètres!$A$1:$I$88,3,0)*VLOOKUP('Données projet'!$B$12,Paramètres!$A$1:$I$88,5,0)</f>
        <v>-2.2878339223098009E-13</v>
      </c>
      <c r="CA119" s="14" t="e">
        <f t="shared" si="93"/>
        <v>#NUM!</v>
      </c>
      <c r="CB119" s="22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387.15063677712425</v>
      </c>
      <c r="CE119" s="59">
        <f t="shared" si="94"/>
        <v>313.19155394370705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115.98191983935968</v>
      </c>
      <c r="CL119" s="23">
        <f>EXP(-LN(2)/25)*CL118+(1-EXP(-LN(2)/25))/(LN(2)/25)*Calculateur!CG119*Calculateur!CI119*VLOOKUP('Données projet'!$B$12,Paramètres!$A$1:$I$88,3,0)*0.475*44/12</f>
        <v>0</v>
      </c>
      <c r="CM119" s="23">
        <f>EXP(-LN(2)/2)*CM118+(1-EXP(-LN(2)/2))/(LN(2)/2)*CG119*CJ119*VLOOKUP('Données projet'!$B$12,Paramètres!$A$1:$I$88,3,0)*0.475*44/12</f>
        <v>0</v>
      </c>
      <c r="CN119" s="24">
        <f t="shared" si="66"/>
        <v>115.98191983935968</v>
      </c>
      <c r="CO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6.4</v>
      </c>
      <c r="CT119" s="13">
        <f>IF('Données projet'!$A$140&gt;35,CT118+CS119-DB118,IF(A119&lt;'Données projet'!$A$140,$CQ$205^A119,IF(A119='Données projet'!$A$140,'Données projet'!$B$140,CT118+CS119-DB118)))</f>
        <v>261.19999999999993</v>
      </c>
      <c r="CU119" s="18">
        <f>CT119*VLOOKUP('Données projet'!$B$13,Paramètres!$A$1:$I$88,3,0)*VLOOKUP('Données projet'!$B$13,Paramètres!$A$1:$I$88,5,0)</f>
        <v>252.63263999999995</v>
      </c>
      <c r="CV119" s="14">
        <f t="shared" si="95"/>
        <v>61.149336927535515</v>
      </c>
      <c r="CW119" s="22">
        <f t="shared" si="67"/>
        <v>546.50360981545759</v>
      </c>
      <c r="CX119" s="59">
        <f t="shared" si="68"/>
        <v>839.83694314879085</v>
      </c>
      <c r="CY119" s="59">
        <f ca="1">AVERAGE(OFFSET($CX$3,0,0,'Données projet'!$E$13+1,1))-AVERAGE(OFFSET($H$3,0,0,'Données projet'!$E$13+1,1))</f>
        <v>306.00894145276209</v>
      </c>
      <c r="CZ119" s="59">
        <f t="shared" si="96"/>
        <v>168.74705421228828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34.539999023648789</v>
      </c>
      <c r="DG119" s="23">
        <f>EXP(-LN(2)/25)*DG118+(1-EXP(-LN(2)/25))/(LN(2)/25)*Calculateur!DB119*Calculateur!DD119*VLOOKUP('Données projet'!$B$13,Paramètres!$A$1:$I$88,3,0)*0.475*44/12</f>
        <v>0</v>
      </c>
      <c r="DH119" s="23">
        <f>EXP(-LN(2)/2)*DH118+(1-EXP(-LN(2)/2))/(LN(2)/2)*DB119*DE119*VLOOKUP('Données projet'!$B$13,Paramètres!$A$1:$I$88,3,0)*0.475*44/12</f>
        <v>0</v>
      </c>
      <c r="DI119" s="24">
        <f t="shared" si="69"/>
        <v>34.539999023648789</v>
      </c>
      <c r="DJ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-3.4106051316484809E-13</v>
      </c>
      <c r="DP119" s="18">
        <f>DO119*VLOOKUP('Données projet'!$B$14,Paramètres!$A$1:$I$88,3,0)*VLOOKUP('Données projet'!$B$14,Paramètres!$A$1:$I$88,5,0)</f>
        <v>-2.6602720026858149E-13</v>
      </c>
      <c r="DQ119" s="14" t="e">
        <f t="shared" si="97"/>
        <v>#NUM!</v>
      </c>
      <c r="DR119" s="22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458.14328535055694</v>
      </c>
      <c r="DU119" s="59">
        <f t="shared" si="98"/>
        <v>366.75500153675739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projet'!$B$14,Paramètres!$A$1:$I$88,3,0)*0.475*44/12</f>
        <v>109.41690550883001</v>
      </c>
      <c r="EB119" s="23">
        <f>EXP(-LN(2)/25)*EB118+(1-EXP(-LN(2)/25))/(LN(2)/25)*Calculateur!DW119*Calculateur!DY119*VLOOKUP('Données projet'!$B$14,Paramètres!$A$1:$I$88,3,0)*0.475*44/12</f>
        <v>0</v>
      </c>
      <c r="EC119" s="23">
        <f>EXP(-LN(2)/2)*EC118+(1-EXP(-LN(2)/2))/(LN(2)/2)*DW119*DZ119*VLOOKUP('Données projet'!$B$14,Paramètres!$A$1:$I$88,3,0)*0.475*44/12</f>
        <v>0</v>
      </c>
      <c r="ED119" s="24">
        <f t="shared" si="72"/>
        <v>109.41690550883001</v>
      </c>
      <c r="EE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4.5474735088646412E-13</v>
      </c>
      <c r="EK119" s="18">
        <f>EJ119*VLOOKUP('Données projet'!$B$15,Paramètres!$A$1:$I$88,3,0)*VLOOKUP('Données projet'!$B$15,Paramètres!$A$1:$I$88,5,0)</f>
        <v>3.9017322706058626E-13</v>
      </c>
      <c r="EL119" s="14">
        <f t="shared" si="99"/>
        <v>5.0025007393608908E-12</v>
      </c>
      <c r="EM119" s="22">
        <f t="shared" si="73"/>
        <v>9.3922404915174053E-12</v>
      </c>
      <c r="EN119" s="59">
        <f t="shared" si="74"/>
        <v>293.33333333334269</v>
      </c>
      <c r="EO119" s="59">
        <f ca="1">AVERAGE(OFFSET($EN$3,0,0,'Données projet'!$E$15+1,1))-AVERAGE(OFFSET($H$3,0,0,'Données projet'!$E$15+1,1))</f>
        <v>462.99360395552145</v>
      </c>
      <c r="EP119" s="59">
        <f t="shared" si="100"/>
        <v>153.03880717786046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projet'!$B$15,Paramètres!$A$1:$I$88,3,0)*0.475*44/12</f>
        <v>190.45621611180241</v>
      </c>
      <c r="EW119" s="23">
        <f>EXP(-LN(2)/25)*EW118+(1-EXP(-LN(2)/25))/(LN(2)/25)*Calculateur!ER119*Calculateur!ET119*VLOOKUP('Données projet'!$B$15,Paramètres!$A$1:$I$88,3,0)*0.475*44/12</f>
        <v>0</v>
      </c>
      <c r="EX119" s="23">
        <f>EXP(-LN(2)/2)*EX118+(1-EXP(-LN(2)/2))/(LN(2)/2)*ER119*EU119*VLOOKUP('Données projet'!$B$15,Paramètres!$A$1:$I$88,3,0)*0.475*44/12</f>
        <v>0</v>
      </c>
      <c r="EY119" s="24">
        <f t="shared" si="75"/>
        <v>190.45621611180241</v>
      </c>
      <c r="EZ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2.2737367544323206E-13</v>
      </c>
      <c r="FF119" s="18">
        <f>FE119*VLOOKUP('Données projet'!$B$16,Paramètres!$A$1:$I$88,3,0)*VLOOKUP('Données projet'!$B$16,Paramètres!$A$1:$I$88,5,0)</f>
        <v>1.9863364286720756E-13</v>
      </c>
      <c r="FG119" s="14">
        <f t="shared" si="101"/>
        <v>2.7549360720371426E-12</v>
      </c>
      <c r="FH119" s="22">
        <f t="shared" si="76"/>
        <v>5.144133920125077E-12</v>
      </c>
      <c r="FI119" s="59">
        <f t="shared" si="77"/>
        <v>293.33333333333843</v>
      </c>
      <c r="FJ119" s="59">
        <f ca="1">AVERAGE(OFFSET($FI$3,0,0,'Données projet'!$E$16+1,1))-AVERAGE(OFFSET($H$3,0,0,'Données projet'!$E$16+1,1))</f>
        <v>427.76895185088944</v>
      </c>
      <c r="FK119" s="59">
        <f t="shared" si="102"/>
        <v>308.32543361559135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projet'!$B$16,Paramètres!$A$1:$I$88,3,0)*0.475*44/12</f>
        <v>154.66993050927982</v>
      </c>
      <c r="FR119" s="23">
        <f>EXP(-LN(2)/25)*FR118+(1-EXP(-LN(2)/25))/(LN(2)/25)*Calculateur!FM119*Calculateur!FO119*VLOOKUP('Données projet'!$B$16,Paramètres!$A$1:$I$88,3,0)*0.475*44/12</f>
        <v>0</v>
      </c>
      <c r="FS119" s="23">
        <f>EXP(-LN(2)/2)*FS118+(1-EXP(-LN(2)/2))/(LN(2)/2)*FM119*FP119*VLOOKUP('Données projet'!$B$16,Paramètres!$A$1:$I$88,3,0)*0.475*44/12</f>
        <v>0</v>
      </c>
      <c r="FT119" s="24">
        <f t="shared" si="78"/>
        <v>154.66993050927982</v>
      </c>
      <c r="FU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333.00000000000006</v>
      </c>
      <c r="GA119" s="18">
        <f>FZ119*VLOOKUP('Données projet'!$B$17,Paramètres!$A$1:$I$88,3,0)*VLOOKUP('Données projet'!$B$17,Paramètres!$A$1:$I$88,5,0)</f>
        <v>207.79200000000006</v>
      </c>
      <c r="GB119" s="14">
        <f t="shared" si="103"/>
        <v>51.452785725007907</v>
      </c>
      <c r="GC119" s="22">
        <f t="shared" si="79"/>
        <v>451.5180018043888</v>
      </c>
      <c r="GD119" s="59">
        <f t="shared" si="80"/>
        <v>744.85133513772212</v>
      </c>
      <c r="GE119" s="59">
        <f ca="1">AVERAGE(OFFSET($GD$3,0,0,'Données projet'!$E$17+1,1))-AVERAGE(OFFSET($H$3,0,0,'Données projet'!$E$17+1,1))</f>
        <v>247.85542034088905</v>
      </c>
      <c r="GF119" s="59">
        <f t="shared" si="104"/>
        <v>299.52241743660352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projet'!$B$17,Paramètres!$A$1:$I$88,3,0)*0.475*44/12</f>
        <v>12.256267683031229</v>
      </c>
      <c r="GM119" s="23">
        <f>EXP(-LN(2)/25)*GM118+(1-EXP(-LN(2)/25))/(LN(2)/25)*Calculateur!GH119*Calculateur!GJ119*VLOOKUP('Données projet'!$B$17,Paramètres!$A$1:$I$88,3,0)*0.475*44/12</f>
        <v>8.0496507709265792</v>
      </c>
      <c r="GN119" s="23">
        <f>EXP(-LN(2)/2)*GN118+(1-EXP(-LN(2)/2))/(LN(2)/2)*GH119*GK119*VLOOKUP('Données projet'!$B$17,Paramètres!$A$1:$I$88,3,0)*0.475*44/12</f>
        <v>1.5945027104181785E-7</v>
      </c>
      <c r="GO119" s="23">
        <f t="shared" si="81"/>
        <v>20.305918613408078</v>
      </c>
      <c r="GP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3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6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6.4</v>
      </c>
      <c r="N120" s="14">
        <f>IF('Données projet'!$A$36&gt;35,N119+M120-V119,IF(A120&lt;'Données projet'!$A$36,$K$205^A120,IF(A120='Données projet'!$A$36,'Données projet'!$B$36,N119+M120-V119)))</f>
        <v>267.59999999999991</v>
      </c>
      <c r="O120" s="14">
        <f>N120*VLOOKUP('Données projet'!$B$9,Paramètres!$A$1:$I$88,3,0)*VLOOKUP('Données projet'!$B$9,Paramètres!$A$1:$I$88,5,0)</f>
        <v>242.12447999999992</v>
      </c>
      <c r="P120" s="14">
        <f t="shared" si="87"/>
        <v>58.896387987806008</v>
      </c>
      <c r="Q120" s="22">
        <f t="shared" si="107"/>
        <v>524.27801174542856</v>
      </c>
      <c r="R120" s="59">
        <f t="shared" si="55"/>
        <v>817.61134507876181</v>
      </c>
      <c r="S120" s="59">
        <f ca="1">AVERAGE(OFFSET($R$3,0,0,'Données projet'!$E$9+1,1))-AVERAGE(OFFSET($H$3,0,0,'Données projet'!$E$9+1,1))</f>
        <v>247.57967230773539</v>
      </c>
      <c r="T120" s="59">
        <f t="shared" si="88"/>
        <v>156.58857589533295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31.678000986881031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31.678000986881031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-3.4106051316484809E-13</v>
      </c>
      <c r="AJ120" s="14">
        <f>AI120*VLOOKUP('Données projet'!$B$10,Paramètres!$A$1:$I$88,3,0)*VLOOKUP('Données projet'!$B$10,Paramètres!$A$1:$I$88,5,0)</f>
        <v>-2.7134774427395314E-13</v>
      </c>
      <c r="AK120" s="14" t="e">
        <f t="shared" si="89"/>
        <v>#NUM!</v>
      </c>
      <c r="AL120" s="22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504.15006129790828</v>
      </c>
      <c r="AO120" s="59">
        <f t="shared" si="90"/>
        <v>374.39334457402742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172.46043748639266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172.46043748639266</v>
      </c>
      <c r="AY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-3.4106051316484809E-13</v>
      </c>
      <c r="BE120" s="14">
        <f>BD120*VLOOKUP('Données projet'!$B$11,Paramètres!$A$1:$I$88,3,0)*VLOOKUP('Données projet'!$B$11,Paramètres!$A$1:$I$88,5,0)</f>
        <v>-2.7134774427395314E-13</v>
      </c>
      <c r="BF120" s="14" t="e">
        <f t="shared" si="91"/>
        <v>#NUM!</v>
      </c>
      <c r="BG120" s="22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504.15006129790828</v>
      </c>
      <c r="BJ120" s="59">
        <f t="shared" si="92"/>
        <v>374.39334457402742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172.46043748639266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172.46043748639266</v>
      </c>
      <c r="BT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-3.4106051316484809E-13</v>
      </c>
      <c r="BZ120" s="14">
        <f>BY120*VLOOKUP('Données projet'!$B$12,Paramètres!$A$1:$I$88,3,0)*VLOOKUP('Données projet'!$B$12,Paramètres!$A$1:$I$88,5,0)</f>
        <v>-2.2878339223098009E-13</v>
      </c>
      <c r="CA120" s="14" t="e">
        <f t="shared" si="93"/>
        <v>#NUM!</v>
      </c>
      <c r="CB120" s="22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387.15063677712425</v>
      </c>
      <c r="CE120" s="59">
        <f t="shared" si="94"/>
        <v>313.19155394370705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113.70758513329575</v>
      </c>
      <c r="CL120" s="23">
        <f>EXP(-LN(2)/25)*CL119+(1-EXP(-LN(2)/25))/(LN(2)/25)*Calculateur!CG120*Calculateur!CI120*VLOOKUP('Données projet'!$B$12,Paramètres!$A$1:$I$88,3,0)*0.475*44/12</f>
        <v>0</v>
      </c>
      <c r="CM120" s="23">
        <f>EXP(-LN(2)/2)*CM119+(1-EXP(-LN(2)/2))/(LN(2)/2)*CG120*CJ120*VLOOKUP('Données projet'!$B$12,Paramètres!$A$1:$I$88,3,0)*0.475*44/12</f>
        <v>0</v>
      </c>
      <c r="CN120" s="24">
        <f t="shared" si="66"/>
        <v>113.70758513329575</v>
      </c>
      <c r="CO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6.4</v>
      </c>
      <c r="CT120" s="13">
        <f>IF('Données projet'!$A$140&gt;35,CT119+CS120-DB119,IF(A120&lt;'Données projet'!$A$140,$CQ$205^A120,IF(A120='Données projet'!$A$140,'Données projet'!$B$140,CT119+CS120-DB119)))</f>
        <v>267.59999999999991</v>
      </c>
      <c r="CU120" s="18">
        <f>CT120*VLOOKUP('Données projet'!$B$13,Paramètres!$A$1:$I$88,3,0)*VLOOKUP('Données projet'!$B$13,Paramètres!$A$1:$I$88,5,0)</f>
        <v>258.82271999999995</v>
      </c>
      <c r="CV120" s="14">
        <f t="shared" si="95"/>
        <v>62.471363191059396</v>
      </c>
      <c r="CW120" s="22">
        <f t="shared" si="67"/>
        <v>559.58719489109501</v>
      </c>
      <c r="CX120" s="59">
        <f t="shared" si="68"/>
        <v>852.92052822442838</v>
      </c>
      <c r="CY120" s="59">
        <f ca="1">AVERAGE(OFFSET($CX$3,0,0,'Données projet'!$E$13+1,1))-AVERAGE(OFFSET($H$3,0,0,'Données projet'!$E$13+1,1))</f>
        <v>306.00894145276209</v>
      </c>
      <c r="CZ120" s="59">
        <f t="shared" si="96"/>
        <v>168.74705421228828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33.862690710114215</v>
      </c>
      <c r="DG120" s="23">
        <f>EXP(-LN(2)/25)*DG119+(1-EXP(-LN(2)/25))/(LN(2)/25)*Calculateur!DB120*Calculateur!DD120*VLOOKUP('Données projet'!$B$13,Paramètres!$A$1:$I$88,3,0)*0.475*44/12</f>
        <v>0</v>
      </c>
      <c r="DH120" s="23">
        <f>EXP(-LN(2)/2)*DH119+(1-EXP(-LN(2)/2))/(LN(2)/2)*DB120*DE120*VLOOKUP('Données projet'!$B$13,Paramètres!$A$1:$I$88,3,0)*0.475*44/12</f>
        <v>0</v>
      </c>
      <c r="DI120" s="24">
        <f t="shared" si="69"/>
        <v>33.862690710114215</v>
      </c>
      <c r="DJ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-3.4106051316484809E-13</v>
      </c>
      <c r="DP120" s="18">
        <f>DO120*VLOOKUP('Données projet'!$B$14,Paramètres!$A$1:$I$88,3,0)*VLOOKUP('Données projet'!$B$14,Paramètres!$A$1:$I$88,5,0)</f>
        <v>-2.6602720026858149E-13</v>
      </c>
      <c r="DQ120" s="14" t="e">
        <f t="shared" si="97"/>
        <v>#NUM!</v>
      </c>
      <c r="DR120" s="22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458.14328535055694</v>
      </c>
      <c r="DU120" s="59">
        <f t="shared" si="98"/>
        <v>366.75500153675739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projet'!$B$14,Paramètres!$A$1:$I$88,3,0)*0.475*44/12</f>
        <v>107.27130672952441</v>
      </c>
      <c r="EB120" s="23">
        <f>EXP(-LN(2)/25)*EB119+(1-EXP(-LN(2)/25))/(LN(2)/25)*Calculateur!DW120*Calculateur!DY120*VLOOKUP('Données projet'!$B$14,Paramètres!$A$1:$I$88,3,0)*0.475*44/12</f>
        <v>0</v>
      </c>
      <c r="EC120" s="23">
        <f>EXP(-LN(2)/2)*EC119+(1-EXP(-LN(2)/2))/(LN(2)/2)*DW120*DZ120*VLOOKUP('Données projet'!$B$14,Paramètres!$A$1:$I$88,3,0)*0.475*44/12</f>
        <v>0</v>
      </c>
      <c r="ED120" s="24">
        <f t="shared" si="72"/>
        <v>107.27130672952441</v>
      </c>
      <c r="EE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4.5474735088646412E-13</v>
      </c>
      <c r="EK120" s="18">
        <f>EJ120*VLOOKUP('Données projet'!$B$15,Paramètres!$A$1:$I$88,3,0)*VLOOKUP('Données projet'!$B$15,Paramètres!$A$1:$I$88,5,0)</f>
        <v>3.9017322706058626E-13</v>
      </c>
      <c r="EL120" s="14">
        <f t="shared" si="99"/>
        <v>5.0025007393608908E-12</v>
      </c>
      <c r="EM120" s="22">
        <f t="shared" si="73"/>
        <v>9.3922404915174053E-12</v>
      </c>
      <c r="EN120" s="59">
        <f t="shared" si="74"/>
        <v>293.33333333334269</v>
      </c>
      <c r="EO120" s="59">
        <f ca="1">AVERAGE(OFFSET($EN$3,0,0,'Données projet'!$E$15+1,1))-AVERAGE(OFFSET($H$3,0,0,'Données projet'!$E$15+1,1))</f>
        <v>462.99360395552145</v>
      </c>
      <c r="EP120" s="59">
        <f t="shared" si="100"/>
        <v>153.03880717786046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projet'!$B$15,Paramètres!$A$1:$I$88,3,0)*0.475*44/12</f>
        <v>186.72148588067128</v>
      </c>
      <c r="EW120" s="23">
        <f>EXP(-LN(2)/25)*EW119+(1-EXP(-LN(2)/25))/(LN(2)/25)*Calculateur!ER120*Calculateur!ET120*VLOOKUP('Données projet'!$B$15,Paramètres!$A$1:$I$88,3,0)*0.475*44/12</f>
        <v>0</v>
      </c>
      <c r="EX120" s="23">
        <f>EXP(-LN(2)/2)*EX119+(1-EXP(-LN(2)/2))/(LN(2)/2)*ER120*EU120*VLOOKUP('Données projet'!$B$15,Paramètres!$A$1:$I$88,3,0)*0.475*44/12</f>
        <v>0</v>
      </c>
      <c r="EY120" s="24">
        <f t="shared" si="75"/>
        <v>186.72148588067128</v>
      </c>
      <c r="EZ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2.2737367544323206E-13</v>
      </c>
      <c r="FF120" s="18">
        <f>FE120*VLOOKUP('Données projet'!$B$16,Paramètres!$A$1:$I$88,3,0)*VLOOKUP('Données projet'!$B$16,Paramètres!$A$1:$I$88,5,0)</f>
        <v>1.9863364286720756E-13</v>
      </c>
      <c r="FG120" s="14">
        <f t="shared" si="101"/>
        <v>2.7549360720371426E-12</v>
      </c>
      <c r="FH120" s="22">
        <f t="shared" si="76"/>
        <v>5.144133920125077E-12</v>
      </c>
      <c r="FI120" s="59">
        <f t="shared" si="77"/>
        <v>293.33333333333843</v>
      </c>
      <c r="FJ120" s="59">
        <f ca="1">AVERAGE(OFFSET($FI$3,0,0,'Données projet'!$E$16+1,1))-AVERAGE(OFFSET($H$3,0,0,'Données projet'!$E$16+1,1))</f>
        <v>427.76895185088944</v>
      </c>
      <c r="FK120" s="59">
        <f t="shared" si="102"/>
        <v>308.32543361559135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projet'!$B$16,Paramètres!$A$1:$I$88,3,0)*0.475*44/12</f>
        <v>151.63694751133522</v>
      </c>
      <c r="FR120" s="23">
        <f>EXP(-LN(2)/25)*FR119+(1-EXP(-LN(2)/25))/(LN(2)/25)*Calculateur!FM120*Calculateur!FO120*VLOOKUP('Données projet'!$B$16,Paramètres!$A$1:$I$88,3,0)*0.475*44/12</f>
        <v>0</v>
      </c>
      <c r="FS120" s="23">
        <f>EXP(-LN(2)/2)*FS119+(1-EXP(-LN(2)/2))/(LN(2)/2)*FM120*FP120*VLOOKUP('Données projet'!$B$16,Paramètres!$A$1:$I$88,3,0)*0.475*44/12</f>
        <v>0</v>
      </c>
      <c r="FT120" s="24">
        <f t="shared" si="78"/>
        <v>151.63694751133522</v>
      </c>
      <c r="FU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333.00000000000006</v>
      </c>
      <c r="GA120" s="18">
        <f>FZ120*VLOOKUP('Données projet'!$B$17,Paramètres!$A$1:$I$88,3,0)*VLOOKUP('Données projet'!$B$17,Paramètres!$A$1:$I$88,5,0)</f>
        <v>207.79200000000006</v>
      </c>
      <c r="GB120" s="14">
        <f t="shared" si="103"/>
        <v>51.452785725007907</v>
      </c>
      <c r="GC120" s="22">
        <f t="shared" si="79"/>
        <v>451.5180018043888</v>
      </c>
      <c r="GD120" s="59">
        <f t="shared" si="80"/>
        <v>744.85133513772212</v>
      </c>
      <c r="GE120" s="59">
        <f ca="1">AVERAGE(OFFSET($GD$3,0,0,'Données projet'!$E$17+1,1))-AVERAGE(OFFSET($H$3,0,0,'Données projet'!$E$17+1,1))</f>
        <v>247.85542034088905</v>
      </c>
      <c r="GF120" s="59">
        <f t="shared" si="104"/>
        <v>299.52241743660352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projet'!$B$17,Paramètres!$A$1:$I$88,3,0)*0.475*44/12</f>
        <v>12.015929749352122</v>
      </c>
      <c r="GM120" s="23">
        <f>EXP(-LN(2)/25)*GM119+(1-EXP(-LN(2)/25))/(LN(2)/25)*Calculateur!GH120*Calculateur!GJ120*VLOOKUP('Données projet'!$B$17,Paramètres!$A$1:$I$88,3,0)*0.475*44/12</f>
        <v>7.8295326472828553</v>
      </c>
      <c r="GN120" s="23">
        <f>EXP(-LN(2)/2)*GN119+(1-EXP(-LN(2)/2))/(LN(2)/2)*GH120*GK120*VLOOKUP('Données projet'!$B$17,Paramètres!$A$1:$I$88,3,0)*0.475*44/12</f>
        <v>1.1274836791570239E-7</v>
      </c>
      <c r="GO120" s="23">
        <f t="shared" si="81"/>
        <v>19.845462509383346</v>
      </c>
      <c r="GP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3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6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6.4</v>
      </c>
      <c r="N121" s="14">
        <f>IF('Données projet'!$A$36&gt;35,N120+M121-V120,IF(A121&lt;'Données projet'!$A$36,$K$205^A121,IF(A121='Données projet'!$A$36,'Données projet'!$B$36,N120+M121-V120)))</f>
        <v>273.99999999999989</v>
      </c>
      <c r="O121" s="14">
        <f>N121*VLOOKUP('Données projet'!$B$9,Paramètres!$A$1:$I$88,3,0)*VLOOKUP('Données projet'!$B$9,Paramètres!$A$1:$I$88,5,0)</f>
        <v>247.91519999999991</v>
      </c>
      <c r="P121" s="14">
        <f t="shared" si="87"/>
        <v>60.139294964297406</v>
      </c>
      <c r="Q121" s="22">
        <f t="shared" si="107"/>
        <v>536.52824539615108</v>
      </c>
      <c r="R121" s="59">
        <f t="shared" si="55"/>
        <v>829.86157872948434</v>
      </c>
      <c r="S121" s="59">
        <f ca="1">AVERAGE(OFFSET($R$3,0,0,'Données projet'!$E$9+1,1))-AVERAGE(OFFSET($H$3,0,0,'Données projet'!$E$9+1,1))</f>
        <v>247.57967230773539</v>
      </c>
      <c r="T121" s="59">
        <f t="shared" si="88"/>
        <v>156.58857589533295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31.056814709201038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31.056814709201038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-3.4106051316484809E-13</v>
      </c>
      <c r="AJ121" s="14">
        <f>AI121*VLOOKUP('Données projet'!$B$10,Paramètres!$A$1:$I$88,3,0)*VLOOKUP('Données projet'!$B$10,Paramètres!$A$1:$I$88,5,0)</f>
        <v>-2.7134774427395314E-13</v>
      </c>
      <c r="AK121" s="14" t="e">
        <f t="shared" si="89"/>
        <v>#NUM!</v>
      </c>
      <c r="AL121" s="22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504.15006129790828</v>
      </c>
      <c r="AO121" s="59">
        <f t="shared" si="90"/>
        <v>374.39334457402742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169.07859349776467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169.07859349776467</v>
      </c>
      <c r="AY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-3.4106051316484809E-13</v>
      </c>
      <c r="BE121" s="14">
        <f>BD121*VLOOKUP('Données projet'!$B$11,Paramètres!$A$1:$I$88,3,0)*VLOOKUP('Données projet'!$B$11,Paramètres!$A$1:$I$88,5,0)</f>
        <v>-2.7134774427395314E-13</v>
      </c>
      <c r="BF121" s="14" t="e">
        <f t="shared" si="91"/>
        <v>#NUM!</v>
      </c>
      <c r="BG121" s="22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504.15006129790828</v>
      </c>
      <c r="BJ121" s="59">
        <f t="shared" si="92"/>
        <v>374.39334457402742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169.07859349776467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169.07859349776467</v>
      </c>
      <c r="BT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-3.4106051316484809E-13</v>
      </c>
      <c r="BZ121" s="14">
        <f>BY121*VLOOKUP('Données projet'!$B$12,Paramètres!$A$1:$I$88,3,0)*VLOOKUP('Données projet'!$B$12,Paramètres!$A$1:$I$88,5,0)</f>
        <v>-2.2878339223098009E-13</v>
      </c>
      <c r="CA121" s="14" t="e">
        <f t="shared" si="93"/>
        <v>#NUM!</v>
      </c>
      <c r="CB121" s="22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387.15063677712425</v>
      </c>
      <c r="CE121" s="59">
        <f t="shared" si="94"/>
        <v>313.19155394370705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111.47784874361054</v>
      </c>
      <c r="CL121" s="23">
        <f>EXP(-LN(2)/25)*CL120+(1-EXP(-LN(2)/25))/(LN(2)/25)*Calculateur!CG121*Calculateur!CI121*VLOOKUP('Données projet'!$B$12,Paramètres!$A$1:$I$88,3,0)*0.475*44/12</f>
        <v>0</v>
      </c>
      <c r="CM121" s="23">
        <f>EXP(-LN(2)/2)*CM120+(1-EXP(-LN(2)/2))/(LN(2)/2)*CG121*CJ121*VLOOKUP('Données projet'!$B$12,Paramètres!$A$1:$I$88,3,0)*0.475*44/12</f>
        <v>0</v>
      </c>
      <c r="CN121" s="24">
        <f t="shared" si="66"/>
        <v>111.47784874361054</v>
      </c>
      <c r="CO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6.4</v>
      </c>
      <c r="CT121" s="13">
        <f>IF('Données projet'!$A$140&gt;35,CT120+CS121-DB120,IF(A121&lt;'Données projet'!$A$140,$CQ$205^A121,IF(A121='Données projet'!$A$140,'Données projet'!$B$140,CT120+CS121-DB120)))</f>
        <v>273.99999999999989</v>
      </c>
      <c r="CU121" s="18">
        <f>CT121*VLOOKUP('Données projet'!$B$13,Paramètres!$A$1:$I$88,3,0)*VLOOKUP('Données projet'!$B$13,Paramètres!$A$1:$I$88,5,0)</f>
        <v>265.01279999999991</v>
      </c>
      <c r="CV121" s="14">
        <f t="shared" si="95"/>
        <v>63.789713870852729</v>
      </c>
      <c r="CW121" s="22">
        <f t="shared" si="67"/>
        <v>572.66437832506824</v>
      </c>
      <c r="CX121" s="59">
        <f t="shared" si="68"/>
        <v>865.99771165840161</v>
      </c>
      <c r="CY121" s="59">
        <f ca="1">AVERAGE(OFFSET($CX$3,0,0,'Données projet'!$E$13+1,1))-AVERAGE(OFFSET($H$3,0,0,'Données projet'!$E$13+1,1))</f>
        <v>306.00894145276209</v>
      </c>
      <c r="CZ121" s="59">
        <f t="shared" si="96"/>
        <v>168.74705421228828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33.198663999490776</v>
      </c>
      <c r="DG121" s="23">
        <f>EXP(-LN(2)/25)*DG120+(1-EXP(-LN(2)/25))/(LN(2)/25)*Calculateur!DB121*Calculateur!DD121*VLOOKUP('Données projet'!$B$13,Paramètres!$A$1:$I$88,3,0)*0.475*44/12</f>
        <v>0</v>
      </c>
      <c r="DH121" s="23">
        <f>EXP(-LN(2)/2)*DH120+(1-EXP(-LN(2)/2))/(LN(2)/2)*DB121*DE121*VLOOKUP('Données projet'!$B$13,Paramètres!$A$1:$I$88,3,0)*0.475*44/12</f>
        <v>0</v>
      </c>
      <c r="DI121" s="24">
        <f t="shared" si="69"/>
        <v>33.198663999490776</v>
      </c>
      <c r="DJ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-3.4106051316484809E-13</v>
      </c>
      <c r="DP121" s="18">
        <f>DO121*VLOOKUP('Données projet'!$B$14,Paramètres!$A$1:$I$88,3,0)*VLOOKUP('Données projet'!$B$14,Paramètres!$A$1:$I$88,5,0)</f>
        <v>-2.6602720026858149E-13</v>
      </c>
      <c r="DQ121" s="14" t="e">
        <f t="shared" si="97"/>
        <v>#NUM!</v>
      </c>
      <c r="DR121" s="22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458.14328535055694</v>
      </c>
      <c r="DU121" s="59">
        <f t="shared" si="98"/>
        <v>366.75500153675739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projet'!$B$14,Paramètres!$A$1:$I$88,3,0)*0.475*44/12</f>
        <v>105.16778183359496</v>
      </c>
      <c r="EB121" s="23">
        <f>EXP(-LN(2)/25)*EB120+(1-EXP(-LN(2)/25))/(LN(2)/25)*Calculateur!DW121*Calculateur!DY121*VLOOKUP('Données projet'!$B$14,Paramètres!$A$1:$I$88,3,0)*0.475*44/12</f>
        <v>0</v>
      </c>
      <c r="EC121" s="23">
        <f>EXP(-LN(2)/2)*EC120+(1-EXP(-LN(2)/2))/(LN(2)/2)*DW121*DZ121*VLOOKUP('Données projet'!$B$14,Paramètres!$A$1:$I$88,3,0)*0.475*44/12</f>
        <v>0</v>
      </c>
      <c r="ED121" s="24">
        <f t="shared" si="72"/>
        <v>105.16778183359496</v>
      </c>
      <c r="EE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4.5474735088646412E-13</v>
      </c>
      <c r="EK121" s="18">
        <f>EJ121*VLOOKUP('Données projet'!$B$15,Paramètres!$A$1:$I$88,3,0)*VLOOKUP('Données projet'!$B$15,Paramètres!$A$1:$I$88,5,0)</f>
        <v>3.9017322706058626E-13</v>
      </c>
      <c r="EL121" s="14">
        <f t="shared" si="99"/>
        <v>5.0025007393608908E-12</v>
      </c>
      <c r="EM121" s="22">
        <f t="shared" si="73"/>
        <v>9.3922404915174053E-12</v>
      </c>
      <c r="EN121" s="59">
        <f t="shared" si="74"/>
        <v>293.33333333334269</v>
      </c>
      <c r="EO121" s="59">
        <f ca="1">AVERAGE(OFFSET($EN$3,0,0,'Données projet'!$E$15+1,1))-AVERAGE(OFFSET($H$3,0,0,'Données projet'!$E$15+1,1))</f>
        <v>462.99360395552145</v>
      </c>
      <c r="EP121" s="59">
        <f t="shared" si="100"/>
        <v>153.03880717786046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projet'!$B$15,Paramètres!$A$1:$I$88,3,0)*0.475*44/12</f>
        <v>183.0599914314121</v>
      </c>
      <c r="EW121" s="23">
        <f>EXP(-LN(2)/25)*EW120+(1-EXP(-LN(2)/25))/(LN(2)/25)*Calculateur!ER121*Calculateur!ET121*VLOOKUP('Données projet'!$B$15,Paramètres!$A$1:$I$88,3,0)*0.475*44/12</f>
        <v>0</v>
      </c>
      <c r="EX121" s="23">
        <f>EXP(-LN(2)/2)*EX120+(1-EXP(-LN(2)/2))/(LN(2)/2)*ER121*EU121*VLOOKUP('Données projet'!$B$15,Paramètres!$A$1:$I$88,3,0)*0.475*44/12</f>
        <v>0</v>
      </c>
      <c r="EY121" s="24">
        <f t="shared" si="75"/>
        <v>183.0599914314121</v>
      </c>
      <c r="EZ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2.2737367544323206E-13</v>
      </c>
      <c r="FF121" s="18">
        <f>FE121*VLOOKUP('Données projet'!$B$16,Paramètres!$A$1:$I$88,3,0)*VLOOKUP('Données projet'!$B$16,Paramètres!$A$1:$I$88,5,0)</f>
        <v>1.9863364286720756E-13</v>
      </c>
      <c r="FG121" s="14">
        <f t="shared" si="101"/>
        <v>2.7549360720371426E-12</v>
      </c>
      <c r="FH121" s="22">
        <f t="shared" si="76"/>
        <v>5.144133920125077E-12</v>
      </c>
      <c r="FI121" s="59">
        <f t="shared" si="77"/>
        <v>293.33333333333843</v>
      </c>
      <c r="FJ121" s="59">
        <f ca="1">AVERAGE(OFFSET($FI$3,0,0,'Données projet'!$E$16+1,1))-AVERAGE(OFFSET($H$3,0,0,'Données projet'!$E$16+1,1))</f>
        <v>427.76895185088944</v>
      </c>
      <c r="FK121" s="59">
        <f t="shared" si="102"/>
        <v>308.32543361559135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projet'!$B$16,Paramètres!$A$1:$I$88,3,0)*0.475*44/12</f>
        <v>148.66343946004335</v>
      </c>
      <c r="FR121" s="23">
        <f>EXP(-LN(2)/25)*FR120+(1-EXP(-LN(2)/25))/(LN(2)/25)*Calculateur!FM121*Calculateur!FO121*VLOOKUP('Données projet'!$B$16,Paramètres!$A$1:$I$88,3,0)*0.475*44/12</f>
        <v>0</v>
      </c>
      <c r="FS121" s="23">
        <f>EXP(-LN(2)/2)*FS120+(1-EXP(-LN(2)/2))/(LN(2)/2)*FM121*FP121*VLOOKUP('Données projet'!$B$16,Paramètres!$A$1:$I$88,3,0)*0.475*44/12</f>
        <v>0</v>
      </c>
      <c r="FT121" s="24">
        <f t="shared" si="78"/>
        <v>148.66343946004335</v>
      </c>
      <c r="FU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333.00000000000006</v>
      </c>
      <c r="GA121" s="18">
        <f>FZ121*VLOOKUP('Données projet'!$B$17,Paramètres!$A$1:$I$88,3,0)*VLOOKUP('Données projet'!$B$17,Paramètres!$A$1:$I$88,5,0)</f>
        <v>207.79200000000006</v>
      </c>
      <c r="GB121" s="14">
        <f t="shared" si="103"/>
        <v>51.452785725007907</v>
      </c>
      <c r="GC121" s="22">
        <f t="shared" si="79"/>
        <v>451.5180018043888</v>
      </c>
      <c r="GD121" s="59">
        <f t="shared" si="80"/>
        <v>744.85133513772212</v>
      </c>
      <c r="GE121" s="59">
        <f ca="1">AVERAGE(OFFSET($GD$3,0,0,'Données projet'!$E$17+1,1))-AVERAGE(OFFSET($H$3,0,0,'Données projet'!$E$17+1,1))</f>
        <v>247.85542034088905</v>
      </c>
      <c r="GF121" s="59">
        <f t="shared" si="104"/>
        <v>299.52241743660352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projet'!$B$17,Paramètres!$A$1:$I$88,3,0)*0.475*44/12</f>
        <v>11.780304695960796</v>
      </c>
      <c r="GM121" s="23">
        <f>EXP(-LN(2)/25)*GM120+(1-EXP(-LN(2)/25))/(LN(2)/25)*Calculateur!GH121*Calculateur!GJ121*VLOOKUP('Données projet'!$B$17,Paramètres!$A$1:$I$88,3,0)*0.475*44/12</f>
        <v>7.6154336653056784</v>
      </c>
      <c r="GN121" s="23">
        <f>EXP(-LN(2)/2)*GN120+(1-EXP(-LN(2)/2))/(LN(2)/2)*GH121*GK121*VLOOKUP('Données projet'!$B$17,Paramètres!$A$1:$I$88,3,0)*0.475*44/12</f>
        <v>7.9725135520908925E-8</v>
      </c>
      <c r="GO121" s="23">
        <f t="shared" si="81"/>
        <v>19.395738440991611</v>
      </c>
      <c r="GP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3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6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6.4</v>
      </c>
      <c r="N122" s="14">
        <f>IF('Données projet'!$A$36&gt;35,N121+M122-V121,IF(A122&lt;'Données projet'!$A$36,$K$205^A122,IF(A122='Données projet'!$A$36,'Données projet'!$B$36,N121+M122-V121)))</f>
        <v>280.39999999999986</v>
      </c>
      <c r="O122" s="14">
        <f>N122*VLOOKUP('Données projet'!$B$9,Paramètres!$A$1:$I$88,3,0)*VLOOKUP('Données projet'!$B$9,Paramètres!$A$1:$I$88,5,0)</f>
        <v>253.70591999999988</v>
      </c>
      <c r="P122" s="14">
        <f t="shared" si="87"/>
        <v>61.378826950685919</v>
      </c>
      <c r="Q122" s="22">
        <f t="shared" si="107"/>
        <v>548.77260093911116</v>
      </c>
      <c r="R122" s="59">
        <f t="shared" si="55"/>
        <v>842.10593427244453</v>
      </c>
      <c r="S122" s="59">
        <f ca="1">AVERAGE(OFFSET($R$3,0,0,'Données projet'!$E$9+1,1))-AVERAGE(OFFSET($H$3,0,0,'Données projet'!$E$9+1,1))</f>
        <v>247.57967230773539</v>
      </c>
      <c r="T122" s="59">
        <f t="shared" si="88"/>
        <v>156.58857589533295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30.447809515540133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30.447809515540133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-3.4106051316484809E-13</v>
      </c>
      <c r="AJ122" s="14">
        <f>AI122*VLOOKUP('Données projet'!$B$10,Paramètres!$A$1:$I$88,3,0)*VLOOKUP('Données projet'!$B$10,Paramètres!$A$1:$I$88,5,0)</f>
        <v>-2.7134774427395314E-13</v>
      </c>
      <c r="AK122" s="14" t="e">
        <f t="shared" si="89"/>
        <v>#NUM!</v>
      </c>
      <c r="AL122" s="22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504.15006129790828</v>
      </c>
      <c r="AO122" s="59">
        <f t="shared" si="90"/>
        <v>374.39334457402742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165.76306540703251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165.76306540703251</v>
      </c>
      <c r="AY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-3.4106051316484809E-13</v>
      </c>
      <c r="BE122" s="14">
        <f>BD122*VLOOKUP('Données projet'!$B$11,Paramètres!$A$1:$I$88,3,0)*VLOOKUP('Données projet'!$B$11,Paramètres!$A$1:$I$88,5,0)</f>
        <v>-2.7134774427395314E-13</v>
      </c>
      <c r="BF122" s="14" t="e">
        <f t="shared" si="91"/>
        <v>#NUM!</v>
      </c>
      <c r="BG122" s="22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504.15006129790828</v>
      </c>
      <c r="BJ122" s="59">
        <f t="shared" si="92"/>
        <v>374.39334457402742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165.76306540703251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165.76306540703251</v>
      </c>
      <c r="BT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-3.4106051316484809E-13</v>
      </c>
      <c r="BZ122" s="14">
        <f>BY122*VLOOKUP('Données projet'!$B$12,Paramètres!$A$1:$I$88,3,0)*VLOOKUP('Données projet'!$B$12,Paramètres!$A$1:$I$88,5,0)</f>
        <v>-2.2878339223098009E-13</v>
      </c>
      <c r="CA122" s="14" t="e">
        <f t="shared" si="93"/>
        <v>#NUM!</v>
      </c>
      <c r="CB122" s="22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387.15063677712425</v>
      </c>
      <c r="CE122" s="59">
        <f t="shared" si="94"/>
        <v>313.19155394370705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109.29183612452213</v>
      </c>
      <c r="CL122" s="23">
        <f>EXP(-LN(2)/25)*CL121+(1-EXP(-LN(2)/25))/(LN(2)/25)*Calculateur!CG122*Calculateur!CI122*VLOOKUP('Données projet'!$B$12,Paramètres!$A$1:$I$88,3,0)*0.475*44/12</f>
        <v>0</v>
      </c>
      <c r="CM122" s="23">
        <f>EXP(-LN(2)/2)*CM121+(1-EXP(-LN(2)/2))/(LN(2)/2)*CG122*CJ122*VLOOKUP('Données projet'!$B$12,Paramètres!$A$1:$I$88,3,0)*0.475*44/12</f>
        <v>0</v>
      </c>
      <c r="CN122" s="24">
        <f t="shared" si="66"/>
        <v>109.29183612452213</v>
      </c>
      <c r="CO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6.4</v>
      </c>
      <c r="CT122" s="13">
        <f>IF('Données projet'!$A$140&gt;35,CT121+CS122-DB121,IF(A122&lt;'Données projet'!$A$140,$CQ$205^A122,IF(A122='Données projet'!$A$140,'Données projet'!$B$140,CT121+CS122-DB121)))</f>
        <v>280.39999999999986</v>
      </c>
      <c r="CU122" s="18">
        <f>CT122*VLOOKUP('Données projet'!$B$13,Paramètres!$A$1:$I$88,3,0)*VLOOKUP('Données projet'!$B$13,Paramètres!$A$1:$I$88,5,0)</f>
        <v>271.20287999999988</v>
      </c>
      <c r="CV122" s="14">
        <f t="shared" si="95"/>
        <v>65.104484700680942</v>
      </c>
      <c r="CW122" s="22">
        <f t="shared" si="67"/>
        <v>585.73532685368571</v>
      </c>
      <c r="CX122" s="59">
        <f t="shared" si="68"/>
        <v>879.06866018701908</v>
      </c>
      <c r="CY122" s="59">
        <f ca="1">AVERAGE(OFFSET($CX$3,0,0,'Données projet'!$E$13+1,1))-AVERAGE(OFFSET($H$3,0,0,'Données projet'!$E$13+1,1))</f>
        <v>306.00894145276209</v>
      </c>
      <c r="CZ122" s="59">
        <f t="shared" si="96"/>
        <v>168.74705421228828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32.547658447646363</v>
      </c>
      <c r="DG122" s="23">
        <f>EXP(-LN(2)/25)*DG121+(1-EXP(-LN(2)/25))/(LN(2)/25)*Calculateur!DB122*Calculateur!DD122*VLOOKUP('Données projet'!$B$13,Paramètres!$A$1:$I$88,3,0)*0.475*44/12</f>
        <v>0</v>
      </c>
      <c r="DH122" s="23">
        <f>EXP(-LN(2)/2)*DH121+(1-EXP(-LN(2)/2))/(LN(2)/2)*DB122*DE122*VLOOKUP('Données projet'!$B$13,Paramètres!$A$1:$I$88,3,0)*0.475*44/12</f>
        <v>0</v>
      </c>
      <c r="DI122" s="24">
        <f t="shared" si="69"/>
        <v>32.547658447646363</v>
      </c>
      <c r="DJ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-3.4106051316484809E-13</v>
      </c>
      <c r="DP122" s="18">
        <f>DO122*VLOOKUP('Données projet'!$B$14,Paramètres!$A$1:$I$88,3,0)*VLOOKUP('Données projet'!$B$14,Paramètres!$A$1:$I$88,5,0)</f>
        <v>-2.6602720026858149E-13</v>
      </c>
      <c r="DQ122" s="14" t="e">
        <f t="shared" si="97"/>
        <v>#NUM!</v>
      </c>
      <c r="DR122" s="22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458.14328535055694</v>
      </c>
      <c r="DU122" s="59">
        <f t="shared" si="98"/>
        <v>366.75500153675739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projet'!$B$14,Paramètres!$A$1:$I$88,3,0)*0.475*44/12</f>
        <v>103.10550577785119</v>
      </c>
      <c r="EB122" s="23">
        <f>EXP(-LN(2)/25)*EB121+(1-EXP(-LN(2)/25))/(LN(2)/25)*Calculateur!DW122*Calculateur!DY122*VLOOKUP('Données projet'!$B$14,Paramètres!$A$1:$I$88,3,0)*0.475*44/12</f>
        <v>0</v>
      </c>
      <c r="EC122" s="23">
        <f>EXP(-LN(2)/2)*EC121+(1-EXP(-LN(2)/2))/(LN(2)/2)*DW122*DZ122*VLOOKUP('Données projet'!$B$14,Paramètres!$A$1:$I$88,3,0)*0.475*44/12</f>
        <v>0</v>
      </c>
      <c r="ED122" s="24">
        <f t="shared" si="72"/>
        <v>103.10550577785119</v>
      </c>
      <c r="EE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4.5474735088646412E-13</v>
      </c>
      <c r="EK122" s="18">
        <f>EJ122*VLOOKUP('Données projet'!$B$15,Paramètres!$A$1:$I$88,3,0)*VLOOKUP('Données projet'!$B$15,Paramètres!$A$1:$I$88,5,0)</f>
        <v>3.9017322706058626E-13</v>
      </c>
      <c r="EL122" s="14">
        <f t="shared" si="99"/>
        <v>5.0025007393608908E-12</v>
      </c>
      <c r="EM122" s="22">
        <f t="shared" si="73"/>
        <v>9.3922404915174053E-12</v>
      </c>
      <c r="EN122" s="59">
        <f t="shared" si="74"/>
        <v>293.33333333334269</v>
      </c>
      <c r="EO122" s="59">
        <f ca="1">AVERAGE(OFFSET($EN$3,0,0,'Données projet'!$E$15+1,1))-AVERAGE(OFFSET($H$3,0,0,'Données projet'!$E$15+1,1))</f>
        <v>462.99360395552145</v>
      </c>
      <c r="EP122" s="59">
        <f t="shared" si="100"/>
        <v>153.03880717786046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projet'!$B$15,Paramètres!$A$1:$I$88,3,0)*0.475*44/12</f>
        <v>179.47029665501182</v>
      </c>
      <c r="EW122" s="23">
        <f>EXP(-LN(2)/25)*EW121+(1-EXP(-LN(2)/25))/(LN(2)/25)*Calculateur!ER122*Calculateur!ET122*VLOOKUP('Données projet'!$B$15,Paramètres!$A$1:$I$88,3,0)*0.475*44/12</f>
        <v>0</v>
      </c>
      <c r="EX122" s="23">
        <f>EXP(-LN(2)/2)*EX121+(1-EXP(-LN(2)/2))/(LN(2)/2)*ER122*EU122*VLOOKUP('Données projet'!$B$15,Paramètres!$A$1:$I$88,3,0)*0.475*44/12</f>
        <v>0</v>
      </c>
      <c r="EY122" s="24">
        <f t="shared" si="75"/>
        <v>179.47029665501182</v>
      </c>
      <c r="EZ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2.2737367544323206E-13</v>
      </c>
      <c r="FF122" s="18">
        <f>FE122*VLOOKUP('Données projet'!$B$16,Paramètres!$A$1:$I$88,3,0)*VLOOKUP('Données projet'!$B$16,Paramètres!$A$1:$I$88,5,0)</f>
        <v>1.9863364286720756E-13</v>
      </c>
      <c r="FG122" s="14">
        <f t="shared" si="101"/>
        <v>2.7549360720371426E-12</v>
      </c>
      <c r="FH122" s="22">
        <f t="shared" si="76"/>
        <v>5.144133920125077E-12</v>
      </c>
      <c r="FI122" s="59">
        <f t="shared" si="77"/>
        <v>293.33333333333843</v>
      </c>
      <c r="FJ122" s="59">
        <f ca="1">AVERAGE(OFFSET($FI$3,0,0,'Données projet'!$E$16+1,1))-AVERAGE(OFFSET($H$3,0,0,'Données projet'!$E$16+1,1))</f>
        <v>427.76895185088944</v>
      </c>
      <c r="FK122" s="59">
        <f t="shared" si="102"/>
        <v>308.32543361559135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projet'!$B$16,Paramètres!$A$1:$I$88,3,0)*0.475*44/12</f>
        <v>145.74824008797648</v>
      </c>
      <c r="FR122" s="23">
        <f>EXP(-LN(2)/25)*FR121+(1-EXP(-LN(2)/25))/(LN(2)/25)*Calculateur!FM122*Calculateur!FO122*VLOOKUP('Données projet'!$B$16,Paramètres!$A$1:$I$88,3,0)*0.475*44/12</f>
        <v>0</v>
      </c>
      <c r="FS122" s="23">
        <f>EXP(-LN(2)/2)*FS121+(1-EXP(-LN(2)/2))/(LN(2)/2)*FM122*FP122*VLOOKUP('Données projet'!$B$16,Paramètres!$A$1:$I$88,3,0)*0.475*44/12</f>
        <v>0</v>
      </c>
      <c r="FT122" s="24">
        <f t="shared" si="78"/>
        <v>145.74824008797648</v>
      </c>
      <c r="FU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333.00000000000006</v>
      </c>
      <c r="GA122" s="18">
        <f>FZ122*VLOOKUP('Données projet'!$B$17,Paramètres!$A$1:$I$88,3,0)*VLOOKUP('Données projet'!$B$17,Paramètres!$A$1:$I$88,5,0)</f>
        <v>207.79200000000006</v>
      </c>
      <c r="GB122" s="14">
        <f t="shared" si="103"/>
        <v>51.452785725007907</v>
      </c>
      <c r="GC122" s="22">
        <f t="shared" si="79"/>
        <v>451.5180018043888</v>
      </c>
      <c r="GD122" s="59">
        <f t="shared" si="80"/>
        <v>744.85133513772212</v>
      </c>
      <c r="GE122" s="59">
        <f ca="1">AVERAGE(OFFSET($GD$3,0,0,'Données projet'!$E$17+1,1))-AVERAGE(OFFSET($H$3,0,0,'Données projet'!$E$17+1,1))</f>
        <v>247.85542034088905</v>
      </c>
      <c r="GF122" s="59">
        <f t="shared" si="104"/>
        <v>299.52241743660352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projet'!$B$17,Paramètres!$A$1:$I$88,3,0)*0.475*44/12</f>
        <v>11.549300106149381</v>
      </c>
      <c r="GM122" s="23">
        <f>EXP(-LN(2)/25)*GM121+(1-EXP(-LN(2)/25))/(LN(2)/25)*Calculateur!GH122*Calculateur!GJ122*VLOOKUP('Données projet'!$B$17,Paramètres!$A$1:$I$88,3,0)*0.475*44/12</f>
        <v>7.4071892312496432</v>
      </c>
      <c r="GN122" s="23">
        <f>EXP(-LN(2)/2)*GN121+(1-EXP(-LN(2)/2))/(LN(2)/2)*GH122*GK122*VLOOKUP('Données projet'!$B$17,Paramètres!$A$1:$I$88,3,0)*0.475*44/12</f>
        <v>5.6374183957851195E-8</v>
      </c>
      <c r="GO122" s="23">
        <f t="shared" si="81"/>
        <v>18.956489393773207</v>
      </c>
      <c r="GP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3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6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6.4</v>
      </c>
      <c r="N123" s="14">
        <f>IF('Données projet'!$A$36&gt;35,N122+M123-V122,IF(A123&lt;'Données projet'!$A$36,$K$205^A123,IF(A123='Données projet'!$A$36,'Données projet'!$B$36,N122+M123-V122)))</f>
        <v>286.79999999999984</v>
      </c>
      <c r="O123" s="14">
        <f>N123*VLOOKUP('Données projet'!$B$9,Paramètres!$A$1:$I$88,3,0)*VLOOKUP('Données projet'!$B$9,Paramètres!$A$1:$I$88,5,0)</f>
        <v>259.49663999999984</v>
      </c>
      <c r="P123" s="14">
        <f t="shared" si="87"/>
        <v>62.61506984708253</v>
      </c>
      <c r="Q123" s="22">
        <f t="shared" si="107"/>
        <v>561.01122798366839</v>
      </c>
      <c r="R123" s="59">
        <f t="shared" si="55"/>
        <v>854.34456131700176</v>
      </c>
      <c r="S123" s="59">
        <f ca="1">AVERAGE(OFFSET($R$3,0,0,'Données projet'!$E$9+1,1))-AVERAGE(OFFSET($H$3,0,0,'Données projet'!$E$9+1,1))</f>
        <v>247.57967230773539</v>
      </c>
      <c r="T123" s="59">
        <f t="shared" si="88"/>
        <v>156.58857589533295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29.850746542270429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29.850746542270429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-3.4106051316484809E-13</v>
      </c>
      <c r="AJ123" s="14">
        <f>AI123*VLOOKUP('Données projet'!$B$10,Paramètres!$A$1:$I$88,3,0)*VLOOKUP('Données projet'!$B$10,Paramètres!$A$1:$I$88,5,0)</f>
        <v>-2.7134774427395314E-13</v>
      </c>
      <c r="AK123" s="14" t="e">
        <f t="shared" si="89"/>
        <v>#NUM!</v>
      </c>
      <c r="AL123" s="22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504.15006129790828</v>
      </c>
      <c r="AO123" s="59">
        <f t="shared" si="90"/>
        <v>374.39334457402742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162.51255279988717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162.51255279988717</v>
      </c>
      <c r="AY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-3.4106051316484809E-13</v>
      </c>
      <c r="BE123" s="14">
        <f>BD123*VLOOKUP('Données projet'!$B$11,Paramètres!$A$1:$I$88,3,0)*VLOOKUP('Données projet'!$B$11,Paramètres!$A$1:$I$88,5,0)</f>
        <v>-2.7134774427395314E-13</v>
      </c>
      <c r="BF123" s="14" t="e">
        <f t="shared" si="91"/>
        <v>#NUM!</v>
      </c>
      <c r="BG123" s="22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504.15006129790828</v>
      </c>
      <c r="BJ123" s="59">
        <f t="shared" si="92"/>
        <v>374.39334457402742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162.51255279988717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162.51255279988717</v>
      </c>
      <c r="BT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-3.4106051316484809E-13</v>
      </c>
      <c r="BZ123" s="14">
        <f>BY123*VLOOKUP('Données projet'!$B$12,Paramètres!$A$1:$I$88,3,0)*VLOOKUP('Données projet'!$B$12,Paramètres!$A$1:$I$88,5,0)</f>
        <v>-2.2878339223098009E-13</v>
      </c>
      <c r="CA123" s="14" t="e">
        <f t="shared" si="93"/>
        <v>#NUM!</v>
      </c>
      <c r="CB123" s="22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387.15063677712425</v>
      </c>
      <c r="CE123" s="59">
        <f t="shared" si="94"/>
        <v>313.19155394370705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107.14868987955802</v>
      </c>
      <c r="CL123" s="23">
        <f>EXP(-LN(2)/25)*CL122+(1-EXP(-LN(2)/25))/(LN(2)/25)*Calculateur!CG123*Calculateur!CI123*VLOOKUP('Données projet'!$B$12,Paramètres!$A$1:$I$88,3,0)*0.475*44/12</f>
        <v>0</v>
      </c>
      <c r="CM123" s="23">
        <f>EXP(-LN(2)/2)*CM122+(1-EXP(-LN(2)/2))/(LN(2)/2)*CG123*CJ123*VLOOKUP('Données projet'!$B$12,Paramètres!$A$1:$I$88,3,0)*0.475*44/12</f>
        <v>0</v>
      </c>
      <c r="CN123" s="24">
        <f t="shared" si="66"/>
        <v>107.14868987955802</v>
      </c>
      <c r="CO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6.4</v>
      </c>
      <c r="CT123" s="13">
        <f>IF('Données projet'!$A$140&gt;35,CT122+CS123-DB122,IF(A123&lt;'Données projet'!$A$140,$CQ$205^A123,IF(A123='Données projet'!$A$140,'Données projet'!$B$140,CT122+CS123-DB122)))</f>
        <v>286.79999999999984</v>
      </c>
      <c r="CU123" s="18">
        <f>CT123*VLOOKUP('Données projet'!$B$13,Paramètres!$A$1:$I$88,3,0)*VLOOKUP('Données projet'!$B$13,Paramètres!$A$1:$I$88,5,0)</f>
        <v>277.39295999999985</v>
      </c>
      <c r="CV123" s="14">
        <f t="shared" si="95"/>
        <v>66.415766794739909</v>
      </c>
      <c r="CW123" s="22">
        <f t="shared" si="67"/>
        <v>598.80019916750507</v>
      </c>
      <c r="CX123" s="59">
        <f t="shared" si="68"/>
        <v>892.13353250083833</v>
      </c>
      <c r="CY123" s="59">
        <f ca="1">AVERAGE(OFFSET($CX$3,0,0,'Données projet'!$E$13+1,1))-AVERAGE(OFFSET($H$3,0,0,'Données projet'!$E$13+1,1))</f>
        <v>306.00894145276209</v>
      </c>
      <c r="CZ123" s="59">
        <f t="shared" si="96"/>
        <v>168.74705421228828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31.909418717599436</v>
      </c>
      <c r="DG123" s="23">
        <f>EXP(-LN(2)/25)*DG122+(1-EXP(-LN(2)/25))/(LN(2)/25)*Calculateur!DB123*Calculateur!DD123*VLOOKUP('Données projet'!$B$13,Paramètres!$A$1:$I$88,3,0)*0.475*44/12</f>
        <v>0</v>
      </c>
      <c r="DH123" s="23">
        <f>EXP(-LN(2)/2)*DH122+(1-EXP(-LN(2)/2))/(LN(2)/2)*DB123*DE123*VLOOKUP('Données projet'!$B$13,Paramètres!$A$1:$I$88,3,0)*0.475*44/12</f>
        <v>0</v>
      </c>
      <c r="DI123" s="24">
        <f t="shared" si="69"/>
        <v>31.909418717599436</v>
      </c>
      <c r="DJ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-3.4106051316484809E-13</v>
      </c>
      <c r="DP123" s="18">
        <f>DO123*VLOOKUP('Données projet'!$B$14,Paramètres!$A$1:$I$88,3,0)*VLOOKUP('Données projet'!$B$14,Paramètres!$A$1:$I$88,5,0)</f>
        <v>-2.6602720026858149E-13</v>
      </c>
      <c r="DQ123" s="14" t="e">
        <f t="shared" si="97"/>
        <v>#NUM!</v>
      </c>
      <c r="DR123" s="22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458.14328535055694</v>
      </c>
      <c r="DU123" s="59">
        <f t="shared" si="98"/>
        <v>366.75500153675739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projet'!$B$14,Paramètres!$A$1:$I$88,3,0)*0.475*44/12</f>
        <v>101.08366969769637</v>
      </c>
      <c r="EB123" s="23">
        <f>EXP(-LN(2)/25)*EB122+(1-EXP(-LN(2)/25))/(LN(2)/25)*Calculateur!DW123*Calculateur!DY123*VLOOKUP('Données projet'!$B$14,Paramètres!$A$1:$I$88,3,0)*0.475*44/12</f>
        <v>0</v>
      </c>
      <c r="EC123" s="23">
        <f>EXP(-LN(2)/2)*EC122+(1-EXP(-LN(2)/2))/(LN(2)/2)*DW123*DZ123*VLOOKUP('Données projet'!$B$14,Paramètres!$A$1:$I$88,3,0)*0.475*44/12</f>
        <v>0</v>
      </c>
      <c r="ED123" s="24">
        <f t="shared" si="72"/>
        <v>101.08366969769637</v>
      </c>
      <c r="EE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4.5474735088646412E-13</v>
      </c>
      <c r="EK123" s="18">
        <f>EJ123*VLOOKUP('Données projet'!$B$15,Paramètres!$A$1:$I$88,3,0)*VLOOKUP('Données projet'!$B$15,Paramètres!$A$1:$I$88,5,0)</f>
        <v>3.9017322706058626E-13</v>
      </c>
      <c r="EL123" s="14">
        <f t="shared" si="99"/>
        <v>5.0025007393608908E-12</v>
      </c>
      <c r="EM123" s="22">
        <f t="shared" si="73"/>
        <v>9.3922404915174053E-12</v>
      </c>
      <c r="EN123" s="59">
        <f t="shared" si="74"/>
        <v>293.33333333334269</v>
      </c>
      <c r="EO123" s="59">
        <f ca="1">AVERAGE(OFFSET($EN$3,0,0,'Données projet'!$E$15+1,1))-AVERAGE(OFFSET($H$3,0,0,'Données projet'!$E$15+1,1))</f>
        <v>462.99360395552145</v>
      </c>
      <c r="EP123" s="59">
        <f t="shared" si="100"/>
        <v>153.03880717786046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projet'!$B$15,Paramètres!$A$1:$I$88,3,0)*0.475*44/12</f>
        <v>175.95099360367911</v>
      </c>
      <c r="EW123" s="23">
        <f>EXP(-LN(2)/25)*EW122+(1-EXP(-LN(2)/25))/(LN(2)/25)*Calculateur!ER123*Calculateur!ET123*VLOOKUP('Données projet'!$B$15,Paramètres!$A$1:$I$88,3,0)*0.475*44/12</f>
        <v>0</v>
      </c>
      <c r="EX123" s="23">
        <f>EXP(-LN(2)/2)*EX122+(1-EXP(-LN(2)/2))/(LN(2)/2)*ER123*EU123*VLOOKUP('Données projet'!$B$15,Paramètres!$A$1:$I$88,3,0)*0.475*44/12</f>
        <v>0</v>
      </c>
      <c r="EY123" s="24">
        <f t="shared" si="75"/>
        <v>175.95099360367911</v>
      </c>
      <c r="EZ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2.2737367544323206E-13</v>
      </c>
      <c r="FF123" s="18">
        <f>FE123*VLOOKUP('Données projet'!$B$16,Paramètres!$A$1:$I$88,3,0)*VLOOKUP('Données projet'!$B$16,Paramètres!$A$1:$I$88,5,0)</f>
        <v>1.9863364286720756E-13</v>
      </c>
      <c r="FG123" s="14">
        <f t="shared" si="101"/>
        <v>2.7549360720371426E-12</v>
      </c>
      <c r="FH123" s="22">
        <f t="shared" si="76"/>
        <v>5.144133920125077E-12</v>
      </c>
      <c r="FI123" s="59">
        <f t="shared" si="77"/>
        <v>293.33333333333843</v>
      </c>
      <c r="FJ123" s="59">
        <f ca="1">AVERAGE(OFFSET($FI$3,0,0,'Données projet'!$E$16+1,1))-AVERAGE(OFFSET($H$3,0,0,'Données projet'!$E$16+1,1))</f>
        <v>427.76895185088944</v>
      </c>
      <c r="FK123" s="59">
        <f t="shared" si="102"/>
        <v>308.32543361559135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projet'!$B$16,Paramètres!$A$1:$I$88,3,0)*0.475*44/12</f>
        <v>142.89020599749981</v>
      </c>
      <c r="FR123" s="23">
        <f>EXP(-LN(2)/25)*FR122+(1-EXP(-LN(2)/25))/(LN(2)/25)*Calculateur!FM123*Calculateur!FO123*VLOOKUP('Données projet'!$B$16,Paramètres!$A$1:$I$88,3,0)*0.475*44/12</f>
        <v>0</v>
      </c>
      <c r="FS123" s="23">
        <f>EXP(-LN(2)/2)*FS122+(1-EXP(-LN(2)/2))/(LN(2)/2)*FM123*FP123*VLOOKUP('Données projet'!$B$16,Paramètres!$A$1:$I$88,3,0)*0.475*44/12</f>
        <v>0</v>
      </c>
      <c r="FT123" s="24">
        <f t="shared" si="78"/>
        <v>142.89020599749981</v>
      </c>
      <c r="FU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333.00000000000006</v>
      </c>
      <c r="GA123" s="18">
        <f>FZ123*VLOOKUP('Données projet'!$B$17,Paramètres!$A$1:$I$88,3,0)*VLOOKUP('Données projet'!$B$17,Paramètres!$A$1:$I$88,5,0)</f>
        <v>207.79200000000006</v>
      </c>
      <c r="GB123" s="14">
        <f t="shared" si="103"/>
        <v>51.452785725007907</v>
      </c>
      <c r="GC123" s="22">
        <f t="shared" si="79"/>
        <v>451.5180018043888</v>
      </c>
      <c r="GD123" s="59">
        <f t="shared" si="80"/>
        <v>744.85133513772212</v>
      </c>
      <c r="GE123" s="59">
        <f ca="1">AVERAGE(OFFSET($GD$3,0,0,'Données projet'!$E$17+1,1))-AVERAGE(OFFSET($H$3,0,0,'Données projet'!$E$17+1,1))</f>
        <v>247.85542034088905</v>
      </c>
      <c r="GF123" s="59">
        <f t="shared" si="104"/>
        <v>299.52241743660352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projet'!$B$17,Paramètres!$A$1:$I$88,3,0)*0.475*44/12</f>
        <v>11.322825375445282</v>
      </c>
      <c r="GM123" s="23">
        <f>EXP(-LN(2)/25)*GM122+(1-EXP(-LN(2)/25))/(LN(2)/25)*Calculateur!GH123*Calculateur!GJ123*VLOOKUP('Données projet'!$B$17,Paramètres!$A$1:$I$88,3,0)*0.475*44/12</f>
        <v>7.2046392521939691</v>
      </c>
      <c r="GN123" s="23">
        <f>EXP(-LN(2)/2)*GN122+(1-EXP(-LN(2)/2))/(LN(2)/2)*GH123*GK123*VLOOKUP('Données projet'!$B$17,Paramètres!$A$1:$I$88,3,0)*0.475*44/12</f>
        <v>3.9862567760454462E-8</v>
      </c>
      <c r="GO123" s="23">
        <f t="shared" si="81"/>
        <v>18.527464667501818</v>
      </c>
      <c r="GP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3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6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6.4</v>
      </c>
      <c r="N124" s="14">
        <f>IF('Données projet'!$A$36&gt;35,N123+M124-V123,IF(A124&lt;'Données projet'!$A$36,$K$205^A124,IF(A124='Données projet'!$A$36,'Données projet'!$B$36,N123+M124-V123)))</f>
        <v>293.19999999999982</v>
      </c>
      <c r="O124" s="14">
        <f>N124*VLOOKUP('Données projet'!$B$9,Paramètres!$A$1:$I$88,3,0)*VLOOKUP('Données projet'!$B$9,Paramètres!$A$1:$I$88,5,0)</f>
        <v>265.28735999999981</v>
      </c>
      <c r="P124" s="14">
        <f t="shared" si="87"/>
        <v>63.84810550096995</v>
      </c>
      <c r="Q124" s="22">
        <f t="shared" si="107"/>
        <v>573.2442690808557</v>
      </c>
      <c r="R124" s="59">
        <f t="shared" si="55"/>
        <v>866.57760241418896</v>
      </c>
      <c r="S124" s="59">
        <f ca="1">AVERAGE(OFFSET($R$3,0,0,'Données projet'!$E$9+1,1))-AVERAGE(OFFSET($H$3,0,0,'Données projet'!$E$9+1,1))</f>
        <v>247.57967230773539</v>
      </c>
      <c r="T124" s="59">
        <f t="shared" si="88"/>
        <v>156.58857589533295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29.265391609734088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29.265391609734088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-3.4106051316484809E-13</v>
      </c>
      <c r="AJ124" s="14">
        <f>AI124*VLOOKUP('Données projet'!$B$10,Paramètres!$A$1:$I$88,3,0)*VLOOKUP('Données projet'!$B$10,Paramètres!$A$1:$I$88,5,0)</f>
        <v>-2.7134774427395314E-13</v>
      </c>
      <c r="AK124" s="14" t="e">
        <f t="shared" si="89"/>
        <v>#NUM!</v>
      </c>
      <c r="AL124" s="22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504.15006129790828</v>
      </c>
      <c r="AO124" s="59">
        <f t="shared" si="90"/>
        <v>374.39334457402742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159.32578076235103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159.32578076235103</v>
      </c>
      <c r="AY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-3.4106051316484809E-13</v>
      </c>
      <c r="BE124" s="14">
        <f>BD124*VLOOKUP('Données projet'!$B$11,Paramètres!$A$1:$I$88,3,0)*VLOOKUP('Données projet'!$B$11,Paramètres!$A$1:$I$88,5,0)</f>
        <v>-2.7134774427395314E-13</v>
      </c>
      <c r="BF124" s="14" t="e">
        <f t="shared" si="91"/>
        <v>#NUM!</v>
      </c>
      <c r="BG124" s="22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504.15006129790828</v>
      </c>
      <c r="BJ124" s="59">
        <f t="shared" si="92"/>
        <v>374.39334457402742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159.32578076235103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159.32578076235103</v>
      </c>
      <c r="BT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-3.4106051316484809E-13</v>
      </c>
      <c r="BZ124" s="14">
        <f>BY124*VLOOKUP('Données projet'!$B$12,Paramètres!$A$1:$I$88,3,0)*VLOOKUP('Données projet'!$B$12,Paramètres!$A$1:$I$88,5,0)</f>
        <v>-2.2878339223098009E-13</v>
      </c>
      <c r="CA124" s="14" t="e">
        <f t="shared" si="93"/>
        <v>#NUM!</v>
      </c>
      <c r="CB124" s="22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387.15063677712425</v>
      </c>
      <c r="CE124" s="59">
        <f t="shared" si="94"/>
        <v>313.19155394370705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105.04756942526751</v>
      </c>
      <c r="CL124" s="23">
        <f>EXP(-LN(2)/25)*CL123+(1-EXP(-LN(2)/25))/(LN(2)/25)*Calculateur!CG124*Calculateur!CI124*VLOOKUP('Données projet'!$B$12,Paramètres!$A$1:$I$88,3,0)*0.475*44/12</f>
        <v>0</v>
      </c>
      <c r="CM124" s="23">
        <f>EXP(-LN(2)/2)*CM123+(1-EXP(-LN(2)/2))/(LN(2)/2)*CG124*CJ124*VLOOKUP('Données projet'!$B$12,Paramètres!$A$1:$I$88,3,0)*0.475*44/12</f>
        <v>0</v>
      </c>
      <c r="CN124" s="24">
        <f t="shared" si="66"/>
        <v>105.04756942526751</v>
      </c>
      <c r="CO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6.4</v>
      </c>
      <c r="CT124" s="13">
        <f>IF('Données projet'!$A$140&gt;35,CT123+CS124-DB123,IF(A124&lt;'Données projet'!$A$140,$CQ$205^A124,IF(A124='Données projet'!$A$140,'Données projet'!$B$140,CT123+CS124-DB123)))</f>
        <v>293.19999999999982</v>
      </c>
      <c r="CU124" s="18">
        <f>CT124*VLOOKUP('Données projet'!$B$13,Paramètres!$A$1:$I$88,3,0)*VLOOKUP('Données projet'!$B$13,Paramètres!$A$1:$I$88,5,0)</f>
        <v>283.58303999999981</v>
      </c>
      <c r="CV124" s="14">
        <f t="shared" si="95"/>
        <v>67.723646968605152</v>
      </c>
      <c r="CW124" s="22">
        <f t="shared" si="67"/>
        <v>611.8591464703203</v>
      </c>
      <c r="CX124" s="59">
        <f t="shared" si="68"/>
        <v>905.19247980365367</v>
      </c>
      <c r="CY124" s="59">
        <f ca="1">AVERAGE(OFFSET($CX$3,0,0,'Données projet'!$E$13+1,1))-AVERAGE(OFFSET($H$3,0,0,'Données projet'!$E$13+1,1))</f>
        <v>306.00894145276209</v>
      </c>
      <c r="CZ124" s="59">
        <f t="shared" si="96"/>
        <v>168.74705421228828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31.283694479370936</v>
      </c>
      <c r="DG124" s="23">
        <f>EXP(-LN(2)/25)*DG123+(1-EXP(-LN(2)/25))/(LN(2)/25)*Calculateur!DB124*Calculateur!DD124*VLOOKUP('Données projet'!$B$13,Paramètres!$A$1:$I$88,3,0)*0.475*44/12</f>
        <v>0</v>
      </c>
      <c r="DH124" s="23">
        <f>EXP(-LN(2)/2)*DH123+(1-EXP(-LN(2)/2))/(LN(2)/2)*DB124*DE124*VLOOKUP('Données projet'!$B$13,Paramètres!$A$1:$I$88,3,0)*0.475*44/12</f>
        <v>0</v>
      </c>
      <c r="DI124" s="24">
        <f t="shared" si="69"/>
        <v>31.283694479370936</v>
      </c>
      <c r="DJ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-3.4106051316484809E-13</v>
      </c>
      <c r="DP124" s="18">
        <f>DO124*VLOOKUP('Données projet'!$B$14,Paramètres!$A$1:$I$88,3,0)*VLOOKUP('Données projet'!$B$14,Paramètres!$A$1:$I$88,5,0)</f>
        <v>-2.6602720026858149E-13</v>
      </c>
      <c r="DQ124" s="14" t="e">
        <f t="shared" si="97"/>
        <v>#NUM!</v>
      </c>
      <c r="DR124" s="22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458.14328535055694</v>
      </c>
      <c r="DU124" s="59">
        <f t="shared" si="98"/>
        <v>366.75500153675739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projet'!$B$14,Paramètres!$A$1:$I$88,3,0)*0.475*44/12</f>
        <v>99.101480589875138</v>
      </c>
      <c r="EB124" s="23">
        <f>EXP(-LN(2)/25)*EB123+(1-EXP(-LN(2)/25))/(LN(2)/25)*Calculateur!DW124*Calculateur!DY124*VLOOKUP('Données projet'!$B$14,Paramètres!$A$1:$I$88,3,0)*0.475*44/12</f>
        <v>0</v>
      </c>
      <c r="EC124" s="23">
        <f>EXP(-LN(2)/2)*EC123+(1-EXP(-LN(2)/2))/(LN(2)/2)*DW124*DZ124*VLOOKUP('Données projet'!$B$14,Paramètres!$A$1:$I$88,3,0)*0.475*44/12</f>
        <v>0</v>
      </c>
      <c r="ED124" s="24">
        <f t="shared" si="72"/>
        <v>99.101480589875138</v>
      </c>
      <c r="EE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4.5474735088646412E-13</v>
      </c>
      <c r="EK124" s="18">
        <f>EJ124*VLOOKUP('Données projet'!$B$15,Paramètres!$A$1:$I$88,3,0)*VLOOKUP('Données projet'!$B$15,Paramètres!$A$1:$I$88,5,0)</f>
        <v>3.9017322706058626E-13</v>
      </c>
      <c r="EL124" s="14">
        <f t="shared" si="99"/>
        <v>5.0025007393608908E-12</v>
      </c>
      <c r="EM124" s="22">
        <f t="shared" si="73"/>
        <v>9.3922404915174053E-12</v>
      </c>
      <c r="EN124" s="59">
        <f t="shared" si="74"/>
        <v>293.33333333334269</v>
      </c>
      <c r="EO124" s="59">
        <f ca="1">AVERAGE(OFFSET($EN$3,0,0,'Données projet'!$E$15+1,1))-AVERAGE(OFFSET($H$3,0,0,'Données projet'!$E$15+1,1))</f>
        <v>462.99360395552145</v>
      </c>
      <c r="EP124" s="59">
        <f t="shared" si="100"/>
        <v>153.03880717786046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projet'!$B$15,Paramètres!$A$1:$I$88,3,0)*0.475*44/12</f>
        <v>172.50070193862013</v>
      </c>
      <c r="EW124" s="23">
        <f>EXP(-LN(2)/25)*EW123+(1-EXP(-LN(2)/25))/(LN(2)/25)*Calculateur!ER124*Calculateur!ET124*VLOOKUP('Données projet'!$B$15,Paramètres!$A$1:$I$88,3,0)*0.475*44/12</f>
        <v>0</v>
      </c>
      <c r="EX124" s="23">
        <f>EXP(-LN(2)/2)*EX123+(1-EXP(-LN(2)/2))/(LN(2)/2)*ER124*EU124*VLOOKUP('Données projet'!$B$15,Paramètres!$A$1:$I$88,3,0)*0.475*44/12</f>
        <v>0</v>
      </c>
      <c r="EY124" s="24">
        <f t="shared" si="75"/>
        <v>172.50070193862013</v>
      </c>
      <c r="EZ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2.2737367544323206E-13</v>
      </c>
      <c r="FF124" s="18">
        <f>FE124*VLOOKUP('Données projet'!$B$16,Paramètres!$A$1:$I$88,3,0)*VLOOKUP('Données projet'!$B$16,Paramètres!$A$1:$I$88,5,0)</f>
        <v>1.9863364286720756E-13</v>
      </c>
      <c r="FG124" s="14">
        <f t="shared" si="101"/>
        <v>2.7549360720371426E-12</v>
      </c>
      <c r="FH124" s="22">
        <f t="shared" si="76"/>
        <v>5.144133920125077E-12</v>
      </c>
      <c r="FI124" s="59">
        <f t="shared" si="77"/>
        <v>293.33333333333843</v>
      </c>
      <c r="FJ124" s="59">
        <f ca="1">AVERAGE(OFFSET($FI$3,0,0,'Données projet'!$E$16+1,1))-AVERAGE(OFFSET($H$3,0,0,'Données projet'!$E$16+1,1))</f>
        <v>427.76895185088944</v>
      </c>
      <c r="FK124" s="59">
        <f t="shared" si="102"/>
        <v>308.32543361559135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projet'!$B$16,Paramètres!$A$1:$I$88,3,0)*0.475*44/12</f>
        <v>140.08821621230871</v>
      </c>
      <c r="FR124" s="23">
        <f>EXP(-LN(2)/25)*FR123+(1-EXP(-LN(2)/25))/(LN(2)/25)*Calculateur!FM124*Calculateur!FO124*VLOOKUP('Données projet'!$B$16,Paramètres!$A$1:$I$88,3,0)*0.475*44/12</f>
        <v>0</v>
      </c>
      <c r="FS124" s="23">
        <f>EXP(-LN(2)/2)*FS123+(1-EXP(-LN(2)/2))/(LN(2)/2)*FM124*FP124*VLOOKUP('Données projet'!$B$16,Paramètres!$A$1:$I$88,3,0)*0.475*44/12</f>
        <v>0</v>
      </c>
      <c r="FT124" s="24">
        <f t="shared" si="78"/>
        <v>140.08821621230871</v>
      </c>
      <c r="FU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333.00000000000006</v>
      </c>
      <c r="GA124" s="18">
        <f>FZ124*VLOOKUP('Données projet'!$B$17,Paramètres!$A$1:$I$88,3,0)*VLOOKUP('Données projet'!$B$17,Paramètres!$A$1:$I$88,5,0)</f>
        <v>207.79200000000006</v>
      </c>
      <c r="GB124" s="14">
        <f t="shared" si="103"/>
        <v>51.452785725007907</v>
      </c>
      <c r="GC124" s="22">
        <f t="shared" si="79"/>
        <v>451.5180018043888</v>
      </c>
      <c r="GD124" s="59">
        <f t="shared" si="80"/>
        <v>744.85133513772212</v>
      </c>
      <c r="GE124" s="59">
        <f ca="1">AVERAGE(OFFSET($GD$3,0,0,'Données projet'!$E$17+1,1))-AVERAGE(OFFSET($H$3,0,0,'Données projet'!$E$17+1,1))</f>
        <v>247.85542034088905</v>
      </c>
      <c r="GF124" s="59">
        <f t="shared" si="104"/>
        <v>299.52241743660352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projet'!$B$17,Paramètres!$A$1:$I$88,3,0)*0.475*44/12</f>
        <v>11.100791676074344</v>
      </c>
      <c r="GM124" s="23">
        <f>EXP(-LN(2)/25)*GM123+(1-EXP(-LN(2)/25))/(LN(2)/25)*Calculateur!GH124*Calculateur!GJ124*VLOOKUP('Données projet'!$B$17,Paramètres!$A$1:$I$88,3,0)*0.475*44/12</f>
        <v>7.0076280129672135</v>
      </c>
      <c r="GN124" s="23">
        <f>EXP(-LN(2)/2)*GN123+(1-EXP(-LN(2)/2))/(LN(2)/2)*GH124*GK124*VLOOKUP('Données projet'!$B$17,Paramètres!$A$1:$I$88,3,0)*0.475*44/12</f>
        <v>2.8187091978925598E-8</v>
      </c>
      <c r="GO124" s="23">
        <f t="shared" si="81"/>
        <v>18.108419717228649</v>
      </c>
      <c r="GP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3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6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6.4</v>
      </c>
      <c r="N125" s="14">
        <f>IF('Données projet'!$A$36&gt;35,N124+M125-V124,IF(A125&lt;'Données projet'!$A$36,$K$205^A125,IF(A125='Données projet'!$A$36,'Données projet'!$B$36,N124+M125-V124)))</f>
        <v>299.5999999999998</v>
      </c>
      <c r="O125" s="14">
        <f>N125*VLOOKUP('Données projet'!$B$9,Paramètres!$A$1:$I$88,3,0)*VLOOKUP('Données projet'!$B$9,Paramètres!$A$1:$I$88,5,0)</f>
        <v>271.07807999999977</v>
      </c>
      <c r="P125" s="14">
        <f t="shared" si="87"/>
        <v>65.078011982620907</v>
      </c>
      <c r="Q125" s="22">
        <f t="shared" si="107"/>
        <v>585.47186020306435</v>
      </c>
      <c r="R125" s="59">
        <f t="shared" si="55"/>
        <v>878.80519353639761</v>
      </c>
      <c r="S125" s="59">
        <f ca="1">AVERAGE(OFFSET($R$3,0,0,'Données projet'!$E$9+1,1))-AVERAGE(OFFSET($H$3,0,0,'Données projet'!$E$9+1,1))</f>
        <v>247.57967230773539</v>
      </c>
      <c r="T125" s="59">
        <f t="shared" si="88"/>
        <v>156.58857589533295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28.69151513039353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28.69151513039353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-3.4106051316484809E-13</v>
      </c>
      <c r="AJ125" s="14">
        <f>AI125*VLOOKUP('Données projet'!$B$10,Paramètres!$A$1:$I$88,3,0)*VLOOKUP('Données projet'!$B$10,Paramètres!$A$1:$I$88,5,0)</f>
        <v>-2.7134774427395314E-13</v>
      </c>
      <c r="AK125" s="14" t="e">
        <f t="shared" si="89"/>
        <v>#NUM!</v>
      </c>
      <c r="AL125" s="22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504.15006129790828</v>
      </c>
      <c r="AO125" s="59">
        <f t="shared" si="90"/>
        <v>374.39334457402742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156.20149938073195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156.20149938073195</v>
      </c>
      <c r="AY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-3.4106051316484809E-13</v>
      </c>
      <c r="BE125" s="14">
        <f>BD125*VLOOKUP('Données projet'!$B$11,Paramètres!$A$1:$I$88,3,0)*VLOOKUP('Données projet'!$B$11,Paramètres!$A$1:$I$88,5,0)</f>
        <v>-2.7134774427395314E-13</v>
      </c>
      <c r="BF125" s="14" t="e">
        <f t="shared" si="91"/>
        <v>#NUM!</v>
      </c>
      <c r="BG125" s="22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504.15006129790828</v>
      </c>
      <c r="BJ125" s="59">
        <f t="shared" si="92"/>
        <v>374.39334457402742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156.20149938073195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156.20149938073195</v>
      </c>
      <c r="BT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-3.4106051316484809E-13</v>
      </c>
      <c r="BZ125" s="14">
        <f>BY125*VLOOKUP('Données projet'!$B$12,Paramètres!$A$1:$I$88,3,0)*VLOOKUP('Données projet'!$B$12,Paramètres!$A$1:$I$88,5,0)</f>
        <v>-2.2878339223098009E-13</v>
      </c>
      <c r="CA125" s="14" t="e">
        <f t="shared" si="93"/>
        <v>#NUM!</v>
      </c>
      <c r="CB125" s="22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387.15063677712425</v>
      </c>
      <c r="CE125" s="59">
        <f t="shared" si="94"/>
        <v>313.19155394370705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102.98765066152872</v>
      </c>
      <c r="CL125" s="23">
        <f>EXP(-LN(2)/25)*CL124+(1-EXP(-LN(2)/25))/(LN(2)/25)*Calculateur!CG125*Calculateur!CI125*VLOOKUP('Données projet'!$B$12,Paramètres!$A$1:$I$88,3,0)*0.475*44/12</f>
        <v>0</v>
      </c>
      <c r="CM125" s="23">
        <f>EXP(-LN(2)/2)*CM124+(1-EXP(-LN(2)/2))/(LN(2)/2)*CG125*CJ125*VLOOKUP('Données projet'!$B$12,Paramètres!$A$1:$I$88,3,0)*0.475*44/12</f>
        <v>0</v>
      </c>
      <c r="CN125" s="24">
        <f t="shared" si="66"/>
        <v>102.98765066152872</v>
      </c>
      <c r="CO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6.4</v>
      </c>
      <c r="CT125" s="13">
        <f>IF('Données projet'!$A$140&gt;35,CT124+CS125-DB124,IF(A125&lt;'Données projet'!$A$140,$CQ$205^A125,IF(A125='Données projet'!$A$140,'Données projet'!$B$140,CT124+CS125-DB124)))</f>
        <v>299.5999999999998</v>
      </c>
      <c r="CU125" s="18">
        <f>CT125*VLOOKUP('Données projet'!$B$13,Paramètres!$A$1:$I$88,3,0)*VLOOKUP('Données projet'!$B$13,Paramètres!$A$1:$I$88,5,0)</f>
        <v>289.77311999999978</v>
      </c>
      <c r="CV125" s="14">
        <f t="shared" si="95"/>
        <v>69.028208031367754</v>
      </c>
      <c r="CW125" s="22">
        <f t="shared" si="67"/>
        <v>624.91231298796504</v>
      </c>
      <c r="CX125" s="59">
        <f t="shared" si="68"/>
        <v>918.24564632129841</v>
      </c>
      <c r="CY125" s="59">
        <f ca="1">AVERAGE(OFFSET($CX$3,0,0,'Données projet'!$E$13+1,1))-AVERAGE(OFFSET($H$3,0,0,'Données projet'!$E$13+1,1))</f>
        <v>306.00894145276209</v>
      </c>
      <c r="CZ125" s="59">
        <f t="shared" si="96"/>
        <v>168.74705421228828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30.670240311799997</v>
      </c>
      <c r="DG125" s="23">
        <f>EXP(-LN(2)/25)*DG124+(1-EXP(-LN(2)/25))/(LN(2)/25)*Calculateur!DB125*Calculateur!DD125*VLOOKUP('Données projet'!$B$13,Paramètres!$A$1:$I$88,3,0)*0.475*44/12</f>
        <v>0</v>
      </c>
      <c r="DH125" s="23">
        <f>EXP(-LN(2)/2)*DH124+(1-EXP(-LN(2)/2))/(LN(2)/2)*DB125*DE125*VLOOKUP('Données projet'!$B$13,Paramètres!$A$1:$I$88,3,0)*0.475*44/12</f>
        <v>0</v>
      </c>
      <c r="DI125" s="24">
        <f t="shared" si="69"/>
        <v>30.670240311799997</v>
      </c>
      <c r="DJ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-3.4106051316484809E-13</v>
      </c>
      <c r="DP125" s="18">
        <f>DO125*VLOOKUP('Données projet'!$B$14,Paramètres!$A$1:$I$88,3,0)*VLOOKUP('Données projet'!$B$14,Paramètres!$A$1:$I$88,5,0)</f>
        <v>-2.6602720026858149E-13</v>
      </c>
      <c r="DQ125" s="14" t="e">
        <f t="shared" si="97"/>
        <v>#NUM!</v>
      </c>
      <c r="DR125" s="22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458.14328535055694</v>
      </c>
      <c r="DU125" s="59">
        <f t="shared" si="98"/>
        <v>366.75500153675739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projet'!$B$14,Paramètres!$A$1:$I$88,3,0)*0.475*44/12</f>
        <v>97.158161001442309</v>
      </c>
      <c r="EB125" s="23">
        <f>EXP(-LN(2)/25)*EB124+(1-EXP(-LN(2)/25))/(LN(2)/25)*Calculateur!DW125*Calculateur!DY125*VLOOKUP('Données projet'!$B$14,Paramètres!$A$1:$I$88,3,0)*0.475*44/12</f>
        <v>0</v>
      </c>
      <c r="EC125" s="23">
        <f>EXP(-LN(2)/2)*EC124+(1-EXP(-LN(2)/2))/(LN(2)/2)*DW125*DZ125*VLOOKUP('Données projet'!$B$14,Paramètres!$A$1:$I$88,3,0)*0.475*44/12</f>
        <v>0</v>
      </c>
      <c r="ED125" s="24">
        <f t="shared" si="72"/>
        <v>97.158161001442309</v>
      </c>
      <c r="EE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4.5474735088646412E-13</v>
      </c>
      <c r="EK125" s="18">
        <f>EJ125*VLOOKUP('Données projet'!$B$15,Paramètres!$A$1:$I$88,3,0)*VLOOKUP('Données projet'!$B$15,Paramètres!$A$1:$I$88,5,0)</f>
        <v>3.9017322706058626E-13</v>
      </c>
      <c r="EL125" s="14">
        <f t="shared" si="99"/>
        <v>5.0025007393608908E-12</v>
      </c>
      <c r="EM125" s="22">
        <f t="shared" si="73"/>
        <v>9.3922404915174053E-12</v>
      </c>
      <c r="EN125" s="59">
        <f t="shared" si="74"/>
        <v>293.33333333334269</v>
      </c>
      <c r="EO125" s="59">
        <f ca="1">AVERAGE(OFFSET($EN$3,0,0,'Données projet'!$E$15+1,1))-AVERAGE(OFFSET($H$3,0,0,'Données projet'!$E$15+1,1))</f>
        <v>462.99360395552145</v>
      </c>
      <c r="EP125" s="59">
        <f t="shared" si="100"/>
        <v>153.03880717786046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projet'!$B$15,Paramètres!$A$1:$I$88,3,0)*0.475*44/12</f>
        <v>169.11806838864285</v>
      </c>
      <c r="EW125" s="23">
        <f>EXP(-LN(2)/25)*EW124+(1-EXP(-LN(2)/25))/(LN(2)/25)*Calculateur!ER125*Calculateur!ET125*VLOOKUP('Données projet'!$B$15,Paramètres!$A$1:$I$88,3,0)*0.475*44/12</f>
        <v>0</v>
      </c>
      <c r="EX125" s="23">
        <f>EXP(-LN(2)/2)*EX124+(1-EXP(-LN(2)/2))/(LN(2)/2)*ER125*EU125*VLOOKUP('Données projet'!$B$15,Paramètres!$A$1:$I$88,3,0)*0.475*44/12</f>
        <v>0</v>
      </c>
      <c r="EY125" s="24">
        <f t="shared" si="75"/>
        <v>169.11806838864285</v>
      </c>
      <c r="EZ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2.2737367544323206E-13</v>
      </c>
      <c r="FF125" s="18">
        <f>FE125*VLOOKUP('Données projet'!$B$16,Paramètres!$A$1:$I$88,3,0)*VLOOKUP('Données projet'!$B$16,Paramètres!$A$1:$I$88,5,0)</f>
        <v>1.9863364286720756E-13</v>
      </c>
      <c r="FG125" s="14">
        <f t="shared" si="101"/>
        <v>2.7549360720371426E-12</v>
      </c>
      <c r="FH125" s="22">
        <f t="shared" si="76"/>
        <v>5.144133920125077E-12</v>
      </c>
      <c r="FI125" s="59">
        <f t="shared" si="77"/>
        <v>293.33333333333843</v>
      </c>
      <c r="FJ125" s="59">
        <f ca="1">AVERAGE(OFFSET($FI$3,0,0,'Données projet'!$E$16+1,1))-AVERAGE(OFFSET($H$3,0,0,'Données projet'!$E$16+1,1))</f>
        <v>427.76895185088944</v>
      </c>
      <c r="FK125" s="59">
        <f t="shared" si="102"/>
        <v>308.32543361559135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projet'!$B$16,Paramètres!$A$1:$I$88,3,0)*0.475*44/12</f>
        <v>137.34117173776019</v>
      </c>
      <c r="FR125" s="23">
        <f>EXP(-LN(2)/25)*FR124+(1-EXP(-LN(2)/25))/(LN(2)/25)*Calculateur!FM125*Calculateur!FO125*VLOOKUP('Données projet'!$B$16,Paramètres!$A$1:$I$88,3,0)*0.475*44/12</f>
        <v>0</v>
      </c>
      <c r="FS125" s="23">
        <f>EXP(-LN(2)/2)*FS124+(1-EXP(-LN(2)/2))/(LN(2)/2)*FM125*FP125*VLOOKUP('Données projet'!$B$16,Paramètres!$A$1:$I$88,3,0)*0.475*44/12</f>
        <v>0</v>
      </c>
      <c r="FT125" s="24">
        <f t="shared" si="78"/>
        <v>137.34117173776019</v>
      </c>
      <c r="FU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333.00000000000006</v>
      </c>
      <c r="GA125" s="18">
        <f>FZ125*VLOOKUP('Données projet'!$B$17,Paramètres!$A$1:$I$88,3,0)*VLOOKUP('Données projet'!$B$17,Paramètres!$A$1:$I$88,5,0)</f>
        <v>207.79200000000006</v>
      </c>
      <c r="GB125" s="14">
        <f t="shared" si="103"/>
        <v>51.452785725007907</v>
      </c>
      <c r="GC125" s="22">
        <f t="shared" si="79"/>
        <v>451.5180018043888</v>
      </c>
      <c r="GD125" s="59">
        <f t="shared" si="80"/>
        <v>744.85133513772212</v>
      </c>
      <c r="GE125" s="59">
        <f ca="1">AVERAGE(OFFSET($GD$3,0,0,'Données projet'!$E$17+1,1))-AVERAGE(OFFSET($H$3,0,0,'Données projet'!$E$17+1,1))</f>
        <v>247.85542034088905</v>
      </c>
      <c r="GF125" s="59">
        <f t="shared" si="104"/>
        <v>299.52241743660352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projet'!$B$17,Paramètres!$A$1:$I$88,3,0)*0.475*44/12</f>
        <v>10.883111922120886</v>
      </c>
      <c r="GM125" s="23">
        <f>EXP(-LN(2)/25)*GM124+(1-EXP(-LN(2)/25))/(LN(2)/25)*Calculateur!GH125*Calculateur!GJ125*VLOOKUP('Données projet'!$B$17,Paramètres!$A$1:$I$88,3,0)*0.475*44/12</f>
        <v>6.8160040564374844</v>
      </c>
      <c r="GN125" s="23">
        <f>EXP(-LN(2)/2)*GN124+(1-EXP(-LN(2)/2))/(LN(2)/2)*GH125*GK125*VLOOKUP('Données projet'!$B$17,Paramètres!$A$1:$I$88,3,0)*0.475*44/12</f>
        <v>1.9931283880227231E-8</v>
      </c>
      <c r="GO125" s="23">
        <f t="shared" si="81"/>
        <v>17.699115998489656</v>
      </c>
      <c r="GP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3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6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>
        <f>VLOOKUP(A126,'Données projet'!$A$35:$I$55,2,0)</f>
        <v>306</v>
      </c>
      <c r="L126" s="13">
        <f>VLOOKUP(A126,'Données projet'!$A$35:$I$55,9,0)</f>
        <v>6.4</v>
      </c>
      <c r="M126" s="13">
        <f t="array" ref="M126">INDEX(L:L,MIN(IF(ISNUMBER(L126:L322),ROW(L126:L322),"")))</f>
        <v>6.4</v>
      </c>
      <c r="N126" s="14">
        <f>IF('Données projet'!$A$36&gt;35,N125+M126-V125,IF(A126&lt;'Données projet'!$A$36,$K$205^A126,IF(A126='Données projet'!$A$36,'Données projet'!$B$36,N125+M126-V125)))</f>
        <v>305.99999999999977</v>
      </c>
      <c r="O126" s="14">
        <f>N126*VLOOKUP('Données projet'!$B$9,Paramètres!$A$1:$I$88,3,0)*VLOOKUP('Données projet'!$B$9,Paramètres!$A$1:$I$88,5,0)</f>
        <v>276.86879999999979</v>
      </c>
      <c r="P126" s="14">
        <f t="shared" si="87"/>
        <v>66.304863836318603</v>
      </c>
      <c r="Q126" s="22">
        <f t="shared" si="107"/>
        <v>597.69413118158775</v>
      </c>
      <c r="R126" s="59">
        <f t="shared" si="55"/>
        <v>891.02746451492112</v>
      </c>
      <c r="S126" s="59">
        <f ca="1">AVERAGE(OFFSET($R$3,0,0,'Données projet'!$E$9+1,1))-AVERAGE(OFFSET($H$3,0,0,'Données projet'!$E$9+1,1))</f>
        <v>247.57967230773539</v>
      </c>
      <c r="T126" s="59">
        <f t="shared" si="88"/>
        <v>156.58857589533295</v>
      </c>
      <c r="U126" s="16">
        <f>IF(ISNA(VLOOKUP(A126,'Données projet'!$A$35:$I$55,3,0)),0,VLOOKUP(A126,'Données projet'!$A$35:$I$55,3,0))</f>
        <v>10</v>
      </c>
      <c r="V126" s="16">
        <f>IF(ISNA(VLOOKUP(A126,'Données projet'!$A$35:$I$55,4,0)),0,VLOOKUP(A126,'Données projet'!$A$35:$I$55,4,0))</f>
        <v>45</v>
      </c>
      <c r="W126" s="17">
        <f>IF(ISNA(VLOOKUP(A126,'Données projet'!$A$35:$I$55,5,0)),0%,VLOOKUP(A126,'Données projet'!$A$35:$I$55,5,0)*VLOOKUP('Données projet'!$B$9,Paramètres!$A$1:$I$88,7,0))</f>
        <v>0.25800000000000001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39.741557667833156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39.741557667833156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-3.4106051316484809E-13</v>
      </c>
      <c r="AJ126" s="14">
        <f>AI126*VLOOKUP('Données projet'!$B$10,Paramètres!$A$1:$I$88,3,0)*VLOOKUP('Données projet'!$B$10,Paramètres!$A$1:$I$88,5,0)</f>
        <v>-2.7134774427395314E-13</v>
      </c>
      <c r="AK126" s="14" t="e">
        <f t="shared" si="89"/>
        <v>#NUM!</v>
      </c>
      <c r="AL126" s="22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504.15006129790828</v>
      </c>
      <c r="AO126" s="59">
        <f t="shared" si="90"/>
        <v>374.39334457402742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153.13848325138295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153.13848325138295</v>
      </c>
      <c r="AY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-3.4106051316484809E-13</v>
      </c>
      <c r="BE126" s="14">
        <f>BD126*VLOOKUP('Données projet'!$B$11,Paramètres!$A$1:$I$88,3,0)*VLOOKUP('Données projet'!$B$11,Paramètres!$A$1:$I$88,5,0)</f>
        <v>-2.7134774427395314E-13</v>
      </c>
      <c r="BF126" s="14" t="e">
        <f t="shared" si="91"/>
        <v>#NUM!</v>
      </c>
      <c r="BG126" s="22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504.15006129790828</v>
      </c>
      <c r="BJ126" s="59">
        <f t="shared" si="92"/>
        <v>374.39334457402742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153.13848325138295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153.13848325138295</v>
      </c>
      <c r="BT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-3.4106051316484809E-13</v>
      </c>
      <c r="BZ126" s="14">
        <f>BY126*VLOOKUP('Données projet'!$B$12,Paramètres!$A$1:$I$88,3,0)*VLOOKUP('Données projet'!$B$12,Paramètres!$A$1:$I$88,5,0)</f>
        <v>-2.2878339223098009E-13</v>
      </c>
      <c r="CA126" s="14" t="e">
        <f t="shared" si="93"/>
        <v>#NUM!</v>
      </c>
      <c r="CB126" s="22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387.15063677712425</v>
      </c>
      <c r="CE126" s="59">
        <f t="shared" si="94"/>
        <v>313.19155394370705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100.96812564832045</v>
      </c>
      <c r="CL126" s="23">
        <f>EXP(-LN(2)/25)*CL125+(1-EXP(-LN(2)/25))/(LN(2)/25)*Calculateur!CG126*Calculateur!CI126*VLOOKUP('Données projet'!$B$12,Paramètres!$A$1:$I$88,3,0)*0.475*44/12</f>
        <v>0</v>
      </c>
      <c r="CM126" s="23">
        <f>EXP(-LN(2)/2)*CM125+(1-EXP(-LN(2)/2))/(LN(2)/2)*CG126*CJ126*VLOOKUP('Données projet'!$B$12,Paramètres!$A$1:$I$88,3,0)*0.475*44/12</f>
        <v>0</v>
      </c>
      <c r="CN126" s="24">
        <f t="shared" si="66"/>
        <v>100.96812564832045</v>
      </c>
      <c r="CO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>
        <f>VLOOKUP(A126,'Données projet'!$A$139:$I$159,2,0)</f>
        <v>306</v>
      </c>
      <c r="CR126" s="13">
        <f>VLOOKUP(A126,'Données projet'!$A$139:$I$159,9,0)</f>
        <v>6.4</v>
      </c>
      <c r="CS126" s="13">
        <f t="array" ref="CS126">INDEX(CR:CR,MIN(IF(ISNUMBER(CR126:CR322),ROW(CR126:CR322),"")))</f>
        <v>6.4</v>
      </c>
      <c r="CT126" s="13">
        <f>IF('Données projet'!$A$140&gt;35,CT125+CS126-DB125,IF(A126&lt;'Données projet'!$A$140,$CQ$205^A126,IF(A126='Données projet'!$A$140,'Données projet'!$B$140,CT125+CS126-DB125)))</f>
        <v>305.99999999999977</v>
      </c>
      <c r="CU126" s="18">
        <f>CT126*VLOOKUP('Données projet'!$B$13,Paramètres!$A$1:$I$88,3,0)*VLOOKUP('Données projet'!$B$13,Paramètres!$A$1:$I$88,5,0)</f>
        <v>295.9631999999998</v>
      </c>
      <c r="CV126" s="14">
        <f t="shared" si="95"/>
        <v>70.329529052104192</v>
      </c>
      <c r="CW126" s="22">
        <f t="shared" si="67"/>
        <v>637.95983643241436</v>
      </c>
      <c r="CX126" s="59">
        <f t="shared" si="68"/>
        <v>931.29316976574773</v>
      </c>
      <c r="CY126" s="59">
        <f ca="1">AVERAGE(OFFSET($CX$3,0,0,'Données projet'!$E$13+1,1))-AVERAGE(OFFSET($H$3,0,0,'Données projet'!$E$13+1,1))</f>
        <v>306.00894145276209</v>
      </c>
      <c r="CZ126" s="59">
        <f t="shared" si="96"/>
        <v>168.74705421228828</v>
      </c>
      <c r="DA126" s="16">
        <f>IF(ISNA(VLOOKUP(A126,'Données projet'!$A$139:$I$159,3,0)),0,VLOOKUP(A126,'Données projet'!$A$139:$I$159,3,0))</f>
        <v>10</v>
      </c>
      <c r="DB126" s="16">
        <f>IF(ISNA(VLOOKUP(A126,'Données projet'!$A$139:$I$159,4,0)),0,VLOOKUP(A126,'Données projet'!$A$139:$I$159,4,0))</f>
        <v>45</v>
      </c>
      <c r="DC126" s="17">
        <f>IF(ISNA(VLOOKUP(A126,'Données projet'!$A$139:$I$159,5,0)),0%,VLOOKUP(A126,'Données projet'!$A$139:$I$159,5,0)*VLOOKUP('Données projet'!$B$13,Paramètres!$A$1:$I$88,7,0))</f>
        <v>0.25800000000000001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42.482354748373396</v>
      </c>
      <c r="DG126" s="23">
        <f>EXP(-LN(2)/25)*DG125+(1-EXP(-LN(2)/25))/(LN(2)/25)*Calculateur!DB126*Calculateur!DD126*VLOOKUP('Données projet'!$B$13,Paramètres!$A$1:$I$88,3,0)*0.475*44/12</f>
        <v>0</v>
      </c>
      <c r="DH126" s="23">
        <f>EXP(-LN(2)/2)*DH125+(1-EXP(-LN(2)/2))/(LN(2)/2)*DB126*DE126*VLOOKUP('Données projet'!$B$13,Paramètres!$A$1:$I$88,3,0)*0.475*44/12</f>
        <v>0</v>
      </c>
      <c r="DI126" s="24">
        <f t="shared" si="69"/>
        <v>42.482354748373396</v>
      </c>
      <c r="DJ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-3.4106051316484809E-13</v>
      </c>
      <c r="DP126" s="18">
        <f>DO126*VLOOKUP('Données projet'!$B$14,Paramètres!$A$1:$I$88,3,0)*VLOOKUP('Données projet'!$B$14,Paramètres!$A$1:$I$88,5,0)</f>
        <v>-2.6602720026858149E-13</v>
      </c>
      <c r="DQ126" s="14" t="e">
        <f t="shared" si="97"/>
        <v>#NUM!</v>
      </c>
      <c r="DR126" s="22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458.14328535055694</v>
      </c>
      <c r="DU126" s="59">
        <f t="shared" si="98"/>
        <v>366.75500153675739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projet'!$B$14,Paramètres!$A$1:$I$88,3,0)*0.475*44/12</f>
        <v>95.25294872483073</v>
      </c>
      <c r="EB126" s="23">
        <f>EXP(-LN(2)/25)*EB125+(1-EXP(-LN(2)/25))/(LN(2)/25)*Calculateur!DW126*Calculateur!DY126*VLOOKUP('Données projet'!$B$14,Paramètres!$A$1:$I$88,3,0)*0.475*44/12</f>
        <v>0</v>
      </c>
      <c r="EC126" s="23">
        <f>EXP(-LN(2)/2)*EC125+(1-EXP(-LN(2)/2))/(LN(2)/2)*DW126*DZ126*VLOOKUP('Données projet'!$B$14,Paramètres!$A$1:$I$88,3,0)*0.475*44/12</f>
        <v>0</v>
      </c>
      <c r="ED126" s="24">
        <f t="shared" si="72"/>
        <v>95.25294872483073</v>
      </c>
      <c r="EE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4.5474735088646412E-13</v>
      </c>
      <c r="EK126" s="18">
        <f>EJ126*VLOOKUP('Données projet'!$B$15,Paramètres!$A$1:$I$88,3,0)*VLOOKUP('Données projet'!$B$15,Paramètres!$A$1:$I$88,5,0)</f>
        <v>3.9017322706058626E-13</v>
      </c>
      <c r="EL126" s="14">
        <f t="shared" si="99"/>
        <v>5.0025007393608908E-12</v>
      </c>
      <c r="EM126" s="22">
        <f t="shared" si="73"/>
        <v>9.3922404915174053E-12</v>
      </c>
      <c r="EN126" s="59">
        <f t="shared" si="74"/>
        <v>293.33333333334269</v>
      </c>
      <c r="EO126" s="59">
        <f ca="1">AVERAGE(OFFSET($EN$3,0,0,'Données projet'!$E$15+1,1))-AVERAGE(OFFSET($H$3,0,0,'Données projet'!$E$15+1,1))</f>
        <v>462.99360395552145</v>
      </c>
      <c r="EP126" s="59">
        <f t="shared" si="100"/>
        <v>153.03880717786046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projet'!$B$15,Paramètres!$A$1:$I$88,3,0)*0.475*44/12</f>
        <v>165.8017662193779</v>
      </c>
      <c r="EW126" s="23">
        <f>EXP(-LN(2)/25)*EW125+(1-EXP(-LN(2)/25))/(LN(2)/25)*Calculateur!ER126*Calculateur!ET126*VLOOKUP('Données projet'!$B$15,Paramètres!$A$1:$I$88,3,0)*0.475*44/12</f>
        <v>0</v>
      </c>
      <c r="EX126" s="23">
        <f>EXP(-LN(2)/2)*EX125+(1-EXP(-LN(2)/2))/(LN(2)/2)*ER126*EU126*VLOOKUP('Données projet'!$B$15,Paramètres!$A$1:$I$88,3,0)*0.475*44/12</f>
        <v>0</v>
      </c>
      <c r="EY126" s="24">
        <f t="shared" si="75"/>
        <v>165.8017662193779</v>
      </c>
      <c r="EZ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2.2737367544323206E-13</v>
      </c>
      <c r="FF126" s="18">
        <f>FE126*VLOOKUP('Données projet'!$B$16,Paramètres!$A$1:$I$88,3,0)*VLOOKUP('Données projet'!$B$16,Paramètres!$A$1:$I$88,5,0)</f>
        <v>1.9863364286720756E-13</v>
      </c>
      <c r="FG126" s="14">
        <f t="shared" si="101"/>
        <v>2.7549360720371426E-12</v>
      </c>
      <c r="FH126" s="22">
        <f t="shared" si="76"/>
        <v>5.144133920125077E-12</v>
      </c>
      <c r="FI126" s="59">
        <f t="shared" si="77"/>
        <v>293.33333333333843</v>
      </c>
      <c r="FJ126" s="59">
        <f ca="1">AVERAGE(OFFSET($FI$3,0,0,'Données projet'!$E$16+1,1))-AVERAGE(OFFSET($H$3,0,0,'Données projet'!$E$16+1,1))</f>
        <v>427.76895185088944</v>
      </c>
      <c r="FK126" s="59">
        <f t="shared" si="102"/>
        <v>308.32543361559135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projet'!$B$16,Paramètres!$A$1:$I$88,3,0)*0.475*44/12</f>
        <v>134.64799512982589</v>
      </c>
      <c r="FR126" s="23">
        <f>EXP(-LN(2)/25)*FR125+(1-EXP(-LN(2)/25))/(LN(2)/25)*Calculateur!FM126*Calculateur!FO126*VLOOKUP('Données projet'!$B$16,Paramètres!$A$1:$I$88,3,0)*0.475*44/12</f>
        <v>0</v>
      </c>
      <c r="FS126" s="23">
        <f>EXP(-LN(2)/2)*FS125+(1-EXP(-LN(2)/2))/(LN(2)/2)*FM126*FP126*VLOOKUP('Données projet'!$B$16,Paramètres!$A$1:$I$88,3,0)*0.475*44/12</f>
        <v>0</v>
      </c>
      <c r="FT126" s="24">
        <f t="shared" si="78"/>
        <v>134.64799512982589</v>
      </c>
      <c r="FU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333.00000000000006</v>
      </c>
      <c r="GA126" s="18">
        <f>FZ126*VLOOKUP('Données projet'!$B$17,Paramètres!$A$1:$I$88,3,0)*VLOOKUP('Données projet'!$B$17,Paramètres!$A$1:$I$88,5,0)</f>
        <v>207.79200000000006</v>
      </c>
      <c r="GB126" s="14">
        <f t="shared" si="103"/>
        <v>51.452785725007907</v>
      </c>
      <c r="GC126" s="22">
        <f t="shared" si="79"/>
        <v>451.5180018043888</v>
      </c>
      <c r="GD126" s="59">
        <f t="shared" si="80"/>
        <v>744.85133513772212</v>
      </c>
      <c r="GE126" s="59">
        <f ca="1">AVERAGE(OFFSET($GD$3,0,0,'Données projet'!$E$17+1,1))-AVERAGE(OFFSET($H$3,0,0,'Données projet'!$E$17+1,1))</f>
        <v>247.85542034088905</v>
      </c>
      <c r="GF126" s="59">
        <f t="shared" si="104"/>
        <v>299.52241743660352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projet'!$B$17,Paramètres!$A$1:$I$88,3,0)*0.475*44/12</f>
        <v>10.669700735370915</v>
      </c>
      <c r="GM126" s="23">
        <f>EXP(-LN(2)/25)*GM125+(1-EXP(-LN(2)/25))/(LN(2)/25)*Calculateur!GH126*Calculateur!GJ126*VLOOKUP('Données projet'!$B$17,Paramètres!$A$1:$I$88,3,0)*0.475*44/12</f>
        <v>6.6296200670761261</v>
      </c>
      <c r="GN126" s="23">
        <f>EXP(-LN(2)/2)*GN125+(1-EXP(-LN(2)/2))/(LN(2)/2)*GH126*GK126*VLOOKUP('Données projet'!$B$17,Paramètres!$A$1:$I$88,3,0)*0.475*44/12</f>
        <v>1.4093545989462799E-8</v>
      </c>
      <c r="GO126" s="23">
        <f t="shared" si="81"/>
        <v>17.29932081654059</v>
      </c>
      <c r="GP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3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6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5.666666666666667</v>
      </c>
      <c r="N127" s="14">
        <f>IF('Données projet'!$A$36&gt;35,N126+M127-V126,IF(A127&lt;'Données projet'!$A$36,$K$205^A127,IF(A127='Données projet'!$A$36,'Données projet'!$B$36,N126+M127-V126)))</f>
        <v>266.66666666666646</v>
      </c>
      <c r="O127" s="14">
        <f>N127*VLOOKUP('Données projet'!$B$9,Paramètres!$A$1:$I$88,3,0)*VLOOKUP('Données projet'!$B$9,Paramètres!$A$1:$I$88,5,0)</f>
        <v>241.2799999999998</v>
      </c>
      <c r="P127" s="14">
        <f t="shared" si="87"/>
        <v>58.714843403167137</v>
      </c>
      <c r="Q127" s="22">
        <f t="shared" si="107"/>
        <v>522.49101892718238</v>
      </c>
      <c r="R127" s="59">
        <f t="shared" si="55"/>
        <v>815.82435226051575</v>
      </c>
      <c r="S127" s="59">
        <f ca="1">AVERAGE(OFFSET($R$3,0,0,'Données projet'!$E$9+1,1))-AVERAGE(OFFSET($H$3,0,0,'Données projet'!$E$9+1,1))</f>
        <v>247.57967230773539</v>
      </c>
      <c r="T127" s="59">
        <f t="shared" si="88"/>
        <v>156.58857589533295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38.962249961923625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38.962249961923625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-3.4106051316484809E-13</v>
      </c>
      <c r="AJ127" s="14">
        <f>AI127*VLOOKUP('Données projet'!$B$10,Paramètres!$A$1:$I$88,3,0)*VLOOKUP('Données projet'!$B$10,Paramètres!$A$1:$I$88,5,0)</f>
        <v>-2.7134774427395314E-13</v>
      </c>
      <c r="AK127" s="14" t="e">
        <f t="shared" si="89"/>
        <v>#NUM!</v>
      </c>
      <c r="AL127" s="22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504.15006129790828</v>
      </c>
      <c r="AO127" s="59">
        <f t="shared" si="90"/>
        <v>374.39334457402742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150.1355310000751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150.1355310000751</v>
      </c>
      <c r="AY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-3.4106051316484809E-13</v>
      </c>
      <c r="BE127" s="14">
        <f>BD127*VLOOKUP('Données projet'!$B$11,Paramètres!$A$1:$I$88,3,0)*VLOOKUP('Données projet'!$B$11,Paramètres!$A$1:$I$88,5,0)</f>
        <v>-2.7134774427395314E-13</v>
      </c>
      <c r="BF127" s="14" t="e">
        <f t="shared" si="91"/>
        <v>#NUM!</v>
      </c>
      <c r="BG127" s="22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504.15006129790828</v>
      </c>
      <c r="BJ127" s="59">
        <f t="shared" si="92"/>
        <v>374.39334457402742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150.1355310000751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150.1355310000751</v>
      </c>
      <c r="BT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-3.4106051316484809E-13</v>
      </c>
      <c r="BZ127" s="14">
        <f>BY127*VLOOKUP('Données projet'!$B$12,Paramètres!$A$1:$I$88,3,0)*VLOOKUP('Données projet'!$B$12,Paramètres!$A$1:$I$88,5,0)</f>
        <v>-2.2878339223098009E-13</v>
      </c>
      <c r="CA127" s="14" t="e">
        <f t="shared" si="93"/>
        <v>#NUM!</v>
      </c>
      <c r="CB127" s="22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387.15063677712425</v>
      </c>
      <c r="CE127" s="59">
        <f t="shared" si="94"/>
        <v>313.19155394370705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98.988202288832568</v>
      </c>
      <c r="CL127" s="23">
        <f>EXP(-LN(2)/25)*CL126+(1-EXP(-LN(2)/25))/(LN(2)/25)*Calculateur!CG127*Calculateur!CI127*VLOOKUP('Données projet'!$B$12,Paramètres!$A$1:$I$88,3,0)*0.475*44/12</f>
        <v>0</v>
      </c>
      <c r="CM127" s="23">
        <f>EXP(-LN(2)/2)*CM126+(1-EXP(-LN(2)/2))/(LN(2)/2)*CG127*CJ127*VLOOKUP('Données projet'!$B$12,Paramètres!$A$1:$I$88,3,0)*0.475*44/12</f>
        <v>0</v>
      </c>
      <c r="CN127" s="24">
        <f t="shared" si="66"/>
        <v>98.988202288832568</v>
      </c>
      <c r="CO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5.666666666666667</v>
      </c>
      <c r="CT127" s="13">
        <f>IF('Données projet'!$A$140&gt;35,CT126+CS127-DB126,IF(A127&lt;'Données projet'!$A$140,$CQ$205^A127,IF(A127='Données projet'!$A$140,'Données projet'!$B$140,CT126+CS127-DB126)))</f>
        <v>266.66666666666646</v>
      </c>
      <c r="CU127" s="18">
        <f>CT127*VLOOKUP('Données projet'!$B$13,Paramètres!$A$1:$I$88,3,0)*VLOOKUP('Données projet'!$B$13,Paramètres!$A$1:$I$88,5,0)</f>
        <v>257.91999999999979</v>
      </c>
      <c r="CV127" s="14">
        <f t="shared" si="95"/>
        <v>62.278798959706258</v>
      </c>
      <c r="CW127" s="22">
        <f t="shared" si="67"/>
        <v>557.67957485482145</v>
      </c>
      <c r="CX127" s="59">
        <f t="shared" si="68"/>
        <v>851.01290818815482</v>
      </c>
      <c r="CY127" s="59">
        <f ca="1">AVERAGE(OFFSET($CX$3,0,0,'Données projet'!$E$13+1,1))-AVERAGE(OFFSET($H$3,0,0,'Données projet'!$E$13+1,1))</f>
        <v>306.00894145276209</v>
      </c>
      <c r="CZ127" s="59">
        <f t="shared" si="96"/>
        <v>168.74705421228828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41.649301683435624</v>
      </c>
      <c r="DG127" s="23">
        <f>EXP(-LN(2)/25)*DG126+(1-EXP(-LN(2)/25))/(LN(2)/25)*Calculateur!DB127*Calculateur!DD127*VLOOKUP('Données projet'!$B$13,Paramètres!$A$1:$I$88,3,0)*0.475*44/12</f>
        <v>0</v>
      </c>
      <c r="DH127" s="23">
        <f>EXP(-LN(2)/2)*DH126+(1-EXP(-LN(2)/2))/(LN(2)/2)*DB127*DE127*VLOOKUP('Données projet'!$B$13,Paramètres!$A$1:$I$88,3,0)*0.475*44/12</f>
        <v>0</v>
      </c>
      <c r="DI127" s="24">
        <f t="shared" si="69"/>
        <v>41.649301683435624</v>
      </c>
      <c r="DJ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-3.4106051316484809E-13</v>
      </c>
      <c r="DP127" s="18">
        <f>DO127*VLOOKUP('Données projet'!$B$14,Paramètres!$A$1:$I$88,3,0)*VLOOKUP('Données projet'!$B$14,Paramètres!$A$1:$I$88,5,0)</f>
        <v>-2.6602720026858149E-13</v>
      </c>
      <c r="DQ127" s="14" t="e">
        <f t="shared" si="97"/>
        <v>#NUM!</v>
      </c>
      <c r="DR127" s="22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458.14328535055694</v>
      </c>
      <c r="DU127" s="59">
        <f t="shared" si="98"/>
        <v>366.75500153675739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projet'!$B$14,Paramètres!$A$1:$I$88,3,0)*0.475*44/12</f>
        <v>93.385096498898761</v>
      </c>
      <c r="EB127" s="23">
        <f>EXP(-LN(2)/25)*EB126+(1-EXP(-LN(2)/25))/(LN(2)/25)*Calculateur!DW127*Calculateur!DY127*VLOOKUP('Données projet'!$B$14,Paramètres!$A$1:$I$88,3,0)*0.475*44/12</f>
        <v>0</v>
      </c>
      <c r="EC127" s="23">
        <f>EXP(-LN(2)/2)*EC126+(1-EXP(-LN(2)/2))/(LN(2)/2)*DW127*DZ127*VLOOKUP('Données projet'!$B$14,Paramètres!$A$1:$I$88,3,0)*0.475*44/12</f>
        <v>0</v>
      </c>
      <c r="ED127" s="24">
        <f t="shared" si="72"/>
        <v>93.385096498898761</v>
      </c>
      <c r="EE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4.5474735088646412E-13</v>
      </c>
      <c r="EK127" s="18">
        <f>EJ127*VLOOKUP('Données projet'!$B$15,Paramètres!$A$1:$I$88,3,0)*VLOOKUP('Données projet'!$B$15,Paramètres!$A$1:$I$88,5,0)</f>
        <v>3.9017322706058626E-13</v>
      </c>
      <c r="EL127" s="14">
        <f t="shared" si="99"/>
        <v>5.0025007393608908E-12</v>
      </c>
      <c r="EM127" s="22">
        <f t="shared" si="73"/>
        <v>9.3922404915174053E-12</v>
      </c>
      <c r="EN127" s="59">
        <f t="shared" si="74"/>
        <v>293.33333333334269</v>
      </c>
      <c r="EO127" s="59">
        <f ca="1">AVERAGE(OFFSET($EN$3,0,0,'Données projet'!$E$15+1,1))-AVERAGE(OFFSET($H$3,0,0,'Données projet'!$E$15+1,1))</f>
        <v>462.99360395552145</v>
      </c>
      <c r="EP127" s="59">
        <f t="shared" si="100"/>
        <v>153.03880717786046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projet'!$B$15,Paramètres!$A$1:$I$88,3,0)*0.475*44/12</f>
        <v>162.55049471290761</v>
      </c>
      <c r="EW127" s="23">
        <f>EXP(-LN(2)/25)*EW126+(1-EXP(-LN(2)/25))/(LN(2)/25)*Calculateur!ER127*Calculateur!ET127*VLOOKUP('Données projet'!$B$15,Paramètres!$A$1:$I$88,3,0)*0.475*44/12</f>
        <v>0</v>
      </c>
      <c r="EX127" s="23">
        <f>EXP(-LN(2)/2)*EX126+(1-EXP(-LN(2)/2))/(LN(2)/2)*ER127*EU127*VLOOKUP('Données projet'!$B$15,Paramètres!$A$1:$I$88,3,0)*0.475*44/12</f>
        <v>0</v>
      </c>
      <c r="EY127" s="24">
        <f t="shared" si="75"/>
        <v>162.55049471290761</v>
      </c>
      <c r="EZ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2.2737367544323206E-13</v>
      </c>
      <c r="FF127" s="18">
        <f>FE127*VLOOKUP('Données projet'!$B$16,Paramètres!$A$1:$I$88,3,0)*VLOOKUP('Données projet'!$B$16,Paramètres!$A$1:$I$88,5,0)</f>
        <v>1.9863364286720756E-13</v>
      </c>
      <c r="FG127" s="14">
        <f t="shared" si="101"/>
        <v>2.7549360720371426E-12</v>
      </c>
      <c r="FH127" s="22">
        <f t="shared" si="76"/>
        <v>5.144133920125077E-12</v>
      </c>
      <c r="FI127" s="59">
        <f t="shared" si="77"/>
        <v>293.33333333333843</v>
      </c>
      <c r="FJ127" s="59">
        <f ca="1">AVERAGE(OFFSET($FI$3,0,0,'Données projet'!$E$16+1,1))-AVERAGE(OFFSET($H$3,0,0,'Données projet'!$E$16+1,1))</f>
        <v>427.76895185088944</v>
      </c>
      <c r="FK127" s="59">
        <f t="shared" si="102"/>
        <v>308.32543361559135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projet'!$B$16,Paramètres!$A$1:$I$88,3,0)*0.475*44/12</f>
        <v>132.00763007249765</v>
      </c>
      <c r="FR127" s="23">
        <f>EXP(-LN(2)/25)*FR126+(1-EXP(-LN(2)/25))/(LN(2)/25)*Calculateur!FM127*Calculateur!FO127*VLOOKUP('Données projet'!$B$16,Paramètres!$A$1:$I$88,3,0)*0.475*44/12</f>
        <v>0</v>
      </c>
      <c r="FS127" s="23">
        <f>EXP(-LN(2)/2)*FS126+(1-EXP(-LN(2)/2))/(LN(2)/2)*FM127*FP127*VLOOKUP('Données projet'!$B$16,Paramètres!$A$1:$I$88,3,0)*0.475*44/12</f>
        <v>0</v>
      </c>
      <c r="FT127" s="24">
        <f t="shared" si="78"/>
        <v>132.00763007249765</v>
      </c>
      <c r="FU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333.00000000000006</v>
      </c>
      <c r="GA127" s="18">
        <f>FZ127*VLOOKUP('Données projet'!$B$17,Paramètres!$A$1:$I$88,3,0)*VLOOKUP('Données projet'!$B$17,Paramètres!$A$1:$I$88,5,0)</f>
        <v>207.79200000000006</v>
      </c>
      <c r="GB127" s="14">
        <f t="shared" si="103"/>
        <v>51.452785725007907</v>
      </c>
      <c r="GC127" s="22">
        <f t="shared" si="79"/>
        <v>451.5180018043888</v>
      </c>
      <c r="GD127" s="59">
        <f t="shared" si="80"/>
        <v>744.85133513772212</v>
      </c>
      <c r="GE127" s="59">
        <f ca="1">AVERAGE(OFFSET($GD$3,0,0,'Données projet'!$E$17+1,1))-AVERAGE(OFFSET($H$3,0,0,'Données projet'!$E$17+1,1))</f>
        <v>247.85542034088905</v>
      </c>
      <c r="GF127" s="59">
        <f t="shared" si="104"/>
        <v>299.52241743660352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projet'!$B$17,Paramètres!$A$1:$I$88,3,0)*0.475*44/12</f>
        <v>10.460474411825141</v>
      </c>
      <c r="GM127" s="23">
        <f>EXP(-LN(2)/25)*GM126+(1-EXP(-LN(2)/25))/(LN(2)/25)*Calculateur!GH127*Calculateur!GJ127*VLOOKUP('Données projet'!$B$17,Paramètres!$A$1:$I$88,3,0)*0.475*44/12</f>
        <v>6.4483327577053622</v>
      </c>
      <c r="GN127" s="23">
        <f>EXP(-LN(2)/2)*GN126+(1-EXP(-LN(2)/2))/(LN(2)/2)*GH127*GK127*VLOOKUP('Données projet'!$B$17,Paramètres!$A$1:$I$88,3,0)*0.475*44/12</f>
        <v>9.9656419401136156E-9</v>
      </c>
      <c r="GO127" s="23">
        <f t="shared" si="81"/>
        <v>16.908807179496147</v>
      </c>
      <c r="GP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3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6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5.666666666666667</v>
      </c>
      <c r="N128" s="14">
        <f>IF('Données projet'!$A$36&gt;35,N127+M128-V127,IF(A128&lt;'Données projet'!$A$36,$K$205^A128,IF(A128='Données projet'!$A$36,'Données projet'!$B$36,N127+M128-V127)))</f>
        <v>272.33333333333314</v>
      </c>
      <c r="O128" s="14">
        <f>N128*VLOOKUP('Données projet'!$B$9,Paramètres!$A$1:$I$88,3,0)*VLOOKUP('Données projet'!$B$9,Paramètres!$A$1:$I$88,5,0)</f>
        <v>246.40719999999982</v>
      </c>
      <c r="P128" s="14">
        <f t="shared" si="87"/>
        <v>59.815949856261852</v>
      </c>
      <c r="Q128" s="22">
        <f t="shared" si="107"/>
        <v>533.33865266632245</v>
      </c>
      <c r="R128" s="59">
        <f t="shared" si="55"/>
        <v>826.67198599965582</v>
      </c>
      <c r="S128" s="59">
        <f ca="1">AVERAGE(OFFSET($R$3,0,0,'Données projet'!$E$9+1,1))-AVERAGE(OFFSET($H$3,0,0,'Données projet'!$E$9+1,1))</f>
        <v>247.57967230773539</v>
      </c>
      <c r="T128" s="59">
        <f t="shared" si="88"/>
        <v>156.58857589533295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38.198224004796216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38.198224004796216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-3.4106051316484809E-13</v>
      </c>
      <c r="AJ128" s="14">
        <f>AI128*VLOOKUP('Données projet'!$B$10,Paramètres!$A$1:$I$88,3,0)*VLOOKUP('Données projet'!$B$10,Paramètres!$A$1:$I$88,5,0)</f>
        <v>-2.7134774427395314E-13</v>
      </c>
      <c r="AK128" s="14" t="e">
        <f t="shared" si="89"/>
        <v>#NUM!</v>
      </c>
      <c r="AL128" s="22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504.15006129790828</v>
      </c>
      <c r="AO128" s="59">
        <f t="shared" si="90"/>
        <v>374.39334457402742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147.1914648107954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147.1914648107954</v>
      </c>
      <c r="AY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-3.4106051316484809E-13</v>
      </c>
      <c r="BE128" s="14">
        <f>BD128*VLOOKUP('Données projet'!$B$11,Paramètres!$A$1:$I$88,3,0)*VLOOKUP('Données projet'!$B$11,Paramètres!$A$1:$I$88,5,0)</f>
        <v>-2.7134774427395314E-13</v>
      </c>
      <c r="BF128" s="14" t="e">
        <f t="shared" si="91"/>
        <v>#NUM!</v>
      </c>
      <c r="BG128" s="22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504.15006129790828</v>
      </c>
      <c r="BJ128" s="59">
        <f t="shared" si="92"/>
        <v>374.39334457402742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147.1914648107954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147.1914648107954</v>
      </c>
      <c r="BT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-3.4106051316484809E-13</v>
      </c>
      <c r="BZ128" s="14">
        <f>BY128*VLOOKUP('Données projet'!$B$12,Paramètres!$A$1:$I$88,3,0)*VLOOKUP('Données projet'!$B$12,Paramètres!$A$1:$I$88,5,0)</f>
        <v>-2.2878339223098009E-13</v>
      </c>
      <c r="CA128" s="14" t="e">
        <f t="shared" si="93"/>
        <v>#NUM!</v>
      </c>
      <c r="CB128" s="22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387.15063677712425</v>
      </c>
      <c r="CE128" s="59">
        <f t="shared" si="94"/>
        <v>313.19155394370705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97.047104018790236</v>
      </c>
      <c r="CL128" s="23">
        <f>EXP(-LN(2)/25)*CL127+(1-EXP(-LN(2)/25))/(LN(2)/25)*Calculateur!CG128*Calculateur!CI128*VLOOKUP('Données projet'!$B$12,Paramètres!$A$1:$I$88,3,0)*0.475*44/12</f>
        <v>0</v>
      </c>
      <c r="CM128" s="23">
        <f>EXP(-LN(2)/2)*CM127+(1-EXP(-LN(2)/2))/(LN(2)/2)*CG128*CJ128*VLOOKUP('Données projet'!$B$12,Paramètres!$A$1:$I$88,3,0)*0.475*44/12</f>
        <v>0</v>
      </c>
      <c r="CN128" s="24">
        <f t="shared" si="66"/>
        <v>97.047104018790236</v>
      </c>
      <c r="CO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5.666666666666667</v>
      </c>
      <c r="CT128" s="13">
        <f>IF('Données projet'!$A$140&gt;35,CT127+CS128-DB127,IF(A128&lt;'Données projet'!$A$140,$CQ$205^A128,IF(A128='Données projet'!$A$140,'Données projet'!$B$140,CT127+CS128-DB127)))</f>
        <v>272.33333333333314</v>
      </c>
      <c r="CU128" s="18">
        <f>CT128*VLOOKUP('Données projet'!$B$13,Paramètres!$A$1:$I$88,3,0)*VLOOKUP('Données projet'!$B$13,Paramètres!$A$1:$I$88,5,0)</f>
        <v>263.40079999999983</v>
      </c>
      <c r="CV128" s="14">
        <f t="shared" si="95"/>
        <v>63.446741909918146</v>
      </c>
      <c r="CW128" s="22">
        <f t="shared" si="67"/>
        <v>569.25946882644041</v>
      </c>
      <c r="CX128" s="59">
        <f t="shared" si="68"/>
        <v>862.59280215977378</v>
      </c>
      <c r="CY128" s="59">
        <f ca="1">AVERAGE(OFFSET($CX$3,0,0,'Données projet'!$E$13+1,1))-AVERAGE(OFFSET($H$3,0,0,'Données projet'!$E$13+1,1))</f>
        <v>306.00894145276209</v>
      </c>
      <c r="CZ128" s="59">
        <f t="shared" si="96"/>
        <v>168.74705421228828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40.832584280989082</v>
      </c>
      <c r="DG128" s="23">
        <f>EXP(-LN(2)/25)*DG127+(1-EXP(-LN(2)/25))/(LN(2)/25)*Calculateur!DB128*Calculateur!DD128*VLOOKUP('Données projet'!$B$13,Paramètres!$A$1:$I$88,3,0)*0.475*44/12</f>
        <v>0</v>
      </c>
      <c r="DH128" s="23">
        <f>EXP(-LN(2)/2)*DH127+(1-EXP(-LN(2)/2))/(LN(2)/2)*DB128*DE128*VLOOKUP('Données projet'!$B$13,Paramètres!$A$1:$I$88,3,0)*0.475*44/12</f>
        <v>0</v>
      </c>
      <c r="DI128" s="24">
        <f t="shared" si="69"/>
        <v>40.832584280989082</v>
      </c>
      <c r="DJ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-3.4106051316484809E-13</v>
      </c>
      <c r="DP128" s="18">
        <f>DO128*VLOOKUP('Données projet'!$B$14,Paramètres!$A$1:$I$88,3,0)*VLOOKUP('Données projet'!$B$14,Paramètres!$A$1:$I$88,5,0)</f>
        <v>-2.6602720026858149E-13</v>
      </c>
      <c r="DQ128" s="14" t="e">
        <f t="shared" si="97"/>
        <v>#NUM!</v>
      </c>
      <c r="DR128" s="22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458.14328535055694</v>
      </c>
      <c r="DU128" s="59">
        <f t="shared" si="98"/>
        <v>366.75500153675739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projet'!$B$14,Paramètres!$A$1:$I$88,3,0)*0.475*44/12</f>
        <v>91.553871715839961</v>
      </c>
      <c r="EB128" s="23">
        <f>EXP(-LN(2)/25)*EB127+(1-EXP(-LN(2)/25))/(LN(2)/25)*Calculateur!DW128*Calculateur!DY128*VLOOKUP('Données projet'!$B$14,Paramètres!$A$1:$I$88,3,0)*0.475*44/12</f>
        <v>0</v>
      </c>
      <c r="EC128" s="23">
        <f>EXP(-LN(2)/2)*EC127+(1-EXP(-LN(2)/2))/(LN(2)/2)*DW128*DZ128*VLOOKUP('Données projet'!$B$14,Paramètres!$A$1:$I$88,3,0)*0.475*44/12</f>
        <v>0</v>
      </c>
      <c r="ED128" s="24">
        <f t="shared" si="72"/>
        <v>91.553871715839961</v>
      </c>
      <c r="EE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4.5474735088646412E-13</v>
      </c>
      <c r="EK128" s="18">
        <f>EJ128*VLOOKUP('Données projet'!$B$15,Paramètres!$A$1:$I$88,3,0)*VLOOKUP('Données projet'!$B$15,Paramètres!$A$1:$I$88,5,0)</f>
        <v>3.9017322706058626E-13</v>
      </c>
      <c r="EL128" s="14">
        <f t="shared" si="99"/>
        <v>5.0025007393608908E-12</v>
      </c>
      <c r="EM128" s="22">
        <f t="shared" si="73"/>
        <v>9.3922404915174053E-12</v>
      </c>
      <c r="EN128" s="59">
        <f t="shared" si="74"/>
        <v>293.33333333334269</v>
      </c>
      <c r="EO128" s="59">
        <f ca="1">AVERAGE(OFFSET($EN$3,0,0,'Données projet'!$E$15+1,1))-AVERAGE(OFFSET($H$3,0,0,'Données projet'!$E$15+1,1))</f>
        <v>462.99360395552145</v>
      </c>
      <c r="EP128" s="59">
        <f t="shared" si="100"/>
        <v>153.03880717786046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projet'!$B$15,Paramètres!$A$1:$I$88,3,0)*0.475*44/12</f>
        <v>159.3629786575994</v>
      </c>
      <c r="EW128" s="23">
        <f>EXP(-LN(2)/25)*EW127+(1-EXP(-LN(2)/25))/(LN(2)/25)*Calculateur!ER128*Calculateur!ET128*VLOOKUP('Données projet'!$B$15,Paramètres!$A$1:$I$88,3,0)*0.475*44/12</f>
        <v>0</v>
      </c>
      <c r="EX128" s="23">
        <f>EXP(-LN(2)/2)*EX127+(1-EXP(-LN(2)/2))/(LN(2)/2)*ER128*EU128*VLOOKUP('Données projet'!$B$15,Paramètres!$A$1:$I$88,3,0)*0.475*44/12</f>
        <v>0</v>
      </c>
      <c r="EY128" s="24">
        <f t="shared" si="75"/>
        <v>159.3629786575994</v>
      </c>
      <c r="EZ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2.2737367544323206E-13</v>
      </c>
      <c r="FF128" s="18">
        <f>FE128*VLOOKUP('Données projet'!$B$16,Paramètres!$A$1:$I$88,3,0)*VLOOKUP('Données projet'!$B$16,Paramètres!$A$1:$I$88,5,0)</f>
        <v>1.9863364286720756E-13</v>
      </c>
      <c r="FG128" s="14">
        <f t="shared" si="101"/>
        <v>2.7549360720371426E-12</v>
      </c>
      <c r="FH128" s="22">
        <f t="shared" si="76"/>
        <v>5.144133920125077E-12</v>
      </c>
      <c r="FI128" s="59">
        <f t="shared" si="77"/>
        <v>293.33333333333843</v>
      </c>
      <c r="FJ128" s="59">
        <f ca="1">AVERAGE(OFFSET($FI$3,0,0,'Données projet'!$E$16+1,1))-AVERAGE(OFFSET($H$3,0,0,'Données projet'!$E$16+1,1))</f>
        <v>427.76895185088944</v>
      </c>
      <c r="FK128" s="59">
        <f t="shared" si="102"/>
        <v>308.32543361559135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projet'!$B$16,Paramètres!$A$1:$I$88,3,0)*0.475*44/12</f>
        <v>129.41904096347994</v>
      </c>
      <c r="FR128" s="23">
        <f>EXP(-LN(2)/25)*FR127+(1-EXP(-LN(2)/25))/(LN(2)/25)*Calculateur!FM128*Calculateur!FO128*VLOOKUP('Données projet'!$B$16,Paramètres!$A$1:$I$88,3,0)*0.475*44/12</f>
        <v>0</v>
      </c>
      <c r="FS128" s="23">
        <f>EXP(-LN(2)/2)*FS127+(1-EXP(-LN(2)/2))/(LN(2)/2)*FM128*FP128*VLOOKUP('Données projet'!$B$16,Paramètres!$A$1:$I$88,3,0)*0.475*44/12</f>
        <v>0</v>
      </c>
      <c r="FT128" s="24">
        <f t="shared" si="78"/>
        <v>129.41904096347994</v>
      </c>
      <c r="FU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333.00000000000006</v>
      </c>
      <c r="GA128" s="18">
        <f>FZ128*VLOOKUP('Données projet'!$B$17,Paramètres!$A$1:$I$88,3,0)*VLOOKUP('Données projet'!$B$17,Paramètres!$A$1:$I$88,5,0)</f>
        <v>207.79200000000006</v>
      </c>
      <c r="GB128" s="14">
        <f t="shared" si="103"/>
        <v>51.452785725007907</v>
      </c>
      <c r="GC128" s="22">
        <f t="shared" si="79"/>
        <v>451.5180018043888</v>
      </c>
      <c r="GD128" s="59">
        <f t="shared" si="80"/>
        <v>744.85133513772212</v>
      </c>
      <c r="GE128" s="59">
        <f ca="1">AVERAGE(OFFSET($GD$3,0,0,'Données projet'!$E$17+1,1))-AVERAGE(OFFSET($H$3,0,0,'Données projet'!$E$17+1,1))</f>
        <v>247.85542034088905</v>
      </c>
      <c r="GF128" s="59">
        <f t="shared" si="104"/>
        <v>299.52241743660352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projet'!$B$17,Paramètres!$A$1:$I$88,3,0)*0.475*44/12</f>
        <v>10.255350888868643</v>
      </c>
      <c r="GM128" s="23">
        <f>EXP(-LN(2)/25)*GM127+(1-EXP(-LN(2)/25))/(LN(2)/25)*Calculateur!GH128*Calculateur!GJ128*VLOOKUP('Données projet'!$B$17,Paramètres!$A$1:$I$88,3,0)*0.475*44/12</f>
        <v>6.2720027593428274</v>
      </c>
      <c r="GN128" s="23">
        <f>EXP(-LN(2)/2)*GN127+(1-EXP(-LN(2)/2))/(LN(2)/2)*GH128*GK128*VLOOKUP('Données projet'!$B$17,Paramètres!$A$1:$I$88,3,0)*0.475*44/12</f>
        <v>7.0467729947313994E-9</v>
      </c>
      <c r="GO128" s="23">
        <f t="shared" si="81"/>
        <v>16.527353655258242</v>
      </c>
      <c r="GP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3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6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5.666666666666667</v>
      </c>
      <c r="N129" s="14">
        <f>IF('Données projet'!$A$36&gt;35,N128+M129-V128,IF(A129&lt;'Données projet'!$A$36,$K$205^A129,IF(A129='Données projet'!$A$36,'Données projet'!$B$36,N128+M129-V128)))</f>
        <v>277.99999999999983</v>
      </c>
      <c r="O129" s="14">
        <f>N129*VLOOKUP('Données projet'!$B$9,Paramètres!$A$1:$I$88,3,0)*VLOOKUP('Données projet'!$B$9,Paramètres!$A$1:$I$88,5,0)</f>
        <v>251.53439999999983</v>
      </c>
      <c r="P129" s="14">
        <f t="shared" si="87"/>
        <v>60.914392418364585</v>
      </c>
      <c r="Q129" s="22">
        <f t="shared" si="107"/>
        <v>544.18164679531799</v>
      </c>
      <c r="R129" s="59">
        <f t="shared" si="55"/>
        <v>837.51498012865136</v>
      </c>
      <c r="S129" s="59">
        <f ca="1">AVERAGE(OFFSET($R$3,0,0,'Données projet'!$E$9+1,1))-AVERAGE(OFFSET($H$3,0,0,'Données projet'!$E$9+1,1))</f>
        <v>247.57967230773539</v>
      </c>
      <c r="T129" s="59">
        <f t="shared" si="88"/>
        <v>156.58857589533295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37.449180130678258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37.449180130678258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-3.4106051316484809E-13</v>
      </c>
      <c r="AJ129" s="14">
        <f>AI129*VLOOKUP('Données projet'!$B$10,Paramètres!$A$1:$I$88,3,0)*VLOOKUP('Données projet'!$B$10,Paramètres!$A$1:$I$88,5,0)</f>
        <v>-2.7134774427395314E-13</v>
      </c>
      <c r="AK129" s="14" t="e">
        <f t="shared" si="89"/>
        <v>#NUM!</v>
      </c>
      <c r="AL129" s="22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504.15006129790828</v>
      </c>
      <c r="AO129" s="59">
        <f t="shared" si="90"/>
        <v>374.39334457402742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144.3051299637844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144.3051299637844</v>
      </c>
      <c r="AY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-3.4106051316484809E-13</v>
      </c>
      <c r="BE129" s="14">
        <f>BD129*VLOOKUP('Données projet'!$B$11,Paramètres!$A$1:$I$88,3,0)*VLOOKUP('Données projet'!$B$11,Paramètres!$A$1:$I$88,5,0)</f>
        <v>-2.7134774427395314E-13</v>
      </c>
      <c r="BF129" s="14" t="e">
        <f t="shared" si="91"/>
        <v>#NUM!</v>
      </c>
      <c r="BG129" s="22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504.15006129790828</v>
      </c>
      <c r="BJ129" s="59">
        <f t="shared" si="92"/>
        <v>374.39334457402742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144.3051299637844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144.3051299637844</v>
      </c>
      <c r="BT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-3.4106051316484809E-13</v>
      </c>
      <c r="BZ129" s="14">
        <f>BY129*VLOOKUP('Données projet'!$B$12,Paramètres!$A$1:$I$88,3,0)*VLOOKUP('Données projet'!$B$12,Paramètres!$A$1:$I$88,5,0)</f>
        <v>-2.2878339223098009E-13</v>
      </c>
      <c r="CA129" s="14" t="e">
        <f t="shared" si="93"/>
        <v>#NUM!</v>
      </c>
      <c r="CB129" s="22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387.15063677712425</v>
      </c>
      <c r="CE129" s="59">
        <f t="shared" si="94"/>
        <v>313.19155394370705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95.144069501870405</v>
      </c>
      <c r="CL129" s="23">
        <f>EXP(-LN(2)/25)*CL128+(1-EXP(-LN(2)/25))/(LN(2)/25)*Calculateur!CG129*Calculateur!CI129*VLOOKUP('Données projet'!$B$12,Paramètres!$A$1:$I$88,3,0)*0.475*44/12</f>
        <v>0</v>
      </c>
      <c r="CM129" s="23">
        <f>EXP(-LN(2)/2)*CM128+(1-EXP(-LN(2)/2))/(LN(2)/2)*CG129*CJ129*VLOOKUP('Données projet'!$B$12,Paramètres!$A$1:$I$88,3,0)*0.475*44/12</f>
        <v>0</v>
      </c>
      <c r="CN129" s="24">
        <f t="shared" si="66"/>
        <v>95.144069501870405</v>
      </c>
      <c r="CO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5.666666666666667</v>
      </c>
      <c r="CT129" s="13">
        <f>IF('Données projet'!$A$140&gt;35,CT128+CS129-DB128,IF(A129&lt;'Données projet'!$A$140,$CQ$205^A129,IF(A129='Données projet'!$A$140,'Données projet'!$B$140,CT128+CS129-DB128)))</f>
        <v>277.99999999999983</v>
      </c>
      <c r="CU129" s="18">
        <f>CT129*VLOOKUP('Données projet'!$B$13,Paramètres!$A$1:$I$88,3,0)*VLOOKUP('Données projet'!$B$13,Paramètres!$A$1:$I$88,5,0)</f>
        <v>268.88159999999988</v>
      </c>
      <c r="CV129" s="14">
        <f t="shared" si="95"/>
        <v>64.611859272562555</v>
      </c>
      <c r="CW129" s="22">
        <f t="shared" si="67"/>
        <v>580.8344415663795</v>
      </c>
      <c r="CX129" s="59">
        <f t="shared" si="68"/>
        <v>874.16777489971287</v>
      </c>
      <c r="CY129" s="59">
        <f ca="1">AVERAGE(OFFSET($CX$3,0,0,'Données projet'!$E$13+1,1))-AVERAGE(OFFSET($H$3,0,0,'Données projet'!$E$13+1,1))</f>
        <v>306.00894145276209</v>
      </c>
      <c r="CZ129" s="59">
        <f t="shared" si="96"/>
        <v>168.74705421228828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40.031882208656093</v>
      </c>
      <c r="DG129" s="23">
        <f>EXP(-LN(2)/25)*DG128+(1-EXP(-LN(2)/25))/(LN(2)/25)*Calculateur!DB129*Calculateur!DD129*VLOOKUP('Données projet'!$B$13,Paramètres!$A$1:$I$88,3,0)*0.475*44/12</f>
        <v>0</v>
      </c>
      <c r="DH129" s="23">
        <f>EXP(-LN(2)/2)*DH128+(1-EXP(-LN(2)/2))/(LN(2)/2)*DB129*DE129*VLOOKUP('Données projet'!$B$13,Paramètres!$A$1:$I$88,3,0)*0.475*44/12</f>
        <v>0</v>
      </c>
      <c r="DI129" s="24">
        <f t="shared" si="69"/>
        <v>40.031882208656093</v>
      </c>
      <c r="DJ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-3.4106051316484809E-13</v>
      </c>
      <c r="DP129" s="18">
        <f>DO129*VLOOKUP('Données projet'!$B$14,Paramètres!$A$1:$I$88,3,0)*VLOOKUP('Données projet'!$B$14,Paramètres!$A$1:$I$88,5,0)</f>
        <v>-2.6602720026858149E-13</v>
      </c>
      <c r="DQ129" s="14" t="e">
        <f t="shared" si="97"/>
        <v>#NUM!</v>
      </c>
      <c r="DR129" s="22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458.14328535055694</v>
      </c>
      <c r="DU129" s="59">
        <f t="shared" si="98"/>
        <v>366.75500153675739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projet'!$B$14,Paramètres!$A$1:$I$88,3,0)*0.475*44/12</f>
        <v>89.758556133840116</v>
      </c>
      <c r="EB129" s="23">
        <f>EXP(-LN(2)/25)*EB128+(1-EXP(-LN(2)/25))/(LN(2)/25)*Calculateur!DW129*Calculateur!DY129*VLOOKUP('Données projet'!$B$14,Paramètres!$A$1:$I$88,3,0)*0.475*44/12</f>
        <v>0</v>
      </c>
      <c r="EC129" s="23">
        <f>EXP(-LN(2)/2)*EC128+(1-EXP(-LN(2)/2))/(LN(2)/2)*DW129*DZ129*VLOOKUP('Données projet'!$B$14,Paramètres!$A$1:$I$88,3,0)*0.475*44/12</f>
        <v>0</v>
      </c>
      <c r="ED129" s="24">
        <f t="shared" si="72"/>
        <v>89.758556133840116</v>
      </c>
      <c r="EE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4.5474735088646412E-13</v>
      </c>
      <c r="EK129" s="18">
        <f>EJ129*VLOOKUP('Données projet'!$B$15,Paramètres!$A$1:$I$88,3,0)*VLOOKUP('Données projet'!$B$15,Paramètres!$A$1:$I$88,5,0)</f>
        <v>3.9017322706058626E-13</v>
      </c>
      <c r="EL129" s="14">
        <f t="shared" si="99"/>
        <v>5.0025007393608908E-12</v>
      </c>
      <c r="EM129" s="22">
        <f t="shared" si="73"/>
        <v>9.3922404915174053E-12</v>
      </c>
      <c r="EN129" s="59">
        <f t="shared" si="74"/>
        <v>293.33333333334269</v>
      </c>
      <c r="EO129" s="59">
        <f ca="1">AVERAGE(OFFSET($EN$3,0,0,'Données projet'!$E$15+1,1))-AVERAGE(OFFSET($H$3,0,0,'Données projet'!$E$15+1,1))</f>
        <v>462.99360395552145</v>
      </c>
      <c r="EP129" s="59">
        <f t="shared" si="100"/>
        <v>153.03880717786046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projet'!$B$15,Paramètres!$A$1:$I$88,3,0)*0.475*44/12</f>
        <v>156.23796784794297</v>
      </c>
      <c r="EW129" s="23">
        <f>EXP(-LN(2)/25)*EW128+(1-EXP(-LN(2)/25))/(LN(2)/25)*Calculateur!ER129*Calculateur!ET129*VLOOKUP('Données projet'!$B$15,Paramètres!$A$1:$I$88,3,0)*0.475*44/12</f>
        <v>0</v>
      </c>
      <c r="EX129" s="23">
        <f>EXP(-LN(2)/2)*EX128+(1-EXP(-LN(2)/2))/(LN(2)/2)*ER129*EU129*VLOOKUP('Données projet'!$B$15,Paramètres!$A$1:$I$88,3,0)*0.475*44/12</f>
        <v>0</v>
      </c>
      <c r="EY129" s="24">
        <f t="shared" si="75"/>
        <v>156.23796784794297</v>
      </c>
      <c r="EZ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2.2737367544323206E-13</v>
      </c>
      <c r="FF129" s="18">
        <f>FE129*VLOOKUP('Données projet'!$B$16,Paramètres!$A$1:$I$88,3,0)*VLOOKUP('Données projet'!$B$16,Paramètres!$A$1:$I$88,5,0)</f>
        <v>1.9863364286720756E-13</v>
      </c>
      <c r="FG129" s="14">
        <f t="shared" si="101"/>
        <v>2.7549360720371426E-12</v>
      </c>
      <c r="FH129" s="22">
        <f t="shared" si="76"/>
        <v>5.144133920125077E-12</v>
      </c>
      <c r="FI129" s="59">
        <f t="shared" si="77"/>
        <v>293.33333333333843</v>
      </c>
      <c r="FJ129" s="59">
        <f ca="1">AVERAGE(OFFSET($FI$3,0,0,'Données projet'!$E$16+1,1))-AVERAGE(OFFSET($H$3,0,0,'Données projet'!$E$16+1,1))</f>
        <v>427.76895185088944</v>
      </c>
      <c r="FK129" s="59">
        <f t="shared" si="102"/>
        <v>308.32543361559135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projet'!$B$16,Paramètres!$A$1:$I$88,3,0)*0.475*44/12</f>
        <v>126.88121250800663</v>
      </c>
      <c r="FR129" s="23">
        <f>EXP(-LN(2)/25)*FR128+(1-EXP(-LN(2)/25))/(LN(2)/25)*Calculateur!FM129*Calculateur!FO129*VLOOKUP('Données projet'!$B$16,Paramètres!$A$1:$I$88,3,0)*0.475*44/12</f>
        <v>0</v>
      </c>
      <c r="FS129" s="23">
        <f>EXP(-LN(2)/2)*FS128+(1-EXP(-LN(2)/2))/(LN(2)/2)*FM129*FP129*VLOOKUP('Données projet'!$B$16,Paramètres!$A$1:$I$88,3,0)*0.475*44/12</f>
        <v>0</v>
      </c>
      <c r="FT129" s="24">
        <f t="shared" si="78"/>
        <v>126.88121250800663</v>
      </c>
      <c r="FU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333.00000000000006</v>
      </c>
      <c r="GA129" s="18">
        <f>FZ129*VLOOKUP('Données projet'!$B$17,Paramètres!$A$1:$I$88,3,0)*VLOOKUP('Données projet'!$B$17,Paramètres!$A$1:$I$88,5,0)</f>
        <v>207.79200000000006</v>
      </c>
      <c r="GB129" s="14">
        <f t="shared" si="103"/>
        <v>51.452785725007907</v>
      </c>
      <c r="GC129" s="22">
        <f t="shared" si="79"/>
        <v>451.5180018043888</v>
      </c>
      <c r="GD129" s="59">
        <f t="shared" si="80"/>
        <v>744.85133513772212</v>
      </c>
      <c r="GE129" s="59">
        <f ca="1">AVERAGE(OFFSET($GD$3,0,0,'Données projet'!$E$17+1,1))-AVERAGE(OFFSET($H$3,0,0,'Données projet'!$E$17+1,1))</f>
        <v>247.85542034088905</v>
      </c>
      <c r="GF129" s="59">
        <f t="shared" si="104"/>
        <v>299.52241743660352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projet'!$B$17,Paramètres!$A$1:$I$88,3,0)*0.475*44/12</f>
        <v>10.054249713084326</v>
      </c>
      <c r="GM129" s="23">
        <f>EXP(-LN(2)/25)*GM128+(1-EXP(-LN(2)/25))/(LN(2)/25)*Calculateur!GH129*Calculateur!GJ129*VLOOKUP('Données projet'!$B$17,Paramètres!$A$1:$I$88,3,0)*0.475*44/12</f>
        <v>6.1004945140583073</v>
      </c>
      <c r="GN129" s="23">
        <f>EXP(-LN(2)/2)*GN128+(1-EXP(-LN(2)/2))/(LN(2)/2)*GH129*GK129*VLOOKUP('Données projet'!$B$17,Paramètres!$A$1:$I$88,3,0)*0.475*44/12</f>
        <v>4.9828209700568078E-9</v>
      </c>
      <c r="GO129" s="23">
        <f t="shared" si="81"/>
        <v>16.154744232125452</v>
      </c>
      <c r="GP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3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6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5.666666666666667</v>
      </c>
      <c r="N130" s="14">
        <f>IF('Données projet'!$A$36&gt;35,N129+M130-V129,IF(A130&lt;'Données projet'!$A$36,$K$205^A130,IF(A130='Données projet'!$A$36,'Données projet'!$B$36,N129+M130-V129)))</f>
        <v>283.66666666666652</v>
      </c>
      <c r="O130" s="14">
        <f>N130*VLOOKUP('Données projet'!$B$9,Paramètres!$A$1:$I$88,3,0)*VLOOKUP('Données projet'!$B$9,Paramètres!$A$1:$I$88,5,0)</f>
        <v>256.66159999999985</v>
      </c>
      <c r="P130" s="14">
        <f t="shared" si="87"/>
        <v>62.010231646530045</v>
      </c>
      <c r="Q130" s="22">
        <f t="shared" si="107"/>
        <v>555.02010678437284</v>
      </c>
      <c r="R130" s="59">
        <f t="shared" si="55"/>
        <v>848.35344011770621</v>
      </c>
      <c r="S130" s="59">
        <f ca="1">AVERAGE(OFFSET($R$3,0,0,'Données projet'!$E$9+1,1))-AVERAGE(OFFSET($H$3,0,0,'Données projet'!$E$9+1,1))</f>
        <v>247.57967230773539</v>
      </c>
      <c r="T130" s="59">
        <f t="shared" si="88"/>
        <v>156.58857589533295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36.714824550060101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36.714824550060101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-3.4106051316484809E-13</v>
      </c>
      <c r="AJ130" s="14">
        <f>AI130*VLOOKUP('Données projet'!$B$10,Paramètres!$A$1:$I$88,3,0)*VLOOKUP('Données projet'!$B$10,Paramètres!$A$1:$I$88,5,0)</f>
        <v>-2.7134774427395314E-13</v>
      </c>
      <c r="AK130" s="14" t="e">
        <f t="shared" si="89"/>
        <v>#NUM!</v>
      </c>
      <c r="AL130" s="22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504.15006129790828</v>
      </c>
      <c r="AO130" s="59">
        <f t="shared" si="90"/>
        <v>374.39334457402742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141.47539438263286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141.47539438263286</v>
      </c>
      <c r="AY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-3.4106051316484809E-13</v>
      </c>
      <c r="BE130" s="14">
        <f>BD130*VLOOKUP('Données projet'!$B$11,Paramètres!$A$1:$I$88,3,0)*VLOOKUP('Données projet'!$B$11,Paramètres!$A$1:$I$88,5,0)</f>
        <v>-2.7134774427395314E-13</v>
      </c>
      <c r="BF130" s="14" t="e">
        <f t="shared" si="91"/>
        <v>#NUM!</v>
      </c>
      <c r="BG130" s="22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504.15006129790828</v>
      </c>
      <c r="BJ130" s="59">
        <f t="shared" si="92"/>
        <v>374.39334457402742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141.47539438263286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141.47539438263286</v>
      </c>
      <c r="BT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-3.4106051316484809E-13</v>
      </c>
      <c r="BZ130" s="14">
        <f>BY130*VLOOKUP('Données projet'!$B$12,Paramètres!$A$1:$I$88,3,0)*VLOOKUP('Données projet'!$B$12,Paramètres!$A$1:$I$88,5,0)</f>
        <v>-2.2878339223098009E-13</v>
      </c>
      <c r="CA130" s="14" t="e">
        <f t="shared" si="93"/>
        <v>#NUM!</v>
      </c>
      <c r="CB130" s="22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387.15063677712425</v>
      </c>
      <c r="CE130" s="59">
        <f t="shared" si="94"/>
        <v>313.19155394370705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93.278352331090929</v>
      </c>
      <c r="CL130" s="23">
        <f>EXP(-LN(2)/25)*CL129+(1-EXP(-LN(2)/25))/(LN(2)/25)*Calculateur!CG130*Calculateur!CI130*VLOOKUP('Données projet'!$B$12,Paramètres!$A$1:$I$88,3,0)*0.475*44/12</f>
        <v>0</v>
      </c>
      <c r="CM130" s="23">
        <f>EXP(-LN(2)/2)*CM129+(1-EXP(-LN(2)/2))/(LN(2)/2)*CG130*CJ130*VLOOKUP('Données projet'!$B$12,Paramètres!$A$1:$I$88,3,0)*0.475*44/12</f>
        <v>0</v>
      </c>
      <c r="CN130" s="24">
        <f t="shared" si="66"/>
        <v>93.278352331090929</v>
      </c>
      <c r="CO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5.666666666666667</v>
      </c>
      <c r="CT130" s="13">
        <f>IF('Données projet'!$A$140&gt;35,CT129+CS130-DB129,IF(A130&lt;'Données projet'!$A$140,$CQ$205^A130,IF(A130='Données projet'!$A$140,'Données projet'!$B$140,CT129+CS130-DB129)))</f>
        <v>283.66666666666652</v>
      </c>
      <c r="CU130" s="18">
        <f>CT130*VLOOKUP('Données projet'!$B$13,Paramètres!$A$1:$I$88,3,0)*VLOOKUP('Données projet'!$B$13,Paramètres!$A$1:$I$88,5,0)</f>
        <v>274.36239999999987</v>
      </c>
      <c r="CV130" s="14">
        <f t="shared" si="95"/>
        <v>65.774215280471083</v>
      </c>
      <c r="CW130" s="22">
        <f t="shared" si="67"/>
        <v>592.4046049468202</v>
      </c>
      <c r="CX130" s="59">
        <f t="shared" si="68"/>
        <v>885.73793828015346</v>
      </c>
      <c r="CY130" s="59">
        <f ca="1">AVERAGE(OFFSET($CX$3,0,0,'Données projet'!$E$13+1,1))-AVERAGE(OFFSET($H$3,0,0,'Données projet'!$E$13+1,1))</f>
        <v>306.00894145276209</v>
      </c>
      <c r="CZ130" s="59">
        <f t="shared" si="96"/>
        <v>168.74705421228828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39.246881415581512</v>
      </c>
      <c r="DG130" s="23">
        <f>EXP(-LN(2)/25)*DG129+(1-EXP(-LN(2)/25))/(LN(2)/25)*Calculateur!DB130*Calculateur!DD130*VLOOKUP('Données projet'!$B$13,Paramètres!$A$1:$I$88,3,0)*0.475*44/12</f>
        <v>0</v>
      </c>
      <c r="DH130" s="23">
        <f>EXP(-LN(2)/2)*DH129+(1-EXP(-LN(2)/2))/(LN(2)/2)*DB130*DE130*VLOOKUP('Données projet'!$B$13,Paramètres!$A$1:$I$88,3,0)*0.475*44/12</f>
        <v>0</v>
      </c>
      <c r="DI130" s="24">
        <f t="shared" si="69"/>
        <v>39.246881415581512</v>
      </c>
      <c r="DJ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-3.4106051316484809E-13</v>
      </c>
      <c r="DP130" s="18">
        <f>DO130*VLOOKUP('Données projet'!$B$14,Paramètres!$A$1:$I$88,3,0)*VLOOKUP('Données projet'!$B$14,Paramètres!$A$1:$I$88,5,0)</f>
        <v>-2.6602720026858149E-13</v>
      </c>
      <c r="DQ130" s="14" t="e">
        <f t="shared" si="97"/>
        <v>#NUM!</v>
      </c>
      <c r="DR130" s="22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458.14328535055694</v>
      </c>
      <c r="DU130" s="59">
        <f t="shared" si="98"/>
        <v>366.75500153675739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projet'!$B$14,Paramètres!$A$1:$I$88,3,0)*0.475*44/12</f>
        <v>87.998445595368906</v>
      </c>
      <c r="EB130" s="23">
        <f>EXP(-LN(2)/25)*EB129+(1-EXP(-LN(2)/25))/(LN(2)/25)*Calculateur!DW130*Calculateur!DY130*VLOOKUP('Données projet'!$B$14,Paramètres!$A$1:$I$88,3,0)*0.475*44/12</f>
        <v>0</v>
      </c>
      <c r="EC130" s="23">
        <f>EXP(-LN(2)/2)*EC129+(1-EXP(-LN(2)/2))/(LN(2)/2)*DW130*DZ130*VLOOKUP('Données projet'!$B$14,Paramètres!$A$1:$I$88,3,0)*0.475*44/12</f>
        <v>0</v>
      </c>
      <c r="ED130" s="24">
        <f t="shared" si="72"/>
        <v>87.998445595368906</v>
      </c>
      <c r="EE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4.5474735088646412E-13</v>
      </c>
      <c r="EK130" s="18">
        <f>EJ130*VLOOKUP('Données projet'!$B$15,Paramètres!$A$1:$I$88,3,0)*VLOOKUP('Données projet'!$B$15,Paramètres!$A$1:$I$88,5,0)</f>
        <v>3.9017322706058626E-13</v>
      </c>
      <c r="EL130" s="14">
        <f t="shared" si="99"/>
        <v>5.0025007393608908E-12</v>
      </c>
      <c r="EM130" s="22">
        <f t="shared" si="73"/>
        <v>9.3922404915174053E-12</v>
      </c>
      <c r="EN130" s="59">
        <f t="shared" si="74"/>
        <v>293.33333333334269</v>
      </c>
      <c r="EO130" s="59">
        <f ca="1">AVERAGE(OFFSET($EN$3,0,0,'Données projet'!$E$15+1,1))-AVERAGE(OFFSET($H$3,0,0,'Données projet'!$E$15+1,1))</f>
        <v>462.99360395552145</v>
      </c>
      <c r="EP130" s="59">
        <f t="shared" si="100"/>
        <v>153.03880717786046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projet'!$B$15,Paramètres!$A$1:$I$88,3,0)*0.475*44/12</f>
        <v>153.17423659419552</v>
      </c>
      <c r="EW130" s="23">
        <f>EXP(-LN(2)/25)*EW129+(1-EXP(-LN(2)/25))/(LN(2)/25)*Calculateur!ER130*Calculateur!ET130*VLOOKUP('Données projet'!$B$15,Paramètres!$A$1:$I$88,3,0)*0.475*44/12</f>
        <v>0</v>
      </c>
      <c r="EX130" s="23">
        <f>EXP(-LN(2)/2)*EX129+(1-EXP(-LN(2)/2))/(LN(2)/2)*ER130*EU130*VLOOKUP('Données projet'!$B$15,Paramètres!$A$1:$I$88,3,0)*0.475*44/12</f>
        <v>0</v>
      </c>
      <c r="EY130" s="24">
        <f t="shared" si="75"/>
        <v>153.17423659419552</v>
      </c>
      <c r="EZ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2.2737367544323206E-13</v>
      </c>
      <c r="FF130" s="18">
        <f>FE130*VLOOKUP('Données projet'!$B$16,Paramètres!$A$1:$I$88,3,0)*VLOOKUP('Données projet'!$B$16,Paramètres!$A$1:$I$88,5,0)</f>
        <v>1.9863364286720756E-13</v>
      </c>
      <c r="FG130" s="14">
        <f t="shared" si="101"/>
        <v>2.7549360720371426E-12</v>
      </c>
      <c r="FH130" s="22">
        <f t="shared" si="76"/>
        <v>5.144133920125077E-12</v>
      </c>
      <c r="FI130" s="59">
        <f t="shared" si="77"/>
        <v>293.33333333333843</v>
      </c>
      <c r="FJ130" s="59">
        <f ca="1">AVERAGE(OFFSET($FI$3,0,0,'Données projet'!$E$16+1,1))-AVERAGE(OFFSET($H$3,0,0,'Données projet'!$E$16+1,1))</f>
        <v>427.76895185088944</v>
      </c>
      <c r="FK130" s="59">
        <f t="shared" si="102"/>
        <v>308.32543361559135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projet'!$B$16,Paramètres!$A$1:$I$88,3,0)*0.475*44/12</f>
        <v>124.39314932062263</v>
      </c>
      <c r="FR130" s="23">
        <f>EXP(-LN(2)/25)*FR129+(1-EXP(-LN(2)/25))/(LN(2)/25)*Calculateur!FM130*Calculateur!FO130*VLOOKUP('Données projet'!$B$16,Paramètres!$A$1:$I$88,3,0)*0.475*44/12</f>
        <v>0</v>
      </c>
      <c r="FS130" s="23">
        <f>EXP(-LN(2)/2)*FS129+(1-EXP(-LN(2)/2))/(LN(2)/2)*FM130*FP130*VLOOKUP('Données projet'!$B$16,Paramètres!$A$1:$I$88,3,0)*0.475*44/12</f>
        <v>0</v>
      </c>
      <c r="FT130" s="24">
        <f t="shared" si="78"/>
        <v>124.39314932062263</v>
      </c>
      <c r="FU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333.00000000000006</v>
      </c>
      <c r="GA130" s="18">
        <f>FZ130*VLOOKUP('Données projet'!$B$17,Paramètres!$A$1:$I$88,3,0)*VLOOKUP('Données projet'!$B$17,Paramètres!$A$1:$I$88,5,0)</f>
        <v>207.79200000000006</v>
      </c>
      <c r="GB130" s="14">
        <f t="shared" si="103"/>
        <v>51.452785725007907</v>
      </c>
      <c r="GC130" s="22">
        <f t="shared" si="79"/>
        <v>451.5180018043888</v>
      </c>
      <c r="GD130" s="59">
        <f t="shared" si="80"/>
        <v>744.85133513772212</v>
      </c>
      <c r="GE130" s="59">
        <f ca="1">AVERAGE(OFFSET($GD$3,0,0,'Données projet'!$E$17+1,1))-AVERAGE(OFFSET($H$3,0,0,'Données projet'!$E$17+1,1))</f>
        <v>247.85542034088905</v>
      </c>
      <c r="GF130" s="59">
        <f t="shared" si="104"/>
        <v>299.52241743660352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projet'!$B$17,Paramètres!$A$1:$I$88,3,0)*0.475*44/12</f>
        <v>9.8570920086975349</v>
      </c>
      <c r="GM130" s="23">
        <f>EXP(-LN(2)/25)*GM129+(1-EXP(-LN(2)/25))/(LN(2)/25)*Calculateur!GH130*Calculateur!GJ130*VLOOKUP('Données projet'!$B$17,Paramètres!$A$1:$I$88,3,0)*0.475*44/12</f>
        <v>5.9336761707603189</v>
      </c>
      <c r="GN130" s="23">
        <f>EXP(-LN(2)/2)*GN129+(1-EXP(-LN(2)/2))/(LN(2)/2)*GH130*GK130*VLOOKUP('Données projet'!$B$17,Paramètres!$A$1:$I$88,3,0)*0.475*44/12</f>
        <v>3.5233864973656997E-9</v>
      </c>
      <c r="GO130" s="23">
        <f t="shared" si="81"/>
        <v>15.790768182981239</v>
      </c>
      <c r="GP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3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6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5.666666666666667</v>
      </c>
      <c r="N131" s="14">
        <f>IF('Données projet'!$A$36&gt;35,N130+M131-V130,IF(A131&lt;'Données projet'!$A$36,$K$205^A131,IF(A131='Données projet'!$A$36,'Données projet'!$B$36,N130+M131-V130)))</f>
        <v>289.3333333333332</v>
      </c>
      <c r="O131" s="14">
        <f>N131*VLOOKUP('Données projet'!$B$9,Paramètres!$A$1:$I$88,3,0)*VLOOKUP('Données projet'!$B$9,Paramètres!$A$1:$I$88,5,0)</f>
        <v>261.78879999999987</v>
      </c>
      <c r="P131" s="14">
        <f t="shared" si="87"/>
        <v>63.103525540030383</v>
      </c>
      <c r="Q131" s="22">
        <f t="shared" ref="Q131:Q153" si="108">(O131+P131)*0.475*44/12</f>
        <v>565.85413364888598</v>
      </c>
      <c r="R131" s="59">
        <f t="shared" ref="R131:R194" si="109">Q131+(I131+J131)*44/12</f>
        <v>859.18746698221935</v>
      </c>
      <c r="S131" s="59">
        <f ca="1">AVERAGE(OFFSET($R$3,0,0,'Données projet'!$E$9+1,1))-AVERAGE(OFFSET($H$3,0,0,'Données projet'!$E$9+1,1))</f>
        <v>247.57967230773539</v>
      </c>
      <c r="T131" s="59">
        <f t="shared" si="88"/>
        <v>156.58857589533295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35.994869234465192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35.994869234465192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-3.4106051316484809E-13</v>
      </c>
      <c r="AJ131" s="14">
        <f>AI131*VLOOKUP('Données projet'!$B$10,Paramètres!$A$1:$I$88,3,0)*VLOOKUP('Données projet'!$B$10,Paramètres!$A$1:$I$88,5,0)</f>
        <v>-2.7134774427395314E-13</v>
      </c>
      <c r="AK131" s="14" t="e">
        <f t="shared" si="89"/>
        <v>#NUM!</v>
      </c>
      <c r="AL131" s="22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504.15006129790828</v>
      </c>
      <c r="AO131" s="59">
        <f t="shared" si="90"/>
        <v>374.39334457402742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138.70114819025943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138.70114819025943</v>
      </c>
      <c r="AY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-3.4106051316484809E-13</v>
      </c>
      <c r="BE131" s="14">
        <f>BD131*VLOOKUP('Données projet'!$B$11,Paramètres!$A$1:$I$88,3,0)*VLOOKUP('Données projet'!$B$11,Paramètres!$A$1:$I$88,5,0)</f>
        <v>-2.7134774427395314E-13</v>
      </c>
      <c r="BF131" s="14" t="e">
        <f t="shared" si="91"/>
        <v>#NUM!</v>
      </c>
      <c r="BG131" s="22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504.15006129790828</v>
      </c>
      <c r="BJ131" s="59">
        <f t="shared" si="92"/>
        <v>374.39334457402742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138.70114819025943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138.70114819025943</v>
      </c>
      <c r="BT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-3.4106051316484809E-13</v>
      </c>
      <c r="BZ131" s="14">
        <f>BY131*VLOOKUP('Données projet'!$B$12,Paramètres!$A$1:$I$88,3,0)*VLOOKUP('Données projet'!$B$12,Paramètres!$A$1:$I$88,5,0)</f>
        <v>-2.2878339223098009E-13</v>
      </c>
      <c r="CA131" s="14" t="e">
        <f t="shared" si="93"/>
        <v>#NUM!</v>
      </c>
      <c r="CB131" s="22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387.15063677712425</v>
      </c>
      <c r="CE131" s="59">
        <f t="shared" si="94"/>
        <v>313.19155394370705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91.449220736055324</v>
      </c>
      <c r="CL131" s="23">
        <f>EXP(-LN(2)/25)*CL130+(1-EXP(-LN(2)/25))/(LN(2)/25)*Calculateur!CG131*Calculateur!CI131*VLOOKUP('Données projet'!$B$12,Paramètres!$A$1:$I$88,3,0)*0.475*44/12</f>
        <v>0</v>
      </c>
      <c r="CM131" s="23">
        <f>EXP(-LN(2)/2)*CM130+(1-EXP(-LN(2)/2))/(LN(2)/2)*CG131*CJ131*VLOOKUP('Données projet'!$B$12,Paramètres!$A$1:$I$88,3,0)*0.475*44/12</f>
        <v>0</v>
      </c>
      <c r="CN131" s="24">
        <f t="shared" si="66"/>
        <v>91.449220736055324</v>
      </c>
      <c r="CO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5.666666666666667</v>
      </c>
      <c r="CT131" s="13">
        <f>IF('Données projet'!$A$140&gt;35,CT130+CS131-DB130,IF(A131&lt;'Données projet'!$A$140,$CQ$205^A131,IF(A131='Données projet'!$A$140,'Données projet'!$B$140,CT130+CS131-DB130)))</f>
        <v>289.3333333333332</v>
      </c>
      <c r="CU131" s="18">
        <f>CT131*VLOOKUP('Données projet'!$B$13,Paramètres!$A$1:$I$88,3,0)*VLOOKUP('Données projet'!$B$13,Paramètres!$A$1:$I$88,5,0)</f>
        <v>279.84319999999985</v>
      </c>
      <c r="CV131" s="14">
        <f t="shared" si="95"/>
        <v>66.933871453436467</v>
      </c>
      <c r="CW131" s="22">
        <f t="shared" si="67"/>
        <v>603.97006611473478</v>
      </c>
      <c r="CX131" s="59">
        <f t="shared" si="68"/>
        <v>897.30339944806815</v>
      </c>
      <c r="CY131" s="59">
        <f ca="1">AVERAGE(OFFSET($CX$3,0,0,'Données projet'!$E$13+1,1))-AVERAGE(OFFSET($H$3,0,0,'Données projet'!$E$13+1,1))</f>
        <v>306.00894145276209</v>
      </c>
      <c r="CZ131" s="59">
        <f t="shared" si="96"/>
        <v>168.74705421228828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38.477274009255915</v>
      </c>
      <c r="DG131" s="23">
        <f>EXP(-LN(2)/25)*DG130+(1-EXP(-LN(2)/25))/(LN(2)/25)*Calculateur!DB131*Calculateur!DD131*VLOOKUP('Données projet'!$B$13,Paramètres!$A$1:$I$88,3,0)*0.475*44/12</f>
        <v>0</v>
      </c>
      <c r="DH131" s="23">
        <f>EXP(-LN(2)/2)*DH130+(1-EXP(-LN(2)/2))/(LN(2)/2)*DB131*DE131*VLOOKUP('Données projet'!$B$13,Paramètres!$A$1:$I$88,3,0)*0.475*44/12</f>
        <v>0</v>
      </c>
      <c r="DI131" s="24">
        <f t="shared" si="69"/>
        <v>38.477274009255915</v>
      </c>
      <c r="DJ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-3.4106051316484809E-13</v>
      </c>
      <c r="DP131" s="18">
        <f>DO131*VLOOKUP('Données projet'!$B$14,Paramètres!$A$1:$I$88,3,0)*VLOOKUP('Données projet'!$B$14,Paramètres!$A$1:$I$88,5,0)</f>
        <v>-2.6602720026858149E-13</v>
      </c>
      <c r="DQ131" s="14" t="e">
        <f t="shared" si="97"/>
        <v>#NUM!</v>
      </c>
      <c r="DR131" s="22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458.14328535055694</v>
      </c>
      <c r="DU131" s="59">
        <f t="shared" si="98"/>
        <v>366.75500153675739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projet'!$B$14,Paramètres!$A$1:$I$88,3,0)*0.475*44/12</f>
        <v>86.27284975099569</v>
      </c>
      <c r="EB131" s="23">
        <f>EXP(-LN(2)/25)*EB130+(1-EXP(-LN(2)/25))/(LN(2)/25)*Calculateur!DW131*Calculateur!DY131*VLOOKUP('Données projet'!$B$14,Paramètres!$A$1:$I$88,3,0)*0.475*44/12</f>
        <v>0</v>
      </c>
      <c r="EC131" s="23">
        <f>EXP(-LN(2)/2)*EC130+(1-EXP(-LN(2)/2))/(LN(2)/2)*DW131*DZ131*VLOOKUP('Données projet'!$B$14,Paramètres!$A$1:$I$88,3,0)*0.475*44/12</f>
        <v>0</v>
      </c>
      <c r="ED131" s="24">
        <f t="shared" si="72"/>
        <v>86.27284975099569</v>
      </c>
      <c r="EE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4.5474735088646412E-13</v>
      </c>
      <c r="EK131" s="18">
        <f>EJ131*VLOOKUP('Données projet'!$B$15,Paramètres!$A$1:$I$88,3,0)*VLOOKUP('Données projet'!$B$15,Paramètres!$A$1:$I$88,5,0)</f>
        <v>3.9017322706058626E-13</v>
      </c>
      <c r="EL131" s="14">
        <f t="shared" si="99"/>
        <v>5.0025007393608908E-12</v>
      </c>
      <c r="EM131" s="22">
        <f t="shared" si="73"/>
        <v>9.3922404915174053E-12</v>
      </c>
      <c r="EN131" s="59">
        <f t="shared" si="74"/>
        <v>293.33333333334269</v>
      </c>
      <c r="EO131" s="59">
        <f ca="1">AVERAGE(OFFSET($EN$3,0,0,'Données projet'!$E$15+1,1))-AVERAGE(OFFSET($H$3,0,0,'Données projet'!$E$15+1,1))</f>
        <v>462.99360395552145</v>
      </c>
      <c r="EP131" s="59">
        <f t="shared" si="100"/>
        <v>153.03880717786046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projet'!$B$15,Paramètres!$A$1:$I$88,3,0)*0.475*44/12</f>
        <v>150.1705832416425</v>
      </c>
      <c r="EW131" s="23">
        <f>EXP(-LN(2)/25)*EW130+(1-EXP(-LN(2)/25))/(LN(2)/25)*Calculateur!ER131*Calculateur!ET131*VLOOKUP('Données projet'!$B$15,Paramètres!$A$1:$I$88,3,0)*0.475*44/12</f>
        <v>0</v>
      </c>
      <c r="EX131" s="23">
        <f>EXP(-LN(2)/2)*EX130+(1-EXP(-LN(2)/2))/(LN(2)/2)*ER131*EU131*VLOOKUP('Données projet'!$B$15,Paramètres!$A$1:$I$88,3,0)*0.475*44/12</f>
        <v>0</v>
      </c>
      <c r="EY131" s="24">
        <f t="shared" si="75"/>
        <v>150.1705832416425</v>
      </c>
      <c r="EZ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2.2737367544323206E-13</v>
      </c>
      <c r="FF131" s="18">
        <f>FE131*VLOOKUP('Données projet'!$B$16,Paramètres!$A$1:$I$88,3,0)*VLOOKUP('Données projet'!$B$16,Paramètres!$A$1:$I$88,5,0)</f>
        <v>1.9863364286720756E-13</v>
      </c>
      <c r="FG131" s="14">
        <f t="shared" si="101"/>
        <v>2.7549360720371426E-12</v>
      </c>
      <c r="FH131" s="22">
        <f t="shared" si="76"/>
        <v>5.144133920125077E-12</v>
      </c>
      <c r="FI131" s="59">
        <f t="shared" si="77"/>
        <v>293.33333333333843</v>
      </c>
      <c r="FJ131" s="59">
        <f ca="1">AVERAGE(OFFSET($FI$3,0,0,'Données projet'!$E$16+1,1))-AVERAGE(OFFSET($H$3,0,0,'Données projet'!$E$16+1,1))</f>
        <v>427.76895185088944</v>
      </c>
      <c r="FK131" s="59">
        <f t="shared" si="102"/>
        <v>308.32543361559135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projet'!$B$16,Paramètres!$A$1:$I$88,3,0)*0.475*44/12</f>
        <v>121.95387553477453</v>
      </c>
      <c r="FR131" s="23">
        <f>EXP(-LN(2)/25)*FR130+(1-EXP(-LN(2)/25))/(LN(2)/25)*Calculateur!FM131*Calculateur!FO131*VLOOKUP('Données projet'!$B$16,Paramètres!$A$1:$I$88,3,0)*0.475*44/12</f>
        <v>0</v>
      </c>
      <c r="FS131" s="23">
        <f>EXP(-LN(2)/2)*FS130+(1-EXP(-LN(2)/2))/(LN(2)/2)*FM131*FP131*VLOOKUP('Données projet'!$B$16,Paramètres!$A$1:$I$88,3,0)*0.475*44/12</f>
        <v>0</v>
      </c>
      <c r="FT131" s="24">
        <f t="shared" si="78"/>
        <v>121.95387553477453</v>
      </c>
      <c r="FU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333.00000000000006</v>
      </c>
      <c r="GA131" s="18">
        <f>FZ131*VLOOKUP('Données projet'!$B$17,Paramètres!$A$1:$I$88,3,0)*VLOOKUP('Données projet'!$B$17,Paramètres!$A$1:$I$88,5,0)</f>
        <v>207.79200000000006</v>
      </c>
      <c r="GB131" s="14">
        <f t="shared" si="103"/>
        <v>51.452785725007907</v>
      </c>
      <c r="GC131" s="22">
        <f t="shared" si="79"/>
        <v>451.5180018043888</v>
      </c>
      <c r="GD131" s="59">
        <f t="shared" si="80"/>
        <v>744.85133513772212</v>
      </c>
      <c r="GE131" s="59">
        <f ca="1">AVERAGE(OFFSET($GD$3,0,0,'Données projet'!$E$17+1,1))-AVERAGE(OFFSET($H$3,0,0,'Données projet'!$E$17+1,1))</f>
        <v>247.85542034088905</v>
      </c>
      <c r="GF131" s="59">
        <f t="shared" si="104"/>
        <v>299.52241743660352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projet'!$B$17,Paramètres!$A$1:$I$88,3,0)*0.475*44/12</f>
        <v>9.663800446639442</v>
      </c>
      <c r="GM131" s="23">
        <f>EXP(-LN(2)/25)*GM130+(1-EXP(-LN(2)/25))/(LN(2)/25)*Calculateur!GH131*Calculateur!GJ131*VLOOKUP('Données projet'!$B$17,Paramètres!$A$1:$I$88,3,0)*0.475*44/12</f>
        <v>5.7714194838324095</v>
      </c>
      <c r="GN131" s="23">
        <f>EXP(-LN(2)/2)*GN130+(1-EXP(-LN(2)/2))/(LN(2)/2)*GH131*GK131*VLOOKUP('Données projet'!$B$17,Paramètres!$A$1:$I$88,3,0)*0.475*44/12</f>
        <v>2.4914104850284039E-9</v>
      </c>
      <c r="GO131" s="23">
        <f t="shared" si="81"/>
        <v>15.435219932963262</v>
      </c>
      <c r="GP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3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6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5.666666666666667</v>
      </c>
      <c r="N132" s="14">
        <f>IF('Données projet'!$A$36&gt;35,N131+M132-V131,IF(A132&lt;'Données projet'!$A$36,$K$205^A132,IF(A132='Données projet'!$A$36,'Données projet'!$B$36,N131+M132-V131)))</f>
        <v>294.99999999999989</v>
      </c>
      <c r="O132" s="14">
        <f>N132*VLOOKUP('Données projet'!$B$9,Paramètres!$A$1:$I$88,3,0)*VLOOKUP('Données projet'!$B$9,Paramètres!$A$1:$I$88,5,0)</f>
        <v>266.91599999999988</v>
      </c>
      <c r="P132" s="14">
        <f t="shared" si="87"/>
        <v>64.194329696332119</v>
      </c>
      <c r="Q132" s="22">
        <f t="shared" si="108"/>
        <v>576.68382422111142</v>
      </c>
      <c r="R132" s="59">
        <f t="shared" si="109"/>
        <v>870.01715755444479</v>
      </c>
      <c r="S132" s="59">
        <f ca="1">AVERAGE(OFFSET($R$3,0,0,'Données projet'!$E$9+1,1))-AVERAGE(OFFSET($H$3,0,0,'Données projet'!$E$9+1,1))</f>
        <v>247.57967230773539</v>
      </c>
      <c r="T132" s="59">
        <f t="shared" si="88"/>
        <v>156.58857589533295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35.289031803479716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35.289031803479716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-3.4106051316484809E-13</v>
      </c>
      <c r="AJ132" s="14">
        <f>AI132*VLOOKUP('Données projet'!$B$10,Paramètres!$A$1:$I$88,3,0)*VLOOKUP('Données projet'!$B$10,Paramètres!$A$1:$I$88,5,0)</f>
        <v>-2.7134774427395314E-13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504.15006129790828</v>
      </c>
      <c r="AO132" s="59">
        <f t="shared" si="90"/>
        <v>374.39334457402742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135.98130327359536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135.98130327359536</v>
      </c>
      <c r="AY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-3.4106051316484809E-13</v>
      </c>
      <c r="BE132" s="14">
        <f>BD132*VLOOKUP('Données projet'!$B$11,Paramètres!$A$1:$I$88,3,0)*VLOOKUP('Données projet'!$B$11,Paramètres!$A$1:$I$88,5,0)</f>
        <v>-2.7134774427395314E-13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504.15006129790828</v>
      </c>
      <c r="BJ132" s="59">
        <f t="shared" si="92"/>
        <v>374.39334457402742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135.98130327359536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135.98130327359536</v>
      </c>
      <c r="BT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-3.4106051316484809E-13</v>
      </c>
      <c r="BZ132" s="14">
        <f>BY132*VLOOKUP('Données projet'!$B$12,Paramètres!$A$1:$I$88,3,0)*VLOOKUP('Données projet'!$B$12,Paramètres!$A$1:$I$88,5,0)</f>
        <v>-2.2878339223098009E-13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387.15063677712425</v>
      </c>
      <c r="CE132" s="59">
        <f t="shared" si="94"/>
        <v>313.19155394370705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89.655957295938251</v>
      </c>
      <c r="CL132" s="23">
        <f>EXP(-LN(2)/25)*CL131+(1-EXP(-LN(2)/25))/(LN(2)/25)*Calculateur!CG132*Calculateur!CI132*VLOOKUP('Données projet'!$B$12,Paramètres!$A$1:$I$88,3,0)*0.475*44/12</f>
        <v>0</v>
      </c>
      <c r="CM132" s="23">
        <f>EXP(-LN(2)/2)*CM131+(1-EXP(-LN(2)/2))/(LN(2)/2)*CG132*CJ132*VLOOKUP('Données projet'!$B$12,Paramètres!$A$1:$I$88,3,0)*0.475*44/12</f>
        <v>0</v>
      </c>
      <c r="CN132" s="24">
        <f t="shared" ref="CN132:CN153" si="120">SUM(CK132:CM132)</f>
        <v>89.655957295938251</v>
      </c>
      <c r="CO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5.666666666666667</v>
      </c>
      <c r="CT132" s="13">
        <f>IF('Données projet'!$A$140&gt;35,CT131+CS132-DB131,IF(A132&lt;'Données projet'!$A$140,$CQ$205^A132,IF(A132='Données projet'!$A$140,'Données projet'!$B$140,CT131+CS132-DB131)))</f>
        <v>294.99999999999989</v>
      </c>
      <c r="CU132" s="18">
        <f>CT132*VLOOKUP('Données projet'!$B$13,Paramètres!$A$1:$I$88,3,0)*VLOOKUP('Données projet'!$B$13,Paramètres!$A$1:$I$88,5,0)</f>
        <v>285.3239999999999</v>
      </c>
      <c r="CV132" s="14">
        <f t="shared" si="95"/>
        <v>68.09088676365819</v>
      </c>
      <c r="CW132" s="22">
        <f t="shared" ref="CW132:CW153" si="121">(CU132+CV132)*0.475*44/12</f>
        <v>615.53092778003781</v>
      </c>
      <c r="CX132" s="59">
        <f t="shared" ref="CX132:CX195" si="122">CW132+(CO132+CP132)*44/12</f>
        <v>908.86426111337119</v>
      </c>
      <c r="CY132" s="59">
        <f ca="1">AVERAGE(OFFSET($CX$3,0,0,'Données projet'!$E$13+1,1))-AVERAGE(OFFSET($H$3,0,0,'Données projet'!$E$13+1,1))</f>
        <v>306.00894145276209</v>
      </c>
      <c r="CZ132" s="59">
        <f t="shared" si="96"/>
        <v>168.74705421228828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37.722758134754201</v>
      </c>
      <c r="DG132" s="23">
        <f>EXP(-LN(2)/25)*DG131+(1-EXP(-LN(2)/25))/(LN(2)/25)*Calculateur!DB132*Calculateur!DD132*VLOOKUP('Données projet'!$B$13,Paramètres!$A$1:$I$88,3,0)*0.475*44/12</f>
        <v>0</v>
      </c>
      <c r="DH132" s="23">
        <f>EXP(-LN(2)/2)*DH131+(1-EXP(-LN(2)/2))/(LN(2)/2)*DB132*DE132*VLOOKUP('Données projet'!$B$13,Paramètres!$A$1:$I$88,3,0)*0.475*44/12</f>
        <v>0</v>
      </c>
      <c r="DI132" s="24">
        <f t="shared" ref="DI132:DI153" si="123">SUM(DF132:DH132)</f>
        <v>37.722758134754201</v>
      </c>
      <c r="DJ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-3.4106051316484809E-13</v>
      </c>
      <c r="DP132" s="18">
        <f>DO132*VLOOKUP('Données projet'!$B$14,Paramètres!$A$1:$I$88,3,0)*VLOOKUP('Données projet'!$B$14,Paramètres!$A$1:$I$88,5,0)</f>
        <v>-2.6602720026858149E-13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458.14328535055694</v>
      </c>
      <c r="DU132" s="59">
        <f t="shared" si="98"/>
        <v>366.75500153675739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projet'!$B$14,Paramètres!$A$1:$I$88,3,0)*0.475*44/12</f>
        <v>84.581091788621094</v>
      </c>
      <c r="EB132" s="23">
        <f>EXP(-LN(2)/25)*EB131+(1-EXP(-LN(2)/25))/(LN(2)/25)*Calculateur!DW132*Calculateur!DY132*VLOOKUP('Données projet'!$B$14,Paramètres!$A$1:$I$88,3,0)*0.475*44/12</f>
        <v>0</v>
      </c>
      <c r="EC132" s="23">
        <f>EXP(-LN(2)/2)*EC131+(1-EXP(-LN(2)/2))/(LN(2)/2)*DW132*DZ132*VLOOKUP('Données projet'!$B$14,Paramètres!$A$1:$I$88,3,0)*0.475*44/12</f>
        <v>0</v>
      </c>
      <c r="ED132" s="24">
        <f t="shared" ref="ED132:ED153" si="126">SUM(EA132:EC132)</f>
        <v>84.581091788621094</v>
      </c>
      <c r="EE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4.5474735088646412E-13</v>
      </c>
      <c r="EK132" s="18">
        <f>EJ132*VLOOKUP('Données projet'!$B$15,Paramètres!$A$1:$I$88,3,0)*VLOOKUP('Données projet'!$B$15,Paramètres!$A$1:$I$88,5,0)</f>
        <v>3.9017322706058626E-13</v>
      </c>
      <c r="EL132" s="14">
        <f t="shared" si="99"/>
        <v>5.0025007393608908E-12</v>
      </c>
      <c r="EM132" s="22">
        <f t="shared" ref="EM132:EM153" si="127">(EK132+EL132)*0.475*44/12</f>
        <v>9.3922404915174053E-12</v>
      </c>
      <c r="EN132" s="59">
        <f t="shared" ref="EN132:EN195" si="128">EM132+(EE132+EF132)*44/12</f>
        <v>293.33333333334269</v>
      </c>
      <c r="EO132" s="59">
        <f ca="1">AVERAGE(OFFSET($EN$3,0,0,'Données projet'!$E$15+1,1))-AVERAGE(OFFSET($H$3,0,0,'Données projet'!$E$15+1,1))</f>
        <v>462.99360395552145</v>
      </c>
      <c r="EP132" s="59">
        <f t="shared" si="100"/>
        <v>153.03880717786046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projet'!$B$15,Paramètres!$A$1:$I$88,3,0)*0.475*44/12</f>
        <v>147.22582969928541</v>
      </c>
      <c r="EW132" s="23">
        <f>EXP(-LN(2)/25)*EW131+(1-EXP(-LN(2)/25))/(LN(2)/25)*Calculateur!ER132*Calculateur!ET132*VLOOKUP('Données projet'!$B$15,Paramètres!$A$1:$I$88,3,0)*0.475*44/12</f>
        <v>0</v>
      </c>
      <c r="EX132" s="23">
        <f>EXP(-LN(2)/2)*EX131+(1-EXP(-LN(2)/2))/(LN(2)/2)*ER132*EU132*VLOOKUP('Données projet'!$B$15,Paramètres!$A$1:$I$88,3,0)*0.475*44/12</f>
        <v>0</v>
      </c>
      <c r="EY132" s="24">
        <f t="shared" ref="EY132:EY153" si="129">SUM(EV132:EX132)</f>
        <v>147.22582969928541</v>
      </c>
      <c r="EZ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2.2737367544323206E-13</v>
      </c>
      <c r="FF132" s="18">
        <f>FE132*VLOOKUP('Données projet'!$B$16,Paramètres!$A$1:$I$88,3,0)*VLOOKUP('Données projet'!$B$16,Paramètres!$A$1:$I$88,5,0)</f>
        <v>1.9863364286720756E-13</v>
      </c>
      <c r="FG132" s="14">
        <f t="shared" si="101"/>
        <v>2.7549360720371426E-12</v>
      </c>
      <c r="FH132" s="22">
        <f t="shared" ref="FH132:FH153" si="130">(FF132+FG132)*0.475*44/12</f>
        <v>5.144133920125077E-12</v>
      </c>
      <c r="FI132" s="59">
        <f t="shared" ref="FI132:FI195" si="131">FH132+(EZ132+FA132)*44/12</f>
        <v>293.33333333333843</v>
      </c>
      <c r="FJ132" s="59">
        <f ca="1">AVERAGE(OFFSET($FI$3,0,0,'Données projet'!$E$16+1,1))-AVERAGE(OFFSET($H$3,0,0,'Données projet'!$E$16+1,1))</f>
        <v>427.76895185088944</v>
      </c>
      <c r="FK132" s="59">
        <f t="shared" si="102"/>
        <v>308.32543361559135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projet'!$B$16,Paramètres!$A$1:$I$88,3,0)*0.475*44/12</f>
        <v>119.56243442005682</v>
      </c>
      <c r="FR132" s="23">
        <f>EXP(-LN(2)/25)*FR131+(1-EXP(-LN(2)/25))/(LN(2)/25)*Calculateur!FM132*Calculateur!FO132*VLOOKUP('Données projet'!$B$16,Paramètres!$A$1:$I$88,3,0)*0.475*44/12</f>
        <v>0</v>
      </c>
      <c r="FS132" s="23">
        <f>EXP(-LN(2)/2)*FS131+(1-EXP(-LN(2)/2))/(LN(2)/2)*FM132*FP132*VLOOKUP('Données projet'!$B$16,Paramètres!$A$1:$I$88,3,0)*0.475*44/12</f>
        <v>0</v>
      </c>
      <c r="FT132" s="24">
        <f t="shared" ref="FT132:FT153" si="132">SUM(FQ132:FS132)</f>
        <v>119.56243442005682</v>
      </c>
      <c r="FU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333.00000000000006</v>
      </c>
      <c r="GA132" s="18">
        <f>FZ132*VLOOKUP('Données projet'!$B$17,Paramètres!$A$1:$I$88,3,0)*VLOOKUP('Données projet'!$B$17,Paramètres!$A$1:$I$88,5,0)</f>
        <v>207.79200000000006</v>
      </c>
      <c r="GB132" s="14">
        <f t="shared" si="103"/>
        <v>51.452785725007907</v>
      </c>
      <c r="GC132" s="22">
        <f t="shared" ref="GC132:GC153" si="133">(GA132+GB132)*0.475*44/12</f>
        <v>451.5180018043888</v>
      </c>
      <c r="GD132" s="59">
        <f t="shared" ref="GD132:GD195" si="134">GC132+(FU132+FV132)*44/12</f>
        <v>744.85133513772212</v>
      </c>
      <c r="GE132" s="59">
        <f ca="1">AVERAGE(OFFSET($GD$3,0,0,'Données projet'!$E$17+1,1))-AVERAGE(OFFSET($H$3,0,0,'Données projet'!$E$17+1,1))</f>
        <v>247.85542034088905</v>
      </c>
      <c r="GF132" s="59">
        <f t="shared" si="104"/>
        <v>299.52241743660352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projet'!$B$17,Paramètres!$A$1:$I$88,3,0)*0.475*44/12</f>
        <v>9.4742992142170976</v>
      </c>
      <c r="GM132" s="23">
        <f>EXP(-LN(2)/25)*GM131+(1-EXP(-LN(2)/25))/(LN(2)/25)*Calculateur!GH132*Calculateur!GJ132*VLOOKUP('Données projet'!$B$17,Paramètres!$A$1:$I$88,3,0)*0.475*44/12</f>
        <v>5.6135997145412526</v>
      </c>
      <c r="GN132" s="23">
        <f>EXP(-LN(2)/2)*GN131+(1-EXP(-LN(2)/2))/(LN(2)/2)*GH132*GK132*VLOOKUP('Données projet'!$B$17,Paramètres!$A$1:$I$88,3,0)*0.475*44/12</f>
        <v>1.7616932486828499E-9</v>
      </c>
      <c r="GO132" s="23">
        <f t="shared" ref="GO132:GO153" si="135">SUM(GL132:GN132)</f>
        <v>15.087898930520042</v>
      </c>
      <c r="GP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3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6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5.666666666666667</v>
      </c>
      <c r="N133" s="14">
        <f>IF('Données projet'!$A$36&gt;35,N132+M133-V132,IF(A133&lt;'Données projet'!$A$36,$K$205^A133,IF(A133='Données projet'!$A$36,'Données projet'!$B$36,N132+M133-V132)))</f>
        <v>300.66666666666657</v>
      </c>
      <c r="O133" s="14">
        <f>N133*VLOOKUP('Données projet'!$B$9,Paramètres!$A$1:$I$88,3,0)*VLOOKUP('Données projet'!$B$9,Paramètres!$A$1:$I$88,5,0)</f>
        <v>272.0431999999999</v>
      </c>
      <c r="P133" s="14">
        <f t="shared" ref="P133:P196" si="141">EXP(-1.0587+0.8836*LN(O133)+0.284)</f>
        <v>65.28269745475086</v>
      </c>
      <c r="Q133" s="22">
        <f t="shared" si="108"/>
        <v>587.50927140035753</v>
      </c>
      <c r="R133" s="59">
        <f t="shared" si="109"/>
        <v>880.84260473369091</v>
      </c>
      <c r="S133" s="59">
        <f ca="1">AVERAGE(OFFSET($R$3,0,0,'Données projet'!$E$9+1,1))-AVERAGE(OFFSET($H$3,0,0,'Données projet'!$E$9+1,1))</f>
        <v>247.57967230773539</v>
      </c>
      <c r="T133" s="59">
        <f t="shared" ref="T133:T196" si="142">$T$3</f>
        <v>156.58857589533295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34.597035413997546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34.597035413997546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-3.4106051316484809E-13</v>
      </c>
      <c r="AJ133" s="14">
        <f>AI133*VLOOKUP('Données projet'!$B$10,Paramètres!$A$1:$I$88,3,0)*VLOOKUP('Données projet'!$B$10,Paramètres!$A$1:$I$88,5,0)</f>
        <v>-2.7134774427395314E-13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504.15006129790828</v>
      </c>
      <c r="AO133" s="59">
        <f t="shared" ref="AO133:AO196" si="144">$AO$3</f>
        <v>374.39334457402742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133.31479285680547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133.31479285680547</v>
      </c>
      <c r="AY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-3.4106051316484809E-13</v>
      </c>
      <c r="BE133" s="14">
        <f>BD133*VLOOKUP('Données projet'!$B$11,Paramètres!$A$1:$I$88,3,0)*VLOOKUP('Données projet'!$B$11,Paramètres!$A$1:$I$88,5,0)</f>
        <v>-2.7134774427395314E-13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504.15006129790828</v>
      </c>
      <c r="BJ133" s="59">
        <f t="shared" ref="BJ133:BJ196" si="146">$BJ$3</f>
        <v>374.39334457402742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133.31479285680547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133.31479285680547</v>
      </c>
      <c r="BT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-3.4106051316484809E-13</v>
      </c>
      <c r="BZ133" s="14">
        <f>BY133*VLOOKUP('Données projet'!$B$12,Paramètres!$A$1:$I$88,3,0)*VLOOKUP('Données projet'!$B$12,Paramètres!$A$1:$I$88,5,0)</f>
        <v>-2.2878339223098009E-13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387.15063677712425</v>
      </c>
      <c r="CE133" s="59">
        <f t="shared" ref="CE133:CE196" si="148">$CE$3</f>
        <v>313.19155394370705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87.897858658099182</v>
      </c>
      <c r="CL133" s="23">
        <f>EXP(-LN(2)/25)*CL132+(1-EXP(-LN(2)/25))/(LN(2)/25)*Calculateur!CG133*Calculateur!CI133*VLOOKUP('Données projet'!$B$12,Paramètres!$A$1:$I$88,3,0)*0.475*44/12</f>
        <v>0</v>
      </c>
      <c r="CM133" s="23">
        <f>EXP(-LN(2)/2)*CM132+(1-EXP(-LN(2)/2))/(LN(2)/2)*CG133*CJ133*VLOOKUP('Données projet'!$B$12,Paramètres!$A$1:$I$88,3,0)*0.475*44/12</f>
        <v>0</v>
      </c>
      <c r="CN133" s="24">
        <f t="shared" si="120"/>
        <v>87.897858658099182</v>
      </c>
      <c r="CO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5.666666666666667</v>
      </c>
      <c r="CT133" s="13">
        <f>IF('Données projet'!$A$140&gt;35,CT132+CS133-DB132,IF(A133&lt;'Données projet'!$A$140,$CQ$205^A133,IF(A133='Données projet'!$A$140,'Données projet'!$B$140,CT132+CS133-DB132)))</f>
        <v>300.66666666666657</v>
      </c>
      <c r="CU133" s="18">
        <f>CT133*VLOOKUP('Données projet'!$B$13,Paramètres!$A$1:$I$88,3,0)*VLOOKUP('Données projet'!$B$13,Paramètres!$A$1:$I$88,5,0)</f>
        <v>290.80479999999989</v>
      </c>
      <c r="CV133" s="14">
        <f t="shared" ref="CV133:CV153" si="149">EXP(-1.0587+0.8836*LN(CU133)+0.284)</f>
        <v>69.245317788115742</v>
      </c>
      <c r="CW133" s="22">
        <f t="shared" si="121"/>
        <v>627.08728848096803</v>
      </c>
      <c r="CX133" s="59">
        <f t="shared" si="122"/>
        <v>920.42062181430128</v>
      </c>
      <c r="CY133" s="59">
        <f ca="1">AVERAGE(OFFSET($CX$3,0,0,'Données projet'!$E$13+1,1))-AVERAGE(OFFSET($H$3,0,0,'Données projet'!$E$13+1,1))</f>
        <v>306.00894145276209</v>
      </c>
      <c r="CZ133" s="59">
        <f t="shared" ref="CZ133:CZ196" si="150">$CZ$3</f>
        <v>168.74705421228828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36.983037856342222</v>
      </c>
      <c r="DG133" s="23">
        <f>EXP(-LN(2)/25)*DG132+(1-EXP(-LN(2)/25))/(LN(2)/25)*Calculateur!DB133*Calculateur!DD133*VLOOKUP('Données projet'!$B$13,Paramètres!$A$1:$I$88,3,0)*0.475*44/12</f>
        <v>0</v>
      </c>
      <c r="DH133" s="23">
        <f>EXP(-LN(2)/2)*DH132+(1-EXP(-LN(2)/2))/(LN(2)/2)*DB133*DE133*VLOOKUP('Données projet'!$B$13,Paramètres!$A$1:$I$88,3,0)*0.475*44/12</f>
        <v>0</v>
      </c>
      <c r="DI133" s="24">
        <f t="shared" si="123"/>
        <v>36.983037856342222</v>
      </c>
      <c r="DJ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-3.4106051316484809E-13</v>
      </c>
      <c r="DP133" s="18">
        <f>DO133*VLOOKUP('Données projet'!$B$14,Paramètres!$A$1:$I$88,3,0)*VLOOKUP('Données projet'!$B$14,Paramètres!$A$1:$I$88,5,0)</f>
        <v>-2.6602720026858149E-13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458.14328535055694</v>
      </c>
      <c r="DU133" s="59">
        <f t="shared" ref="DU133:DU196" si="152">$DU$3</f>
        <v>366.75500153675739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projet'!$B$14,Paramètres!$A$1:$I$88,3,0)*0.475*44/12</f>
        <v>82.922508168018197</v>
      </c>
      <c r="EB133" s="23">
        <f>EXP(-LN(2)/25)*EB132+(1-EXP(-LN(2)/25))/(LN(2)/25)*Calculateur!DW133*Calculateur!DY133*VLOOKUP('Données projet'!$B$14,Paramètres!$A$1:$I$88,3,0)*0.475*44/12</f>
        <v>0</v>
      </c>
      <c r="EC133" s="23">
        <f>EXP(-LN(2)/2)*EC132+(1-EXP(-LN(2)/2))/(LN(2)/2)*DW133*DZ133*VLOOKUP('Données projet'!$B$14,Paramètres!$A$1:$I$88,3,0)*0.475*44/12</f>
        <v>0</v>
      </c>
      <c r="ED133" s="24">
        <f t="shared" si="126"/>
        <v>82.922508168018197</v>
      </c>
      <c r="EE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4.5474735088646412E-13</v>
      </c>
      <c r="EK133" s="18">
        <f>EJ133*VLOOKUP('Données projet'!$B$15,Paramètres!$A$1:$I$88,3,0)*VLOOKUP('Données projet'!$B$15,Paramètres!$A$1:$I$88,5,0)</f>
        <v>3.9017322706058626E-13</v>
      </c>
      <c r="EL133" s="14">
        <f t="shared" ref="EL133:EL153" si="153">EXP(-1.0587+0.8836*LN(EK133)+0.284)</f>
        <v>5.0025007393608908E-12</v>
      </c>
      <c r="EM133" s="22">
        <f t="shared" si="127"/>
        <v>9.3922404915174053E-12</v>
      </c>
      <c r="EN133" s="59">
        <f t="shared" si="128"/>
        <v>293.33333333334269</v>
      </c>
      <c r="EO133" s="59">
        <f ca="1">AVERAGE(OFFSET($EN$3,0,0,'Données projet'!$E$15+1,1))-AVERAGE(OFFSET($H$3,0,0,'Données projet'!$E$15+1,1))</f>
        <v>462.99360395552145</v>
      </c>
      <c r="EP133" s="59">
        <f t="shared" ref="EP133:EP196" si="154">$EP$3</f>
        <v>153.03880717786046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projet'!$B$15,Paramètres!$A$1:$I$88,3,0)*0.475*44/12</f>
        <v>144.33882097777163</v>
      </c>
      <c r="EW133" s="23">
        <f>EXP(-LN(2)/25)*EW132+(1-EXP(-LN(2)/25))/(LN(2)/25)*Calculateur!ER133*Calculateur!ET133*VLOOKUP('Données projet'!$B$15,Paramètres!$A$1:$I$88,3,0)*0.475*44/12</f>
        <v>0</v>
      </c>
      <c r="EX133" s="23">
        <f>EXP(-LN(2)/2)*EX132+(1-EXP(-LN(2)/2))/(LN(2)/2)*ER133*EU133*VLOOKUP('Données projet'!$B$15,Paramètres!$A$1:$I$88,3,0)*0.475*44/12</f>
        <v>0</v>
      </c>
      <c r="EY133" s="24">
        <f t="shared" si="129"/>
        <v>144.33882097777163</v>
      </c>
      <c r="EZ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2.2737367544323206E-13</v>
      </c>
      <c r="FF133" s="18">
        <f>FE133*VLOOKUP('Données projet'!$B$16,Paramètres!$A$1:$I$88,3,0)*VLOOKUP('Données projet'!$B$16,Paramètres!$A$1:$I$88,5,0)</f>
        <v>1.9863364286720756E-13</v>
      </c>
      <c r="FG133" s="14">
        <f t="shared" ref="FG133:FG153" si="155">EXP(-1.0587+0.8836*LN(FF133)+0.284)</f>
        <v>2.7549360720371426E-12</v>
      </c>
      <c r="FH133" s="22">
        <f t="shared" si="130"/>
        <v>5.144133920125077E-12</v>
      </c>
      <c r="FI133" s="59">
        <f t="shared" si="131"/>
        <v>293.33333333333843</v>
      </c>
      <c r="FJ133" s="59">
        <f ca="1">AVERAGE(OFFSET($FI$3,0,0,'Données projet'!$E$16+1,1))-AVERAGE(OFFSET($H$3,0,0,'Données projet'!$E$16+1,1))</f>
        <v>427.76895185088944</v>
      </c>
      <c r="FK133" s="59">
        <f t="shared" ref="FK133:FK196" si="156">$FK$3</f>
        <v>308.32543361559135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projet'!$B$16,Paramètres!$A$1:$I$88,3,0)*0.475*44/12</f>
        <v>117.21788800696366</v>
      </c>
      <c r="FR133" s="23">
        <f>EXP(-LN(2)/25)*FR132+(1-EXP(-LN(2)/25))/(LN(2)/25)*Calculateur!FM133*Calculateur!FO133*VLOOKUP('Données projet'!$B$16,Paramètres!$A$1:$I$88,3,0)*0.475*44/12</f>
        <v>0</v>
      </c>
      <c r="FS133" s="23">
        <f>EXP(-LN(2)/2)*FS132+(1-EXP(-LN(2)/2))/(LN(2)/2)*FM133*FP133*VLOOKUP('Données projet'!$B$16,Paramètres!$A$1:$I$88,3,0)*0.475*44/12</f>
        <v>0</v>
      </c>
      <c r="FT133" s="24">
        <f t="shared" si="132"/>
        <v>117.21788800696366</v>
      </c>
      <c r="FU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333.00000000000006</v>
      </c>
      <c r="GA133" s="18">
        <f>FZ133*VLOOKUP('Données projet'!$B$17,Paramètres!$A$1:$I$88,3,0)*VLOOKUP('Données projet'!$B$17,Paramètres!$A$1:$I$88,5,0)</f>
        <v>207.79200000000006</v>
      </c>
      <c r="GB133" s="14">
        <f t="shared" ref="GB133:GB153" si="157">EXP(-1.0587+0.8836*LN(GA133)+0.284)</f>
        <v>51.452785725007907</v>
      </c>
      <c r="GC133" s="22">
        <f t="shared" si="133"/>
        <v>451.5180018043888</v>
      </c>
      <c r="GD133" s="59">
        <f t="shared" si="134"/>
        <v>744.85133513772212</v>
      </c>
      <c r="GE133" s="59">
        <f ca="1">AVERAGE(OFFSET($GD$3,0,0,'Données projet'!$E$17+1,1))-AVERAGE(OFFSET($H$3,0,0,'Données projet'!$E$17+1,1))</f>
        <v>247.85542034088905</v>
      </c>
      <c r="GF133" s="59">
        <f t="shared" ref="GF133:GF196" si="158">$GF$3</f>
        <v>299.52241743660352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projet'!$B$17,Paramètres!$A$1:$I$88,3,0)*0.475*44/12</f>
        <v>9.2885139853782164</v>
      </c>
      <c r="GM133" s="23">
        <f>EXP(-LN(2)/25)*GM132+(1-EXP(-LN(2)/25))/(LN(2)/25)*Calculateur!GH133*Calculateur!GJ133*VLOOKUP('Données projet'!$B$17,Paramètres!$A$1:$I$88,3,0)*0.475*44/12</f>
        <v>5.4600955351407432</v>
      </c>
      <c r="GN133" s="23">
        <f>EXP(-LN(2)/2)*GN132+(1-EXP(-LN(2)/2))/(LN(2)/2)*GH133*GK133*VLOOKUP('Données projet'!$B$17,Paramètres!$A$1:$I$88,3,0)*0.475*44/12</f>
        <v>1.245705242514202E-9</v>
      </c>
      <c r="GO133" s="23">
        <f t="shared" si="135"/>
        <v>14.748609521764665</v>
      </c>
      <c r="GP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3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6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5.666666666666667</v>
      </c>
      <c r="N134" s="14">
        <f>IF('Données projet'!$A$36&gt;35,N133+M134-V133,IF(A134&lt;'Données projet'!$A$36,$K$205^A134,IF(A134='Données projet'!$A$36,'Données projet'!$B$36,N133+M134-V133)))</f>
        <v>306.33333333333326</v>
      </c>
      <c r="O134" s="14">
        <f>N134*VLOOKUP('Données projet'!$B$9,Paramètres!$A$1:$I$88,3,0)*VLOOKUP('Données projet'!$B$9,Paramètres!$A$1:$I$88,5,0)</f>
        <v>277.17039999999992</v>
      </c>
      <c r="P134" s="14">
        <f t="shared" si="141"/>
        <v>66.36868002896874</v>
      </c>
      <c r="Q134" s="22">
        <f t="shared" si="108"/>
        <v>598.33056438378708</v>
      </c>
      <c r="R134" s="59">
        <f t="shared" si="109"/>
        <v>891.66389771712034</v>
      </c>
      <c r="S134" s="59">
        <f ca="1">AVERAGE(OFFSET($R$3,0,0,'Données projet'!$E$9+1,1))-AVERAGE(OFFSET($H$3,0,0,'Données projet'!$E$9+1,1))</f>
        <v>247.57967230773539</v>
      </c>
      <c r="T134" s="59">
        <f t="shared" si="142"/>
        <v>156.58857589533295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33.918608651636994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33.918608651636994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-3.4106051316484809E-13</v>
      </c>
      <c r="AJ134" s="14">
        <f>AI134*VLOOKUP('Données projet'!$B$10,Paramètres!$A$1:$I$88,3,0)*VLOOKUP('Données projet'!$B$10,Paramètres!$A$1:$I$88,5,0)</f>
        <v>-2.7134774427395314E-13</v>
      </c>
      <c r="AK134" s="14" t="e">
        <f t="shared" si="143"/>
        <v>#NUM!</v>
      </c>
      <c r="AL134" s="22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504.15006129790828</v>
      </c>
      <c r="AO134" s="59">
        <f t="shared" si="144"/>
        <v>374.39334457402742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130.70057108287807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130.70057108287807</v>
      </c>
      <c r="AY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-3.4106051316484809E-13</v>
      </c>
      <c r="BE134" s="14">
        <f>BD134*VLOOKUP('Données projet'!$B$11,Paramètres!$A$1:$I$88,3,0)*VLOOKUP('Données projet'!$B$11,Paramètres!$A$1:$I$88,5,0)</f>
        <v>-2.7134774427395314E-13</v>
      </c>
      <c r="BF134" s="14" t="e">
        <f t="shared" si="145"/>
        <v>#NUM!</v>
      </c>
      <c r="BG134" s="22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504.15006129790828</v>
      </c>
      <c r="BJ134" s="59">
        <f t="shared" si="146"/>
        <v>374.39334457402742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130.70057108287807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130.70057108287807</v>
      </c>
      <c r="BT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-3.4106051316484809E-13</v>
      </c>
      <c r="BZ134" s="14">
        <f>BY134*VLOOKUP('Données projet'!$B$12,Paramètres!$A$1:$I$88,3,0)*VLOOKUP('Données projet'!$B$12,Paramètres!$A$1:$I$88,5,0)</f>
        <v>-2.2878339223098009E-13</v>
      </c>
      <c r="CA134" s="14" t="e">
        <f t="shared" si="147"/>
        <v>#NUM!</v>
      </c>
      <c r="CB134" s="22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387.15063677712425</v>
      </c>
      <c r="CE134" s="59">
        <f t="shared" si="148"/>
        <v>313.19155394370705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86.174235262213855</v>
      </c>
      <c r="CL134" s="23">
        <f>EXP(-LN(2)/25)*CL133+(1-EXP(-LN(2)/25))/(LN(2)/25)*Calculateur!CG134*Calculateur!CI134*VLOOKUP('Données projet'!$B$12,Paramètres!$A$1:$I$88,3,0)*0.475*44/12</f>
        <v>0</v>
      </c>
      <c r="CM134" s="23">
        <f>EXP(-LN(2)/2)*CM133+(1-EXP(-LN(2)/2))/(LN(2)/2)*CG134*CJ134*VLOOKUP('Données projet'!$B$12,Paramètres!$A$1:$I$88,3,0)*0.475*44/12</f>
        <v>0</v>
      </c>
      <c r="CN134" s="24">
        <f t="shared" si="120"/>
        <v>86.174235262213855</v>
      </c>
      <c r="CO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5.666666666666667</v>
      </c>
      <c r="CT134" s="13">
        <f>IF('Données projet'!$A$140&gt;35,CT133+CS134-DB133,IF(A134&lt;'Données projet'!$A$140,$CQ$205^A134,IF(A134='Données projet'!$A$140,'Données projet'!$B$140,CT133+CS134-DB133)))</f>
        <v>306.33333333333326</v>
      </c>
      <c r="CU134" s="18">
        <f>CT134*VLOOKUP('Données projet'!$B$13,Paramètres!$A$1:$I$88,3,0)*VLOOKUP('Données projet'!$B$13,Paramètres!$A$1:$I$88,5,0)</f>
        <v>296.28559999999993</v>
      </c>
      <c r="CV134" s="14">
        <f t="shared" si="149"/>
        <v>70.397218849131178</v>
      </c>
      <c r="CW134" s="22">
        <f t="shared" si="121"/>
        <v>638.63924282890332</v>
      </c>
      <c r="CX134" s="59">
        <f t="shared" si="122"/>
        <v>931.97257616223669</v>
      </c>
      <c r="CY134" s="59">
        <f ca="1">AVERAGE(OFFSET($CX$3,0,0,'Données projet'!$E$13+1,1))-AVERAGE(OFFSET($H$3,0,0,'Données projet'!$E$13+1,1))</f>
        <v>306.00894145276209</v>
      </c>
      <c r="CZ134" s="59">
        <f t="shared" si="150"/>
        <v>168.74705421228828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36.257823041405082</v>
      </c>
      <c r="DG134" s="23">
        <f>EXP(-LN(2)/25)*DG133+(1-EXP(-LN(2)/25))/(LN(2)/25)*Calculateur!DB134*Calculateur!DD134*VLOOKUP('Données projet'!$B$13,Paramètres!$A$1:$I$88,3,0)*0.475*44/12</f>
        <v>0</v>
      </c>
      <c r="DH134" s="23">
        <f>EXP(-LN(2)/2)*DH133+(1-EXP(-LN(2)/2))/(LN(2)/2)*DB134*DE134*VLOOKUP('Données projet'!$B$13,Paramètres!$A$1:$I$88,3,0)*0.475*44/12</f>
        <v>0</v>
      </c>
      <c r="DI134" s="24">
        <f t="shared" si="123"/>
        <v>36.257823041405082</v>
      </c>
      <c r="DJ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-3.4106051316484809E-13</v>
      </c>
      <c r="DP134" s="18">
        <f>DO134*VLOOKUP('Données projet'!$B$14,Paramètres!$A$1:$I$88,3,0)*VLOOKUP('Données projet'!$B$14,Paramètres!$A$1:$I$88,5,0)</f>
        <v>-2.6602720026858149E-13</v>
      </c>
      <c r="DQ134" s="14" t="e">
        <f t="shared" si="151"/>
        <v>#NUM!</v>
      </c>
      <c r="DR134" s="22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458.14328535055694</v>
      </c>
      <c r="DU134" s="59">
        <f t="shared" si="152"/>
        <v>366.75500153675739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projet'!$B$14,Paramètres!$A$1:$I$88,3,0)*0.475*44/12</f>
        <v>81.296448360579205</v>
      </c>
      <c r="EB134" s="23">
        <f>EXP(-LN(2)/25)*EB133+(1-EXP(-LN(2)/25))/(LN(2)/25)*Calculateur!DW134*Calculateur!DY134*VLOOKUP('Données projet'!$B$14,Paramètres!$A$1:$I$88,3,0)*0.475*44/12</f>
        <v>0</v>
      </c>
      <c r="EC134" s="23">
        <f>EXP(-LN(2)/2)*EC133+(1-EXP(-LN(2)/2))/(LN(2)/2)*DW134*DZ134*VLOOKUP('Données projet'!$B$14,Paramètres!$A$1:$I$88,3,0)*0.475*44/12</f>
        <v>0</v>
      </c>
      <c r="ED134" s="24">
        <f t="shared" si="126"/>
        <v>81.296448360579205</v>
      </c>
      <c r="EE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4.5474735088646412E-13</v>
      </c>
      <c r="EK134" s="18">
        <f>EJ134*VLOOKUP('Données projet'!$B$15,Paramètres!$A$1:$I$88,3,0)*VLOOKUP('Données projet'!$B$15,Paramètres!$A$1:$I$88,5,0)</f>
        <v>3.9017322706058626E-13</v>
      </c>
      <c r="EL134" s="14">
        <f t="shared" si="153"/>
        <v>5.0025007393608908E-12</v>
      </c>
      <c r="EM134" s="22">
        <f t="shared" si="127"/>
        <v>9.3922404915174053E-12</v>
      </c>
      <c r="EN134" s="59">
        <f t="shared" si="128"/>
        <v>293.33333333334269</v>
      </c>
      <c r="EO134" s="59">
        <f ca="1">AVERAGE(OFFSET($EN$3,0,0,'Données projet'!$E$15+1,1))-AVERAGE(OFFSET($H$3,0,0,'Données projet'!$E$15+1,1))</f>
        <v>462.99360395552145</v>
      </c>
      <c r="EP134" s="59">
        <f t="shared" si="154"/>
        <v>153.03880717786046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projet'!$B$15,Paramètres!$A$1:$I$88,3,0)*0.475*44/12</f>
        <v>141.50842473638531</v>
      </c>
      <c r="EW134" s="23">
        <f>EXP(-LN(2)/25)*EW133+(1-EXP(-LN(2)/25))/(LN(2)/25)*Calculateur!ER134*Calculateur!ET134*VLOOKUP('Données projet'!$B$15,Paramètres!$A$1:$I$88,3,0)*0.475*44/12</f>
        <v>0</v>
      </c>
      <c r="EX134" s="23">
        <f>EXP(-LN(2)/2)*EX133+(1-EXP(-LN(2)/2))/(LN(2)/2)*ER134*EU134*VLOOKUP('Données projet'!$B$15,Paramètres!$A$1:$I$88,3,0)*0.475*44/12</f>
        <v>0</v>
      </c>
      <c r="EY134" s="24">
        <f t="shared" si="129"/>
        <v>141.50842473638531</v>
      </c>
      <c r="EZ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2.2737367544323206E-13</v>
      </c>
      <c r="FF134" s="18">
        <f>FE134*VLOOKUP('Données projet'!$B$16,Paramètres!$A$1:$I$88,3,0)*VLOOKUP('Données projet'!$B$16,Paramètres!$A$1:$I$88,5,0)</f>
        <v>1.9863364286720756E-13</v>
      </c>
      <c r="FG134" s="14">
        <f t="shared" si="155"/>
        <v>2.7549360720371426E-12</v>
      </c>
      <c r="FH134" s="22">
        <f t="shared" si="130"/>
        <v>5.144133920125077E-12</v>
      </c>
      <c r="FI134" s="59">
        <f t="shared" si="131"/>
        <v>293.33333333333843</v>
      </c>
      <c r="FJ134" s="59">
        <f ca="1">AVERAGE(OFFSET($FI$3,0,0,'Données projet'!$E$16+1,1))-AVERAGE(OFFSET($H$3,0,0,'Données projet'!$E$16+1,1))</f>
        <v>427.76895185088944</v>
      </c>
      <c r="FK134" s="59">
        <f t="shared" si="156"/>
        <v>308.32543361559135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projet'!$B$16,Paramètres!$A$1:$I$88,3,0)*0.475*44/12</f>
        <v>114.91931671899916</v>
      </c>
      <c r="FR134" s="23">
        <f>EXP(-LN(2)/25)*FR133+(1-EXP(-LN(2)/25))/(LN(2)/25)*Calculateur!FM134*Calculateur!FO134*VLOOKUP('Données projet'!$B$16,Paramètres!$A$1:$I$88,3,0)*0.475*44/12</f>
        <v>0</v>
      </c>
      <c r="FS134" s="23">
        <f>EXP(-LN(2)/2)*FS133+(1-EXP(-LN(2)/2))/(LN(2)/2)*FM134*FP134*VLOOKUP('Données projet'!$B$16,Paramètres!$A$1:$I$88,3,0)*0.475*44/12</f>
        <v>0</v>
      </c>
      <c r="FT134" s="24">
        <f t="shared" si="132"/>
        <v>114.91931671899916</v>
      </c>
      <c r="FU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333.00000000000006</v>
      </c>
      <c r="GA134" s="18">
        <f>FZ134*VLOOKUP('Données projet'!$B$17,Paramètres!$A$1:$I$88,3,0)*VLOOKUP('Données projet'!$B$17,Paramètres!$A$1:$I$88,5,0)</f>
        <v>207.79200000000006</v>
      </c>
      <c r="GB134" s="14">
        <f t="shared" si="157"/>
        <v>51.452785725007907</v>
      </c>
      <c r="GC134" s="22">
        <f t="shared" si="133"/>
        <v>451.5180018043888</v>
      </c>
      <c r="GD134" s="59">
        <f t="shared" si="134"/>
        <v>744.85133513772212</v>
      </c>
      <c r="GE134" s="59">
        <f ca="1">AVERAGE(OFFSET($GD$3,0,0,'Données projet'!$E$17+1,1))-AVERAGE(OFFSET($H$3,0,0,'Données projet'!$E$17+1,1))</f>
        <v>247.85542034088905</v>
      </c>
      <c r="GF134" s="59">
        <f t="shared" si="158"/>
        <v>299.52241743660352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projet'!$B$17,Paramètres!$A$1:$I$88,3,0)*0.475*44/12</f>
        <v>9.1063718915590659</v>
      </c>
      <c r="GM134" s="23">
        <f>EXP(-LN(2)/25)*GM133+(1-EXP(-LN(2)/25))/(LN(2)/25)*Calculateur!GH134*Calculateur!GJ134*VLOOKUP('Données projet'!$B$17,Paramètres!$A$1:$I$88,3,0)*0.475*44/12</f>
        <v>5.3107889355983744</v>
      </c>
      <c r="GN134" s="23">
        <f>EXP(-LN(2)/2)*GN133+(1-EXP(-LN(2)/2))/(LN(2)/2)*GH134*GK134*VLOOKUP('Données projet'!$B$17,Paramètres!$A$1:$I$88,3,0)*0.475*44/12</f>
        <v>8.8084662434142493E-10</v>
      </c>
      <c r="GO134" s="23">
        <f t="shared" si="135"/>
        <v>14.417160828038288</v>
      </c>
      <c r="GP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3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6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5.666666666666667</v>
      </c>
      <c r="N135" s="14">
        <f>IF('Données projet'!$A$36&gt;35,N134+M135-V134,IF(A135&lt;'Données projet'!$A$36,$K$205^A135,IF(A135='Données projet'!$A$36,'Données projet'!$B$36,N134+M135-V134)))</f>
        <v>311.99999999999994</v>
      </c>
      <c r="O135" s="14">
        <f>N135*VLOOKUP('Données projet'!$B$9,Paramètres!$A$1:$I$88,3,0)*VLOOKUP('Données projet'!$B$9,Paramètres!$A$1:$I$88,5,0)</f>
        <v>282.29759999999993</v>
      </c>
      <c r="P135" s="14">
        <f t="shared" si="141"/>
        <v>67.452326629470178</v>
      </c>
      <c r="Q135" s="22">
        <f t="shared" si="108"/>
        <v>609.14778887966042</v>
      </c>
      <c r="R135" s="59">
        <f t="shared" si="109"/>
        <v>902.4811222129938</v>
      </c>
      <c r="S135" s="59">
        <f ca="1">AVERAGE(OFFSET($R$3,0,0,'Données projet'!$E$9+1,1))-AVERAGE(OFFSET($H$3,0,0,'Données projet'!$E$9+1,1))</f>
        <v>247.57967230773539</v>
      </c>
      <c r="T135" s="59">
        <f t="shared" si="142"/>
        <v>156.58857589533295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33.253485424286872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33.253485424286872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-3.4106051316484809E-13</v>
      </c>
      <c r="AJ135" s="14">
        <f>AI135*VLOOKUP('Données projet'!$B$10,Paramètres!$A$1:$I$88,3,0)*VLOOKUP('Données projet'!$B$10,Paramètres!$A$1:$I$88,5,0)</f>
        <v>-2.7134774427395314E-13</v>
      </c>
      <c r="AK135" s="14" t="e">
        <f t="shared" si="143"/>
        <v>#NUM!</v>
      </c>
      <c r="AL135" s="22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504.15006129790828</v>
      </c>
      <c r="AO135" s="59">
        <f t="shared" si="144"/>
        <v>374.39334457402742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128.13761260341954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128.13761260341954</v>
      </c>
      <c r="AY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-3.4106051316484809E-13</v>
      </c>
      <c r="BE135" s="14">
        <f>BD135*VLOOKUP('Données projet'!$B$11,Paramètres!$A$1:$I$88,3,0)*VLOOKUP('Données projet'!$B$11,Paramètres!$A$1:$I$88,5,0)</f>
        <v>-2.7134774427395314E-13</v>
      </c>
      <c r="BF135" s="14" t="e">
        <f t="shared" si="145"/>
        <v>#NUM!</v>
      </c>
      <c r="BG135" s="22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504.15006129790828</v>
      </c>
      <c r="BJ135" s="59">
        <f t="shared" si="146"/>
        <v>374.39334457402742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128.13761260341954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128.13761260341954</v>
      </c>
      <c r="BT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-3.4106051316484809E-13</v>
      </c>
      <c r="BZ135" s="14">
        <f>BY135*VLOOKUP('Données projet'!$B$12,Paramètres!$A$1:$I$88,3,0)*VLOOKUP('Données projet'!$B$12,Paramètres!$A$1:$I$88,5,0)</f>
        <v>-2.2878339223098009E-13</v>
      </c>
      <c r="CA135" s="14" t="e">
        <f t="shared" si="147"/>
        <v>#NUM!</v>
      </c>
      <c r="CB135" s="22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387.15063677712425</v>
      </c>
      <c r="CE135" s="59">
        <f t="shared" si="148"/>
        <v>313.19155394370705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84.48441106981538</v>
      </c>
      <c r="CL135" s="23">
        <f>EXP(-LN(2)/25)*CL134+(1-EXP(-LN(2)/25))/(LN(2)/25)*Calculateur!CG135*Calculateur!CI135*VLOOKUP('Données projet'!$B$12,Paramètres!$A$1:$I$88,3,0)*0.475*44/12</f>
        <v>0</v>
      </c>
      <c r="CM135" s="23">
        <f>EXP(-LN(2)/2)*CM134+(1-EXP(-LN(2)/2))/(LN(2)/2)*CG135*CJ135*VLOOKUP('Données projet'!$B$12,Paramètres!$A$1:$I$88,3,0)*0.475*44/12</f>
        <v>0</v>
      </c>
      <c r="CN135" s="24">
        <f t="shared" si="120"/>
        <v>84.48441106981538</v>
      </c>
      <c r="CO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5.666666666666667</v>
      </c>
      <c r="CT135" s="13">
        <f>IF('Données projet'!$A$140&gt;35,CT134+CS135-DB134,IF(A135&lt;'Données projet'!$A$140,$CQ$205^A135,IF(A135='Données projet'!$A$140,'Données projet'!$B$140,CT134+CS135-DB134)))</f>
        <v>311.99999999999994</v>
      </c>
      <c r="CU135" s="18">
        <f>CT135*VLOOKUP('Données projet'!$B$13,Paramètres!$A$1:$I$88,3,0)*VLOOKUP('Données projet'!$B$13,Paramètres!$A$1:$I$88,5,0)</f>
        <v>301.76639999999998</v>
      </c>
      <c r="CV135" s="14">
        <f t="shared" si="149"/>
        <v>71.546642144235364</v>
      </c>
      <c r="CW135" s="22">
        <f t="shared" si="121"/>
        <v>650.18688173454314</v>
      </c>
      <c r="CX135" s="59">
        <f t="shared" si="122"/>
        <v>943.52021506787651</v>
      </c>
      <c r="CY135" s="59">
        <f ca="1">AVERAGE(OFFSET($CX$3,0,0,'Données projet'!$E$13+1,1))-AVERAGE(OFFSET($H$3,0,0,'Données projet'!$E$13+1,1))</f>
        <v>306.00894145276209</v>
      </c>
      <c r="CZ135" s="59">
        <f t="shared" si="150"/>
        <v>168.74705421228828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35.546829246651498</v>
      </c>
      <c r="DG135" s="23">
        <f>EXP(-LN(2)/25)*DG134+(1-EXP(-LN(2)/25))/(LN(2)/25)*Calculateur!DB135*Calculateur!DD135*VLOOKUP('Données projet'!$B$13,Paramètres!$A$1:$I$88,3,0)*0.475*44/12</f>
        <v>0</v>
      </c>
      <c r="DH135" s="23">
        <f>EXP(-LN(2)/2)*DH134+(1-EXP(-LN(2)/2))/(LN(2)/2)*DB135*DE135*VLOOKUP('Données projet'!$B$13,Paramètres!$A$1:$I$88,3,0)*0.475*44/12</f>
        <v>0</v>
      </c>
      <c r="DI135" s="24">
        <f t="shared" si="123"/>
        <v>35.546829246651498</v>
      </c>
      <c r="DJ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-3.4106051316484809E-13</v>
      </c>
      <c r="DP135" s="18">
        <f>DO135*VLOOKUP('Données projet'!$B$14,Paramètres!$A$1:$I$88,3,0)*VLOOKUP('Données projet'!$B$14,Paramètres!$A$1:$I$88,5,0)</f>
        <v>-2.6602720026858149E-13</v>
      </c>
      <c r="DQ135" s="14" t="e">
        <f t="shared" si="151"/>
        <v>#NUM!</v>
      </c>
      <c r="DR135" s="22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458.14328535055694</v>
      </c>
      <c r="DU135" s="59">
        <f t="shared" si="152"/>
        <v>366.75500153675739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projet'!$B$14,Paramètres!$A$1:$I$88,3,0)*0.475*44/12</f>
        <v>79.702274594165544</v>
      </c>
      <c r="EB135" s="23">
        <f>EXP(-LN(2)/25)*EB134+(1-EXP(-LN(2)/25))/(LN(2)/25)*Calculateur!DW135*Calculateur!DY135*VLOOKUP('Données projet'!$B$14,Paramètres!$A$1:$I$88,3,0)*0.475*44/12</f>
        <v>0</v>
      </c>
      <c r="EC135" s="23">
        <f>EXP(-LN(2)/2)*EC134+(1-EXP(-LN(2)/2))/(LN(2)/2)*DW135*DZ135*VLOOKUP('Données projet'!$B$14,Paramètres!$A$1:$I$88,3,0)*0.475*44/12</f>
        <v>0</v>
      </c>
      <c r="ED135" s="24">
        <f t="shared" si="126"/>
        <v>79.702274594165544</v>
      </c>
      <c r="EE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4.5474735088646412E-13</v>
      </c>
      <c r="EK135" s="18">
        <f>EJ135*VLOOKUP('Données projet'!$B$15,Paramètres!$A$1:$I$88,3,0)*VLOOKUP('Données projet'!$B$15,Paramètres!$A$1:$I$88,5,0)</f>
        <v>3.9017322706058626E-13</v>
      </c>
      <c r="EL135" s="14">
        <f t="shared" si="153"/>
        <v>5.0025007393608908E-12</v>
      </c>
      <c r="EM135" s="22">
        <f t="shared" si="127"/>
        <v>9.3922404915174053E-12</v>
      </c>
      <c r="EN135" s="59">
        <f t="shared" si="128"/>
        <v>293.33333333334269</v>
      </c>
      <c r="EO135" s="59">
        <f ca="1">AVERAGE(OFFSET($EN$3,0,0,'Données projet'!$E$15+1,1))-AVERAGE(OFFSET($H$3,0,0,'Données projet'!$E$15+1,1))</f>
        <v>462.99360395552145</v>
      </c>
      <c r="EP135" s="59">
        <f t="shared" si="154"/>
        <v>153.03880717786046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projet'!$B$15,Paramètres!$A$1:$I$88,3,0)*0.475*44/12</f>
        <v>138.73353083892133</v>
      </c>
      <c r="EW135" s="23">
        <f>EXP(-LN(2)/25)*EW134+(1-EXP(-LN(2)/25))/(LN(2)/25)*Calculateur!ER135*Calculateur!ET135*VLOOKUP('Données projet'!$B$15,Paramètres!$A$1:$I$88,3,0)*0.475*44/12</f>
        <v>0</v>
      </c>
      <c r="EX135" s="23">
        <f>EXP(-LN(2)/2)*EX134+(1-EXP(-LN(2)/2))/(LN(2)/2)*ER135*EU135*VLOOKUP('Données projet'!$B$15,Paramètres!$A$1:$I$88,3,0)*0.475*44/12</f>
        <v>0</v>
      </c>
      <c r="EY135" s="24">
        <f t="shared" si="129"/>
        <v>138.73353083892133</v>
      </c>
      <c r="EZ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2.2737367544323206E-13</v>
      </c>
      <c r="FF135" s="18">
        <f>FE135*VLOOKUP('Données projet'!$B$16,Paramètres!$A$1:$I$88,3,0)*VLOOKUP('Données projet'!$B$16,Paramètres!$A$1:$I$88,5,0)</f>
        <v>1.9863364286720756E-13</v>
      </c>
      <c r="FG135" s="14">
        <f t="shared" si="155"/>
        <v>2.7549360720371426E-12</v>
      </c>
      <c r="FH135" s="22">
        <f t="shared" si="130"/>
        <v>5.144133920125077E-12</v>
      </c>
      <c r="FI135" s="59">
        <f t="shared" si="131"/>
        <v>293.33333333333843</v>
      </c>
      <c r="FJ135" s="59">
        <f ca="1">AVERAGE(OFFSET($FI$3,0,0,'Données projet'!$E$16+1,1))-AVERAGE(OFFSET($H$3,0,0,'Données projet'!$E$16+1,1))</f>
        <v>427.76895185088944</v>
      </c>
      <c r="FK135" s="59">
        <f t="shared" si="156"/>
        <v>308.32543361559135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projet'!$B$16,Paramètres!$A$1:$I$88,3,0)*0.475*44/12</f>
        <v>112.66581901200159</v>
      </c>
      <c r="FR135" s="23">
        <f>EXP(-LN(2)/25)*FR134+(1-EXP(-LN(2)/25))/(LN(2)/25)*Calculateur!FM135*Calculateur!FO135*VLOOKUP('Données projet'!$B$16,Paramètres!$A$1:$I$88,3,0)*0.475*44/12</f>
        <v>0</v>
      </c>
      <c r="FS135" s="23">
        <f>EXP(-LN(2)/2)*FS134+(1-EXP(-LN(2)/2))/(LN(2)/2)*FM135*FP135*VLOOKUP('Données projet'!$B$16,Paramètres!$A$1:$I$88,3,0)*0.475*44/12</f>
        <v>0</v>
      </c>
      <c r="FT135" s="24">
        <f t="shared" si="132"/>
        <v>112.66581901200159</v>
      </c>
      <c r="FU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333.00000000000006</v>
      </c>
      <c r="GA135" s="18">
        <f>FZ135*VLOOKUP('Données projet'!$B$17,Paramètres!$A$1:$I$88,3,0)*VLOOKUP('Données projet'!$B$17,Paramètres!$A$1:$I$88,5,0)</f>
        <v>207.79200000000006</v>
      </c>
      <c r="GB135" s="14">
        <f t="shared" si="157"/>
        <v>51.452785725007907</v>
      </c>
      <c r="GC135" s="22">
        <f t="shared" si="133"/>
        <v>451.5180018043888</v>
      </c>
      <c r="GD135" s="59">
        <f t="shared" si="134"/>
        <v>744.85133513772212</v>
      </c>
      <c r="GE135" s="59">
        <f ca="1">AVERAGE(OFFSET($GD$3,0,0,'Données projet'!$E$17+1,1))-AVERAGE(OFFSET($H$3,0,0,'Données projet'!$E$17+1,1))</f>
        <v>247.85542034088905</v>
      </c>
      <c r="GF135" s="59">
        <f t="shared" si="158"/>
        <v>299.52241743660352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projet'!$B$17,Paramètres!$A$1:$I$88,3,0)*0.475*44/12</f>
        <v>8.9278014931040008</v>
      </c>
      <c r="GM135" s="23">
        <f>EXP(-LN(2)/25)*GM134+(1-EXP(-LN(2)/25))/(LN(2)/25)*Calculateur!GH135*Calculateur!GJ135*VLOOKUP('Données projet'!$B$17,Paramètres!$A$1:$I$88,3,0)*0.475*44/12</f>
        <v>5.1655651328721843</v>
      </c>
      <c r="GN135" s="23">
        <f>EXP(-LN(2)/2)*GN134+(1-EXP(-LN(2)/2))/(LN(2)/2)*GH135*GK135*VLOOKUP('Données projet'!$B$17,Paramètres!$A$1:$I$88,3,0)*0.475*44/12</f>
        <v>6.2285262125710098E-10</v>
      </c>
      <c r="GO135" s="23">
        <f t="shared" si="135"/>
        <v>14.093366626599037</v>
      </c>
      <c r="GP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3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6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5.666666666666667</v>
      </c>
      <c r="N136" s="14">
        <f>IF('Données projet'!$A$36&gt;35,N135+M136-V135,IF(A136&lt;'Données projet'!$A$36,$K$205^A136,IF(A136='Données projet'!$A$36,'Données projet'!$B$36,N135+M136-V135)))</f>
        <v>317.66666666666663</v>
      </c>
      <c r="O136" s="14">
        <f>N136*VLOOKUP('Données projet'!$B$9,Paramètres!$A$1:$I$88,3,0)*VLOOKUP('Données projet'!$B$9,Paramètres!$A$1:$I$88,5,0)</f>
        <v>287.42479999999995</v>
      </c>
      <c r="P136" s="14">
        <f t="shared" si="141"/>
        <v>68.533684576829955</v>
      </c>
      <c r="Q136" s="22">
        <f t="shared" si="108"/>
        <v>619.96102730464543</v>
      </c>
      <c r="R136" s="59">
        <f t="shared" si="109"/>
        <v>913.2943606379788</v>
      </c>
      <c r="S136" s="59">
        <f ca="1">AVERAGE(OFFSET($R$3,0,0,'Données projet'!$E$9+1,1))-AVERAGE(OFFSET($H$3,0,0,'Données projet'!$E$9+1,1))</f>
        <v>247.57967230773539</v>
      </c>
      <c r="T136" s="59">
        <f t="shared" si="142"/>
        <v>156.58857589533295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32.601404857739972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32.601404857739972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-3.4106051316484809E-13</v>
      </c>
      <c r="AJ136" s="14">
        <f>AI136*VLOOKUP('Données projet'!$B$10,Paramètres!$A$1:$I$88,3,0)*VLOOKUP('Données projet'!$B$10,Paramètres!$A$1:$I$88,5,0)</f>
        <v>-2.7134774427395314E-13</v>
      </c>
      <c r="AK136" s="14" t="e">
        <f t="shared" si="143"/>
        <v>#NUM!</v>
      </c>
      <c r="AL136" s="22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504.15006129790828</v>
      </c>
      <c r="AO136" s="59">
        <f t="shared" si="144"/>
        <v>374.39334457402742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125.62491217649288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125.62491217649288</v>
      </c>
      <c r="AY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-3.4106051316484809E-13</v>
      </c>
      <c r="BE136" s="14">
        <f>BD136*VLOOKUP('Données projet'!$B$11,Paramètres!$A$1:$I$88,3,0)*VLOOKUP('Données projet'!$B$11,Paramètres!$A$1:$I$88,5,0)</f>
        <v>-2.7134774427395314E-13</v>
      </c>
      <c r="BF136" s="14" t="e">
        <f t="shared" si="145"/>
        <v>#NUM!</v>
      </c>
      <c r="BG136" s="22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504.15006129790828</v>
      </c>
      <c r="BJ136" s="59">
        <f t="shared" si="146"/>
        <v>374.39334457402742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125.62491217649288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125.62491217649288</v>
      </c>
      <c r="BT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-3.4106051316484809E-13</v>
      </c>
      <c r="BZ136" s="14">
        <f>BY136*VLOOKUP('Données projet'!$B$12,Paramètres!$A$1:$I$88,3,0)*VLOOKUP('Données projet'!$B$12,Paramètres!$A$1:$I$88,5,0)</f>
        <v>-2.2878339223098009E-13</v>
      </c>
      <c r="CA136" s="14" t="e">
        <f t="shared" si="147"/>
        <v>#NUM!</v>
      </c>
      <c r="CB136" s="22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387.15063677712425</v>
      </c>
      <c r="CE136" s="59">
        <f t="shared" si="148"/>
        <v>313.19155394370705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82.827723299138853</v>
      </c>
      <c r="CL136" s="23">
        <f>EXP(-LN(2)/25)*CL135+(1-EXP(-LN(2)/25))/(LN(2)/25)*Calculateur!CG136*Calculateur!CI136*VLOOKUP('Données projet'!$B$12,Paramètres!$A$1:$I$88,3,0)*0.475*44/12</f>
        <v>0</v>
      </c>
      <c r="CM136" s="23">
        <f>EXP(-LN(2)/2)*CM135+(1-EXP(-LN(2)/2))/(LN(2)/2)*CG136*CJ136*VLOOKUP('Données projet'!$B$12,Paramètres!$A$1:$I$88,3,0)*0.475*44/12</f>
        <v>0</v>
      </c>
      <c r="CN136" s="24">
        <f t="shared" si="120"/>
        <v>82.827723299138853</v>
      </c>
      <c r="CO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5.666666666666667</v>
      </c>
      <c r="CT136" s="13">
        <f>IF('Données projet'!$A$140&gt;35,CT135+CS136-DB135,IF(A136&lt;'Données projet'!$A$140,$CQ$205^A136,IF(A136='Données projet'!$A$140,'Données projet'!$B$140,CT135+CS136-DB135)))</f>
        <v>317.66666666666663</v>
      </c>
      <c r="CU136" s="18">
        <f>CT136*VLOOKUP('Données projet'!$B$13,Paramètres!$A$1:$I$88,3,0)*VLOOKUP('Données projet'!$B$13,Paramètres!$A$1:$I$88,5,0)</f>
        <v>307.24719999999996</v>
      </c>
      <c r="CV136" s="14">
        <f t="shared" si="149"/>
        <v>72.693637866333532</v>
      </c>
      <c r="CW136" s="22">
        <f t="shared" si="121"/>
        <v>661.73029261719751</v>
      </c>
      <c r="CX136" s="59">
        <f t="shared" si="122"/>
        <v>955.06362595053088</v>
      </c>
      <c r="CY136" s="59">
        <f ca="1">AVERAGE(OFFSET($CX$3,0,0,'Données projet'!$E$13+1,1))-AVERAGE(OFFSET($H$3,0,0,'Données projet'!$E$13+1,1))</f>
        <v>306.00894145276209</v>
      </c>
      <c r="CZ136" s="59">
        <f t="shared" si="150"/>
        <v>168.74705421228828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34.849777606549637</v>
      </c>
      <c r="DG136" s="23">
        <f>EXP(-LN(2)/25)*DG135+(1-EXP(-LN(2)/25))/(LN(2)/25)*Calculateur!DB136*Calculateur!DD136*VLOOKUP('Données projet'!$B$13,Paramètres!$A$1:$I$88,3,0)*0.475*44/12</f>
        <v>0</v>
      </c>
      <c r="DH136" s="23">
        <f>EXP(-LN(2)/2)*DH135+(1-EXP(-LN(2)/2))/(LN(2)/2)*DB136*DE136*VLOOKUP('Données projet'!$B$13,Paramètres!$A$1:$I$88,3,0)*0.475*44/12</f>
        <v>0</v>
      </c>
      <c r="DI136" s="24">
        <f t="shared" si="123"/>
        <v>34.849777606549637</v>
      </c>
      <c r="DJ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-3.4106051316484809E-13</v>
      </c>
      <c r="DP136" s="18">
        <f>DO136*VLOOKUP('Données projet'!$B$14,Paramètres!$A$1:$I$88,3,0)*VLOOKUP('Données projet'!$B$14,Paramètres!$A$1:$I$88,5,0)</f>
        <v>-2.6602720026858149E-13</v>
      </c>
      <c r="DQ136" s="14" t="e">
        <f t="shared" si="151"/>
        <v>#NUM!</v>
      </c>
      <c r="DR136" s="22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458.14328535055694</v>
      </c>
      <c r="DU136" s="59">
        <f t="shared" si="152"/>
        <v>366.75500153675739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projet'!$B$14,Paramètres!$A$1:$I$88,3,0)*0.475*44/12</f>
        <v>78.139361602961273</v>
      </c>
      <c r="EB136" s="23">
        <f>EXP(-LN(2)/25)*EB135+(1-EXP(-LN(2)/25))/(LN(2)/25)*Calculateur!DW136*Calculateur!DY136*VLOOKUP('Données projet'!$B$14,Paramètres!$A$1:$I$88,3,0)*0.475*44/12</f>
        <v>0</v>
      </c>
      <c r="EC136" s="23">
        <f>EXP(-LN(2)/2)*EC135+(1-EXP(-LN(2)/2))/(LN(2)/2)*DW136*DZ136*VLOOKUP('Données projet'!$B$14,Paramètres!$A$1:$I$88,3,0)*0.475*44/12</f>
        <v>0</v>
      </c>
      <c r="ED136" s="24">
        <f t="shared" si="126"/>
        <v>78.139361602961273</v>
      </c>
      <c r="EE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4.5474735088646412E-13</v>
      </c>
      <c r="EK136" s="18">
        <f>EJ136*VLOOKUP('Données projet'!$B$15,Paramètres!$A$1:$I$88,3,0)*VLOOKUP('Données projet'!$B$15,Paramètres!$A$1:$I$88,5,0)</f>
        <v>3.9017322706058626E-13</v>
      </c>
      <c r="EL136" s="14">
        <f t="shared" si="153"/>
        <v>5.0025007393608908E-12</v>
      </c>
      <c r="EM136" s="22">
        <f t="shared" si="127"/>
        <v>9.3922404915174053E-12</v>
      </c>
      <c r="EN136" s="59">
        <f t="shared" si="128"/>
        <v>293.33333333334269</v>
      </c>
      <c r="EO136" s="59">
        <f ca="1">AVERAGE(OFFSET($EN$3,0,0,'Données projet'!$E$15+1,1))-AVERAGE(OFFSET($H$3,0,0,'Données projet'!$E$15+1,1))</f>
        <v>462.99360395552145</v>
      </c>
      <c r="EP136" s="59">
        <f t="shared" si="154"/>
        <v>153.03880717786046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projet'!$B$15,Paramètres!$A$1:$I$88,3,0)*0.475*44/12</f>
        <v>136.01305091826845</v>
      </c>
      <c r="EW136" s="23">
        <f>EXP(-LN(2)/25)*EW135+(1-EXP(-LN(2)/25))/(LN(2)/25)*Calculateur!ER136*Calculateur!ET136*VLOOKUP('Données projet'!$B$15,Paramètres!$A$1:$I$88,3,0)*0.475*44/12</f>
        <v>0</v>
      </c>
      <c r="EX136" s="23">
        <f>EXP(-LN(2)/2)*EX135+(1-EXP(-LN(2)/2))/(LN(2)/2)*ER136*EU136*VLOOKUP('Données projet'!$B$15,Paramètres!$A$1:$I$88,3,0)*0.475*44/12</f>
        <v>0</v>
      </c>
      <c r="EY136" s="24">
        <f t="shared" si="129"/>
        <v>136.01305091826845</v>
      </c>
      <c r="EZ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2.2737367544323206E-13</v>
      </c>
      <c r="FF136" s="18">
        <f>FE136*VLOOKUP('Données projet'!$B$16,Paramètres!$A$1:$I$88,3,0)*VLOOKUP('Données projet'!$B$16,Paramètres!$A$1:$I$88,5,0)</f>
        <v>1.9863364286720756E-13</v>
      </c>
      <c r="FG136" s="14">
        <f t="shared" si="155"/>
        <v>2.7549360720371426E-12</v>
      </c>
      <c r="FH136" s="22">
        <f t="shared" si="130"/>
        <v>5.144133920125077E-12</v>
      </c>
      <c r="FI136" s="59">
        <f t="shared" si="131"/>
        <v>293.33333333333843</v>
      </c>
      <c r="FJ136" s="59">
        <f ca="1">AVERAGE(OFFSET($FI$3,0,0,'Données projet'!$E$16+1,1))-AVERAGE(OFFSET($H$3,0,0,'Données projet'!$E$16+1,1))</f>
        <v>427.76895185088944</v>
      </c>
      <c r="FK136" s="59">
        <f t="shared" si="156"/>
        <v>308.32543361559135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projet'!$B$16,Paramètres!$A$1:$I$88,3,0)*0.475*44/12</f>
        <v>110.45651102054036</v>
      </c>
      <c r="FR136" s="23">
        <f>EXP(-LN(2)/25)*FR135+(1-EXP(-LN(2)/25))/(LN(2)/25)*Calculateur!FM136*Calculateur!FO136*VLOOKUP('Données projet'!$B$16,Paramètres!$A$1:$I$88,3,0)*0.475*44/12</f>
        <v>0</v>
      </c>
      <c r="FS136" s="23">
        <f>EXP(-LN(2)/2)*FS135+(1-EXP(-LN(2)/2))/(LN(2)/2)*FM136*FP136*VLOOKUP('Données projet'!$B$16,Paramètres!$A$1:$I$88,3,0)*0.475*44/12</f>
        <v>0</v>
      </c>
      <c r="FT136" s="24">
        <f t="shared" si="132"/>
        <v>110.45651102054036</v>
      </c>
      <c r="FU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333.00000000000006</v>
      </c>
      <c r="GA136" s="18">
        <f>FZ136*VLOOKUP('Données projet'!$B$17,Paramètres!$A$1:$I$88,3,0)*VLOOKUP('Données projet'!$B$17,Paramètres!$A$1:$I$88,5,0)</f>
        <v>207.79200000000006</v>
      </c>
      <c r="GB136" s="14">
        <f t="shared" si="157"/>
        <v>51.452785725007907</v>
      </c>
      <c r="GC136" s="22">
        <f t="shared" si="133"/>
        <v>451.5180018043888</v>
      </c>
      <c r="GD136" s="59">
        <f t="shared" si="134"/>
        <v>744.85133513772212</v>
      </c>
      <c r="GE136" s="59">
        <f ca="1">AVERAGE(OFFSET($GD$3,0,0,'Données projet'!$E$17+1,1))-AVERAGE(OFFSET($H$3,0,0,'Données projet'!$E$17+1,1))</f>
        <v>247.85542034088905</v>
      </c>
      <c r="GF136" s="59">
        <f t="shared" si="158"/>
        <v>299.52241743660352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projet'!$B$17,Paramètres!$A$1:$I$88,3,0)*0.475*44/12</f>
        <v>8.7527327512454516</v>
      </c>
      <c r="GM136" s="23">
        <f>EXP(-LN(2)/25)*GM135+(1-EXP(-LN(2)/25))/(LN(2)/25)*Calculateur!GH136*Calculateur!GJ136*VLOOKUP('Données projet'!$B$17,Paramètres!$A$1:$I$88,3,0)*0.475*44/12</f>
        <v>5.0243124826685301</v>
      </c>
      <c r="GN136" s="23">
        <f>EXP(-LN(2)/2)*GN135+(1-EXP(-LN(2)/2))/(LN(2)/2)*GH136*GK136*VLOOKUP('Données projet'!$B$17,Paramètres!$A$1:$I$88,3,0)*0.475*44/12</f>
        <v>4.4042331217071246E-10</v>
      </c>
      <c r="GO136" s="23">
        <f t="shared" si="135"/>
        <v>13.777045234354404</v>
      </c>
      <c r="GP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3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6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5.666666666666667</v>
      </c>
      <c r="N137" s="14">
        <f>IF('Données projet'!$A$36&gt;35,N136+M137-V136,IF(A137&lt;'Données projet'!$A$36,$K$205^A137,IF(A137='Données projet'!$A$36,'Données projet'!$B$36,N136+M137-V136)))</f>
        <v>323.33333333333331</v>
      </c>
      <c r="O137" s="14">
        <f>N137*VLOOKUP('Données projet'!$B$9,Paramètres!$A$1:$I$88,3,0)*VLOOKUP('Données projet'!$B$9,Paramètres!$A$1:$I$88,5,0)</f>
        <v>292.55199999999996</v>
      </c>
      <c r="P137" s="14">
        <f t="shared" si="141"/>
        <v>69.612799406690002</v>
      </c>
      <c r="Q137" s="22">
        <f t="shared" si="108"/>
        <v>630.77035896665166</v>
      </c>
      <c r="R137" s="59">
        <f t="shared" si="109"/>
        <v>924.10369229998491</v>
      </c>
      <c r="S137" s="59">
        <f ca="1">AVERAGE(OFFSET($R$3,0,0,'Données projet'!$E$9+1,1))-AVERAGE(OFFSET($H$3,0,0,'Données projet'!$E$9+1,1))</f>
        <v>247.57967230773539</v>
      </c>
      <c r="T137" s="59">
        <f t="shared" si="142"/>
        <v>156.58857589533295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31.962111193373183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31.962111193373183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-3.4106051316484809E-13</v>
      </c>
      <c r="AJ137" s="14">
        <f>AI137*VLOOKUP('Données projet'!$B$10,Paramètres!$A$1:$I$88,3,0)*VLOOKUP('Données projet'!$B$10,Paramètres!$A$1:$I$88,5,0)</f>
        <v>-2.7134774427395314E-13</v>
      </c>
      <c r="AK137" s="14" t="e">
        <f t="shared" si="143"/>
        <v>#NUM!</v>
      </c>
      <c r="AL137" s="22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504.15006129790828</v>
      </c>
      <c r="AO137" s="59">
        <f t="shared" si="144"/>
        <v>374.39334457402742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123.16148427234234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123.16148427234234</v>
      </c>
      <c r="AY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-3.4106051316484809E-13</v>
      </c>
      <c r="BE137" s="14">
        <f>BD137*VLOOKUP('Données projet'!$B$11,Paramètres!$A$1:$I$88,3,0)*VLOOKUP('Données projet'!$B$11,Paramètres!$A$1:$I$88,5,0)</f>
        <v>-2.7134774427395314E-13</v>
      </c>
      <c r="BF137" s="14" t="e">
        <f t="shared" si="145"/>
        <v>#NUM!</v>
      </c>
      <c r="BG137" s="22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504.15006129790828</v>
      </c>
      <c r="BJ137" s="59">
        <f t="shared" si="146"/>
        <v>374.39334457402742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123.16148427234234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123.16148427234234</v>
      </c>
      <c r="BT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-3.4106051316484809E-13</v>
      </c>
      <c r="BZ137" s="14">
        <f>BY137*VLOOKUP('Données projet'!$B$12,Paramètres!$A$1:$I$88,3,0)*VLOOKUP('Données projet'!$B$12,Paramètres!$A$1:$I$88,5,0)</f>
        <v>-2.2878339223098009E-13</v>
      </c>
      <c r="CA137" s="14" t="e">
        <f t="shared" si="147"/>
        <v>#NUM!</v>
      </c>
      <c r="CB137" s="22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387.15063677712425</v>
      </c>
      <c r="CE137" s="59">
        <f t="shared" si="148"/>
        <v>313.19155394370705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81.203522165165523</v>
      </c>
      <c r="CL137" s="23">
        <f>EXP(-LN(2)/25)*CL136+(1-EXP(-LN(2)/25))/(LN(2)/25)*Calculateur!CG137*Calculateur!CI137*VLOOKUP('Données projet'!$B$12,Paramètres!$A$1:$I$88,3,0)*0.475*44/12</f>
        <v>0</v>
      </c>
      <c r="CM137" s="23">
        <f>EXP(-LN(2)/2)*CM136+(1-EXP(-LN(2)/2))/(LN(2)/2)*CG137*CJ137*VLOOKUP('Données projet'!$B$12,Paramètres!$A$1:$I$88,3,0)*0.475*44/12</f>
        <v>0</v>
      </c>
      <c r="CN137" s="24">
        <f t="shared" si="120"/>
        <v>81.203522165165523</v>
      </c>
      <c r="CO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5.666666666666667</v>
      </c>
      <c r="CT137" s="13">
        <f>IF('Données projet'!$A$140&gt;35,CT136+CS137-DB136,IF(A137&lt;'Données projet'!$A$140,$CQ$205^A137,IF(A137='Données projet'!$A$140,'Données projet'!$B$140,CT136+CS137-DB136)))</f>
        <v>323.33333333333331</v>
      </c>
      <c r="CU137" s="18">
        <f>CT137*VLOOKUP('Données projet'!$B$13,Paramètres!$A$1:$I$88,3,0)*VLOOKUP('Données projet'!$B$13,Paramètres!$A$1:$I$88,5,0)</f>
        <v>312.72799999999995</v>
      </c>
      <c r="CV137" s="14">
        <f t="shared" si="149"/>
        <v>73.838254315053803</v>
      </c>
      <c r="CW137" s="22">
        <f t="shared" si="121"/>
        <v>673.26955959871862</v>
      </c>
      <c r="CX137" s="59">
        <f t="shared" si="122"/>
        <v>966.60289293205187</v>
      </c>
      <c r="CY137" s="59">
        <f ca="1">AVERAGE(OFFSET($CX$3,0,0,'Données projet'!$E$13+1,1))-AVERAGE(OFFSET($H$3,0,0,'Données projet'!$E$13+1,1))</f>
        <v>306.00894145276209</v>
      </c>
      <c r="CZ137" s="59">
        <f t="shared" si="150"/>
        <v>168.74705421228828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34.16639472395066</v>
      </c>
      <c r="DG137" s="23">
        <f>EXP(-LN(2)/25)*DG136+(1-EXP(-LN(2)/25))/(LN(2)/25)*Calculateur!DB137*Calculateur!DD137*VLOOKUP('Données projet'!$B$13,Paramètres!$A$1:$I$88,3,0)*0.475*44/12</f>
        <v>0</v>
      </c>
      <c r="DH137" s="23">
        <f>EXP(-LN(2)/2)*DH136+(1-EXP(-LN(2)/2))/(LN(2)/2)*DB137*DE137*VLOOKUP('Données projet'!$B$13,Paramètres!$A$1:$I$88,3,0)*0.475*44/12</f>
        <v>0</v>
      </c>
      <c r="DI137" s="24">
        <f t="shared" si="123"/>
        <v>34.16639472395066</v>
      </c>
      <c r="DJ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-3.4106051316484809E-13</v>
      </c>
      <c r="DP137" s="18">
        <f>DO137*VLOOKUP('Données projet'!$B$14,Paramètres!$A$1:$I$88,3,0)*VLOOKUP('Données projet'!$B$14,Paramètres!$A$1:$I$88,5,0)</f>
        <v>-2.6602720026858149E-13</v>
      </c>
      <c r="DQ137" s="14" t="e">
        <f t="shared" si="151"/>
        <v>#NUM!</v>
      </c>
      <c r="DR137" s="22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458.14328535055694</v>
      </c>
      <c r="DU137" s="59">
        <f t="shared" si="152"/>
        <v>366.75500153675739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projet'!$B$14,Paramètres!$A$1:$I$88,3,0)*0.475*44/12</f>
        <v>76.607096382231717</v>
      </c>
      <c r="EB137" s="23">
        <f>EXP(-LN(2)/25)*EB136+(1-EXP(-LN(2)/25))/(LN(2)/25)*Calculateur!DW137*Calculateur!DY137*VLOOKUP('Données projet'!$B$14,Paramètres!$A$1:$I$88,3,0)*0.475*44/12</f>
        <v>0</v>
      </c>
      <c r="EC137" s="23">
        <f>EXP(-LN(2)/2)*EC136+(1-EXP(-LN(2)/2))/(LN(2)/2)*DW137*DZ137*VLOOKUP('Données projet'!$B$14,Paramètres!$A$1:$I$88,3,0)*0.475*44/12</f>
        <v>0</v>
      </c>
      <c r="ED137" s="24">
        <f t="shared" si="126"/>
        <v>76.607096382231717</v>
      </c>
      <c r="EE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4.5474735088646412E-13</v>
      </c>
      <c r="EK137" s="18">
        <f>EJ137*VLOOKUP('Données projet'!$B$15,Paramètres!$A$1:$I$88,3,0)*VLOOKUP('Données projet'!$B$15,Paramètres!$A$1:$I$88,5,0)</f>
        <v>3.9017322706058626E-13</v>
      </c>
      <c r="EL137" s="14">
        <f t="shared" si="153"/>
        <v>5.0025007393608908E-12</v>
      </c>
      <c r="EM137" s="22">
        <f t="shared" si="127"/>
        <v>9.3922404915174053E-12</v>
      </c>
      <c r="EN137" s="59">
        <f t="shared" si="128"/>
        <v>293.33333333334269</v>
      </c>
      <c r="EO137" s="59">
        <f ca="1">AVERAGE(OFFSET($EN$3,0,0,'Données projet'!$E$15+1,1))-AVERAGE(OFFSET($H$3,0,0,'Données projet'!$E$15+1,1))</f>
        <v>462.99360395552145</v>
      </c>
      <c r="EP137" s="59">
        <f t="shared" si="154"/>
        <v>153.03880717786046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projet'!$B$15,Paramètres!$A$1:$I$88,3,0)*0.475*44/12</f>
        <v>133.34591794953067</v>
      </c>
      <c r="EW137" s="23">
        <f>EXP(-LN(2)/25)*EW136+(1-EXP(-LN(2)/25))/(LN(2)/25)*Calculateur!ER137*Calculateur!ET137*VLOOKUP('Données projet'!$B$15,Paramètres!$A$1:$I$88,3,0)*0.475*44/12</f>
        <v>0</v>
      </c>
      <c r="EX137" s="23">
        <f>EXP(-LN(2)/2)*EX136+(1-EXP(-LN(2)/2))/(LN(2)/2)*ER137*EU137*VLOOKUP('Données projet'!$B$15,Paramètres!$A$1:$I$88,3,0)*0.475*44/12</f>
        <v>0</v>
      </c>
      <c r="EY137" s="24">
        <f t="shared" si="129"/>
        <v>133.34591794953067</v>
      </c>
      <c r="EZ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2.2737367544323206E-13</v>
      </c>
      <c r="FF137" s="18">
        <f>FE137*VLOOKUP('Données projet'!$B$16,Paramètres!$A$1:$I$88,3,0)*VLOOKUP('Données projet'!$B$16,Paramètres!$A$1:$I$88,5,0)</f>
        <v>1.9863364286720756E-13</v>
      </c>
      <c r="FG137" s="14">
        <f t="shared" si="155"/>
        <v>2.7549360720371426E-12</v>
      </c>
      <c r="FH137" s="22">
        <f t="shared" si="130"/>
        <v>5.144133920125077E-12</v>
      </c>
      <c r="FI137" s="59">
        <f t="shared" si="131"/>
        <v>293.33333333333843</v>
      </c>
      <c r="FJ137" s="59">
        <f ca="1">AVERAGE(OFFSET($FI$3,0,0,'Données projet'!$E$16+1,1))-AVERAGE(OFFSET($H$3,0,0,'Données projet'!$E$16+1,1))</f>
        <v>427.76895185088944</v>
      </c>
      <c r="FK137" s="59">
        <f t="shared" si="156"/>
        <v>308.32543361559135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projet'!$B$16,Paramètres!$A$1:$I$88,3,0)*0.475*44/12</f>
        <v>108.29052621124687</v>
      </c>
      <c r="FR137" s="23">
        <f>EXP(-LN(2)/25)*FR136+(1-EXP(-LN(2)/25))/(LN(2)/25)*Calculateur!FM137*Calculateur!FO137*VLOOKUP('Données projet'!$B$16,Paramètres!$A$1:$I$88,3,0)*0.475*44/12</f>
        <v>0</v>
      </c>
      <c r="FS137" s="23">
        <f>EXP(-LN(2)/2)*FS136+(1-EXP(-LN(2)/2))/(LN(2)/2)*FM137*FP137*VLOOKUP('Données projet'!$B$16,Paramètres!$A$1:$I$88,3,0)*0.475*44/12</f>
        <v>0</v>
      </c>
      <c r="FT137" s="24">
        <f t="shared" si="132"/>
        <v>108.29052621124687</v>
      </c>
      <c r="FU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333.00000000000006</v>
      </c>
      <c r="GA137" s="18">
        <f>FZ137*VLOOKUP('Données projet'!$B$17,Paramètres!$A$1:$I$88,3,0)*VLOOKUP('Données projet'!$B$17,Paramètres!$A$1:$I$88,5,0)</f>
        <v>207.79200000000006</v>
      </c>
      <c r="GB137" s="14">
        <f t="shared" si="157"/>
        <v>51.452785725007907</v>
      </c>
      <c r="GC137" s="22">
        <f t="shared" si="133"/>
        <v>451.5180018043888</v>
      </c>
      <c r="GD137" s="59">
        <f t="shared" si="134"/>
        <v>744.85133513772212</v>
      </c>
      <c r="GE137" s="59">
        <f ca="1">AVERAGE(OFFSET($GD$3,0,0,'Données projet'!$E$17+1,1))-AVERAGE(OFFSET($H$3,0,0,'Données projet'!$E$17+1,1))</f>
        <v>247.85542034088905</v>
      </c>
      <c r="GF137" s="59">
        <f t="shared" si="158"/>
        <v>299.52241743660352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projet'!$B$17,Paramètres!$A$1:$I$88,3,0)*0.475*44/12</f>
        <v>8.5810970006333598</v>
      </c>
      <c r="GM137" s="23">
        <f>EXP(-LN(2)/25)*GM136+(1-EXP(-LN(2)/25))/(LN(2)/25)*Calculateur!GH137*Calculateur!GJ137*VLOOKUP('Données projet'!$B$17,Paramètres!$A$1:$I$88,3,0)*0.475*44/12</f>
        <v>4.8869223936128492</v>
      </c>
      <c r="GN137" s="23">
        <f>EXP(-LN(2)/2)*GN136+(1-EXP(-LN(2)/2))/(LN(2)/2)*GH137*GK137*VLOOKUP('Données projet'!$B$17,Paramètres!$A$1:$I$88,3,0)*0.475*44/12</f>
        <v>3.1142631062855049E-10</v>
      </c>
      <c r="GO137" s="23">
        <f t="shared" si="135"/>
        <v>13.468019394557635</v>
      </c>
      <c r="GP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3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6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329</v>
      </c>
      <c r="L138" s="13">
        <f>VLOOKUP(A138,'Données projet'!$A$35:$I$55,9,0)</f>
        <v>5.666666666666667</v>
      </c>
      <c r="M138" s="13">
        <f t="array" ref="M138">INDEX(L:L,MIN(IF(ISNUMBER(L138:L334),ROW(L138:L334),"")))</f>
        <v>5.666666666666667</v>
      </c>
      <c r="N138" s="14">
        <f>IF('Données projet'!$A$36&gt;35,N137+M138-V137,IF(A138&lt;'Données projet'!$A$36,$K$205^A138,IF(A138='Données projet'!$A$36,'Données projet'!$B$36,N137+M138-V137)))</f>
        <v>329</v>
      </c>
      <c r="O138" s="14">
        <f>N138*VLOOKUP('Données projet'!$B$9,Paramètres!$A$1:$I$88,3,0)*VLOOKUP('Données projet'!$B$9,Paramètres!$A$1:$I$88,5,0)</f>
        <v>297.67919999999998</v>
      </c>
      <c r="P138" s="14">
        <f t="shared" si="141"/>
        <v>70.689714967168129</v>
      </c>
      <c r="Q138" s="22">
        <f t="shared" si="108"/>
        <v>641.57586023448448</v>
      </c>
      <c r="R138" s="59">
        <f t="shared" si="109"/>
        <v>934.90919356781774</v>
      </c>
      <c r="S138" s="59">
        <f ca="1">AVERAGE(OFFSET($R$3,0,0,'Données projet'!$E$9+1,1))-AVERAGE(OFFSET($H$3,0,0,'Données projet'!$E$9+1,1))</f>
        <v>247.57967230773539</v>
      </c>
      <c r="T138" s="59">
        <f t="shared" si="142"/>
        <v>156.58857589533295</v>
      </c>
      <c r="U138" s="16">
        <f>IF(ISNA(VLOOKUP(A138,'Données projet'!$A$35:$I$55,3,0)),0,VLOOKUP(A138,'Données projet'!$A$35:$I$55,3,0))</f>
        <v>11</v>
      </c>
      <c r="V138" s="16">
        <f>IF(ISNA(VLOOKUP(A138,'Données projet'!$A$35:$I$55,4,0)),0,VLOOKUP(A138,'Données projet'!$A$35:$I$55,4,0))</f>
        <v>48</v>
      </c>
      <c r="W138" s="17">
        <f>IF(ISNA(VLOOKUP(A138,'Données projet'!$A$35:$I$55,5,0)),0%,VLOOKUP(A138,'Données projet'!$A$35:$I$55,5,0)*VLOOKUP('Données projet'!$B$9,Paramètres!$A$1:$I$88,7,0))</f>
        <v>0.30099999999999999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45.786670939985612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45.786670939985612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-3.4106051316484809E-13</v>
      </c>
      <c r="AJ138" s="14">
        <f>AI138*VLOOKUP('Données projet'!$B$10,Paramètres!$A$1:$I$88,3,0)*VLOOKUP('Données projet'!$B$10,Paramètres!$A$1:$I$88,5,0)</f>
        <v>-2.7134774427395314E-13</v>
      </c>
      <c r="AK138" s="14" t="e">
        <f t="shared" si="143"/>
        <v>#NUM!</v>
      </c>
      <c r="AL138" s="22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504.15006129790828</v>
      </c>
      <c r="AO138" s="59">
        <f t="shared" si="144"/>
        <v>374.39334457402742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120.74636268684952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120.74636268684952</v>
      </c>
      <c r="AY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-3.4106051316484809E-13</v>
      </c>
      <c r="BE138" s="14">
        <f>BD138*VLOOKUP('Données projet'!$B$11,Paramètres!$A$1:$I$88,3,0)*VLOOKUP('Données projet'!$B$11,Paramètres!$A$1:$I$88,5,0)</f>
        <v>-2.7134774427395314E-13</v>
      </c>
      <c r="BF138" s="14" t="e">
        <f t="shared" si="145"/>
        <v>#NUM!</v>
      </c>
      <c r="BG138" s="22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504.15006129790828</v>
      </c>
      <c r="BJ138" s="59">
        <f t="shared" si="146"/>
        <v>374.39334457402742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120.74636268684952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120.74636268684952</v>
      </c>
      <c r="BT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-3.4106051316484809E-13</v>
      </c>
      <c r="BZ138" s="14">
        <f>BY138*VLOOKUP('Données projet'!$B$12,Paramètres!$A$1:$I$88,3,0)*VLOOKUP('Données projet'!$B$12,Paramètres!$A$1:$I$88,5,0)</f>
        <v>-2.2878339223098009E-13</v>
      </c>
      <c r="CA138" s="14" t="e">
        <f t="shared" si="147"/>
        <v>#NUM!</v>
      </c>
      <c r="CB138" s="22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387.15063677712425</v>
      </c>
      <c r="CE138" s="59">
        <f t="shared" si="148"/>
        <v>313.19155394370705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79.61117062476454</v>
      </c>
      <c r="CL138" s="23">
        <f>EXP(-LN(2)/25)*CL137+(1-EXP(-LN(2)/25))/(LN(2)/25)*Calculateur!CG138*Calculateur!CI138*VLOOKUP('Données projet'!$B$12,Paramètres!$A$1:$I$88,3,0)*0.475*44/12</f>
        <v>0</v>
      </c>
      <c r="CM138" s="23">
        <f>EXP(-LN(2)/2)*CM137+(1-EXP(-LN(2)/2))/(LN(2)/2)*CG138*CJ138*VLOOKUP('Données projet'!$B$12,Paramètres!$A$1:$I$88,3,0)*0.475*44/12</f>
        <v>0</v>
      </c>
      <c r="CN138" s="24">
        <f t="shared" si="120"/>
        <v>79.61117062476454</v>
      </c>
      <c r="CO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>
        <f>VLOOKUP(A138,'Données projet'!$A$139:$I$159,2,0)</f>
        <v>329</v>
      </c>
      <c r="CR138" s="13">
        <f>VLOOKUP(A138,'Données projet'!$A$139:$I$159,9,0)</f>
        <v>5.666666666666667</v>
      </c>
      <c r="CS138" s="13">
        <f t="array" ref="CS138">INDEX(CR:CR,MIN(IF(ISNUMBER(CR138:CR334),ROW(CR138:CR334),"")))</f>
        <v>5.666666666666667</v>
      </c>
      <c r="CT138" s="13">
        <f>IF('Données projet'!$A$140&gt;35,CT137+CS138-DB137,IF(A138&lt;'Données projet'!$A$140,$CQ$205^A138,IF(A138='Données projet'!$A$140,'Données projet'!$B$140,CT137+CS138-DB137)))</f>
        <v>329</v>
      </c>
      <c r="CU138" s="18">
        <f>CT138*VLOOKUP('Données projet'!$B$13,Paramètres!$A$1:$I$88,3,0)*VLOOKUP('Données projet'!$B$13,Paramètres!$A$1:$I$88,5,0)</f>
        <v>318.2088</v>
      </c>
      <c r="CV138" s="14">
        <f t="shared" si="149"/>
        <v>74.980538000067853</v>
      </c>
      <c r="CW138" s="22">
        <f t="shared" si="121"/>
        <v>684.80476368345137</v>
      </c>
      <c r="CX138" s="59">
        <f t="shared" si="122"/>
        <v>978.13809701678474</v>
      </c>
      <c r="CY138" s="59">
        <f ca="1">AVERAGE(OFFSET($CX$3,0,0,'Données projet'!$E$13+1,1))-AVERAGE(OFFSET($H$3,0,0,'Données projet'!$E$13+1,1))</f>
        <v>306.00894145276209</v>
      </c>
      <c r="CZ138" s="59">
        <f t="shared" si="150"/>
        <v>168.74705421228828</v>
      </c>
      <c r="DA138" s="16">
        <f>IF(ISNA(VLOOKUP(A138,'Données projet'!$A$139:$I$159,3,0)),0,VLOOKUP(A138,'Données projet'!$A$139:$I$159,3,0))</f>
        <v>11</v>
      </c>
      <c r="DB138" s="16">
        <f>IF(ISNA(VLOOKUP(A138,'Données projet'!$A$139:$I$159,4,0)),0,VLOOKUP(A138,'Données projet'!$A$139:$I$159,4,0))</f>
        <v>48</v>
      </c>
      <c r="DC138" s="17">
        <f>IF(ISNA(VLOOKUP(A138,'Données projet'!$A$139:$I$159,5,0)),0%,VLOOKUP(A138,'Données projet'!$A$139:$I$159,5,0)*VLOOKUP('Données projet'!$B$13,Paramètres!$A$1:$I$88,7,0))</f>
        <v>0.30099999999999999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48.944372384122573</v>
      </c>
      <c r="DG138" s="23">
        <f>EXP(-LN(2)/25)*DG137+(1-EXP(-LN(2)/25))/(LN(2)/25)*Calculateur!DB138*Calculateur!DD138*VLOOKUP('Données projet'!$B$13,Paramètres!$A$1:$I$88,3,0)*0.475*44/12</f>
        <v>0</v>
      </c>
      <c r="DH138" s="23">
        <f>EXP(-LN(2)/2)*DH137+(1-EXP(-LN(2)/2))/(LN(2)/2)*DB138*DE138*VLOOKUP('Données projet'!$B$13,Paramètres!$A$1:$I$88,3,0)*0.475*44/12</f>
        <v>0</v>
      </c>
      <c r="DI138" s="24">
        <f t="shared" si="123"/>
        <v>48.944372384122573</v>
      </c>
      <c r="DJ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-3.4106051316484809E-13</v>
      </c>
      <c r="DP138" s="18">
        <f>DO138*VLOOKUP('Données projet'!$B$14,Paramètres!$A$1:$I$88,3,0)*VLOOKUP('Données projet'!$B$14,Paramètres!$A$1:$I$88,5,0)</f>
        <v>-2.6602720026858149E-13</v>
      </c>
      <c r="DQ138" s="14" t="e">
        <f t="shared" si="151"/>
        <v>#NUM!</v>
      </c>
      <c r="DR138" s="22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458.14328535055694</v>
      </c>
      <c r="DU138" s="59">
        <f t="shared" si="152"/>
        <v>366.75500153675739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projet'!$B$14,Paramètres!$A$1:$I$88,3,0)*0.475*44/12</f>
        <v>75.104877947891168</v>
      </c>
      <c r="EB138" s="23">
        <f>EXP(-LN(2)/25)*EB137+(1-EXP(-LN(2)/25))/(LN(2)/25)*Calculateur!DW138*Calculateur!DY138*VLOOKUP('Données projet'!$B$14,Paramètres!$A$1:$I$88,3,0)*0.475*44/12</f>
        <v>0</v>
      </c>
      <c r="EC138" s="23">
        <f>EXP(-LN(2)/2)*EC137+(1-EXP(-LN(2)/2))/(LN(2)/2)*DW138*DZ138*VLOOKUP('Données projet'!$B$14,Paramètres!$A$1:$I$88,3,0)*0.475*44/12</f>
        <v>0</v>
      </c>
      <c r="ED138" s="24">
        <f t="shared" si="126"/>
        <v>75.104877947891168</v>
      </c>
      <c r="EE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4.5474735088646412E-13</v>
      </c>
      <c r="EK138" s="18">
        <f>EJ138*VLOOKUP('Données projet'!$B$15,Paramètres!$A$1:$I$88,3,0)*VLOOKUP('Données projet'!$B$15,Paramètres!$A$1:$I$88,5,0)</f>
        <v>3.9017322706058626E-13</v>
      </c>
      <c r="EL138" s="14">
        <f t="shared" si="153"/>
        <v>5.0025007393608908E-12</v>
      </c>
      <c r="EM138" s="22">
        <f t="shared" si="127"/>
        <v>9.3922404915174053E-12</v>
      </c>
      <c r="EN138" s="59">
        <f t="shared" si="128"/>
        <v>293.33333333334269</v>
      </c>
      <c r="EO138" s="59">
        <f ca="1">AVERAGE(OFFSET($EN$3,0,0,'Données projet'!$E$15+1,1))-AVERAGE(OFFSET($H$3,0,0,'Données projet'!$E$15+1,1))</f>
        <v>462.99360395552145</v>
      </c>
      <c r="EP138" s="59">
        <f t="shared" si="154"/>
        <v>153.03880717786046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projet'!$B$15,Paramètres!$A$1:$I$88,3,0)*0.475*44/12</f>
        <v>130.73108583151935</v>
      </c>
      <c r="EW138" s="23">
        <f>EXP(-LN(2)/25)*EW137+(1-EXP(-LN(2)/25))/(LN(2)/25)*Calculateur!ER138*Calculateur!ET138*VLOOKUP('Données projet'!$B$15,Paramètres!$A$1:$I$88,3,0)*0.475*44/12</f>
        <v>0</v>
      </c>
      <c r="EX138" s="23">
        <f>EXP(-LN(2)/2)*EX137+(1-EXP(-LN(2)/2))/(LN(2)/2)*ER138*EU138*VLOOKUP('Données projet'!$B$15,Paramètres!$A$1:$I$88,3,0)*0.475*44/12</f>
        <v>0</v>
      </c>
      <c r="EY138" s="24">
        <f t="shared" si="129"/>
        <v>130.73108583151935</v>
      </c>
      <c r="EZ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2.2737367544323206E-13</v>
      </c>
      <c r="FF138" s="18">
        <f>FE138*VLOOKUP('Données projet'!$B$16,Paramètres!$A$1:$I$88,3,0)*VLOOKUP('Données projet'!$B$16,Paramètres!$A$1:$I$88,5,0)</f>
        <v>1.9863364286720756E-13</v>
      </c>
      <c r="FG138" s="14">
        <f t="shared" si="155"/>
        <v>2.7549360720371426E-12</v>
      </c>
      <c r="FH138" s="22">
        <f t="shared" si="130"/>
        <v>5.144133920125077E-12</v>
      </c>
      <c r="FI138" s="59">
        <f t="shared" si="131"/>
        <v>293.33333333333843</v>
      </c>
      <c r="FJ138" s="59">
        <f ca="1">AVERAGE(OFFSET($FI$3,0,0,'Données projet'!$E$16+1,1))-AVERAGE(OFFSET($H$3,0,0,'Données projet'!$E$16+1,1))</f>
        <v>427.76895185088944</v>
      </c>
      <c r="FK138" s="59">
        <f t="shared" si="156"/>
        <v>308.32543361559135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projet'!$B$16,Paramètres!$A$1:$I$88,3,0)*0.475*44/12</f>
        <v>106.16701504294335</v>
      </c>
      <c r="FR138" s="23">
        <f>EXP(-LN(2)/25)*FR137+(1-EXP(-LN(2)/25))/(LN(2)/25)*Calculateur!FM138*Calculateur!FO138*VLOOKUP('Données projet'!$B$16,Paramètres!$A$1:$I$88,3,0)*0.475*44/12</f>
        <v>0</v>
      </c>
      <c r="FS138" s="23">
        <f>EXP(-LN(2)/2)*FS137+(1-EXP(-LN(2)/2))/(LN(2)/2)*FM138*FP138*VLOOKUP('Données projet'!$B$16,Paramètres!$A$1:$I$88,3,0)*0.475*44/12</f>
        <v>0</v>
      </c>
      <c r="FT138" s="24">
        <f t="shared" si="132"/>
        <v>106.16701504294335</v>
      </c>
      <c r="FU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333.00000000000006</v>
      </c>
      <c r="GA138" s="18">
        <f>FZ138*VLOOKUP('Données projet'!$B$17,Paramètres!$A$1:$I$88,3,0)*VLOOKUP('Données projet'!$B$17,Paramètres!$A$1:$I$88,5,0)</f>
        <v>207.79200000000006</v>
      </c>
      <c r="GB138" s="14">
        <f t="shared" si="157"/>
        <v>51.452785725007907</v>
      </c>
      <c r="GC138" s="22">
        <f t="shared" si="133"/>
        <v>451.5180018043888</v>
      </c>
      <c r="GD138" s="59">
        <f t="shared" si="134"/>
        <v>744.85133513772212</v>
      </c>
      <c r="GE138" s="59">
        <f ca="1">AVERAGE(OFFSET($GD$3,0,0,'Données projet'!$E$17+1,1))-AVERAGE(OFFSET($H$3,0,0,'Données projet'!$E$17+1,1))</f>
        <v>247.85542034088905</v>
      </c>
      <c r="GF138" s="59">
        <f t="shared" si="158"/>
        <v>299.52241743660352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projet'!$B$17,Paramètres!$A$1:$I$88,3,0)*0.475*44/12</f>
        <v>8.4128269224032994</v>
      </c>
      <c r="GM138" s="23">
        <f>EXP(-LN(2)/25)*GM137+(1-EXP(-LN(2)/25))/(LN(2)/25)*Calculateur!GH138*Calculateur!GJ138*VLOOKUP('Données projet'!$B$17,Paramètres!$A$1:$I$88,3,0)*0.475*44/12</f>
        <v>4.7532892437674263</v>
      </c>
      <c r="GN138" s="23">
        <f>EXP(-LN(2)/2)*GN137+(1-EXP(-LN(2)/2))/(LN(2)/2)*GH138*GK138*VLOOKUP('Données projet'!$B$17,Paramètres!$A$1:$I$88,3,0)*0.475*44/12</f>
        <v>2.2021165608535623E-10</v>
      </c>
      <c r="GO138" s="23">
        <f t="shared" si="135"/>
        <v>13.166116166390937</v>
      </c>
      <c r="GP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3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6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5.833333333333333</v>
      </c>
      <c r="N139" s="14">
        <f>IF('Données projet'!$A$36&gt;35,N138+M139-V138,IF(A139&lt;'Données projet'!$A$36,$K$205^A139,IF(A139='Données projet'!$A$36,'Données projet'!$B$36,N138+M139-V138)))</f>
        <v>286.83333333333331</v>
      </c>
      <c r="O139" s="14">
        <f>N139*VLOOKUP('Données projet'!$B$9,Paramètres!$A$1:$I$88,3,0)*VLOOKUP('Données projet'!$B$9,Paramètres!$A$1:$I$88,5,0)</f>
        <v>259.52679999999998</v>
      </c>
      <c r="P139" s="14">
        <f t="shared" si="141"/>
        <v>62.621500147115945</v>
      </c>
      <c r="Q139" s="22">
        <f t="shared" si="108"/>
        <v>561.07495608956026</v>
      </c>
      <c r="R139" s="59">
        <f t="shared" si="109"/>
        <v>854.40828942289363</v>
      </c>
      <c r="S139" s="59">
        <f ca="1">AVERAGE(OFFSET($R$3,0,0,'Données projet'!$E$9+1,1))-AVERAGE(OFFSET($H$3,0,0,'Données projet'!$E$9+1,1))</f>
        <v>247.57967230773539</v>
      </c>
      <c r="T139" s="59">
        <f t="shared" si="142"/>
        <v>156.58857589533295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44.888822249964193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44.888822249964193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-3.4106051316484809E-13</v>
      </c>
      <c r="AJ139" s="14">
        <f>AI139*VLOOKUP('Données projet'!$B$10,Paramètres!$A$1:$I$88,3,0)*VLOOKUP('Données projet'!$B$10,Paramètres!$A$1:$I$88,5,0)</f>
        <v>-2.7134774427395314E-13</v>
      </c>
      <c r="AK139" s="14" t="e">
        <f t="shared" si="143"/>
        <v>#NUM!</v>
      </c>
      <c r="AL139" s="22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504.15006129790828</v>
      </c>
      <c r="AO139" s="59">
        <f t="shared" si="144"/>
        <v>374.39334457402742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118.37860016256951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118.37860016256951</v>
      </c>
      <c r="AY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-3.4106051316484809E-13</v>
      </c>
      <c r="BE139" s="14">
        <f>BD139*VLOOKUP('Données projet'!$B$11,Paramètres!$A$1:$I$88,3,0)*VLOOKUP('Données projet'!$B$11,Paramètres!$A$1:$I$88,5,0)</f>
        <v>-2.7134774427395314E-13</v>
      </c>
      <c r="BF139" s="14" t="e">
        <f t="shared" si="145"/>
        <v>#NUM!</v>
      </c>
      <c r="BG139" s="22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504.15006129790828</v>
      </c>
      <c r="BJ139" s="59">
        <f t="shared" si="146"/>
        <v>374.39334457402742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118.37860016256951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118.37860016256951</v>
      </c>
      <c r="BT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-3.4106051316484809E-13</v>
      </c>
      <c r="BZ139" s="14">
        <f>BY139*VLOOKUP('Données projet'!$B$12,Paramètres!$A$1:$I$88,3,0)*VLOOKUP('Données projet'!$B$12,Paramètres!$A$1:$I$88,5,0)</f>
        <v>-2.2878339223098009E-13</v>
      </c>
      <c r="CA139" s="14" t="e">
        <f t="shared" si="147"/>
        <v>#NUM!</v>
      </c>
      <c r="CB139" s="22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387.15063677712425</v>
      </c>
      <c r="CE139" s="59">
        <f t="shared" si="148"/>
        <v>313.19155394370705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78.050044126832276</v>
      </c>
      <c r="CL139" s="23">
        <f>EXP(-LN(2)/25)*CL138+(1-EXP(-LN(2)/25))/(LN(2)/25)*Calculateur!CG139*Calculateur!CI139*VLOOKUP('Données projet'!$B$12,Paramètres!$A$1:$I$88,3,0)*0.475*44/12</f>
        <v>0</v>
      </c>
      <c r="CM139" s="23">
        <f>EXP(-LN(2)/2)*CM138+(1-EXP(-LN(2)/2))/(LN(2)/2)*CG139*CJ139*VLOOKUP('Données projet'!$B$12,Paramètres!$A$1:$I$88,3,0)*0.475*44/12</f>
        <v>0</v>
      </c>
      <c r="CN139" s="24">
        <f t="shared" si="120"/>
        <v>78.050044126832276</v>
      </c>
      <c r="CO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5.833333333333333</v>
      </c>
      <c r="CT139" s="13">
        <f>IF('Données projet'!$A$140&gt;35,CT138+CS139-DB138,IF(A139&lt;'Données projet'!$A$140,$CQ$205^A139,IF(A139='Données projet'!$A$140,'Données projet'!$B$140,CT138+CS139-DB138)))</f>
        <v>286.83333333333331</v>
      </c>
      <c r="CU139" s="18">
        <f>CT139*VLOOKUP('Données projet'!$B$13,Paramètres!$A$1:$I$88,3,0)*VLOOKUP('Données projet'!$B$13,Paramètres!$A$1:$I$88,5,0)</f>
        <v>277.42519999999996</v>
      </c>
      <c r="CV139" s="14">
        <f t="shared" si="149"/>
        <v>66.422587410104271</v>
      </c>
      <c r="CW139" s="22">
        <f t="shared" si="121"/>
        <v>598.86822973926485</v>
      </c>
      <c r="CX139" s="59">
        <f t="shared" si="122"/>
        <v>892.20156307259822</v>
      </c>
      <c r="CY139" s="59">
        <f ca="1">AVERAGE(OFFSET($CX$3,0,0,'Données projet'!$E$13+1,1))-AVERAGE(OFFSET($H$3,0,0,'Données projet'!$E$13+1,1))</f>
        <v>306.00894145276209</v>
      </c>
      <c r="CZ139" s="59">
        <f t="shared" si="150"/>
        <v>168.74705421228828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47.984603094789335</v>
      </c>
      <c r="DG139" s="23">
        <f>EXP(-LN(2)/25)*DG138+(1-EXP(-LN(2)/25))/(LN(2)/25)*Calculateur!DB139*Calculateur!DD139*VLOOKUP('Données projet'!$B$13,Paramètres!$A$1:$I$88,3,0)*0.475*44/12</f>
        <v>0</v>
      </c>
      <c r="DH139" s="23">
        <f>EXP(-LN(2)/2)*DH138+(1-EXP(-LN(2)/2))/(LN(2)/2)*DB139*DE139*VLOOKUP('Données projet'!$B$13,Paramètres!$A$1:$I$88,3,0)*0.475*44/12</f>
        <v>0</v>
      </c>
      <c r="DI139" s="24">
        <f t="shared" si="123"/>
        <v>47.984603094789335</v>
      </c>
      <c r="DJ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-3.4106051316484809E-13</v>
      </c>
      <c r="DP139" s="18">
        <f>DO139*VLOOKUP('Données projet'!$B$14,Paramètres!$A$1:$I$88,3,0)*VLOOKUP('Données projet'!$B$14,Paramètres!$A$1:$I$88,5,0)</f>
        <v>-2.6602720026858149E-13</v>
      </c>
      <c r="DQ139" s="14" t="e">
        <f t="shared" si="151"/>
        <v>#NUM!</v>
      </c>
      <c r="DR139" s="22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458.14328535055694</v>
      </c>
      <c r="DU139" s="59">
        <f t="shared" si="152"/>
        <v>366.75500153675739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projet'!$B$14,Paramètres!$A$1:$I$88,3,0)*0.475*44/12</f>
        <v>73.632117100785266</v>
      </c>
      <c r="EB139" s="23">
        <f>EXP(-LN(2)/25)*EB138+(1-EXP(-LN(2)/25))/(LN(2)/25)*Calculateur!DW139*Calculateur!DY139*VLOOKUP('Données projet'!$B$14,Paramètres!$A$1:$I$88,3,0)*0.475*44/12</f>
        <v>0</v>
      </c>
      <c r="EC139" s="23">
        <f>EXP(-LN(2)/2)*EC138+(1-EXP(-LN(2)/2))/(LN(2)/2)*DW139*DZ139*VLOOKUP('Données projet'!$B$14,Paramètres!$A$1:$I$88,3,0)*0.475*44/12</f>
        <v>0</v>
      </c>
      <c r="ED139" s="24">
        <f t="shared" si="126"/>
        <v>73.632117100785266</v>
      </c>
      <c r="EE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4.5474735088646412E-13</v>
      </c>
      <c r="EK139" s="18">
        <f>EJ139*VLOOKUP('Données projet'!$B$15,Paramètres!$A$1:$I$88,3,0)*VLOOKUP('Données projet'!$B$15,Paramètres!$A$1:$I$88,5,0)</f>
        <v>3.9017322706058626E-13</v>
      </c>
      <c r="EL139" s="14">
        <f t="shared" si="153"/>
        <v>5.0025007393608908E-12</v>
      </c>
      <c r="EM139" s="22">
        <f t="shared" si="127"/>
        <v>9.3922404915174053E-12</v>
      </c>
      <c r="EN139" s="59">
        <f t="shared" si="128"/>
        <v>293.33333333334269</v>
      </c>
      <c r="EO139" s="59">
        <f ca="1">AVERAGE(OFFSET($EN$3,0,0,'Données projet'!$E$15+1,1))-AVERAGE(OFFSET($H$3,0,0,'Données projet'!$E$15+1,1))</f>
        <v>462.99360395552145</v>
      </c>
      <c r="EP139" s="59">
        <f t="shared" si="154"/>
        <v>153.03880717786046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projet'!$B$15,Paramètres!$A$1:$I$88,3,0)*0.475*44/12</f>
        <v>128.16752897645213</v>
      </c>
      <c r="EW139" s="23">
        <f>EXP(-LN(2)/25)*EW138+(1-EXP(-LN(2)/25))/(LN(2)/25)*Calculateur!ER139*Calculateur!ET139*VLOOKUP('Données projet'!$B$15,Paramètres!$A$1:$I$88,3,0)*0.475*44/12</f>
        <v>0</v>
      </c>
      <c r="EX139" s="23">
        <f>EXP(-LN(2)/2)*EX138+(1-EXP(-LN(2)/2))/(LN(2)/2)*ER139*EU139*VLOOKUP('Données projet'!$B$15,Paramètres!$A$1:$I$88,3,0)*0.475*44/12</f>
        <v>0</v>
      </c>
      <c r="EY139" s="24">
        <f t="shared" si="129"/>
        <v>128.16752897645213</v>
      </c>
      <c r="EZ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2.2737367544323206E-13</v>
      </c>
      <c r="FF139" s="18">
        <f>FE139*VLOOKUP('Données projet'!$B$16,Paramètres!$A$1:$I$88,3,0)*VLOOKUP('Données projet'!$B$16,Paramètres!$A$1:$I$88,5,0)</f>
        <v>1.9863364286720756E-13</v>
      </c>
      <c r="FG139" s="14">
        <f t="shared" si="155"/>
        <v>2.7549360720371426E-12</v>
      </c>
      <c r="FH139" s="22">
        <f t="shared" si="130"/>
        <v>5.144133920125077E-12</v>
      </c>
      <c r="FI139" s="59">
        <f t="shared" si="131"/>
        <v>293.33333333333843</v>
      </c>
      <c r="FJ139" s="59">
        <f ca="1">AVERAGE(OFFSET($FI$3,0,0,'Données projet'!$E$16+1,1))-AVERAGE(OFFSET($H$3,0,0,'Données projet'!$E$16+1,1))</f>
        <v>427.76895185088944</v>
      </c>
      <c r="FK139" s="59">
        <f t="shared" si="156"/>
        <v>308.32543361559135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projet'!$B$16,Paramètres!$A$1:$I$88,3,0)*0.475*44/12</f>
        <v>104.08514463343633</v>
      </c>
      <c r="FR139" s="23">
        <f>EXP(-LN(2)/25)*FR138+(1-EXP(-LN(2)/25))/(LN(2)/25)*Calculateur!FM139*Calculateur!FO139*VLOOKUP('Données projet'!$B$16,Paramètres!$A$1:$I$88,3,0)*0.475*44/12</f>
        <v>0</v>
      </c>
      <c r="FS139" s="23">
        <f>EXP(-LN(2)/2)*FS138+(1-EXP(-LN(2)/2))/(LN(2)/2)*FM139*FP139*VLOOKUP('Données projet'!$B$16,Paramètres!$A$1:$I$88,3,0)*0.475*44/12</f>
        <v>0</v>
      </c>
      <c r="FT139" s="24">
        <f t="shared" si="132"/>
        <v>104.08514463343633</v>
      </c>
      <c r="FU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333.00000000000006</v>
      </c>
      <c r="GA139" s="18">
        <f>FZ139*VLOOKUP('Données projet'!$B$17,Paramètres!$A$1:$I$88,3,0)*VLOOKUP('Données projet'!$B$17,Paramètres!$A$1:$I$88,5,0)</f>
        <v>207.79200000000006</v>
      </c>
      <c r="GB139" s="14">
        <f t="shared" si="157"/>
        <v>51.452785725007907</v>
      </c>
      <c r="GC139" s="22">
        <f t="shared" si="133"/>
        <v>451.5180018043888</v>
      </c>
      <c r="GD139" s="59">
        <f t="shared" si="134"/>
        <v>744.85133513772212</v>
      </c>
      <c r="GE139" s="59">
        <f ca="1">AVERAGE(OFFSET($GD$3,0,0,'Données projet'!$E$17+1,1))-AVERAGE(OFFSET($H$3,0,0,'Données projet'!$E$17+1,1))</f>
        <v>247.85542034088905</v>
      </c>
      <c r="GF139" s="59">
        <f t="shared" si="158"/>
        <v>299.52241743660352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projet'!$B$17,Paramètres!$A$1:$I$88,3,0)*0.475*44/12</f>
        <v>8.2478565177727177</v>
      </c>
      <c r="GM139" s="23">
        <f>EXP(-LN(2)/25)*GM138+(1-EXP(-LN(2)/25))/(LN(2)/25)*Calculateur!GH139*Calculateur!GJ139*VLOOKUP('Données projet'!$B$17,Paramètres!$A$1:$I$88,3,0)*0.475*44/12</f>
        <v>4.6233102994319886</v>
      </c>
      <c r="GN139" s="23">
        <f>EXP(-LN(2)/2)*GN138+(1-EXP(-LN(2)/2))/(LN(2)/2)*GH139*GK139*VLOOKUP('Données projet'!$B$17,Paramètres!$A$1:$I$88,3,0)*0.475*44/12</f>
        <v>1.5571315531427524E-10</v>
      </c>
      <c r="GO139" s="23">
        <f t="shared" si="135"/>
        <v>12.87116681736042</v>
      </c>
      <c r="GP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3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6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5.833333333333333</v>
      </c>
      <c r="N140" s="14">
        <f>IF('Données projet'!$A$36&gt;35,N139+M140-V139,IF(A140&lt;'Données projet'!$A$36,$K$205^A140,IF(A140='Données projet'!$A$36,'Données projet'!$B$36,N139+M140-V139)))</f>
        <v>292.66666666666663</v>
      </c>
      <c r="O140" s="14">
        <f>N140*VLOOKUP('Données projet'!$B$9,Paramètres!$A$1:$I$88,3,0)*VLOOKUP('Données projet'!$B$9,Paramètres!$A$1:$I$88,5,0)</f>
        <v>264.80479999999994</v>
      </c>
      <c r="P140" s="14">
        <f t="shared" si="141"/>
        <v>63.745473099622998</v>
      </c>
      <c r="Q140" s="22">
        <f t="shared" si="108"/>
        <v>572.22505898184329</v>
      </c>
      <c r="R140" s="59">
        <f t="shared" si="109"/>
        <v>865.55839231517666</v>
      </c>
      <c r="S140" s="59">
        <f ca="1">AVERAGE(OFFSET($R$3,0,0,'Données projet'!$E$9+1,1))-AVERAGE(OFFSET($H$3,0,0,'Données projet'!$E$9+1,1))</f>
        <v>247.57967230773539</v>
      </c>
      <c r="T140" s="59">
        <f t="shared" si="142"/>
        <v>156.58857589533295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44.008579825120471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44.008579825120471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-3.4106051316484809E-13</v>
      </c>
      <c r="AJ140" s="14">
        <f>AI140*VLOOKUP('Données projet'!$B$10,Paramètres!$A$1:$I$88,3,0)*VLOOKUP('Données projet'!$B$10,Paramètres!$A$1:$I$88,5,0)</f>
        <v>-2.7134774427395314E-13</v>
      </c>
      <c r="AK140" s="14" t="e">
        <f t="shared" si="143"/>
        <v>#NUM!</v>
      </c>
      <c r="AL140" s="22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504.15006129790828</v>
      </c>
      <c r="AO140" s="59">
        <f t="shared" si="144"/>
        <v>374.39334457402742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116.05726801719808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116.05726801719808</v>
      </c>
      <c r="AY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-3.4106051316484809E-13</v>
      </c>
      <c r="BE140" s="14">
        <f>BD140*VLOOKUP('Données projet'!$B$11,Paramètres!$A$1:$I$88,3,0)*VLOOKUP('Données projet'!$B$11,Paramètres!$A$1:$I$88,5,0)</f>
        <v>-2.7134774427395314E-13</v>
      </c>
      <c r="BF140" s="14" t="e">
        <f t="shared" si="145"/>
        <v>#NUM!</v>
      </c>
      <c r="BG140" s="22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504.15006129790828</v>
      </c>
      <c r="BJ140" s="59">
        <f t="shared" si="146"/>
        <v>374.39334457402742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116.05726801719808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116.05726801719808</v>
      </c>
      <c r="BT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-3.4106051316484809E-13</v>
      </c>
      <c r="BZ140" s="14">
        <f>BY140*VLOOKUP('Données projet'!$B$12,Paramètres!$A$1:$I$88,3,0)*VLOOKUP('Données projet'!$B$12,Paramètres!$A$1:$I$88,5,0)</f>
        <v>-2.2878339223098009E-13</v>
      </c>
      <c r="CA140" s="14" t="e">
        <f t="shared" si="147"/>
        <v>#NUM!</v>
      </c>
      <c r="CB140" s="22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387.15063677712425</v>
      </c>
      <c r="CE140" s="59">
        <f t="shared" si="148"/>
        <v>313.19155394370705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76.519530367331328</v>
      </c>
      <c r="CL140" s="23">
        <f>EXP(-LN(2)/25)*CL139+(1-EXP(-LN(2)/25))/(LN(2)/25)*Calculateur!CG140*Calculateur!CI140*VLOOKUP('Données projet'!$B$12,Paramètres!$A$1:$I$88,3,0)*0.475*44/12</f>
        <v>0</v>
      </c>
      <c r="CM140" s="23">
        <f>EXP(-LN(2)/2)*CM139+(1-EXP(-LN(2)/2))/(LN(2)/2)*CG140*CJ140*VLOOKUP('Données projet'!$B$12,Paramètres!$A$1:$I$88,3,0)*0.475*44/12</f>
        <v>0</v>
      </c>
      <c r="CN140" s="24">
        <f t="shared" si="120"/>
        <v>76.519530367331328</v>
      </c>
      <c r="CO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5.833333333333333</v>
      </c>
      <c r="CT140" s="13">
        <f>IF('Données projet'!$A$140&gt;35,CT139+CS140-DB139,IF(A140&lt;'Données projet'!$A$140,$CQ$205^A140,IF(A140='Données projet'!$A$140,'Données projet'!$B$140,CT139+CS140-DB139)))</f>
        <v>292.66666666666663</v>
      </c>
      <c r="CU140" s="18">
        <f>CT140*VLOOKUP('Données projet'!$B$13,Paramètres!$A$1:$I$88,3,0)*VLOOKUP('Données projet'!$B$13,Paramètres!$A$1:$I$88,5,0)</f>
        <v>283.06720000000001</v>
      </c>
      <c r="CV140" s="14">
        <f t="shared" si="149"/>
        <v>67.614784842441424</v>
      </c>
      <c r="CW140" s="22">
        <f t="shared" si="121"/>
        <v>610.77112360058561</v>
      </c>
      <c r="CX140" s="59">
        <f t="shared" si="122"/>
        <v>904.10445693391898</v>
      </c>
      <c r="CY140" s="59">
        <f ca="1">AVERAGE(OFFSET($CX$3,0,0,'Données projet'!$E$13+1,1))-AVERAGE(OFFSET($H$3,0,0,'Données projet'!$E$13+1,1))</f>
        <v>306.00894145276209</v>
      </c>
      <c r="CZ140" s="59">
        <f t="shared" si="150"/>
        <v>168.74705421228828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47.043654295818456</v>
      </c>
      <c r="DG140" s="23">
        <f>EXP(-LN(2)/25)*DG139+(1-EXP(-LN(2)/25))/(LN(2)/25)*Calculateur!DB140*Calculateur!DD140*VLOOKUP('Données projet'!$B$13,Paramètres!$A$1:$I$88,3,0)*0.475*44/12</f>
        <v>0</v>
      </c>
      <c r="DH140" s="23">
        <f>EXP(-LN(2)/2)*DH139+(1-EXP(-LN(2)/2))/(LN(2)/2)*DB140*DE140*VLOOKUP('Données projet'!$B$13,Paramètres!$A$1:$I$88,3,0)*0.475*44/12</f>
        <v>0</v>
      </c>
      <c r="DI140" s="24">
        <f t="shared" si="123"/>
        <v>47.043654295818456</v>
      </c>
      <c r="DJ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-3.4106051316484809E-13</v>
      </c>
      <c r="DP140" s="18">
        <f>DO140*VLOOKUP('Données projet'!$B$14,Paramètres!$A$1:$I$88,3,0)*VLOOKUP('Données projet'!$B$14,Paramètres!$A$1:$I$88,5,0)</f>
        <v>-2.6602720026858149E-13</v>
      </c>
      <c r="DQ140" s="14" t="e">
        <f t="shared" si="151"/>
        <v>#NUM!</v>
      </c>
      <c r="DR140" s="22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458.14328535055694</v>
      </c>
      <c r="DU140" s="59">
        <f t="shared" si="152"/>
        <v>366.75500153675739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projet'!$B$14,Paramètres!$A$1:$I$88,3,0)*0.475*44/12</f>
        <v>72.188236195595692</v>
      </c>
      <c r="EB140" s="23">
        <f>EXP(-LN(2)/25)*EB139+(1-EXP(-LN(2)/25))/(LN(2)/25)*Calculateur!DW140*Calculateur!DY140*VLOOKUP('Données projet'!$B$14,Paramètres!$A$1:$I$88,3,0)*0.475*44/12</f>
        <v>0</v>
      </c>
      <c r="EC140" s="23">
        <f>EXP(-LN(2)/2)*EC139+(1-EXP(-LN(2)/2))/(LN(2)/2)*DW140*DZ140*VLOOKUP('Données projet'!$B$14,Paramètres!$A$1:$I$88,3,0)*0.475*44/12</f>
        <v>0</v>
      </c>
      <c r="ED140" s="24">
        <f t="shared" si="126"/>
        <v>72.188236195595692</v>
      </c>
      <c r="EE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4.5474735088646412E-13</v>
      </c>
      <c r="EK140" s="18">
        <f>EJ140*VLOOKUP('Données projet'!$B$15,Paramètres!$A$1:$I$88,3,0)*VLOOKUP('Données projet'!$B$15,Paramètres!$A$1:$I$88,5,0)</f>
        <v>3.9017322706058626E-13</v>
      </c>
      <c r="EL140" s="14">
        <f t="shared" si="153"/>
        <v>5.0025007393608908E-12</v>
      </c>
      <c r="EM140" s="22">
        <f t="shared" si="127"/>
        <v>9.3922404915174053E-12</v>
      </c>
      <c r="EN140" s="59">
        <f t="shared" si="128"/>
        <v>293.33333333334269</v>
      </c>
      <c r="EO140" s="59">
        <f ca="1">AVERAGE(OFFSET($EN$3,0,0,'Données projet'!$E$15+1,1))-AVERAGE(OFFSET($H$3,0,0,'Données projet'!$E$15+1,1))</f>
        <v>462.99360395552145</v>
      </c>
      <c r="EP140" s="59">
        <f t="shared" si="154"/>
        <v>153.03880717786046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projet'!$B$15,Paramètres!$A$1:$I$88,3,0)*0.475*44/12</f>
        <v>125.6542419076975</v>
      </c>
      <c r="EW140" s="23">
        <f>EXP(-LN(2)/25)*EW139+(1-EXP(-LN(2)/25))/(LN(2)/25)*Calculateur!ER140*Calculateur!ET140*VLOOKUP('Données projet'!$B$15,Paramètres!$A$1:$I$88,3,0)*0.475*44/12</f>
        <v>0</v>
      </c>
      <c r="EX140" s="23">
        <f>EXP(-LN(2)/2)*EX139+(1-EXP(-LN(2)/2))/(LN(2)/2)*ER140*EU140*VLOOKUP('Données projet'!$B$15,Paramètres!$A$1:$I$88,3,0)*0.475*44/12</f>
        <v>0</v>
      </c>
      <c r="EY140" s="24">
        <f t="shared" si="129"/>
        <v>125.6542419076975</v>
      </c>
      <c r="EZ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2.2737367544323206E-13</v>
      </c>
      <c r="FF140" s="18">
        <f>FE140*VLOOKUP('Données projet'!$B$16,Paramètres!$A$1:$I$88,3,0)*VLOOKUP('Données projet'!$B$16,Paramètres!$A$1:$I$88,5,0)</f>
        <v>1.9863364286720756E-13</v>
      </c>
      <c r="FG140" s="14">
        <f t="shared" si="155"/>
        <v>2.7549360720371426E-12</v>
      </c>
      <c r="FH140" s="22">
        <f t="shared" si="130"/>
        <v>5.144133920125077E-12</v>
      </c>
      <c r="FI140" s="59">
        <f t="shared" si="131"/>
        <v>293.33333333333843</v>
      </c>
      <c r="FJ140" s="59">
        <f ca="1">AVERAGE(OFFSET($FI$3,0,0,'Données projet'!$E$16+1,1))-AVERAGE(OFFSET($H$3,0,0,'Données projet'!$E$16+1,1))</f>
        <v>427.76895185088944</v>
      </c>
      <c r="FK140" s="59">
        <f t="shared" si="156"/>
        <v>308.32543361559135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projet'!$B$16,Paramètres!$A$1:$I$88,3,0)*0.475*44/12</f>
        <v>102.04409843284418</v>
      </c>
      <c r="FR140" s="23">
        <f>EXP(-LN(2)/25)*FR139+(1-EXP(-LN(2)/25))/(LN(2)/25)*Calculateur!FM140*Calculateur!FO140*VLOOKUP('Données projet'!$B$16,Paramètres!$A$1:$I$88,3,0)*0.475*44/12</f>
        <v>0</v>
      </c>
      <c r="FS140" s="23">
        <f>EXP(-LN(2)/2)*FS139+(1-EXP(-LN(2)/2))/(LN(2)/2)*FM140*FP140*VLOOKUP('Données projet'!$B$16,Paramètres!$A$1:$I$88,3,0)*0.475*44/12</f>
        <v>0</v>
      </c>
      <c r="FT140" s="24">
        <f t="shared" si="132"/>
        <v>102.04409843284418</v>
      </c>
      <c r="FU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333.00000000000006</v>
      </c>
      <c r="GA140" s="18">
        <f>FZ140*VLOOKUP('Données projet'!$B$17,Paramètres!$A$1:$I$88,3,0)*VLOOKUP('Données projet'!$B$17,Paramètres!$A$1:$I$88,5,0)</f>
        <v>207.79200000000006</v>
      </c>
      <c r="GB140" s="14">
        <f t="shared" si="157"/>
        <v>51.452785725007907</v>
      </c>
      <c r="GC140" s="22">
        <f t="shared" si="133"/>
        <v>451.5180018043888</v>
      </c>
      <c r="GD140" s="59">
        <f t="shared" si="134"/>
        <v>744.85133513772212</v>
      </c>
      <c r="GE140" s="59">
        <f ca="1">AVERAGE(OFFSET($GD$3,0,0,'Données projet'!$E$17+1,1))-AVERAGE(OFFSET($H$3,0,0,'Données projet'!$E$17+1,1))</f>
        <v>247.85542034088905</v>
      </c>
      <c r="GF140" s="59">
        <f t="shared" si="158"/>
        <v>299.52241743660352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projet'!$B$17,Paramètres!$A$1:$I$88,3,0)*0.475*44/12</f>
        <v>8.0861210821549303</v>
      </c>
      <c r="GM140" s="23">
        <f>EXP(-LN(2)/25)*GM139+(1-EXP(-LN(2)/25))/(LN(2)/25)*Calculateur!GH140*Calculateur!GJ140*VLOOKUP('Données projet'!$B$17,Paramètres!$A$1:$I$88,3,0)*0.475*44/12</f>
        <v>4.4968856361646985</v>
      </c>
      <c r="GN140" s="23">
        <f>EXP(-LN(2)/2)*GN139+(1-EXP(-LN(2)/2))/(LN(2)/2)*GH140*GK140*VLOOKUP('Données projet'!$B$17,Paramètres!$A$1:$I$88,3,0)*0.475*44/12</f>
        <v>1.1010582804267812E-10</v>
      </c>
      <c r="GO140" s="23">
        <f t="shared" si="135"/>
        <v>12.583006718429735</v>
      </c>
      <c r="GP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3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6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5.833333333333333</v>
      </c>
      <c r="N141" s="14">
        <f>IF('Données projet'!$A$36&gt;35,N140+M141-V140,IF(A141&lt;'Données projet'!$A$36,$K$205^A141,IF(A141='Données projet'!$A$36,'Données projet'!$B$36,N140+M141-V140)))</f>
        <v>298.49999999999994</v>
      </c>
      <c r="O141" s="14">
        <f>N141*VLOOKUP('Données projet'!$B$9,Paramètres!$A$1:$I$88,3,0)*VLOOKUP('Données projet'!$B$9,Paramètres!$A$1:$I$88,5,0)</f>
        <v>270.08279999999996</v>
      </c>
      <c r="P141" s="14">
        <f t="shared" si="141"/>
        <v>64.866841223976735</v>
      </c>
      <c r="Q141" s="22">
        <f t="shared" si="108"/>
        <v>583.37062513175931</v>
      </c>
      <c r="R141" s="59">
        <f t="shared" si="109"/>
        <v>876.70395846509268</v>
      </c>
      <c r="S141" s="59">
        <f ca="1">AVERAGE(OFFSET($R$3,0,0,'Données projet'!$E$9+1,1))-AVERAGE(OFFSET($H$3,0,0,'Données projet'!$E$9+1,1))</f>
        <v>247.57967230773539</v>
      </c>
      <c r="T141" s="59">
        <f t="shared" si="142"/>
        <v>156.58857589533295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43.145598417333069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43.145598417333069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-3.4106051316484809E-13</v>
      </c>
      <c r="AJ141" s="14">
        <f>AI141*VLOOKUP('Données projet'!$B$10,Paramètres!$A$1:$I$88,3,0)*VLOOKUP('Données projet'!$B$10,Paramètres!$A$1:$I$88,5,0)</f>
        <v>-2.7134774427395314E-13</v>
      </c>
      <c r="AK141" s="14" t="e">
        <f t="shared" si="143"/>
        <v>#NUM!</v>
      </c>
      <c r="AL141" s="22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504.15006129790828</v>
      </c>
      <c r="AO141" s="59">
        <f t="shared" si="144"/>
        <v>374.39334457402742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113.78145577932459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113.78145577932459</v>
      </c>
      <c r="AY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-3.4106051316484809E-13</v>
      </c>
      <c r="BE141" s="14">
        <f>BD141*VLOOKUP('Données projet'!$B$11,Paramètres!$A$1:$I$88,3,0)*VLOOKUP('Données projet'!$B$11,Paramètres!$A$1:$I$88,5,0)</f>
        <v>-2.7134774427395314E-13</v>
      </c>
      <c r="BF141" s="14" t="e">
        <f t="shared" si="145"/>
        <v>#NUM!</v>
      </c>
      <c r="BG141" s="22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504.15006129790828</v>
      </c>
      <c r="BJ141" s="59">
        <f t="shared" si="146"/>
        <v>374.39334457402742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113.78145577932459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113.78145577932459</v>
      </c>
      <c r="BT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-3.4106051316484809E-13</v>
      </c>
      <c r="BZ141" s="14">
        <f>BY141*VLOOKUP('Données projet'!$B$12,Paramètres!$A$1:$I$88,3,0)*VLOOKUP('Données projet'!$B$12,Paramètres!$A$1:$I$88,5,0)</f>
        <v>-2.2878339223098009E-13</v>
      </c>
      <c r="CA141" s="14" t="e">
        <f t="shared" si="147"/>
        <v>#NUM!</v>
      </c>
      <c r="CB141" s="22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387.15063677712425</v>
      </c>
      <c r="CE141" s="59">
        <f t="shared" si="148"/>
        <v>313.19155394370705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75.019029049132982</v>
      </c>
      <c r="CL141" s="23">
        <f>EXP(-LN(2)/25)*CL140+(1-EXP(-LN(2)/25))/(LN(2)/25)*Calculateur!CG141*Calculateur!CI141*VLOOKUP('Données projet'!$B$12,Paramètres!$A$1:$I$88,3,0)*0.475*44/12</f>
        <v>0</v>
      </c>
      <c r="CM141" s="23">
        <f>EXP(-LN(2)/2)*CM140+(1-EXP(-LN(2)/2))/(LN(2)/2)*CG141*CJ141*VLOOKUP('Données projet'!$B$12,Paramètres!$A$1:$I$88,3,0)*0.475*44/12</f>
        <v>0</v>
      </c>
      <c r="CN141" s="24">
        <f t="shared" si="120"/>
        <v>75.019029049132982</v>
      </c>
      <c r="CO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5.833333333333333</v>
      </c>
      <c r="CT141" s="13">
        <f>IF('Données projet'!$A$140&gt;35,CT140+CS141-DB140,IF(A141&lt;'Données projet'!$A$140,$CQ$205^A141,IF(A141='Données projet'!$A$140,'Données projet'!$B$140,CT140+CS141-DB140)))</f>
        <v>298.49999999999994</v>
      </c>
      <c r="CU141" s="18">
        <f>CT141*VLOOKUP('Données projet'!$B$13,Paramètres!$A$1:$I$88,3,0)*VLOOKUP('Données projet'!$B$13,Paramètres!$A$1:$I$88,5,0)</f>
        <v>288.70919999999995</v>
      </c>
      <c r="CV141" s="14">
        <f t="shared" si="149"/>
        <v>68.804219335128607</v>
      </c>
      <c r="CW141" s="22">
        <f t="shared" si="121"/>
        <v>622.66920534201552</v>
      </c>
      <c r="CX141" s="59">
        <f t="shared" si="122"/>
        <v>916.00253867534889</v>
      </c>
      <c r="CY141" s="59">
        <f ca="1">AVERAGE(OFFSET($CX$3,0,0,'Données projet'!$E$13+1,1))-AVERAGE(OFFSET($H$3,0,0,'Données projet'!$E$13+1,1))</f>
        <v>306.00894145276209</v>
      </c>
      <c r="CZ141" s="59">
        <f t="shared" si="150"/>
        <v>168.74705421228828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46.121156928873297</v>
      </c>
      <c r="DG141" s="23">
        <f>EXP(-LN(2)/25)*DG140+(1-EXP(-LN(2)/25))/(LN(2)/25)*Calculateur!DB141*Calculateur!DD141*VLOOKUP('Données projet'!$B$13,Paramètres!$A$1:$I$88,3,0)*0.475*44/12</f>
        <v>0</v>
      </c>
      <c r="DH141" s="23">
        <f>EXP(-LN(2)/2)*DH140+(1-EXP(-LN(2)/2))/(LN(2)/2)*DB141*DE141*VLOOKUP('Données projet'!$B$13,Paramètres!$A$1:$I$88,3,0)*0.475*44/12</f>
        <v>0</v>
      </c>
      <c r="DI141" s="24">
        <f t="shared" si="123"/>
        <v>46.121156928873297</v>
      </c>
      <c r="DJ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-3.4106051316484809E-13</v>
      </c>
      <c r="DP141" s="18">
        <f>DO141*VLOOKUP('Données projet'!$B$14,Paramètres!$A$1:$I$88,3,0)*VLOOKUP('Données projet'!$B$14,Paramètres!$A$1:$I$88,5,0)</f>
        <v>-2.6602720026858149E-13</v>
      </c>
      <c r="DQ141" s="14" t="e">
        <f t="shared" si="151"/>
        <v>#NUM!</v>
      </c>
      <c r="DR141" s="22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458.14328535055694</v>
      </c>
      <c r="DU141" s="59">
        <f t="shared" si="152"/>
        <v>366.75500153675739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projet'!$B$14,Paramètres!$A$1:$I$88,3,0)*0.475*44/12</f>
        <v>70.772668914276494</v>
      </c>
      <c r="EB141" s="23">
        <f>EXP(-LN(2)/25)*EB140+(1-EXP(-LN(2)/25))/(LN(2)/25)*Calculateur!DW141*Calculateur!DY141*VLOOKUP('Données projet'!$B$14,Paramètres!$A$1:$I$88,3,0)*0.475*44/12</f>
        <v>0</v>
      </c>
      <c r="EC141" s="23">
        <f>EXP(-LN(2)/2)*EC140+(1-EXP(-LN(2)/2))/(LN(2)/2)*DW141*DZ141*VLOOKUP('Données projet'!$B$14,Paramètres!$A$1:$I$88,3,0)*0.475*44/12</f>
        <v>0</v>
      </c>
      <c r="ED141" s="24">
        <f t="shared" si="126"/>
        <v>70.772668914276494</v>
      </c>
      <c r="EE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4.5474735088646412E-13</v>
      </c>
      <c r="EK141" s="18">
        <f>EJ141*VLOOKUP('Données projet'!$B$15,Paramètres!$A$1:$I$88,3,0)*VLOOKUP('Données projet'!$B$15,Paramètres!$A$1:$I$88,5,0)</f>
        <v>3.9017322706058626E-13</v>
      </c>
      <c r="EL141" s="14">
        <f t="shared" si="153"/>
        <v>5.0025007393608908E-12</v>
      </c>
      <c r="EM141" s="22">
        <f t="shared" si="127"/>
        <v>9.3922404915174053E-12</v>
      </c>
      <c r="EN141" s="59">
        <f t="shared" si="128"/>
        <v>293.33333333334269</v>
      </c>
      <c r="EO141" s="59">
        <f ca="1">AVERAGE(OFFSET($EN$3,0,0,'Données projet'!$E$15+1,1))-AVERAGE(OFFSET($H$3,0,0,'Données projet'!$E$15+1,1))</f>
        <v>462.99360395552145</v>
      </c>
      <c r="EP141" s="59">
        <f t="shared" si="154"/>
        <v>153.03880717786046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projet'!$B$15,Paramètres!$A$1:$I$88,3,0)*0.475*44/12</f>
        <v>123.19023886540739</v>
      </c>
      <c r="EW141" s="23">
        <f>EXP(-LN(2)/25)*EW140+(1-EXP(-LN(2)/25))/(LN(2)/25)*Calculateur!ER141*Calculateur!ET141*VLOOKUP('Données projet'!$B$15,Paramètres!$A$1:$I$88,3,0)*0.475*44/12</f>
        <v>0</v>
      </c>
      <c r="EX141" s="23">
        <f>EXP(-LN(2)/2)*EX140+(1-EXP(-LN(2)/2))/(LN(2)/2)*ER141*EU141*VLOOKUP('Données projet'!$B$15,Paramètres!$A$1:$I$88,3,0)*0.475*44/12</f>
        <v>0</v>
      </c>
      <c r="EY141" s="24">
        <f t="shared" si="129"/>
        <v>123.19023886540739</v>
      </c>
      <c r="EZ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2.2737367544323206E-13</v>
      </c>
      <c r="FF141" s="18">
        <f>FE141*VLOOKUP('Données projet'!$B$16,Paramètres!$A$1:$I$88,3,0)*VLOOKUP('Données projet'!$B$16,Paramètres!$A$1:$I$88,5,0)</f>
        <v>1.9863364286720756E-13</v>
      </c>
      <c r="FG141" s="14">
        <f t="shared" si="155"/>
        <v>2.7549360720371426E-12</v>
      </c>
      <c r="FH141" s="22">
        <f t="shared" si="130"/>
        <v>5.144133920125077E-12</v>
      </c>
      <c r="FI141" s="59">
        <f t="shared" si="131"/>
        <v>293.33333333333843</v>
      </c>
      <c r="FJ141" s="59">
        <f ca="1">AVERAGE(OFFSET($FI$3,0,0,'Données projet'!$E$16+1,1))-AVERAGE(OFFSET($H$3,0,0,'Données projet'!$E$16+1,1))</f>
        <v>427.76895185088944</v>
      </c>
      <c r="FK141" s="59">
        <f t="shared" si="156"/>
        <v>308.32543361559135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projet'!$B$16,Paramètres!$A$1:$I$88,3,0)*0.475*44/12</f>
        <v>100.04307590333039</v>
      </c>
      <c r="FR141" s="23">
        <f>EXP(-LN(2)/25)*FR140+(1-EXP(-LN(2)/25))/(LN(2)/25)*Calculateur!FM141*Calculateur!FO141*VLOOKUP('Données projet'!$B$16,Paramètres!$A$1:$I$88,3,0)*0.475*44/12</f>
        <v>0</v>
      </c>
      <c r="FS141" s="23">
        <f>EXP(-LN(2)/2)*FS140+(1-EXP(-LN(2)/2))/(LN(2)/2)*FM141*FP141*VLOOKUP('Données projet'!$B$16,Paramètres!$A$1:$I$88,3,0)*0.475*44/12</f>
        <v>0</v>
      </c>
      <c r="FT141" s="24">
        <f t="shared" si="132"/>
        <v>100.04307590333039</v>
      </c>
      <c r="FU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333.00000000000006</v>
      </c>
      <c r="GA141" s="18">
        <f>FZ141*VLOOKUP('Données projet'!$B$17,Paramètres!$A$1:$I$88,3,0)*VLOOKUP('Données projet'!$B$17,Paramètres!$A$1:$I$88,5,0)</f>
        <v>207.79200000000006</v>
      </c>
      <c r="GB141" s="14">
        <f t="shared" si="157"/>
        <v>51.452785725007907</v>
      </c>
      <c r="GC141" s="22">
        <f t="shared" si="133"/>
        <v>451.5180018043888</v>
      </c>
      <c r="GD141" s="59">
        <f t="shared" si="134"/>
        <v>744.85133513772212</v>
      </c>
      <c r="GE141" s="59">
        <f ca="1">AVERAGE(OFFSET($GD$3,0,0,'Données projet'!$E$17+1,1))-AVERAGE(OFFSET($H$3,0,0,'Données projet'!$E$17+1,1))</f>
        <v>247.85542034088905</v>
      </c>
      <c r="GF141" s="59">
        <f t="shared" si="158"/>
        <v>299.52241743660352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projet'!$B$17,Paramètres!$A$1:$I$88,3,0)*0.475*44/12</f>
        <v>7.9275571797807327</v>
      </c>
      <c r="GM141" s="23">
        <f>EXP(-LN(2)/25)*GM140+(1-EXP(-LN(2)/25))/(LN(2)/25)*Calculateur!GH141*Calculateur!GJ141*VLOOKUP('Données projet'!$B$17,Paramètres!$A$1:$I$88,3,0)*0.475*44/12</f>
        <v>4.3739180619628373</v>
      </c>
      <c r="GN141" s="23">
        <f>EXP(-LN(2)/2)*GN140+(1-EXP(-LN(2)/2))/(LN(2)/2)*GH141*GK141*VLOOKUP('Données projet'!$B$17,Paramètres!$A$1:$I$88,3,0)*0.475*44/12</f>
        <v>7.7856577657137622E-11</v>
      </c>
      <c r="GO141" s="23">
        <f t="shared" si="135"/>
        <v>12.301475241821427</v>
      </c>
      <c r="GP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3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6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5.833333333333333</v>
      </c>
      <c r="N142" s="14">
        <f>IF('Données projet'!$A$36&gt;35,N141+M142-V141,IF(A142&lt;'Données projet'!$A$36,$K$205^A142,IF(A142='Données projet'!$A$36,'Données projet'!$B$36,N141+M142-V141)))</f>
        <v>304.33333333333326</v>
      </c>
      <c r="O142" s="14">
        <f>N142*VLOOKUP('Données projet'!$B$9,Paramètres!$A$1:$I$88,3,0)*VLOOKUP('Données projet'!$B$9,Paramètres!$A$1:$I$88,5,0)</f>
        <v>275.36079999999993</v>
      </c>
      <c r="P142" s="14">
        <f t="shared" si="141"/>
        <v>65.985661292059319</v>
      </c>
      <c r="Q142" s="22">
        <f t="shared" si="108"/>
        <v>594.51175341700321</v>
      </c>
      <c r="R142" s="59">
        <f t="shared" si="109"/>
        <v>887.84508675033658</v>
      </c>
      <c r="S142" s="59">
        <f ca="1">AVERAGE(OFFSET($R$3,0,0,'Données projet'!$E$9+1,1))-AVERAGE(OFFSET($H$3,0,0,'Données projet'!$E$9+1,1))</f>
        <v>247.57967230773539</v>
      </c>
      <c r="T142" s="59">
        <f t="shared" si="142"/>
        <v>156.58857589533295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42.299539548585692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42.299539548585692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-3.4106051316484809E-13</v>
      </c>
      <c r="AJ142" s="14">
        <f>AI142*VLOOKUP('Données projet'!$B$10,Paramètres!$A$1:$I$88,3,0)*VLOOKUP('Données projet'!$B$10,Paramètres!$A$1:$I$88,5,0)</f>
        <v>-2.7134774427395314E-13</v>
      </c>
      <c r="AK142" s="14" t="e">
        <f t="shared" si="143"/>
        <v>#NUM!</v>
      </c>
      <c r="AL142" s="22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504.15006129790828</v>
      </c>
      <c r="AO142" s="59">
        <f t="shared" si="144"/>
        <v>374.39334457402742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111.5502708313274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111.5502708313274</v>
      </c>
      <c r="AY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-3.4106051316484809E-13</v>
      </c>
      <c r="BE142" s="14">
        <f>BD142*VLOOKUP('Données projet'!$B$11,Paramètres!$A$1:$I$88,3,0)*VLOOKUP('Données projet'!$B$11,Paramètres!$A$1:$I$88,5,0)</f>
        <v>-2.7134774427395314E-13</v>
      </c>
      <c r="BF142" s="14" t="e">
        <f t="shared" si="145"/>
        <v>#NUM!</v>
      </c>
      <c r="BG142" s="22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504.15006129790828</v>
      </c>
      <c r="BJ142" s="59">
        <f t="shared" si="146"/>
        <v>374.39334457402742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111.5502708313274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111.5502708313274</v>
      </c>
      <c r="BT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-3.4106051316484809E-13</v>
      </c>
      <c r="BZ142" s="14">
        <f>BY142*VLOOKUP('Données projet'!$B$12,Paramètres!$A$1:$I$88,3,0)*VLOOKUP('Données projet'!$B$12,Paramètres!$A$1:$I$88,5,0)</f>
        <v>-2.2878339223098009E-13</v>
      </c>
      <c r="CA142" s="14" t="e">
        <f t="shared" si="147"/>
        <v>#NUM!</v>
      </c>
      <c r="CB142" s="22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387.15063677712425</v>
      </c>
      <c r="CE142" s="59">
        <f t="shared" si="148"/>
        <v>313.19155394370705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73.547951646569061</v>
      </c>
      <c r="CL142" s="23">
        <f>EXP(-LN(2)/25)*CL141+(1-EXP(-LN(2)/25))/(LN(2)/25)*Calculateur!CG142*Calculateur!CI142*VLOOKUP('Données projet'!$B$12,Paramètres!$A$1:$I$88,3,0)*0.475*44/12</f>
        <v>0</v>
      </c>
      <c r="CM142" s="23">
        <f>EXP(-LN(2)/2)*CM141+(1-EXP(-LN(2)/2))/(LN(2)/2)*CG142*CJ142*VLOOKUP('Données projet'!$B$12,Paramètres!$A$1:$I$88,3,0)*0.475*44/12</f>
        <v>0</v>
      </c>
      <c r="CN142" s="24">
        <f t="shared" si="120"/>
        <v>73.547951646569061</v>
      </c>
      <c r="CO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5.833333333333333</v>
      </c>
      <c r="CT142" s="13">
        <f>IF('Données projet'!$A$140&gt;35,CT141+CS142-DB141,IF(A142&lt;'Données projet'!$A$140,$CQ$205^A142,IF(A142='Données projet'!$A$140,'Données projet'!$B$140,CT141+CS142-DB141)))</f>
        <v>304.33333333333326</v>
      </c>
      <c r="CU142" s="18">
        <f>CT142*VLOOKUP('Données projet'!$B$13,Paramètres!$A$1:$I$88,3,0)*VLOOKUP('Données projet'!$B$13,Paramètres!$A$1:$I$88,5,0)</f>
        <v>294.35119999999995</v>
      </c>
      <c r="CV142" s="14">
        <f t="shared" si="149"/>
        <v>69.990951106066689</v>
      </c>
      <c r="CW142" s="22">
        <f t="shared" si="121"/>
        <v>634.56257984306603</v>
      </c>
      <c r="CX142" s="59">
        <f t="shared" si="122"/>
        <v>927.89591317639929</v>
      </c>
      <c r="CY142" s="59">
        <f ca="1">AVERAGE(OFFSET($CX$3,0,0,'Données projet'!$E$13+1,1))-AVERAGE(OFFSET($H$3,0,0,'Données projet'!$E$13+1,1))</f>
        <v>306.00894145276209</v>
      </c>
      <c r="CZ142" s="59">
        <f t="shared" si="150"/>
        <v>168.74705421228828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45.216749172626102</v>
      </c>
      <c r="DG142" s="23">
        <f>EXP(-LN(2)/25)*DG141+(1-EXP(-LN(2)/25))/(LN(2)/25)*Calculateur!DB142*Calculateur!DD142*VLOOKUP('Données projet'!$B$13,Paramètres!$A$1:$I$88,3,0)*0.475*44/12</f>
        <v>0</v>
      </c>
      <c r="DH142" s="23">
        <f>EXP(-LN(2)/2)*DH141+(1-EXP(-LN(2)/2))/(LN(2)/2)*DB142*DE142*VLOOKUP('Données projet'!$B$13,Paramètres!$A$1:$I$88,3,0)*0.475*44/12</f>
        <v>0</v>
      </c>
      <c r="DI142" s="24">
        <f t="shared" si="123"/>
        <v>45.216749172626102</v>
      </c>
      <c r="DJ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-3.4106051316484809E-13</v>
      </c>
      <c r="DP142" s="18">
        <f>DO142*VLOOKUP('Données projet'!$B$14,Paramètres!$A$1:$I$88,3,0)*VLOOKUP('Données projet'!$B$14,Paramètres!$A$1:$I$88,5,0)</f>
        <v>-2.6602720026858149E-13</v>
      </c>
      <c r="DQ142" s="14" t="e">
        <f t="shared" si="151"/>
        <v>#NUM!</v>
      </c>
      <c r="DR142" s="22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458.14328535055694</v>
      </c>
      <c r="DU142" s="59">
        <f t="shared" si="152"/>
        <v>366.75500153675739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projet'!$B$14,Paramètres!$A$1:$I$88,3,0)*0.475*44/12</f>
        <v>69.384860043933173</v>
      </c>
      <c r="EB142" s="23">
        <f>EXP(-LN(2)/25)*EB141+(1-EXP(-LN(2)/25))/(LN(2)/25)*Calculateur!DW142*Calculateur!DY142*VLOOKUP('Données projet'!$B$14,Paramètres!$A$1:$I$88,3,0)*0.475*44/12</f>
        <v>0</v>
      </c>
      <c r="EC142" s="23">
        <f>EXP(-LN(2)/2)*EC141+(1-EXP(-LN(2)/2))/(LN(2)/2)*DW142*DZ142*VLOOKUP('Données projet'!$B$14,Paramètres!$A$1:$I$88,3,0)*0.475*44/12</f>
        <v>0</v>
      </c>
      <c r="ED142" s="24">
        <f t="shared" si="126"/>
        <v>69.384860043933173</v>
      </c>
      <c r="EE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4.5474735088646412E-13</v>
      </c>
      <c r="EK142" s="18">
        <f>EJ142*VLOOKUP('Données projet'!$B$15,Paramètres!$A$1:$I$88,3,0)*VLOOKUP('Données projet'!$B$15,Paramètres!$A$1:$I$88,5,0)</f>
        <v>3.9017322706058626E-13</v>
      </c>
      <c r="EL142" s="14">
        <f t="shared" si="153"/>
        <v>5.0025007393608908E-12</v>
      </c>
      <c r="EM142" s="22">
        <f t="shared" si="127"/>
        <v>9.3922404915174053E-12</v>
      </c>
      <c r="EN142" s="59">
        <f t="shared" si="128"/>
        <v>293.33333333334269</v>
      </c>
      <c r="EO142" s="59">
        <f ca="1">AVERAGE(OFFSET($EN$3,0,0,'Données projet'!$E$15+1,1))-AVERAGE(OFFSET($H$3,0,0,'Données projet'!$E$15+1,1))</f>
        <v>462.99360395552145</v>
      </c>
      <c r="EP142" s="59">
        <f t="shared" si="154"/>
        <v>153.03880717786046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projet'!$B$15,Paramètres!$A$1:$I$88,3,0)*0.475*44/12</f>
        <v>120.77455341988313</v>
      </c>
      <c r="EW142" s="23">
        <f>EXP(-LN(2)/25)*EW141+(1-EXP(-LN(2)/25))/(LN(2)/25)*Calculateur!ER142*Calculateur!ET142*VLOOKUP('Données projet'!$B$15,Paramètres!$A$1:$I$88,3,0)*0.475*44/12</f>
        <v>0</v>
      </c>
      <c r="EX142" s="23">
        <f>EXP(-LN(2)/2)*EX141+(1-EXP(-LN(2)/2))/(LN(2)/2)*ER142*EU142*VLOOKUP('Données projet'!$B$15,Paramètres!$A$1:$I$88,3,0)*0.475*44/12</f>
        <v>0</v>
      </c>
      <c r="EY142" s="24">
        <f t="shared" si="129"/>
        <v>120.77455341988313</v>
      </c>
      <c r="EZ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2.2737367544323206E-13</v>
      </c>
      <c r="FF142" s="18">
        <f>FE142*VLOOKUP('Données projet'!$B$16,Paramètres!$A$1:$I$88,3,0)*VLOOKUP('Données projet'!$B$16,Paramètres!$A$1:$I$88,5,0)</f>
        <v>1.9863364286720756E-13</v>
      </c>
      <c r="FG142" s="14">
        <f t="shared" si="155"/>
        <v>2.7549360720371426E-12</v>
      </c>
      <c r="FH142" s="22">
        <f t="shared" si="130"/>
        <v>5.144133920125077E-12</v>
      </c>
      <c r="FI142" s="59">
        <f t="shared" si="131"/>
        <v>293.33333333333843</v>
      </c>
      <c r="FJ142" s="59">
        <f ca="1">AVERAGE(OFFSET($FI$3,0,0,'Données projet'!$E$16+1,1))-AVERAGE(OFFSET($H$3,0,0,'Données projet'!$E$16+1,1))</f>
        <v>427.76895185088944</v>
      </c>
      <c r="FK142" s="59">
        <f t="shared" si="156"/>
        <v>308.32543361559135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projet'!$B$16,Paramètres!$A$1:$I$88,3,0)*0.475*44/12</f>
        <v>98.081292205117137</v>
      </c>
      <c r="FR142" s="23">
        <f>EXP(-LN(2)/25)*FR141+(1-EXP(-LN(2)/25))/(LN(2)/25)*Calculateur!FM142*Calculateur!FO142*VLOOKUP('Données projet'!$B$16,Paramètres!$A$1:$I$88,3,0)*0.475*44/12</f>
        <v>0</v>
      </c>
      <c r="FS142" s="23">
        <f>EXP(-LN(2)/2)*FS141+(1-EXP(-LN(2)/2))/(LN(2)/2)*FM142*FP142*VLOOKUP('Données projet'!$B$16,Paramètres!$A$1:$I$88,3,0)*0.475*44/12</f>
        <v>0</v>
      </c>
      <c r="FT142" s="24">
        <f t="shared" si="132"/>
        <v>98.081292205117137</v>
      </c>
      <c r="FU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333.00000000000006</v>
      </c>
      <c r="GA142" s="18">
        <f>FZ142*VLOOKUP('Données projet'!$B$17,Paramètres!$A$1:$I$88,3,0)*VLOOKUP('Données projet'!$B$17,Paramètres!$A$1:$I$88,5,0)</f>
        <v>207.79200000000006</v>
      </c>
      <c r="GB142" s="14">
        <f t="shared" si="157"/>
        <v>51.452785725007907</v>
      </c>
      <c r="GC142" s="22">
        <f t="shared" si="133"/>
        <v>451.5180018043888</v>
      </c>
      <c r="GD142" s="59">
        <f t="shared" si="134"/>
        <v>744.85133513772212</v>
      </c>
      <c r="GE142" s="59">
        <f ca="1">AVERAGE(OFFSET($GD$3,0,0,'Données projet'!$E$17+1,1))-AVERAGE(OFFSET($H$3,0,0,'Données projet'!$E$17+1,1))</f>
        <v>247.85542034088905</v>
      </c>
      <c r="GF142" s="59">
        <f t="shared" si="158"/>
        <v>299.52241743660352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projet'!$B$17,Paramètres!$A$1:$I$88,3,0)*0.475*44/12</f>
        <v>7.7721026188176632</v>
      </c>
      <c r="GM142" s="23">
        <f>EXP(-LN(2)/25)*GM141+(1-EXP(-LN(2)/25))/(LN(2)/25)*Calculateur!GH142*Calculateur!GJ142*VLOOKUP('Données projet'!$B$17,Paramètres!$A$1:$I$88,3,0)*0.475*44/12</f>
        <v>4.2543130425441094</v>
      </c>
      <c r="GN142" s="23">
        <f>EXP(-LN(2)/2)*GN141+(1-EXP(-LN(2)/2))/(LN(2)/2)*GH142*GK142*VLOOKUP('Données projet'!$B$17,Paramètres!$A$1:$I$88,3,0)*0.475*44/12</f>
        <v>5.5052914021339058E-11</v>
      </c>
      <c r="GO142" s="23">
        <f t="shared" si="135"/>
        <v>12.026415661416825</v>
      </c>
      <c r="GP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3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6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5.833333333333333</v>
      </c>
      <c r="N143" s="14">
        <f>IF('Données projet'!$A$36&gt;35,N142+M143-V142,IF(A143&lt;'Données projet'!$A$36,$K$205^A143,IF(A143='Données projet'!$A$36,'Données projet'!$B$36,N142+M143-V142)))</f>
        <v>310.16666666666657</v>
      </c>
      <c r="O143" s="14">
        <f>N143*VLOOKUP('Données projet'!$B$9,Paramètres!$A$1:$I$88,3,0)*VLOOKUP('Données projet'!$B$9,Paramètres!$A$1:$I$88,5,0)</f>
        <v>280.63879999999989</v>
      </c>
      <c r="P143" s="14">
        <f t="shared" si="141"/>
        <v>67.101987774874445</v>
      </c>
      <c r="Q143" s="22">
        <f t="shared" si="108"/>
        <v>605.64853870790603</v>
      </c>
      <c r="R143" s="59">
        <f t="shared" si="109"/>
        <v>898.98187204123928</v>
      </c>
      <c r="S143" s="59">
        <f ca="1">AVERAGE(OFFSET($R$3,0,0,'Données projet'!$E$9+1,1))-AVERAGE(OFFSET($H$3,0,0,'Données projet'!$E$9+1,1))</f>
        <v>247.57967230773539</v>
      </c>
      <c r="T143" s="59">
        <f t="shared" si="142"/>
        <v>156.58857589533295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41.470071378209497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41.470071378209497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-3.4106051316484809E-13</v>
      </c>
      <c r="AJ143" s="14">
        <f>AI143*VLOOKUP('Données projet'!$B$10,Paramètres!$A$1:$I$88,3,0)*VLOOKUP('Données projet'!$B$10,Paramètres!$A$1:$I$88,5,0)</f>
        <v>-2.7134774427395314E-13</v>
      </c>
      <c r="AK143" s="14" t="e">
        <f t="shared" si="143"/>
        <v>#NUM!</v>
      </c>
      <c r="AL143" s="22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504.15006129790828</v>
      </c>
      <c r="AO143" s="59">
        <f t="shared" si="144"/>
        <v>374.39334457402742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109.36283805927198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109.36283805927198</v>
      </c>
      <c r="AY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-3.4106051316484809E-13</v>
      </c>
      <c r="BE143" s="14">
        <f>BD143*VLOOKUP('Données projet'!$B$11,Paramètres!$A$1:$I$88,3,0)*VLOOKUP('Données projet'!$B$11,Paramètres!$A$1:$I$88,5,0)</f>
        <v>-2.7134774427395314E-13</v>
      </c>
      <c r="BF143" s="14" t="e">
        <f t="shared" si="145"/>
        <v>#NUM!</v>
      </c>
      <c r="BG143" s="22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504.15006129790828</v>
      </c>
      <c r="BJ143" s="59">
        <f t="shared" si="146"/>
        <v>374.39334457402742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109.36283805927198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109.36283805927198</v>
      </c>
      <c r="BT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-3.4106051316484809E-13</v>
      </c>
      <c r="BZ143" s="14">
        <f>BY143*VLOOKUP('Données projet'!$B$12,Paramètres!$A$1:$I$88,3,0)*VLOOKUP('Données projet'!$B$12,Paramètres!$A$1:$I$88,5,0)</f>
        <v>-2.2878339223098009E-13</v>
      </c>
      <c r="CA143" s="14" t="e">
        <f t="shared" si="147"/>
        <v>#NUM!</v>
      </c>
      <c r="CB143" s="22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387.15063677712425</v>
      </c>
      <c r="CE143" s="59">
        <f t="shared" si="148"/>
        <v>313.19155394370705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72.105721174600802</v>
      </c>
      <c r="CL143" s="23">
        <f>EXP(-LN(2)/25)*CL142+(1-EXP(-LN(2)/25))/(LN(2)/25)*Calculateur!CG143*Calculateur!CI143*VLOOKUP('Données projet'!$B$12,Paramètres!$A$1:$I$88,3,0)*0.475*44/12</f>
        <v>0</v>
      </c>
      <c r="CM143" s="23">
        <f>EXP(-LN(2)/2)*CM142+(1-EXP(-LN(2)/2))/(LN(2)/2)*CG143*CJ143*VLOOKUP('Données projet'!$B$12,Paramètres!$A$1:$I$88,3,0)*0.475*44/12</f>
        <v>0</v>
      </c>
      <c r="CN143" s="24">
        <f t="shared" si="120"/>
        <v>72.105721174600802</v>
      </c>
      <c r="CO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5.833333333333333</v>
      </c>
      <c r="CT143" s="13">
        <f>IF('Données projet'!$A$140&gt;35,CT142+CS143-DB142,IF(A143&lt;'Données projet'!$A$140,$CQ$205^A143,IF(A143='Données projet'!$A$140,'Données projet'!$B$140,CT142+CS143-DB142)))</f>
        <v>310.16666666666657</v>
      </c>
      <c r="CU143" s="18">
        <f>CT143*VLOOKUP('Données projet'!$B$13,Paramètres!$A$1:$I$88,3,0)*VLOOKUP('Données projet'!$B$13,Paramètres!$A$1:$I$88,5,0)</f>
        <v>299.99319999999994</v>
      </c>
      <c r="CV143" s="14">
        <f t="shared" si="149"/>
        <v>71.175037932616789</v>
      </c>
      <c r="CW143" s="22">
        <f t="shared" si="121"/>
        <v>646.45134773264078</v>
      </c>
      <c r="CX143" s="59">
        <f t="shared" si="122"/>
        <v>939.78468106597415</v>
      </c>
      <c r="CY143" s="59">
        <f ca="1">AVERAGE(OFFSET($CX$3,0,0,'Données projet'!$E$13+1,1))-AVERAGE(OFFSET($H$3,0,0,'Données projet'!$E$13+1,1))</f>
        <v>306.00894145276209</v>
      </c>
      <c r="CZ143" s="59">
        <f t="shared" si="150"/>
        <v>168.74705421228828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44.330076300844652</v>
      </c>
      <c r="DG143" s="23">
        <f>EXP(-LN(2)/25)*DG142+(1-EXP(-LN(2)/25))/(LN(2)/25)*Calculateur!DB143*Calculateur!DD143*VLOOKUP('Données projet'!$B$13,Paramètres!$A$1:$I$88,3,0)*0.475*44/12</f>
        <v>0</v>
      </c>
      <c r="DH143" s="23">
        <f>EXP(-LN(2)/2)*DH142+(1-EXP(-LN(2)/2))/(LN(2)/2)*DB143*DE143*VLOOKUP('Données projet'!$B$13,Paramètres!$A$1:$I$88,3,0)*0.475*44/12</f>
        <v>0</v>
      </c>
      <c r="DI143" s="24">
        <f t="shared" si="123"/>
        <v>44.330076300844652</v>
      </c>
      <c r="DJ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-3.4106051316484809E-13</v>
      </c>
      <c r="DP143" s="18">
        <f>DO143*VLOOKUP('Données projet'!$B$14,Paramètres!$A$1:$I$88,3,0)*VLOOKUP('Données projet'!$B$14,Paramètres!$A$1:$I$88,5,0)</f>
        <v>-2.6602720026858149E-13</v>
      </c>
      <c r="DQ143" s="14" t="e">
        <f t="shared" si="151"/>
        <v>#NUM!</v>
      </c>
      <c r="DR143" s="22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458.14328535055694</v>
      </c>
      <c r="DU143" s="59">
        <f t="shared" si="152"/>
        <v>366.75500153675739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projet'!$B$14,Paramètres!$A$1:$I$88,3,0)*0.475*44/12</f>
        <v>68.024265259057458</v>
      </c>
      <c r="EB143" s="23">
        <f>EXP(-LN(2)/25)*EB142+(1-EXP(-LN(2)/25))/(LN(2)/25)*Calculateur!DW143*Calculateur!DY143*VLOOKUP('Données projet'!$B$14,Paramètres!$A$1:$I$88,3,0)*0.475*44/12</f>
        <v>0</v>
      </c>
      <c r="EC143" s="23">
        <f>EXP(-LN(2)/2)*EC142+(1-EXP(-LN(2)/2))/(LN(2)/2)*DW143*DZ143*VLOOKUP('Données projet'!$B$14,Paramètres!$A$1:$I$88,3,0)*0.475*44/12</f>
        <v>0</v>
      </c>
      <c r="ED143" s="24">
        <f t="shared" si="126"/>
        <v>68.024265259057458</v>
      </c>
      <c r="EE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4.5474735088646412E-13</v>
      </c>
      <c r="EK143" s="18">
        <f>EJ143*VLOOKUP('Données projet'!$B$15,Paramètres!$A$1:$I$88,3,0)*VLOOKUP('Données projet'!$B$15,Paramètres!$A$1:$I$88,5,0)</f>
        <v>3.9017322706058626E-13</v>
      </c>
      <c r="EL143" s="14">
        <f t="shared" si="153"/>
        <v>5.0025007393608908E-12</v>
      </c>
      <c r="EM143" s="22">
        <f t="shared" si="127"/>
        <v>9.3922404915174053E-12</v>
      </c>
      <c r="EN143" s="59">
        <f t="shared" si="128"/>
        <v>293.33333333334269</v>
      </c>
      <c r="EO143" s="59">
        <f ca="1">AVERAGE(OFFSET($EN$3,0,0,'Données projet'!$E$15+1,1))-AVERAGE(OFFSET($H$3,0,0,'Données projet'!$E$15+1,1))</f>
        <v>462.99360395552145</v>
      </c>
      <c r="EP143" s="59">
        <f t="shared" si="154"/>
        <v>153.03880717786046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projet'!$B$15,Paramètres!$A$1:$I$88,3,0)*0.475*44/12</f>
        <v>118.40623809252298</v>
      </c>
      <c r="EW143" s="23">
        <f>EXP(-LN(2)/25)*EW142+(1-EXP(-LN(2)/25))/(LN(2)/25)*Calculateur!ER143*Calculateur!ET143*VLOOKUP('Données projet'!$B$15,Paramètres!$A$1:$I$88,3,0)*0.475*44/12</f>
        <v>0</v>
      </c>
      <c r="EX143" s="23">
        <f>EXP(-LN(2)/2)*EX142+(1-EXP(-LN(2)/2))/(LN(2)/2)*ER143*EU143*VLOOKUP('Données projet'!$B$15,Paramètres!$A$1:$I$88,3,0)*0.475*44/12</f>
        <v>0</v>
      </c>
      <c r="EY143" s="24">
        <f t="shared" si="129"/>
        <v>118.40623809252298</v>
      </c>
      <c r="EZ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2.2737367544323206E-13</v>
      </c>
      <c r="FF143" s="18">
        <f>FE143*VLOOKUP('Données projet'!$B$16,Paramètres!$A$1:$I$88,3,0)*VLOOKUP('Données projet'!$B$16,Paramètres!$A$1:$I$88,5,0)</f>
        <v>1.9863364286720756E-13</v>
      </c>
      <c r="FG143" s="14">
        <f t="shared" si="155"/>
        <v>2.7549360720371426E-12</v>
      </c>
      <c r="FH143" s="22">
        <f t="shared" si="130"/>
        <v>5.144133920125077E-12</v>
      </c>
      <c r="FI143" s="59">
        <f t="shared" si="131"/>
        <v>293.33333333333843</v>
      </c>
      <c r="FJ143" s="59">
        <f ca="1">AVERAGE(OFFSET($FI$3,0,0,'Données projet'!$E$16+1,1))-AVERAGE(OFFSET($H$3,0,0,'Données projet'!$E$16+1,1))</f>
        <v>427.76895185088944</v>
      </c>
      <c r="FK143" s="59">
        <f t="shared" si="156"/>
        <v>308.32543361559135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projet'!$B$16,Paramètres!$A$1:$I$88,3,0)*0.475*44/12</f>
        <v>96.157977888655935</v>
      </c>
      <c r="FR143" s="23">
        <f>EXP(-LN(2)/25)*FR142+(1-EXP(-LN(2)/25))/(LN(2)/25)*Calculateur!FM143*Calculateur!FO143*VLOOKUP('Données projet'!$B$16,Paramètres!$A$1:$I$88,3,0)*0.475*44/12</f>
        <v>0</v>
      </c>
      <c r="FS143" s="23">
        <f>EXP(-LN(2)/2)*FS142+(1-EXP(-LN(2)/2))/(LN(2)/2)*FM143*FP143*VLOOKUP('Données projet'!$B$16,Paramètres!$A$1:$I$88,3,0)*0.475*44/12</f>
        <v>0</v>
      </c>
      <c r="FT143" s="24">
        <f t="shared" si="132"/>
        <v>96.157977888655935</v>
      </c>
      <c r="FU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333.00000000000006</v>
      </c>
      <c r="GA143" s="18">
        <f>FZ143*VLOOKUP('Données projet'!$B$17,Paramètres!$A$1:$I$88,3,0)*VLOOKUP('Données projet'!$B$17,Paramètres!$A$1:$I$88,5,0)</f>
        <v>207.79200000000006</v>
      </c>
      <c r="GB143" s="14">
        <f t="shared" si="157"/>
        <v>51.452785725007907</v>
      </c>
      <c r="GC143" s="22">
        <f t="shared" si="133"/>
        <v>451.5180018043888</v>
      </c>
      <c r="GD143" s="59">
        <f t="shared" si="134"/>
        <v>744.85133513772212</v>
      </c>
      <c r="GE143" s="59">
        <f ca="1">AVERAGE(OFFSET($GD$3,0,0,'Données projet'!$E$17+1,1))-AVERAGE(OFFSET($H$3,0,0,'Données projet'!$E$17+1,1))</f>
        <v>247.85542034088905</v>
      </c>
      <c r="GF143" s="59">
        <f t="shared" si="158"/>
        <v>299.52241743660352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projet'!$B$17,Paramètres!$A$1:$I$88,3,0)*0.475*44/12</f>
        <v>7.6196964269771597</v>
      </c>
      <c r="GM143" s="23">
        <f>EXP(-LN(2)/25)*GM142+(1-EXP(-LN(2)/25))/(LN(2)/25)*Calculateur!GH143*Calculateur!GJ143*VLOOKUP('Données projet'!$B$17,Paramètres!$A$1:$I$88,3,0)*0.475*44/12</f>
        <v>4.1379786286711413</v>
      </c>
      <c r="GN143" s="23">
        <f>EXP(-LN(2)/2)*GN142+(1-EXP(-LN(2)/2))/(LN(2)/2)*GH143*GK143*VLOOKUP('Données projet'!$B$17,Paramètres!$A$1:$I$88,3,0)*0.475*44/12</f>
        <v>3.8928288828568811E-11</v>
      </c>
      <c r="GO143" s="23">
        <f t="shared" si="135"/>
        <v>11.75767505568723</v>
      </c>
      <c r="GP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3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6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5.833333333333333</v>
      </c>
      <c r="N144" s="14">
        <f>IF('Données projet'!$A$36&gt;35,N143+M144-V143,IF(A144&lt;'Données projet'!$A$36,$K$205^A144,IF(A144='Données projet'!$A$36,'Données projet'!$B$36,N143+M144-V143)))</f>
        <v>315.99999999999989</v>
      </c>
      <c r="O144" s="14">
        <f>N144*VLOOKUP('Données projet'!$B$9,Paramètres!$A$1:$I$88,3,0)*VLOOKUP('Données projet'!$B$9,Paramètres!$A$1:$I$88,5,0)</f>
        <v>285.91679999999985</v>
      </c>
      <c r="P144" s="14">
        <f t="shared" si="141"/>
        <v>68.215872977287475</v>
      </c>
      <c r="Q144" s="22">
        <f t="shared" si="108"/>
        <v>616.78107210210862</v>
      </c>
      <c r="R144" s="59">
        <f t="shared" si="109"/>
        <v>910.11440543544199</v>
      </c>
      <c r="S144" s="59">
        <f ca="1">AVERAGE(OFFSET($R$3,0,0,'Données projet'!$E$9+1,1))-AVERAGE(OFFSET($H$3,0,0,'Données projet'!$E$9+1,1))</f>
        <v>247.57967230773539</v>
      </c>
      <c r="T144" s="59">
        <f t="shared" si="142"/>
        <v>156.58857589533295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40.656868572728747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40.656868572728747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-3.4106051316484809E-13</v>
      </c>
      <c r="AJ144" s="14">
        <f>AI144*VLOOKUP('Données projet'!$B$10,Paramètres!$A$1:$I$88,3,0)*VLOOKUP('Données projet'!$B$10,Paramètres!$A$1:$I$88,5,0)</f>
        <v>-2.7134774427395314E-13</v>
      </c>
      <c r="AK144" s="14" t="e">
        <f t="shared" si="143"/>
        <v>#NUM!</v>
      </c>
      <c r="AL144" s="22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504.15006129790828</v>
      </c>
      <c r="AO144" s="59">
        <f t="shared" si="144"/>
        <v>374.39334457402742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107.21829950967432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107.21829950967432</v>
      </c>
      <c r="AY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-3.4106051316484809E-13</v>
      </c>
      <c r="BE144" s="14">
        <f>BD144*VLOOKUP('Données projet'!$B$11,Paramètres!$A$1:$I$88,3,0)*VLOOKUP('Données projet'!$B$11,Paramètres!$A$1:$I$88,5,0)</f>
        <v>-2.7134774427395314E-13</v>
      </c>
      <c r="BF144" s="14" t="e">
        <f t="shared" si="145"/>
        <v>#NUM!</v>
      </c>
      <c r="BG144" s="22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504.15006129790828</v>
      </c>
      <c r="BJ144" s="59">
        <f t="shared" si="146"/>
        <v>374.39334457402742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107.21829950967432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107.21829950967432</v>
      </c>
      <c r="BT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-3.4106051316484809E-13</v>
      </c>
      <c r="BZ144" s="14">
        <f>BY144*VLOOKUP('Données projet'!$B$12,Paramètres!$A$1:$I$88,3,0)*VLOOKUP('Données projet'!$B$12,Paramètres!$A$1:$I$88,5,0)</f>
        <v>-2.2878339223098009E-13</v>
      </c>
      <c r="CA144" s="14" t="e">
        <f t="shared" si="147"/>
        <v>#NUM!</v>
      </c>
      <c r="CB144" s="22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387.15063677712425</v>
      </c>
      <c r="CE144" s="59">
        <f t="shared" si="148"/>
        <v>313.19155394370705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70.691771962514125</v>
      </c>
      <c r="CL144" s="23">
        <f>EXP(-LN(2)/25)*CL143+(1-EXP(-LN(2)/25))/(LN(2)/25)*Calculateur!CG144*Calculateur!CI144*VLOOKUP('Données projet'!$B$12,Paramètres!$A$1:$I$88,3,0)*0.475*44/12</f>
        <v>0</v>
      </c>
      <c r="CM144" s="23">
        <f>EXP(-LN(2)/2)*CM143+(1-EXP(-LN(2)/2))/(LN(2)/2)*CG144*CJ144*VLOOKUP('Données projet'!$B$12,Paramètres!$A$1:$I$88,3,0)*0.475*44/12</f>
        <v>0</v>
      </c>
      <c r="CN144" s="24">
        <f t="shared" si="120"/>
        <v>70.691771962514125</v>
      </c>
      <c r="CO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5.833333333333333</v>
      </c>
      <c r="CT144" s="13">
        <f>IF('Données projet'!$A$140&gt;35,CT143+CS144-DB143,IF(A144&lt;'Données projet'!$A$140,$CQ$205^A144,IF(A144='Données projet'!$A$140,'Données projet'!$B$140,CT143+CS144-DB143)))</f>
        <v>315.99999999999989</v>
      </c>
      <c r="CU144" s="18">
        <f>CT144*VLOOKUP('Données projet'!$B$13,Paramètres!$A$1:$I$88,3,0)*VLOOKUP('Données projet'!$B$13,Paramètres!$A$1:$I$88,5,0)</f>
        <v>305.63519999999988</v>
      </c>
      <c r="CV144" s="14">
        <f t="shared" si="149"/>
        <v>72.356535294517812</v>
      </c>
      <c r="CW144" s="22">
        <f t="shared" si="121"/>
        <v>658.33560563795163</v>
      </c>
      <c r="CX144" s="59">
        <f t="shared" si="122"/>
        <v>951.66893897128489</v>
      </c>
      <c r="CY144" s="59">
        <f ca="1">AVERAGE(OFFSET($CX$3,0,0,'Données projet'!$E$13+1,1))-AVERAGE(OFFSET($H$3,0,0,'Données projet'!$E$13+1,1))</f>
        <v>306.00894145276209</v>
      </c>
      <c r="CZ144" s="59">
        <f t="shared" si="150"/>
        <v>168.74705421228828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43.460790543261787</v>
      </c>
      <c r="DG144" s="23">
        <f>EXP(-LN(2)/25)*DG143+(1-EXP(-LN(2)/25))/(LN(2)/25)*Calculateur!DB144*Calculateur!DD144*VLOOKUP('Données projet'!$B$13,Paramètres!$A$1:$I$88,3,0)*0.475*44/12</f>
        <v>0</v>
      </c>
      <c r="DH144" s="23">
        <f>EXP(-LN(2)/2)*DH143+(1-EXP(-LN(2)/2))/(LN(2)/2)*DB144*DE144*VLOOKUP('Données projet'!$B$13,Paramètres!$A$1:$I$88,3,0)*0.475*44/12</f>
        <v>0</v>
      </c>
      <c r="DI144" s="24">
        <f t="shared" si="123"/>
        <v>43.460790543261787</v>
      </c>
      <c r="DJ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-3.4106051316484809E-13</v>
      </c>
      <c r="DP144" s="18">
        <f>DO144*VLOOKUP('Données projet'!$B$14,Paramètres!$A$1:$I$88,3,0)*VLOOKUP('Données projet'!$B$14,Paramètres!$A$1:$I$88,5,0)</f>
        <v>-2.6602720026858149E-13</v>
      </c>
      <c r="DQ144" s="14" t="e">
        <f t="shared" si="151"/>
        <v>#NUM!</v>
      </c>
      <c r="DR144" s="22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458.14328535055694</v>
      </c>
      <c r="DU144" s="59">
        <f t="shared" si="152"/>
        <v>366.75500153675739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projet'!$B$14,Paramètres!$A$1:$I$88,3,0)*0.475*44/12</f>
        <v>66.690350908032286</v>
      </c>
      <c r="EB144" s="23">
        <f>EXP(-LN(2)/25)*EB143+(1-EXP(-LN(2)/25))/(LN(2)/25)*Calculateur!DW144*Calculateur!DY144*VLOOKUP('Données projet'!$B$14,Paramètres!$A$1:$I$88,3,0)*0.475*44/12</f>
        <v>0</v>
      </c>
      <c r="EC144" s="23">
        <f>EXP(-LN(2)/2)*EC143+(1-EXP(-LN(2)/2))/(LN(2)/2)*DW144*DZ144*VLOOKUP('Données projet'!$B$14,Paramètres!$A$1:$I$88,3,0)*0.475*44/12</f>
        <v>0</v>
      </c>
      <c r="ED144" s="24">
        <f t="shared" si="126"/>
        <v>66.690350908032286</v>
      </c>
      <c r="EE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4.5474735088646412E-13</v>
      </c>
      <c r="EK144" s="18">
        <f>EJ144*VLOOKUP('Données projet'!$B$15,Paramètres!$A$1:$I$88,3,0)*VLOOKUP('Données projet'!$B$15,Paramètres!$A$1:$I$88,5,0)</f>
        <v>3.9017322706058626E-13</v>
      </c>
      <c r="EL144" s="14">
        <f t="shared" si="153"/>
        <v>5.0025007393608908E-12</v>
      </c>
      <c r="EM144" s="22">
        <f t="shared" si="127"/>
        <v>9.3922404915174053E-12</v>
      </c>
      <c r="EN144" s="59">
        <f t="shared" si="128"/>
        <v>293.33333333334269</v>
      </c>
      <c r="EO144" s="59">
        <f ca="1">AVERAGE(OFFSET($EN$3,0,0,'Données projet'!$E$15+1,1))-AVERAGE(OFFSET($H$3,0,0,'Données projet'!$E$15+1,1))</f>
        <v>462.99360395552145</v>
      </c>
      <c r="EP144" s="59">
        <f t="shared" si="154"/>
        <v>153.03880717786046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projet'!$B$15,Paramètres!$A$1:$I$88,3,0)*0.475*44/12</f>
        <v>116.08436398420264</v>
      </c>
      <c r="EW144" s="23">
        <f>EXP(-LN(2)/25)*EW143+(1-EXP(-LN(2)/25))/(LN(2)/25)*Calculateur!ER144*Calculateur!ET144*VLOOKUP('Données projet'!$B$15,Paramètres!$A$1:$I$88,3,0)*0.475*44/12</f>
        <v>0</v>
      </c>
      <c r="EX144" s="23">
        <f>EXP(-LN(2)/2)*EX143+(1-EXP(-LN(2)/2))/(LN(2)/2)*ER144*EU144*VLOOKUP('Données projet'!$B$15,Paramètres!$A$1:$I$88,3,0)*0.475*44/12</f>
        <v>0</v>
      </c>
      <c r="EY144" s="24">
        <f t="shared" si="129"/>
        <v>116.08436398420264</v>
      </c>
      <c r="EZ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2.2737367544323206E-13</v>
      </c>
      <c r="FF144" s="18">
        <f>FE144*VLOOKUP('Données projet'!$B$16,Paramètres!$A$1:$I$88,3,0)*VLOOKUP('Données projet'!$B$16,Paramètres!$A$1:$I$88,5,0)</f>
        <v>1.9863364286720756E-13</v>
      </c>
      <c r="FG144" s="14">
        <f t="shared" si="155"/>
        <v>2.7549360720371426E-12</v>
      </c>
      <c r="FH144" s="22">
        <f t="shared" si="130"/>
        <v>5.144133920125077E-12</v>
      </c>
      <c r="FI144" s="59">
        <f t="shared" si="131"/>
        <v>293.33333333333843</v>
      </c>
      <c r="FJ144" s="59">
        <f ca="1">AVERAGE(OFFSET($FI$3,0,0,'Données projet'!$E$16+1,1))-AVERAGE(OFFSET($H$3,0,0,'Données projet'!$E$16+1,1))</f>
        <v>427.76895185088944</v>
      </c>
      <c r="FK144" s="59">
        <f t="shared" si="156"/>
        <v>308.32543361559135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projet'!$B$16,Paramètres!$A$1:$I$88,3,0)*0.475*44/12</f>
        <v>94.272378592834642</v>
      </c>
      <c r="FR144" s="23">
        <f>EXP(-LN(2)/25)*FR143+(1-EXP(-LN(2)/25))/(LN(2)/25)*Calculateur!FM144*Calculateur!FO144*VLOOKUP('Données projet'!$B$16,Paramètres!$A$1:$I$88,3,0)*0.475*44/12</f>
        <v>0</v>
      </c>
      <c r="FS144" s="23">
        <f>EXP(-LN(2)/2)*FS143+(1-EXP(-LN(2)/2))/(LN(2)/2)*FM144*FP144*VLOOKUP('Données projet'!$B$16,Paramètres!$A$1:$I$88,3,0)*0.475*44/12</f>
        <v>0</v>
      </c>
      <c r="FT144" s="24">
        <f t="shared" si="132"/>
        <v>94.272378592834642</v>
      </c>
      <c r="FU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333.00000000000006</v>
      </c>
      <c r="GA144" s="18">
        <f>FZ144*VLOOKUP('Données projet'!$B$17,Paramètres!$A$1:$I$88,3,0)*VLOOKUP('Données projet'!$B$17,Paramètres!$A$1:$I$88,5,0)</f>
        <v>207.79200000000006</v>
      </c>
      <c r="GB144" s="14">
        <f t="shared" si="157"/>
        <v>51.452785725007907</v>
      </c>
      <c r="GC144" s="22">
        <f t="shared" si="133"/>
        <v>451.5180018043888</v>
      </c>
      <c r="GD144" s="59">
        <f t="shared" si="134"/>
        <v>744.85133513772212</v>
      </c>
      <c r="GE144" s="59">
        <f ca="1">AVERAGE(OFFSET($GD$3,0,0,'Données projet'!$E$17+1,1))-AVERAGE(OFFSET($H$3,0,0,'Données projet'!$E$17+1,1))</f>
        <v>247.85542034088905</v>
      </c>
      <c r="GF144" s="59">
        <f t="shared" si="158"/>
        <v>299.52241743660352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projet'!$B$17,Paramètres!$A$1:$I$88,3,0)*0.475*44/12</f>
        <v>7.4702788276000502</v>
      </c>
      <c r="GM144" s="23">
        <f>EXP(-LN(2)/25)*GM143+(1-EXP(-LN(2)/25))/(LN(2)/25)*Calculateur!GH144*Calculateur!GJ144*VLOOKUP('Données projet'!$B$17,Paramètres!$A$1:$I$88,3,0)*0.475*44/12</f>
        <v>4.0248253854632905</v>
      </c>
      <c r="GN144" s="23">
        <f>EXP(-LN(2)/2)*GN143+(1-EXP(-LN(2)/2))/(LN(2)/2)*GH144*GK144*VLOOKUP('Données projet'!$B$17,Paramètres!$A$1:$I$88,3,0)*0.475*44/12</f>
        <v>2.7526457010669529E-11</v>
      </c>
      <c r="GO144" s="23">
        <f t="shared" si="135"/>
        <v>11.495104213090867</v>
      </c>
      <c r="GP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3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6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5.833333333333333</v>
      </c>
      <c r="N145" s="14">
        <f>IF('Données projet'!$A$36&gt;35,N144+M145-V144,IF(A145&lt;'Données projet'!$A$36,$K$205^A145,IF(A145='Données projet'!$A$36,'Données projet'!$B$36,N144+M145-V144)))</f>
        <v>321.8333333333332</v>
      </c>
      <c r="O145" s="14">
        <f>N145*VLOOKUP('Données projet'!$B$9,Paramètres!$A$1:$I$88,3,0)*VLOOKUP('Données projet'!$B$9,Paramètres!$A$1:$I$88,5,0)</f>
        <v>291.19479999999987</v>
      </c>
      <c r="P145" s="14">
        <f t="shared" si="141"/>
        <v>69.327367162534287</v>
      </c>
      <c r="Q145" s="22">
        <f t="shared" si="108"/>
        <v>627.90944114141359</v>
      </c>
      <c r="R145" s="59">
        <f t="shared" si="109"/>
        <v>921.24277447474697</v>
      </c>
      <c r="S145" s="59">
        <f ca="1">AVERAGE(OFFSET($R$3,0,0,'Données projet'!$E$9+1,1))-AVERAGE(OFFSET($H$3,0,0,'Données projet'!$E$9+1,1))</f>
        <v>247.57967230773539</v>
      </c>
      <c r="T145" s="59">
        <f t="shared" si="142"/>
        <v>156.58857589533295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39.859612178258743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39.859612178258743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-3.4106051316484809E-13</v>
      </c>
      <c r="AJ145" s="14">
        <f>AI145*VLOOKUP('Données projet'!$B$10,Paramètres!$A$1:$I$88,3,0)*VLOOKUP('Données projet'!$B$10,Paramètres!$A$1:$I$88,5,0)</f>
        <v>-2.7134774427395314E-13</v>
      </c>
      <c r="AK145" s="14" t="e">
        <f t="shared" si="143"/>
        <v>#NUM!</v>
      </c>
      <c r="AL145" s="22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504.15006129790828</v>
      </c>
      <c r="AO145" s="59">
        <f t="shared" si="144"/>
        <v>374.39334457402742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105.11581405299492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105.11581405299492</v>
      </c>
      <c r="AY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-3.4106051316484809E-13</v>
      </c>
      <c r="BE145" s="14">
        <f>BD145*VLOOKUP('Données projet'!$B$11,Paramètres!$A$1:$I$88,3,0)*VLOOKUP('Données projet'!$B$11,Paramètres!$A$1:$I$88,5,0)</f>
        <v>-2.7134774427395314E-13</v>
      </c>
      <c r="BF145" s="14" t="e">
        <f t="shared" si="145"/>
        <v>#NUM!</v>
      </c>
      <c r="BG145" s="22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504.15006129790828</v>
      </c>
      <c r="BJ145" s="59">
        <f t="shared" si="146"/>
        <v>374.39334457402742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105.11581405299492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105.11581405299492</v>
      </c>
      <c r="BT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-3.4106051316484809E-13</v>
      </c>
      <c r="BZ145" s="14">
        <f>BY145*VLOOKUP('Données projet'!$B$12,Paramètres!$A$1:$I$88,3,0)*VLOOKUP('Données projet'!$B$12,Paramètres!$A$1:$I$88,5,0)</f>
        <v>-2.2878339223098009E-13</v>
      </c>
      <c r="CA145" s="14" t="e">
        <f t="shared" si="147"/>
        <v>#NUM!</v>
      </c>
      <c r="CB145" s="22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387.15063677712425</v>
      </c>
      <c r="CE145" s="59">
        <f t="shared" si="148"/>
        <v>313.19155394370705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69.305549432052601</v>
      </c>
      <c r="CL145" s="23">
        <f>EXP(-LN(2)/25)*CL144+(1-EXP(-LN(2)/25))/(LN(2)/25)*Calculateur!CG145*Calculateur!CI145*VLOOKUP('Données projet'!$B$12,Paramètres!$A$1:$I$88,3,0)*0.475*44/12</f>
        <v>0</v>
      </c>
      <c r="CM145" s="23">
        <f>EXP(-LN(2)/2)*CM144+(1-EXP(-LN(2)/2))/(LN(2)/2)*CG145*CJ145*VLOOKUP('Données projet'!$B$12,Paramètres!$A$1:$I$88,3,0)*0.475*44/12</f>
        <v>0</v>
      </c>
      <c r="CN145" s="24">
        <f t="shared" si="120"/>
        <v>69.305549432052601</v>
      </c>
      <c r="CO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5.833333333333333</v>
      </c>
      <c r="CT145" s="13">
        <f>IF('Données projet'!$A$140&gt;35,CT144+CS145-DB144,IF(A145&lt;'Données projet'!$A$140,$CQ$205^A145,IF(A145='Données projet'!$A$140,'Données projet'!$B$140,CT144+CS145-DB144)))</f>
        <v>321.8333333333332</v>
      </c>
      <c r="CU145" s="18">
        <f>CT145*VLOOKUP('Données projet'!$B$13,Paramètres!$A$1:$I$88,3,0)*VLOOKUP('Données projet'!$B$13,Paramètres!$A$1:$I$88,5,0)</f>
        <v>311.27719999999988</v>
      </c>
      <c r="CV145" s="14">
        <f t="shared" si="149"/>
        <v>73.535496505953802</v>
      </c>
      <c r="CW145" s="22">
        <f t="shared" si="121"/>
        <v>670.2154464145359</v>
      </c>
      <c r="CX145" s="59">
        <f t="shared" si="122"/>
        <v>963.54877974786928</v>
      </c>
      <c r="CY145" s="59">
        <f ca="1">AVERAGE(OFFSET($CX$3,0,0,'Données projet'!$E$13+1,1))-AVERAGE(OFFSET($H$3,0,0,'Données projet'!$E$13+1,1))</f>
        <v>306.00894145276209</v>
      </c>
      <c r="CZ145" s="59">
        <f t="shared" si="150"/>
        <v>168.74705421228828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42.608550949173164</v>
      </c>
      <c r="DG145" s="23">
        <f>EXP(-LN(2)/25)*DG144+(1-EXP(-LN(2)/25))/(LN(2)/25)*Calculateur!DB145*Calculateur!DD145*VLOOKUP('Données projet'!$B$13,Paramètres!$A$1:$I$88,3,0)*0.475*44/12</f>
        <v>0</v>
      </c>
      <c r="DH145" s="23">
        <f>EXP(-LN(2)/2)*DH144+(1-EXP(-LN(2)/2))/(LN(2)/2)*DB145*DE145*VLOOKUP('Données projet'!$B$13,Paramètres!$A$1:$I$88,3,0)*0.475*44/12</f>
        <v>0</v>
      </c>
      <c r="DI145" s="24">
        <f t="shared" si="123"/>
        <v>42.608550949173164</v>
      </c>
      <c r="DJ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-3.4106051316484809E-13</v>
      </c>
      <c r="DP145" s="18">
        <f>DO145*VLOOKUP('Données projet'!$B$14,Paramètres!$A$1:$I$88,3,0)*VLOOKUP('Données projet'!$B$14,Paramètres!$A$1:$I$88,5,0)</f>
        <v>-2.6602720026858149E-13</v>
      </c>
      <c r="DQ145" s="14" t="e">
        <f t="shared" si="151"/>
        <v>#NUM!</v>
      </c>
      <c r="DR145" s="22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458.14328535055694</v>
      </c>
      <c r="DU145" s="59">
        <f t="shared" si="152"/>
        <v>366.75500153675739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projet'!$B$14,Paramètres!$A$1:$I$88,3,0)*0.475*44/12</f>
        <v>65.382593803823298</v>
      </c>
      <c r="EB145" s="23">
        <f>EXP(-LN(2)/25)*EB144+(1-EXP(-LN(2)/25))/(LN(2)/25)*Calculateur!DW145*Calculateur!DY145*VLOOKUP('Données projet'!$B$14,Paramètres!$A$1:$I$88,3,0)*0.475*44/12</f>
        <v>0</v>
      </c>
      <c r="EC145" s="23">
        <f>EXP(-LN(2)/2)*EC144+(1-EXP(-LN(2)/2))/(LN(2)/2)*DW145*DZ145*VLOOKUP('Données projet'!$B$14,Paramètres!$A$1:$I$88,3,0)*0.475*44/12</f>
        <v>0</v>
      </c>
      <c r="ED145" s="24">
        <f t="shared" si="126"/>
        <v>65.382593803823298</v>
      </c>
      <c r="EE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4.5474735088646412E-13</v>
      </c>
      <c r="EK145" s="18">
        <f>EJ145*VLOOKUP('Données projet'!$B$15,Paramètres!$A$1:$I$88,3,0)*VLOOKUP('Données projet'!$B$15,Paramètres!$A$1:$I$88,5,0)</f>
        <v>3.9017322706058626E-13</v>
      </c>
      <c r="EL145" s="14">
        <f t="shared" si="153"/>
        <v>5.0025007393608908E-12</v>
      </c>
      <c r="EM145" s="22">
        <f t="shared" si="127"/>
        <v>9.3922404915174053E-12</v>
      </c>
      <c r="EN145" s="59">
        <f t="shared" si="128"/>
        <v>293.33333333334269</v>
      </c>
      <c r="EO145" s="59">
        <f ca="1">AVERAGE(OFFSET($EN$3,0,0,'Données projet'!$E$15+1,1))-AVERAGE(OFFSET($H$3,0,0,'Données projet'!$E$15+1,1))</f>
        <v>462.99360395552145</v>
      </c>
      <c r="EP145" s="59">
        <f t="shared" si="154"/>
        <v>153.03880717786046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projet'!$B$15,Paramètres!$A$1:$I$88,3,0)*0.475*44/12</f>
        <v>113.8080204109431</v>
      </c>
      <c r="EW145" s="23">
        <f>EXP(-LN(2)/25)*EW144+(1-EXP(-LN(2)/25))/(LN(2)/25)*Calculateur!ER145*Calculateur!ET145*VLOOKUP('Données projet'!$B$15,Paramètres!$A$1:$I$88,3,0)*0.475*44/12</f>
        <v>0</v>
      </c>
      <c r="EX145" s="23">
        <f>EXP(-LN(2)/2)*EX144+(1-EXP(-LN(2)/2))/(LN(2)/2)*ER145*EU145*VLOOKUP('Données projet'!$B$15,Paramètres!$A$1:$I$88,3,0)*0.475*44/12</f>
        <v>0</v>
      </c>
      <c r="EY145" s="24">
        <f t="shared" si="129"/>
        <v>113.8080204109431</v>
      </c>
      <c r="EZ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2.2737367544323206E-13</v>
      </c>
      <c r="FF145" s="18">
        <f>FE145*VLOOKUP('Données projet'!$B$16,Paramètres!$A$1:$I$88,3,0)*VLOOKUP('Données projet'!$B$16,Paramètres!$A$1:$I$88,5,0)</f>
        <v>1.9863364286720756E-13</v>
      </c>
      <c r="FG145" s="14">
        <f t="shared" si="155"/>
        <v>2.7549360720371426E-12</v>
      </c>
      <c r="FH145" s="22">
        <f t="shared" si="130"/>
        <v>5.144133920125077E-12</v>
      </c>
      <c r="FI145" s="59">
        <f t="shared" si="131"/>
        <v>293.33333333333843</v>
      </c>
      <c r="FJ145" s="59">
        <f ca="1">AVERAGE(OFFSET($FI$3,0,0,'Données projet'!$E$16+1,1))-AVERAGE(OFFSET($H$3,0,0,'Données projet'!$E$16+1,1))</f>
        <v>427.76895185088944</v>
      </c>
      <c r="FK145" s="59">
        <f t="shared" si="156"/>
        <v>308.32543361559135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projet'!$B$16,Paramètres!$A$1:$I$88,3,0)*0.475*44/12</f>
        <v>92.4237547491024</v>
      </c>
      <c r="FR145" s="23">
        <f>EXP(-LN(2)/25)*FR144+(1-EXP(-LN(2)/25))/(LN(2)/25)*Calculateur!FM145*Calculateur!FO145*VLOOKUP('Données projet'!$B$16,Paramètres!$A$1:$I$88,3,0)*0.475*44/12</f>
        <v>0</v>
      </c>
      <c r="FS145" s="23">
        <f>EXP(-LN(2)/2)*FS144+(1-EXP(-LN(2)/2))/(LN(2)/2)*FM145*FP145*VLOOKUP('Données projet'!$B$16,Paramètres!$A$1:$I$88,3,0)*0.475*44/12</f>
        <v>0</v>
      </c>
      <c r="FT145" s="24">
        <f t="shared" si="132"/>
        <v>92.4237547491024</v>
      </c>
      <c r="FU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333.00000000000006</v>
      </c>
      <c r="GA145" s="18">
        <f>FZ145*VLOOKUP('Données projet'!$B$17,Paramètres!$A$1:$I$88,3,0)*VLOOKUP('Données projet'!$B$17,Paramètres!$A$1:$I$88,5,0)</f>
        <v>207.79200000000006</v>
      </c>
      <c r="GB145" s="14">
        <f t="shared" si="157"/>
        <v>51.452785725007907</v>
      </c>
      <c r="GC145" s="22">
        <f t="shared" si="133"/>
        <v>451.5180018043888</v>
      </c>
      <c r="GD145" s="59">
        <f t="shared" si="134"/>
        <v>744.85133513772212</v>
      </c>
      <c r="GE145" s="59">
        <f ca="1">AVERAGE(OFFSET($GD$3,0,0,'Données projet'!$E$17+1,1))-AVERAGE(OFFSET($H$3,0,0,'Données projet'!$E$17+1,1))</f>
        <v>247.85542034088905</v>
      </c>
      <c r="GF145" s="59">
        <f t="shared" si="158"/>
        <v>299.52241743660352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projet'!$B$17,Paramètres!$A$1:$I$88,3,0)*0.475*44/12</f>
        <v>7.3237912162109886</v>
      </c>
      <c r="GM145" s="23">
        <f>EXP(-LN(2)/25)*GM144+(1-EXP(-LN(2)/25))/(LN(2)/25)*Calculateur!GH145*Calculateur!GJ145*VLOOKUP('Données projet'!$B$17,Paramètres!$A$1:$I$88,3,0)*0.475*44/12</f>
        <v>3.9147663236414285</v>
      </c>
      <c r="GN145" s="23">
        <f>EXP(-LN(2)/2)*GN144+(1-EXP(-LN(2)/2))/(LN(2)/2)*GH145*GK145*VLOOKUP('Données projet'!$B$17,Paramètres!$A$1:$I$88,3,0)*0.475*44/12</f>
        <v>1.9464144414284406E-11</v>
      </c>
      <c r="GO145" s="23">
        <f t="shared" si="135"/>
        <v>11.238557539871881</v>
      </c>
      <c r="GP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3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6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5.833333333333333</v>
      </c>
      <c r="N146" s="14">
        <f>IF('Données projet'!$A$36&gt;35,N145+M146-V145,IF(A146&lt;'Données projet'!$A$36,$K$205^A146,IF(A146='Données projet'!$A$36,'Données projet'!$B$36,N145+M146-V145)))</f>
        <v>327.66666666666652</v>
      </c>
      <c r="O146" s="14">
        <f>N146*VLOOKUP('Données projet'!$B$9,Paramètres!$A$1:$I$88,3,0)*VLOOKUP('Données projet'!$B$9,Paramètres!$A$1:$I$88,5,0)</f>
        <v>296.47279999999984</v>
      </c>
      <c r="P146" s="14">
        <f t="shared" si="141"/>
        <v>70.436518667447913</v>
      </c>
      <c r="Q146" s="22">
        <f t="shared" si="108"/>
        <v>639.03373001247144</v>
      </c>
      <c r="R146" s="59">
        <f t="shared" si="109"/>
        <v>932.36706334580481</v>
      </c>
      <c r="S146" s="59">
        <f ca="1">AVERAGE(OFFSET($R$3,0,0,'Données projet'!$E$9+1,1))-AVERAGE(OFFSET($H$3,0,0,'Données projet'!$E$9+1,1))</f>
        <v>247.57967230773539</v>
      </c>
      <c r="T146" s="59">
        <f t="shared" si="142"/>
        <v>156.58857589533295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39.077989495405909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39.077989495405909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-3.4106051316484809E-13</v>
      </c>
      <c r="AJ146" s="14">
        <f>AI146*VLOOKUP('Données projet'!$B$10,Paramètres!$A$1:$I$88,3,0)*VLOOKUP('Données projet'!$B$10,Paramètres!$A$1:$I$88,5,0)</f>
        <v>-2.7134774427395314E-13</v>
      </c>
      <c r="AK146" s="14" t="e">
        <f t="shared" si="143"/>
        <v>#NUM!</v>
      </c>
      <c r="AL146" s="22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504.15006129790828</v>
      </c>
      <c r="AO146" s="59">
        <f t="shared" si="144"/>
        <v>374.39334457402742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103.0545570537315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103.0545570537315</v>
      </c>
      <c r="AY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-3.4106051316484809E-13</v>
      </c>
      <c r="BE146" s="14">
        <f>BD146*VLOOKUP('Données projet'!$B$11,Paramètres!$A$1:$I$88,3,0)*VLOOKUP('Données projet'!$B$11,Paramètres!$A$1:$I$88,5,0)</f>
        <v>-2.7134774427395314E-13</v>
      </c>
      <c r="BF146" s="14" t="e">
        <f t="shared" si="145"/>
        <v>#NUM!</v>
      </c>
      <c r="BG146" s="22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504.15006129790828</v>
      </c>
      <c r="BJ146" s="59">
        <f t="shared" si="146"/>
        <v>374.39334457402742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103.0545570537315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103.0545570537315</v>
      </c>
      <c r="BT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-3.4106051316484809E-13</v>
      </c>
      <c r="BZ146" s="14">
        <f>BY146*VLOOKUP('Données projet'!$B$12,Paramètres!$A$1:$I$88,3,0)*VLOOKUP('Données projet'!$B$12,Paramètres!$A$1:$I$88,5,0)</f>
        <v>-2.2878339223098009E-13</v>
      </c>
      <c r="CA146" s="14" t="e">
        <f t="shared" si="147"/>
        <v>#NUM!</v>
      </c>
      <c r="CB146" s="22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387.15063677712425</v>
      </c>
      <c r="CE146" s="59">
        <f t="shared" si="148"/>
        <v>313.19155394370705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67.946509879901171</v>
      </c>
      <c r="CL146" s="23">
        <f>EXP(-LN(2)/25)*CL145+(1-EXP(-LN(2)/25))/(LN(2)/25)*Calculateur!CG146*Calculateur!CI146*VLOOKUP('Données projet'!$B$12,Paramètres!$A$1:$I$88,3,0)*0.475*44/12</f>
        <v>0</v>
      </c>
      <c r="CM146" s="23">
        <f>EXP(-LN(2)/2)*CM145+(1-EXP(-LN(2)/2))/(LN(2)/2)*CG146*CJ146*VLOOKUP('Données projet'!$B$12,Paramètres!$A$1:$I$88,3,0)*0.475*44/12</f>
        <v>0</v>
      </c>
      <c r="CN146" s="24">
        <f t="shared" si="120"/>
        <v>67.946509879901171</v>
      </c>
      <c r="CO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5.833333333333333</v>
      </c>
      <c r="CT146" s="13">
        <f>IF('Données projet'!$A$140&gt;35,CT145+CS146-DB145,IF(A146&lt;'Données projet'!$A$140,$CQ$205^A146,IF(A146='Données projet'!$A$140,'Données projet'!$B$140,CT145+CS146-DB145)))</f>
        <v>327.66666666666652</v>
      </c>
      <c r="CU146" s="18">
        <f>CT146*VLOOKUP('Données projet'!$B$13,Paramètres!$A$1:$I$88,3,0)*VLOOKUP('Données projet'!$B$13,Paramètres!$A$1:$I$88,5,0)</f>
        <v>316.91919999999988</v>
      </c>
      <c r="CV146" s="14">
        <f t="shared" si="149"/>
        <v>74.711972837774198</v>
      </c>
      <c r="CW146" s="22">
        <f t="shared" si="121"/>
        <v>682.09095935912319</v>
      </c>
      <c r="CX146" s="59">
        <f t="shared" si="122"/>
        <v>975.42429269245645</v>
      </c>
      <c r="CY146" s="59">
        <f ca="1">AVERAGE(OFFSET($CX$3,0,0,'Données projet'!$E$13+1,1))-AVERAGE(OFFSET($H$3,0,0,'Données projet'!$E$13+1,1))</f>
        <v>306.00894145276209</v>
      </c>
      <c r="CZ146" s="59">
        <f t="shared" si="150"/>
        <v>168.74705421228828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41.773023253709795</v>
      </c>
      <c r="DG146" s="23">
        <f>EXP(-LN(2)/25)*DG145+(1-EXP(-LN(2)/25))/(LN(2)/25)*Calculateur!DB146*Calculateur!DD146*VLOOKUP('Données projet'!$B$13,Paramètres!$A$1:$I$88,3,0)*0.475*44/12</f>
        <v>0</v>
      </c>
      <c r="DH146" s="23">
        <f>EXP(-LN(2)/2)*DH145+(1-EXP(-LN(2)/2))/(LN(2)/2)*DB146*DE146*VLOOKUP('Données projet'!$B$13,Paramètres!$A$1:$I$88,3,0)*0.475*44/12</f>
        <v>0</v>
      </c>
      <c r="DI146" s="24">
        <f t="shared" si="123"/>
        <v>41.773023253709795</v>
      </c>
      <c r="DJ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-3.4106051316484809E-13</v>
      </c>
      <c r="DP146" s="18">
        <f>DO146*VLOOKUP('Données projet'!$B$14,Paramètres!$A$1:$I$88,3,0)*VLOOKUP('Données projet'!$B$14,Paramètres!$A$1:$I$88,5,0)</f>
        <v>-2.6602720026858149E-13</v>
      </c>
      <c r="DQ146" s="14" t="e">
        <f t="shared" si="151"/>
        <v>#NUM!</v>
      </c>
      <c r="DR146" s="22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458.14328535055694</v>
      </c>
      <c r="DU146" s="59">
        <f t="shared" si="152"/>
        <v>366.75500153675739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projet'!$B$14,Paramètres!$A$1:$I$88,3,0)*0.475*44/12</f>
        <v>64.100481018774772</v>
      </c>
      <c r="EB146" s="23">
        <f>EXP(-LN(2)/25)*EB145+(1-EXP(-LN(2)/25))/(LN(2)/25)*Calculateur!DW146*Calculateur!DY146*VLOOKUP('Données projet'!$B$14,Paramètres!$A$1:$I$88,3,0)*0.475*44/12</f>
        <v>0</v>
      </c>
      <c r="EC146" s="23">
        <f>EXP(-LN(2)/2)*EC145+(1-EXP(-LN(2)/2))/(LN(2)/2)*DW146*DZ146*VLOOKUP('Données projet'!$B$14,Paramètres!$A$1:$I$88,3,0)*0.475*44/12</f>
        <v>0</v>
      </c>
      <c r="ED146" s="24">
        <f t="shared" si="126"/>
        <v>64.100481018774772</v>
      </c>
      <c r="EE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4.5474735088646412E-13</v>
      </c>
      <c r="EK146" s="18">
        <f>EJ146*VLOOKUP('Données projet'!$B$15,Paramètres!$A$1:$I$88,3,0)*VLOOKUP('Données projet'!$B$15,Paramètres!$A$1:$I$88,5,0)</f>
        <v>3.9017322706058626E-13</v>
      </c>
      <c r="EL146" s="14">
        <f t="shared" si="153"/>
        <v>5.0025007393608908E-12</v>
      </c>
      <c r="EM146" s="22">
        <f t="shared" si="127"/>
        <v>9.3922404915174053E-12</v>
      </c>
      <c r="EN146" s="59">
        <f t="shared" si="128"/>
        <v>293.33333333334269</v>
      </c>
      <c r="EO146" s="59">
        <f ca="1">AVERAGE(OFFSET($EN$3,0,0,'Données projet'!$E$15+1,1))-AVERAGE(OFFSET($H$3,0,0,'Données projet'!$E$15+1,1))</f>
        <v>462.99360395552145</v>
      </c>
      <c r="EP146" s="59">
        <f t="shared" si="154"/>
        <v>153.03880717786046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projet'!$B$15,Paramètres!$A$1:$I$88,3,0)*0.475*44/12</f>
        <v>111.5763145467227</v>
      </c>
      <c r="EW146" s="23">
        <f>EXP(-LN(2)/25)*EW145+(1-EXP(-LN(2)/25))/(LN(2)/25)*Calculateur!ER146*Calculateur!ET146*VLOOKUP('Données projet'!$B$15,Paramètres!$A$1:$I$88,3,0)*0.475*44/12</f>
        <v>0</v>
      </c>
      <c r="EX146" s="23">
        <f>EXP(-LN(2)/2)*EX145+(1-EXP(-LN(2)/2))/(LN(2)/2)*ER146*EU146*VLOOKUP('Données projet'!$B$15,Paramètres!$A$1:$I$88,3,0)*0.475*44/12</f>
        <v>0</v>
      </c>
      <c r="EY146" s="24">
        <f t="shared" si="129"/>
        <v>111.5763145467227</v>
      </c>
      <c r="EZ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2.2737367544323206E-13</v>
      </c>
      <c r="FF146" s="18">
        <f>FE146*VLOOKUP('Données projet'!$B$16,Paramètres!$A$1:$I$88,3,0)*VLOOKUP('Données projet'!$B$16,Paramètres!$A$1:$I$88,5,0)</f>
        <v>1.9863364286720756E-13</v>
      </c>
      <c r="FG146" s="14">
        <f t="shared" si="155"/>
        <v>2.7549360720371426E-12</v>
      </c>
      <c r="FH146" s="22">
        <f t="shared" si="130"/>
        <v>5.144133920125077E-12</v>
      </c>
      <c r="FI146" s="59">
        <f t="shared" si="131"/>
        <v>293.33333333333843</v>
      </c>
      <c r="FJ146" s="59">
        <f ca="1">AVERAGE(OFFSET($FI$3,0,0,'Données projet'!$E$16+1,1))-AVERAGE(OFFSET($H$3,0,0,'Données projet'!$E$16+1,1))</f>
        <v>427.76895185088944</v>
      </c>
      <c r="FK146" s="59">
        <f t="shared" si="156"/>
        <v>308.32543361559135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projet'!$B$16,Paramètres!$A$1:$I$88,3,0)*0.475*44/12</f>
        <v>90.61138129139654</v>
      </c>
      <c r="FR146" s="23">
        <f>EXP(-LN(2)/25)*FR145+(1-EXP(-LN(2)/25))/(LN(2)/25)*Calculateur!FM146*Calculateur!FO146*VLOOKUP('Données projet'!$B$16,Paramètres!$A$1:$I$88,3,0)*0.475*44/12</f>
        <v>0</v>
      </c>
      <c r="FS146" s="23">
        <f>EXP(-LN(2)/2)*FS145+(1-EXP(-LN(2)/2))/(LN(2)/2)*FM146*FP146*VLOOKUP('Données projet'!$B$16,Paramètres!$A$1:$I$88,3,0)*0.475*44/12</f>
        <v>0</v>
      </c>
      <c r="FT146" s="24">
        <f t="shared" si="132"/>
        <v>90.61138129139654</v>
      </c>
      <c r="FU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333.00000000000006</v>
      </c>
      <c r="GA146" s="18">
        <f>FZ146*VLOOKUP('Données projet'!$B$17,Paramètres!$A$1:$I$88,3,0)*VLOOKUP('Données projet'!$B$17,Paramètres!$A$1:$I$88,5,0)</f>
        <v>207.79200000000006</v>
      </c>
      <c r="GB146" s="14">
        <f t="shared" si="157"/>
        <v>51.452785725007907</v>
      </c>
      <c r="GC146" s="22">
        <f t="shared" si="133"/>
        <v>451.5180018043888</v>
      </c>
      <c r="GD146" s="59">
        <f t="shared" si="134"/>
        <v>744.85133513772212</v>
      </c>
      <c r="GE146" s="59">
        <f ca="1">AVERAGE(OFFSET($GD$3,0,0,'Données projet'!$E$17+1,1))-AVERAGE(OFFSET($H$3,0,0,'Données projet'!$E$17+1,1))</f>
        <v>247.85542034088905</v>
      </c>
      <c r="GF146" s="59">
        <f t="shared" si="158"/>
        <v>299.52241743660352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projet'!$B$17,Paramètres!$A$1:$I$88,3,0)*0.475*44/12</f>
        <v>7.1801761375326461</v>
      </c>
      <c r="GM146" s="23">
        <f>EXP(-LN(2)/25)*GM145+(1-EXP(-LN(2)/25))/(LN(2)/25)*Calculateur!GH146*Calculateur!GJ146*VLOOKUP('Données projet'!$B$17,Paramètres!$A$1:$I$88,3,0)*0.475*44/12</f>
        <v>3.8077168326528401</v>
      </c>
      <c r="GN146" s="23">
        <f>EXP(-LN(2)/2)*GN145+(1-EXP(-LN(2)/2))/(LN(2)/2)*GH146*GK146*VLOOKUP('Données projet'!$B$17,Paramètres!$A$1:$I$88,3,0)*0.475*44/12</f>
        <v>1.3763228505334764E-11</v>
      </c>
      <c r="GO146" s="23">
        <f t="shared" si="135"/>
        <v>10.987892970199249</v>
      </c>
      <c r="GP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3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6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5.833333333333333</v>
      </c>
      <c r="N147" s="14">
        <f>IF('Données projet'!$A$36&gt;35,N146+M147-V146,IF(A147&lt;'Données projet'!$A$36,$K$205^A147,IF(A147='Données projet'!$A$36,'Données projet'!$B$36,N146+M147-V146)))</f>
        <v>333.49999999999983</v>
      </c>
      <c r="O147" s="14">
        <f>N147*VLOOKUP('Données projet'!$B$9,Paramètres!$A$1:$I$88,3,0)*VLOOKUP('Données projet'!$B$9,Paramètres!$A$1:$I$88,5,0)</f>
        <v>301.75079999999986</v>
      </c>
      <c r="P147" s="14">
        <f t="shared" si="141"/>
        <v>71.54337400924733</v>
      </c>
      <c r="Q147" s="22">
        <f t="shared" si="108"/>
        <v>650.1540197327721</v>
      </c>
      <c r="R147" s="59">
        <f t="shared" si="109"/>
        <v>943.48735306610547</v>
      </c>
      <c r="S147" s="59">
        <f ca="1">AVERAGE(OFFSET($R$3,0,0,'Données projet'!$E$9+1,1))-AVERAGE(OFFSET($H$3,0,0,'Données projet'!$E$9+1,1))</f>
        <v>247.57967230773539</v>
      </c>
      <c r="T147" s="59">
        <f t="shared" si="142"/>
        <v>156.58857589533295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38.311693956621056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38.311693956621056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-3.4106051316484809E-13</v>
      </c>
      <c r="AJ147" s="14">
        <f>AI147*VLOOKUP('Données projet'!$B$10,Paramètres!$A$1:$I$88,3,0)*VLOOKUP('Données projet'!$B$10,Paramètres!$A$1:$I$88,5,0)</f>
        <v>-2.7134774427395314E-13</v>
      </c>
      <c r="AK147" s="14" t="e">
        <f t="shared" si="143"/>
        <v>#NUM!</v>
      </c>
      <c r="AL147" s="22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504.15006129790828</v>
      </c>
      <c r="AO147" s="59">
        <f t="shared" si="144"/>
        <v>374.39334457402742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101.033720046981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101.033720046981</v>
      </c>
      <c r="AY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-3.4106051316484809E-13</v>
      </c>
      <c r="BE147" s="14">
        <f>BD147*VLOOKUP('Données projet'!$B$11,Paramètres!$A$1:$I$88,3,0)*VLOOKUP('Données projet'!$B$11,Paramètres!$A$1:$I$88,5,0)</f>
        <v>-2.7134774427395314E-13</v>
      </c>
      <c r="BF147" s="14" t="e">
        <f t="shared" si="145"/>
        <v>#NUM!</v>
      </c>
      <c r="BG147" s="22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504.15006129790828</v>
      </c>
      <c r="BJ147" s="59">
        <f t="shared" si="146"/>
        <v>374.39334457402742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101.033720046981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101.033720046981</v>
      </c>
      <c r="BT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-3.4106051316484809E-13</v>
      </c>
      <c r="BZ147" s="14">
        <f>BY147*VLOOKUP('Données projet'!$B$12,Paramètres!$A$1:$I$88,3,0)*VLOOKUP('Données projet'!$B$12,Paramètres!$A$1:$I$88,5,0)</f>
        <v>-2.2878339223098009E-13</v>
      </c>
      <c r="CA147" s="14" t="e">
        <f t="shared" si="147"/>
        <v>#NUM!</v>
      </c>
      <c r="CB147" s="22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387.15063677712425</v>
      </c>
      <c r="CE147" s="59">
        <f t="shared" si="148"/>
        <v>313.19155394370705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66.614120264435158</v>
      </c>
      <c r="CL147" s="23">
        <f>EXP(-LN(2)/25)*CL146+(1-EXP(-LN(2)/25))/(LN(2)/25)*Calculateur!CG147*Calculateur!CI147*VLOOKUP('Données projet'!$B$12,Paramètres!$A$1:$I$88,3,0)*0.475*44/12</f>
        <v>0</v>
      </c>
      <c r="CM147" s="23">
        <f>EXP(-LN(2)/2)*CM146+(1-EXP(-LN(2)/2))/(LN(2)/2)*CG147*CJ147*VLOOKUP('Données projet'!$B$12,Paramètres!$A$1:$I$88,3,0)*0.475*44/12</f>
        <v>0</v>
      </c>
      <c r="CN147" s="24">
        <f t="shared" si="120"/>
        <v>66.614120264435158</v>
      </c>
      <c r="CO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5.833333333333333</v>
      </c>
      <c r="CT147" s="13">
        <f>IF('Données projet'!$A$140&gt;35,CT146+CS147-DB146,IF(A147&lt;'Données projet'!$A$140,$CQ$205^A147,IF(A147='Données projet'!$A$140,'Données projet'!$B$140,CT146+CS147-DB146)))</f>
        <v>333.49999999999983</v>
      </c>
      <c r="CU147" s="18">
        <f>CT147*VLOOKUP('Données projet'!$B$13,Paramètres!$A$1:$I$88,3,0)*VLOOKUP('Données projet'!$B$13,Paramètres!$A$1:$I$88,5,0)</f>
        <v>322.56119999999987</v>
      </c>
      <c r="CV147" s="14">
        <f t="shared" si="149"/>
        <v>75.88601363076539</v>
      </c>
      <c r="CW147" s="22">
        <f t="shared" si="121"/>
        <v>693.96223040691609</v>
      </c>
      <c r="CX147" s="59">
        <f t="shared" si="122"/>
        <v>987.29556374024946</v>
      </c>
      <c r="CY147" s="59">
        <f ca="1">AVERAGE(OFFSET($CX$3,0,0,'Données projet'!$E$13+1,1))-AVERAGE(OFFSET($H$3,0,0,'Données projet'!$E$13+1,1))</f>
        <v>306.00894145276209</v>
      </c>
      <c r="CZ147" s="59">
        <f t="shared" si="150"/>
        <v>168.74705421228828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40.953879746732888</v>
      </c>
      <c r="DG147" s="23">
        <f>EXP(-LN(2)/25)*DG146+(1-EXP(-LN(2)/25))/(LN(2)/25)*Calculateur!DB147*Calculateur!DD147*VLOOKUP('Données projet'!$B$13,Paramètres!$A$1:$I$88,3,0)*0.475*44/12</f>
        <v>0</v>
      </c>
      <c r="DH147" s="23">
        <f>EXP(-LN(2)/2)*DH146+(1-EXP(-LN(2)/2))/(LN(2)/2)*DB147*DE147*VLOOKUP('Données projet'!$B$13,Paramètres!$A$1:$I$88,3,0)*0.475*44/12</f>
        <v>0</v>
      </c>
      <c r="DI147" s="24">
        <f t="shared" si="123"/>
        <v>40.953879746732888</v>
      </c>
      <c r="DJ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-3.4106051316484809E-13</v>
      </c>
      <c r="DP147" s="18">
        <f>DO147*VLOOKUP('Données projet'!$B$14,Paramètres!$A$1:$I$88,3,0)*VLOOKUP('Données projet'!$B$14,Paramètres!$A$1:$I$88,5,0)</f>
        <v>-2.6602720026858149E-13</v>
      </c>
      <c r="DQ147" s="14" t="e">
        <f t="shared" si="151"/>
        <v>#NUM!</v>
      </c>
      <c r="DR147" s="22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458.14328535055694</v>
      </c>
      <c r="DU147" s="59">
        <f t="shared" si="152"/>
        <v>366.75500153675739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projet'!$B$14,Paramètres!$A$1:$I$88,3,0)*0.475*44/12</f>
        <v>62.843509683429467</v>
      </c>
      <c r="EB147" s="23">
        <f>EXP(-LN(2)/25)*EB146+(1-EXP(-LN(2)/25))/(LN(2)/25)*Calculateur!DW147*Calculateur!DY147*VLOOKUP('Données projet'!$B$14,Paramètres!$A$1:$I$88,3,0)*0.475*44/12</f>
        <v>0</v>
      </c>
      <c r="EC147" s="23">
        <f>EXP(-LN(2)/2)*EC146+(1-EXP(-LN(2)/2))/(LN(2)/2)*DW147*DZ147*VLOOKUP('Données projet'!$B$14,Paramètres!$A$1:$I$88,3,0)*0.475*44/12</f>
        <v>0</v>
      </c>
      <c r="ED147" s="24">
        <f t="shared" si="126"/>
        <v>62.843509683429467</v>
      </c>
      <c r="EE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4.5474735088646412E-13</v>
      </c>
      <c r="EK147" s="18">
        <f>EJ147*VLOOKUP('Données projet'!$B$15,Paramètres!$A$1:$I$88,3,0)*VLOOKUP('Données projet'!$B$15,Paramètres!$A$1:$I$88,5,0)</f>
        <v>3.9017322706058626E-13</v>
      </c>
      <c r="EL147" s="14">
        <f t="shared" si="153"/>
        <v>5.0025007393608908E-12</v>
      </c>
      <c r="EM147" s="22">
        <f t="shared" si="127"/>
        <v>9.3922404915174053E-12</v>
      </c>
      <c r="EN147" s="59">
        <f t="shared" si="128"/>
        <v>293.33333333334269</v>
      </c>
      <c r="EO147" s="59">
        <f ca="1">AVERAGE(OFFSET($EN$3,0,0,'Données projet'!$E$15+1,1))-AVERAGE(OFFSET($H$3,0,0,'Données projet'!$E$15+1,1))</f>
        <v>462.99360395552145</v>
      </c>
      <c r="EP147" s="59">
        <f t="shared" si="154"/>
        <v>153.03880717786046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projet'!$B$15,Paramètres!$A$1:$I$88,3,0)*0.475*44/12</f>
        <v>109.38837107329348</v>
      </c>
      <c r="EW147" s="23">
        <f>EXP(-LN(2)/25)*EW146+(1-EXP(-LN(2)/25))/(LN(2)/25)*Calculateur!ER147*Calculateur!ET147*VLOOKUP('Données projet'!$B$15,Paramètres!$A$1:$I$88,3,0)*0.475*44/12</f>
        <v>0</v>
      </c>
      <c r="EX147" s="23">
        <f>EXP(-LN(2)/2)*EX146+(1-EXP(-LN(2)/2))/(LN(2)/2)*ER147*EU147*VLOOKUP('Données projet'!$B$15,Paramètres!$A$1:$I$88,3,0)*0.475*44/12</f>
        <v>0</v>
      </c>
      <c r="EY147" s="24">
        <f t="shared" si="129"/>
        <v>109.38837107329348</v>
      </c>
      <c r="EZ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2.2737367544323206E-13</v>
      </c>
      <c r="FF147" s="18">
        <f>FE147*VLOOKUP('Données projet'!$B$16,Paramètres!$A$1:$I$88,3,0)*VLOOKUP('Données projet'!$B$16,Paramètres!$A$1:$I$88,5,0)</f>
        <v>1.9863364286720756E-13</v>
      </c>
      <c r="FG147" s="14">
        <f t="shared" si="155"/>
        <v>2.7549360720371426E-12</v>
      </c>
      <c r="FH147" s="22">
        <f t="shared" si="130"/>
        <v>5.144133920125077E-12</v>
      </c>
      <c r="FI147" s="59">
        <f t="shared" si="131"/>
        <v>293.33333333333843</v>
      </c>
      <c r="FJ147" s="59">
        <f ca="1">AVERAGE(OFFSET($FI$3,0,0,'Données projet'!$E$16+1,1))-AVERAGE(OFFSET($H$3,0,0,'Données projet'!$E$16+1,1))</f>
        <v>427.76895185088944</v>
      </c>
      <c r="FK147" s="59">
        <f t="shared" si="156"/>
        <v>308.32543361559135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projet'!$B$16,Paramètres!$A$1:$I$88,3,0)*0.475*44/12</f>
        <v>88.834547371757637</v>
      </c>
      <c r="FR147" s="23">
        <f>EXP(-LN(2)/25)*FR146+(1-EXP(-LN(2)/25))/(LN(2)/25)*Calculateur!FM147*Calculateur!FO147*VLOOKUP('Données projet'!$B$16,Paramètres!$A$1:$I$88,3,0)*0.475*44/12</f>
        <v>0</v>
      </c>
      <c r="FS147" s="23">
        <f>EXP(-LN(2)/2)*FS146+(1-EXP(-LN(2)/2))/(LN(2)/2)*FM147*FP147*VLOOKUP('Données projet'!$B$16,Paramètres!$A$1:$I$88,3,0)*0.475*44/12</f>
        <v>0</v>
      </c>
      <c r="FT147" s="24">
        <f t="shared" si="132"/>
        <v>88.834547371757637</v>
      </c>
      <c r="FU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333.00000000000006</v>
      </c>
      <c r="GA147" s="18">
        <f>FZ147*VLOOKUP('Données projet'!$B$17,Paramètres!$A$1:$I$88,3,0)*VLOOKUP('Données projet'!$B$17,Paramètres!$A$1:$I$88,5,0)</f>
        <v>207.79200000000006</v>
      </c>
      <c r="GB147" s="14">
        <f t="shared" si="157"/>
        <v>51.452785725007907</v>
      </c>
      <c r="GC147" s="22">
        <f t="shared" si="133"/>
        <v>451.5180018043888</v>
      </c>
      <c r="GD147" s="59">
        <f t="shared" si="134"/>
        <v>744.85133513772212</v>
      </c>
      <c r="GE147" s="59">
        <f ca="1">AVERAGE(OFFSET($GD$3,0,0,'Données projet'!$E$17+1,1))-AVERAGE(OFFSET($H$3,0,0,'Données projet'!$E$17+1,1))</f>
        <v>247.85542034088905</v>
      </c>
      <c r="GF147" s="59">
        <f t="shared" si="158"/>
        <v>299.52241743660352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projet'!$B$17,Paramètres!$A$1:$I$88,3,0)*0.475*44/12</f>
        <v>7.0393772629506373</v>
      </c>
      <c r="GM147" s="23">
        <f>EXP(-LN(2)/25)*GM146+(1-EXP(-LN(2)/25))/(LN(2)/25)*Calculateur!GH147*Calculateur!GJ147*VLOOKUP('Données projet'!$B$17,Paramètres!$A$1:$I$88,3,0)*0.475*44/12</f>
        <v>3.7035946156248225</v>
      </c>
      <c r="GN147" s="23">
        <f>EXP(-LN(2)/2)*GN146+(1-EXP(-LN(2)/2))/(LN(2)/2)*GH147*GK147*VLOOKUP('Données projet'!$B$17,Paramètres!$A$1:$I$88,3,0)*0.475*44/12</f>
        <v>9.7320722071422028E-12</v>
      </c>
      <c r="GO147" s="23">
        <f t="shared" si="135"/>
        <v>10.742971878585193</v>
      </c>
      <c r="GP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3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6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5.833333333333333</v>
      </c>
      <c r="N148" s="14">
        <f>IF('Données projet'!$A$36&gt;35,N147+M148-V147,IF(A148&lt;'Données projet'!$A$36,$K$205^A148,IF(A148='Données projet'!$A$36,'Données projet'!$B$36,N147+M148-V147)))</f>
        <v>339.33333333333314</v>
      </c>
      <c r="O148" s="14">
        <f>N148*VLOOKUP('Données projet'!$B$9,Paramètres!$A$1:$I$88,3,0)*VLOOKUP('Données projet'!$B$9,Paramètres!$A$1:$I$88,5,0)</f>
        <v>307.02879999999982</v>
      </c>
      <c r="P148" s="14">
        <f t="shared" si="141"/>
        <v>72.647977984643887</v>
      </c>
      <c r="Q148" s="22">
        <f t="shared" si="108"/>
        <v>661.27038832325445</v>
      </c>
      <c r="R148" s="59">
        <f t="shared" si="109"/>
        <v>954.60372165658782</v>
      </c>
      <c r="S148" s="59">
        <f ca="1">AVERAGE(OFFSET($R$3,0,0,'Données projet'!$E$9+1,1))-AVERAGE(OFFSET($H$3,0,0,'Données projet'!$E$9+1,1))</f>
        <v>247.57967230773539</v>
      </c>
      <c r="T148" s="59">
        <f t="shared" si="142"/>
        <v>156.58857589533295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37.560425005957647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37.560425005957647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-3.4106051316484809E-13</v>
      </c>
      <c r="AJ148" s="14">
        <f>AI148*VLOOKUP('Données projet'!$B$10,Paramètres!$A$1:$I$88,3,0)*VLOOKUP('Données projet'!$B$10,Paramètres!$A$1:$I$88,5,0)</f>
        <v>-2.7134774427395314E-13</v>
      </c>
      <c r="AK148" s="14" t="e">
        <f t="shared" si="143"/>
        <v>#NUM!</v>
      </c>
      <c r="AL148" s="22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504.15006129790828</v>
      </c>
      <c r="AO148" s="59">
        <f t="shared" si="144"/>
        <v>374.39334457402742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99.052510421344024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99.052510421344024</v>
      </c>
      <c r="AY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-3.4106051316484809E-13</v>
      </c>
      <c r="BE148" s="14">
        <f>BD148*VLOOKUP('Données projet'!$B$11,Paramètres!$A$1:$I$88,3,0)*VLOOKUP('Données projet'!$B$11,Paramètres!$A$1:$I$88,5,0)</f>
        <v>-2.7134774427395314E-13</v>
      </c>
      <c r="BF148" s="14" t="e">
        <f t="shared" si="145"/>
        <v>#NUM!</v>
      </c>
      <c r="BG148" s="22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504.15006129790828</v>
      </c>
      <c r="BJ148" s="59">
        <f t="shared" si="146"/>
        <v>374.39334457402742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99.052510421344024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99.052510421344024</v>
      </c>
      <c r="BT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-3.4106051316484809E-13</v>
      </c>
      <c r="BZ148" s="14">
        <f>BY148*VLOOKUP('Données projet'!$B$12,Paramètres!$A$1:$I$88,3,0)*VLOOKUP('Données projet'!$B$12,Paramètres!$A$1:$I$88,5,0)</f>
        <v>-2.2878339223098009E-13</v>
      </c>
      <c r="CA148" s="14" t="e">
        <f t="shared" si="147"/>
        <v>#NUM!</v>
      </c>
      <c r="CB148" s="22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387.15063677712425</v>
      </c>
      <c r="CE148" s="59">
        <f t="shared" si="148"/>
        <v>313.19155394370705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65.307857996651009</v>
      </c>
      <c r="CL148" s="23">
        <f>EXP(-LN(2)/25)*CL147+(1-EXP(-LN(2)/25))/(LN(2)/25)*Calculateur!CG148*Calculateur!CI148*VLOOKUP('Données projet'!$B$12,Paramètres!$A$1:$I$88,3,0)*0.475*44/12</f>
        <v>0</v>
      </c>
      <c r="CM148" s="23">
        <f>EXP(-LN(2)/2)*CM147+(1-EXP(-LN(2)/2))/(LN(2)/2)*CG148*CJ148*VLOOKUP('Données projet'!$B$12,Paramètres!$A$1:$I$88,3,0)*0.475*44/12</f>
        <v>0</v>
      </c>
      <c r="CN148" s="24">
        <f t="shared" si="120"/>
        <v>65.307857996651009</v>
      </c>
      <c r="CO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5.833333333333333</v>
      </c>
      <c r="CT148" s="13">
        <f>IF('Données projet'!$A$140&gt;35,CT147+CS148-DB147,IF(A148&lt;'Données projet'!$A$140,$CQ$205^A148,IF(A148='Données projet'!$A$140,'Données projet'!$B$140,CT147+CS148-DB147)))</f>
        <v>339.33333333333314</v>
      </c>
      <c r="CU148" s="18">
        <f>CT148*VLOOKUP('Données projet'!$B$13,Paramètres!$A$1:$I$88,3,0)*VLOOKUP('Données projet'!$B$13,Paramètres!$A$1:$I$88,5,0)</f>
        <v>328.20319999999981</v>
      </c>
      <c r="CV148" s="14">
        <f t="shared" si="149"/>
        <v>77.057666400771751</v>
      </c>
      <c r="CW148" s="22">
        <f t="shared" si="121"/>
        <v>705.82934231467698</v>
      </c>
      <c r="CX148" s="59">
        <f t="shared" si="122"/>
        <v>999.16267564801024</v>
      </c>
      <c r="CY148" s="59">
        <f ca="1">AVERAGE(OFFSET($CX$3,0,0,'Données projet'!$E$13+1,1))-AVERAGE(OFFSET($H$3,0,0,'Données projet'!$E$13+1,1))</f>
        <v>306.00894145276209</v>
      </c>
      <c r="CZ148" s="59">
        <f t="shared" si="150"/>
        <v>168.74705421228828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40.15079914429959</v>
      </c>
      <c r="DG148" s="23">
        <f>EXP(-LN(2)/25)*DG147+(1-EXP(-LN(2)/25))/(LN(2)/25)*Calculateur!DB148*Calculateur!DD148*VLOOKUP('Données projet'!$B$13,Paramètres!$A$1:$I$88,3,0)*0.475*44/12</f>
        <v>0</v>
      </c>
      <c r="DH148" s="23">
        <f>EXP(-LN(2)/2)*DH147+(1-EXP(-LN(2)/2))/(LN(2)/2)*DB148*DE148*VLOOKUP('Données projet'!$B$13,Paramètres!$A$1:$I$88,3,0)*0.475*44/12</f>
        <v>0</v>
      </c>
      <c r="DI148" s="24">
        <f t="shared" si="123"/>
        <v>40.15079914429959</v>
      </c>
      <c r="DJ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-3.4106051316484809E-13</v>
      </c>
      <c r="DP148" s="18">
        <f>DO148*VLOOKUP('Données projet'!$B$14,Paramètres!$A$1:$I$88,3,0)*VLOOKUP('Données projet'!$B$14,Paramètres!$A$1:$I$88,5,0)</f>
        <v>-2.6602720026858149E-13</v>
      </c>
      <c r="DQ148" s="14" t="e">
        <f t="shared" si="151"/>
        <v>#NUM!</v>
      </c>
      <c r="DR148" s="22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458.14328535055694</v>
      </c>
      <c r="DU148" s="59">
        <f t="shared" si="152"/>
        <v>366.75500153675739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projet'!$B$14,Paramètres!$A$1:$I$88,3,0)*0.475*44/12</f>
        <v>61.611186789293477</v>
      </c>
      <c r="EB148" s="23">
        <f>EXP(-LN(2)/25)*EB147+(1-EXP(-LN(2)/25))/(LN(2)/25)*Calculateur!DW148*Calculateur!DY148*VLOOKUP('Données projet'!$B$14,Paramètres!$A$1:$I$88,3,0)*0.475*44/12</f>
        <v>0</v>
      </c>
      <c r="EC148" s="23">
        <f>EXP(-LN(2)/2)*EC147+(1-EXP(-LN(2)/2))/(LN(2)/2)*DW148*DZ148*VLOOKUP('Données projet'!$B$14,Paramètres!$A$1:$I$88,3,0)*0.475*44/12</f>
        <v>0</v>
      </c>
      <c r="ED148" s="24">
        <f t="shared" si="126"/>
        <v>61.611186789293477</v>
      </c>
      <c r="EE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4.5474735088646412E-13</v>
      </c>
      <c r="EK148" s="18">
        <f>EJ148*VLOOKUP('Données projet'!$B$15,Paramètres!$A$1:$I$88,3,0)*VLOOKUP('Données projet'!$B$15,Paramètres!$A$1:$I$88,5,0)</f>
        <v>3.9017322706058626E-13</v>
      </c>
      <c r="EL148" s="14">
        <f t="shared" si="153"/>
        <v>5.0025007393608908E-12</v>
      </c>
      <c r="EM148" s="22">
        <f t="shared" si="127"/>
        <v>9.3922404915174053E-12</v>
      </c>
      <c r="EN148" s="59">
        <f t="shared" si="128"/>
        <v>293.33333333334269</v>
      </c>
      <c r="EO148" s="59">
        <f ca="1">AVERAGE(OFFSET($EN$3,0,0,'Données projet'!$E$15+1,1))-AVERAGE(OFFSET($H$3,0,0,'Données projet'!$E$15+1,1))</f>
        <v>462.99360395552145</v>
      </c>
      <c r="EP148" s="59">
        <f t="shared" si="154"/>
        <v>153.03880717786046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projet'!$B$15,Paramètres!$A$1:$I$88,3,0)*0.475*44/12</f>
        <v>107.24333183686447</v>
      </c>
      <c r="EW148" s="23">
        <f>EXP(-LN(2)/25)*EW147+(1-EXP(-LN(2)/25))/(LN(2)/25)*Calculateur!ER148*Calculateur!ET148*VLOOKUP('Données projet'!$B$15,Paramètres!$A$1:$I$88,3,0)*0.475*44/12</f>
        <v>0</v>
      </c>
      <c r="EX148" s="23">
        <f>EXP(-LN(2)/2)*EX147+(1-EXP(-LN(2)/2))/(LN(2)/2)*ER148*EU148*VLOOKUP('Données projet'!$B$15,Paramètres!$A$1:$I$88,3,0)*0.475*44/12</f>
        <v>0</v>
      </c>
      <c r="EY148" s="24">
        <f t="shared" si="129"/>
        <v>107.24333183686447</v>
      </c>
      <c r="EZ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2.2737367544323206E-13</v>
      </c>
      <c r="FF148" s="18">
        <f>FE148*VLOOKUP('Données projet'!$B$16,Paramètres!$A$1:$I$88,3,0)*VLOOKUP('Données projet'!$B$16,Paramètres!$A$1:$I$88,5,0)</f>
        <v>1.9863364286720756E-13</v>
      </c>
      <c r="FG148" s="14">
        <f t="shared" si="155"/>
        <v>2.7549360720371426E-12</v>
      </c>
      <c r="FH148" s="22">
        <f t="shared" si="130"/>
        <v>5.144133920125077E-12</v>
      </c>
      <c r="FI148" s="59">
        <f t="shared" si="131"/>
        <v>293.33333333333843</v>
      </c>
      <c r="FJ148" s="59">
        <f ca="1">AVERAGE(OFFSET($FI$3,0,0,'Données projet'!$E$16+1,1))-AVERAGE(OFFSET($H$3,0,0,'Données projet'!$E$16+1,1))</f>
        <v>427.76895185088944</v>
      </c>
      <c r="FK148" s="59">
        <f t="shared" si="156"/>
        <v>308.32543361559135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projet'!$B$16,Paramètres!$A$1:$I$88,3,0)*0.475*44/12</f>
        <v>87.092556081521167</v>
      </c>
      <c r="FR148" s="23">
        <f>EXP(-LN(2)/25)*FR147+(1-EXP(-LN(2)/25))/(LN(2)/25)*Calculateur!FM148*Calculateur!FO148*VLOOKUP('Données projet'!$B$16,Paramètres!$A$1:$I$88,3,0)*0.475*44/12</f>
        <v>0</v>
      </c>
      <c r="FS148" s="23">
        <f>EXP(-LN(2)/2)*FS147+(1-EXP(-LN(2)/2))/(LN(2)/2)*FM148*FP148*VLOOKUP('Données projet'!$B$16,Paramètres!$A$1:$I$88,3,0)*0.475*44/12</f>
        <v>0</v>
      </c>
      <c r="FT148" s="24">
        <f t="shared" si="132"/>
        <v>87.092556081521167</v>
      </c>
      <c r="FU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333.00000000000006</v>
      </c>
      <c r="GA148" s="18">
        <f>FZ148*VLOOKUP('Données projet'!$B$17,Paramètres!$A$1:$I$88,3,0)*VLOOKUP('Données projet'!$B$17,Paramètres!$A$1:$I$88,5,0)</f>
        <v>207.79200000000006</v>
      </c>
      <c r="GB148" s="14">
        <f t="shared" si="157"/>
        <v>51.452785725007907</v>
      </c>
      <c r="GC148" s="22">
        <f t="shared" si="133"/>
        <v>451.5180018043888</v>
      </c>
      <c r="GD148" s="59">
        <f t="shared" si="134"/>
        <v>744.85133513772212</v>
      </c>
      <c r="GE148" s="59">
        <f ca="1">AVERAGE(OFFSET($GD$3,0,0,'Données projet'!$E$17+1,1))-AVERAGE(OFFSET($H$3,0,0,'Données projet'!$E$17+1,1))</f>
        <v>247.85542034088905</v>
      </c>
      <c r="GF148" s="59">
        <f t="shared" si="158"/>
        <v>299.52241743660352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projet'!$B$17,Paramètres!$A$1:$I$88,3,0)*0.475*44/12</f>
        <v>6.9013393684203486</v>
      </c>
      <c r="GM148" s="23">
        <f>EXP(-LN(2)/25)*GM147+(1-EXP(-LN(2)/25))/(LN(2)/25)*Calculateur!GH148*Calculateur!GJ148*VLOOKUP('Données projet'!$B$17,Paramètres!$A$1:$I$88,3,0)*0.475*44/12</f>
        <v>3.6023196260969854</v>
      </c>
      <c r="GN148" s="23">
        <f>EXP(-LN(2)/2)*GN147+(1-EXP(-LN(2)/2))/(LN(2)/2)*GH148*GK148*VLOOKUP('Données projet'!$B$17,Paramètres!$A$1:$I$88,3,0)*0.475*44/12</f>
        <v>6.8816142526673822E-12</v>
      </c>
      <c r="GO148" s="23">
        <f t="shared" si="135"/>
        <v>10.503658994524216</v>
      </c>
      <c r="GP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3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6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5.833333333333333</v>
      </c>
      <c r="N149" s="14">
        <f>IF('Données projet'!$A$36&gt;35,N148+M149-V148,IF(A149&lt;'Données projet'!$A$36,$K$205^A149,IF(A149='Données projet'!$A$36,'Données projet'!$B$36,N148+M149-V148)))</f>
        <v>345.16666666666646</v>
      </c>
      <c r="O149" s="14">
        <f>N149*VLOOKUP('Données projet'!$B$9,Paramètres!$A$1:$I$88,3,0)*VLOOKUP('Données projet'!$B$9,Paramètres!$A$1:$I$88,5,0)</f>
        <v>312.30679999999984</v>
      </c>
      <c r="P149" s="14">
        <f t="shared" si="141"/>
        <v>73.750373761938917</v>
      </c>
      <c r="Q149" s="22">
        <f t="shared" si="108"/>
        <v>672.38291096871001</v>
      </c>
      <c r="R149" s="59">
        <f t="shared" si="109"/>
        <v>965.71624430204338</v>
      </c>
      <c r="S149" s="59">
        <f ca="1">AVERAGE(OFFSET($R$3,0,0,'Données projet'!$E$9+1,1))-AVERAGE(OFFSET($H$3,0,0,'Données projet'!$E$9+1,1))</f>
        <v>247.57967230773539</v>
      </c>
      <c r="T149" s="59">
        <f t="shared" si="142"/>
        <v>156.58857589533295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36.823887981187937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36.823887981187937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-3.4106051316484809E-13</v>
      </c>
      <c r="AJ149" s="14">
        <f>AI149*VLOOKUP('Données projet'!$B$10,Paramètres!$A$1:$I$88,3,0)*VLOOKUP('Données projet'!$B$10,Paramètres!$A$1:$I$88,5,0)</f>
        <v>-2.7134774427395314E-13</v>
      </c>
      <c r="AK149" s="14" t="e">
        <f t="shared" si="143"/>
        <v>#NUM!</v>
      </c>
      <c r="AL149" s="22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504.15006129790828</v>
      </c>
      <c r="AO149" s="59">
        <f t="shared" si="144"/>
        <v>374.39334457402742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97.110151108047233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97.110151108047233</v>
      </c>
      <c r="AY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-3.4106051316484809E-13</v>
      </c>
      <c r="BE149" s="14">
        <f>BD149*VLOOKUP('Données projet'!$B$11,Paramètres!$A$1:$I$88,3,0)*VLOOKUP('Données projet'!$B$11,Paramètres!$A$1:$I$88,5,0)</f>
        <v>-2.7134774427395314E-13</v>
      </c>
      <c r="BF149" s="14" t="e">
        <f t="shared" si="145"/>
        <v>#NUM!</v>
      </c>
      <c r="BG149" s="22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504.15006129790828</v>
      </c>
      <c r="BJ149" s="59">
        <f t="shared" si="146"/>
        <v>374.39334457402742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97.110151108047233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97.110151108047233</v>
      </c>
      <c r="BT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-3.4106051316484809E-13</v>
      </c>
      <c r="BZ149" s="14">
        <f>BY149*VLOOKUP('Données projet'!$B$12,Paramètres!$A$1:$I$88,3,0)*VLOOKUP('Données projet'!$B$12,Paramètres!$A$1:$I$88,5,0)</f>
        <v>-2.2878339223098009E-13</v>
      </c>
      <c r="CA149" s="14" t="e">
        <f t="shared" si="147"/>
        <v>#NUM!</v>
      </c>
      <c r="CB149" s="22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387.15063677712425</v>
      </c>
      <c r="CE149" s="59">
        <f t="shared" si="148"/>
        <v>313.19155394370705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64.027210735196789</v>
      </c>
      <c r="CL149" s="23">
        <f>EXP(-LN(2)/25)*CL148+(1-EXP(-LN(2)/25))/(LN(2)/25)*Calculateur!CG149*Calculateur!CI149*VLOOKUP('Données projet'!$B$12,Paramètres!$A$1:$I$88,3,0)*0.475*44/12</f>
        <v>0</v>
      </c>
      <c r="CM149" s="23">
        <f>EXP(-LN(2)/2)*CM148+(1-EXP(-LN(2)/2))/(LN(2)/2)*CG149*CJ149*VLOOKUP('Données projet'!$B$12,Paramètres!$A$1:$I$88,3,0)*0.475*44/12</f>
        <v>0</v>
      </c>
      <c r="CN149" s="24">
        <f t="shared" si="120"/>
        <v>64.027210735196789</v>
      </c>
      <c r="CO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5.833333333333333</v>
      </c>
      <c r="CT149" s="13">
        <f>IF('Données projet'!$A$140&gt;35,CT148+CS149-DB148,IF(A149&lt;'Données projet'!$A$140,$CQ$205^A149,IF(A149='Données projet'!$A$140,'Données projet'!$B$140,CT148+CS149-DB148)))</f>
        <v>345.16666666666646</v>
      </c>
      <c r="CU149" s="18">
        <f>CT149*VLOOKUP('Données projet'!$B$13,Paramètres!$A$1:$I$88,3,0)*VLOOKUP('Données projet'!$B$13,Paramètres!$A$1:$I$88,5,0)</f>
        <v>333.84519999999981</v>
      </c>
      <c r="CV149" s="14">
        <f t="shared" si="149"/>
        <v>78.226976936384602</v>
      </c>
      <c r="CW149" s="22">
        <f t="shared" si="121"/>
        <v>717.69237483086954</v>
      </c>
      <c r="CX149" s="59">
        <f t="shared" si="122"/>
        <v>1011.0257081642028</v>
      </c>
      <c r="CY149" s="59">
        <f ca="1">AVERAGE(OFFSET($CX$3,0,0,'Données projet'!$E$13+1,1))-AVERAGE(OFFSET($H$3,0,0,'Données projet'!$E$13+1,1))</f>
        <v>306.00894145276209</v>
      </c>
      <c r="CZ149" s="59">
        <f t="shared" si="150"/>
        <v>168.74705421228828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39.363466462649207</v>
      </c>
      <c r="DG149" s="23">
        <f>EXP(-LN(2)/25)*DG148+(1-EXP(-LN(2)/25))/(LN(2)/25)*Calculateur!DB149*Calculateur!DD149*VLOOKUP('Données projet'!$B$13,Paramètres!$A$1:$I$88,3,0)*0.475*44/12</f>
        <v>0</v>
      </c>
      <c r="DH149" s="23">
        <f>EXP(-LN(2)/2)*DH148+(1-EXP(-LN(2)/2))/(LN(2)/2)*DB149*DE149*VLOOKUP('Données projet'!$B$13,Paramètres!$A$1:$I$88,3,0)*0.475*44/12</f>
        <v>0</v>
      </c>
      <c r="DI149" s="24">
        <f t="shared" si="123"/>
        <v>39.363466462649207</v>
      </c>
      <c r="DJ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-3.4106051316484809E-13</v>
      </c>
      <c r="DP149" s="18">
        <f>DO149*VLOOKUP('Données projet'!$B$14,Paramètres!$A$1:$I$88,3,0)*VLOOKUP('Données projet'!$B$14,Paramètres!$A$1:$I$88,5,0)</f>
        <v>-2.6602720026858149E-13</v>
      </c>
      <c r="DQ149" s="14" t="e">
        <f t="shared" si="151"/>
        <v>#NUM!</v>
      </c>
      <c r="DR149" s="22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458.14328535055694</v>
      </c>
      <c r="DU149" s="59">
        <f t="shared" si="152"/>
        <v>366.75500153675739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projet'!$B$14,Paramètres!$A$1:$I$88,3,0)*0.475*44/12</f>
        <v>60.403028995468745</v>
      </c>
      <c r="EB149" s="23">
        <f>EXP(-LN(2)/25)*EB148+(1-EXP(-LN(2)/25))/(LN(2)/25)*Calculateur!DW149*Calculateur!DY149*VLOOKUP('Données projet'!$B$14,Paramètres!$A$1:$I$88,3,0)*0.475*44/12</f>
        <v>0</v>
      </c>
      <c r="EC149" s="23">
        <f>EXP(-LN(2)/2)*EC148+(1-EXP(-LN(2)/2))/(LN(2)/2)*DW149*DZ149*VLOOKUP('Données projet'!$B$14,Paramètres!$A$1:$I$88,3,0)*0.475*44/12</f>
        <v>0</v>
      </c>
      <c r="ED149" s="24">
        <f t="shared" si="126"/>
        <v>60.403028995468745</v>
      </c>
      <c r="EE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4.5474735088646412E-13</v>
      </c>
      <c r="EK149" s="18">
        <f>EJ149*VLOOKUP('Données projet'!$B$15,Paramètres!$A$1:$I$88,3,0)*VLOOKUP('Données projet'!$B$15,Paramètres!$A$1:$I$88,5,0)</f>
        <v>3.9017322706058626E-13</v>
      </c>
      <c r="EL149" s="14">
        <f t="shared" si="153"/>
        <v>5.0025007393608908E-12</v>
      </c>
      <c r="EM149" s="22">
        <f t="shared" si="127"/>
        <v>9.3922404915174053E-12</v>
      </c>
      <c r="EN149" s="59">
        <f t="shared" si="128"/>
        <v>293.33333333334269</v>
      </c>
      <c r="EO149" s="59">
        <f ca="1">AVERAGE(OFFSET($EN$3,0,0,'Données projet'!$E$15+1,1))-AVERAGE(OFFSET($H$3,0,0,'Données projet'!$E$15+1,1))</f>
        <v>462.99360395552145</v>
      </c>
      <c r="EP149" s="59">
        <f t="shared" si="154"/>
        <v>153.03880717786046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projet'!$B$15,Paramètres!$A$1:$I$88,3,0)*0.475*44/12</f>
        <v>105.14035551151709</v>
      </c>
      <c r="EW149" s="23">
        <f>EXP(-LN(2)/25)*EW148+(1-EXP(-LN(2)/25))/(LN(2)/25)*Calculateur!ER149*Calculateur!ET149*VLOOKUP('Données projet'!$B$15,Paramètres!$A$1:$I$88,3,0)*0.475*44/12</f>
        <v>0</v>
      </c>
      <c r="EX149" s="23">
        <f>EXP(-LN(2)/2)*EX148+(1-EXP(-LN(2)/2))/(LN(2)/2)*ER149*EU149*VLOOKUP('Données projet'!$B$15,Paramètres!$A$1:$I$88,3,0)*0.475*44/12</f>
        <v>0</v>
      </c>
      <c r="EY149" s="24">
        <f t="shared" si="129"/>
        <v>105.14035551151709</v>
      </c>
      <c r="EZ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2.2737367544323206E-13</v>
      </c>
      <c r="FF149" s="18">
        <f>FE149*VLOOKUP('Données projet'!$B$16,Paramètres!$A$1:$I$88,3,0)*VLOOKUP('Données projet'!$B$16,Paramètres!$A$1:$I$88,5,0)</f>
        <v>1.9863364286720756E-13</v>
      </c>
      <c r="FG149" s="14">
        <f t="shared" si="155"/>
        <v>2.7549360720371426E-12</v>
      </c>
      <c r="FH149" s="22">
        <f t="shared" si="130"/>
        <v>5.144133920125077E-12</v>
      </c>
      <c r="FI149" s="59">
        <f t="shared" si="131"/>
        <v>293.33333333333843</v>
      </c>
      <c r="FJ149" s="59">
        <f ca="1">AVERAGE(OFFSET($FI$3,0,0,'Données projet'!$E$16+1,1))-AVERAGE(OFFSET($H$3,0,0,'Données projet'!$E$16+1,1))</f>
        <v>427.76895185088944</v>
      </c>
      <c r="FK149" s="59">
        <f t="shared" si="156"/>
        <v>308.32543361559135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projet'!$B$16,Paramètres!$A$1:$I$88,3,0)*0.475*44/12</f>
        <v>85.384724177976466</v>
      </c>
      <c r="FR149" s="23">
        <f>EXP(-LN(2)/25)*FR148+(1-EXP(-LN(2)/25))/(LN(2)/25)*Calculateur!FM149*Calculateur!FO149*VLOOKUP('Données projet'!$B$16,Paramètres!$A$1:$I$88,3,0)*0.475*44/12</f>
        <v>0</v>
      </c>
      <c r="FS149" s="23">
        <f>EXP(-LN(2)/2)*FS148+(1-EXP(-LN(2)/2))/(LN(2)/2)*FM149*FP149*VLOOKUP('Données projet'!$B$16,Paramètres!$A$1:$I$88,3,0)*0.475*44/12</f>
        <v>0</v>
      </c>
      <c r="FT149" s="24">
        <f t="shared" si="132"/>
        <v>85.384724177976466</v>
      </c>
      <c r="FU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333.00000000000006</v>
      </c>
      <c r="GA149" s="18">
        <f>FZ149*VLOOKUP('Données projet'!$B$17,Paramètres!$A$1:$I$88,3,0)*VLOOKUP('Données projet'!$B$17,Paramètres!$A$1:$I$88,5,0)</f>
        <v>207.79200000000006</v>
      </c>
      <c r="GB149" s="14">
        <f t="shared" si="157"/>
        <v>51.452785725007907</v>
      </c>
      <c r="GC149" s="22">
        <f t="shared" si="133"/>
        <v>451.5180018043888</v>
      </c>
      <c r="GD149" s="59">
        <f t="shared" si="134"/>
        <v>744.85133513772212</v>
      </c>
      <c r="GE149" s="59">
        <f ca="1">AVERAGE(OFFSET($GD$3,0,0,'Données projet'!$E$17+1,1))-AVERAGE(OFFSET($H$3,0,0,'Données projet'!$E$17+1,1))</f>
        <v>247.85542034088905</v>
      </c>
      <c r="GF149" s="59">
        <f t="shared" si="158"/>
        <v>299.52241743660352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projet'!$B$17,Paramètres!$A$1:$I$88,3,0)*0.475*44/12</f>
        <v>6.7660083128069965</v>
      </c>
      <c r="GM149" s="23">
        <f>EXP(-LN(2)/25)*GM148+(1-EXP(-LN(2)/25))/(LN(2)/25)*Calculateur!GH149*Calculateur!GJ149*VLOOKUP('Données projet'!$B$17,Paramètres!$A$1:$I$88,3,0)*0.475*44/12</f>
        <v>3.5038140064836076</v>
      </c>
      <c r="GN149" s="23">
        <f>EXP(-LN(2)/2)*GN148+(1-EXP(-LN(2)/2))/(LN(2)/2)*GH149*GK149*VLOOKUP('Données projet'!$B$17,Paramètres!$A$1:$I$88,3,0)*0.475*44/12</f>
        <v>4.8660361035711014E-12</v>
      </c>
      <c r="GO149" s="23">
        <f t="shared" si="135"/>
        <v>10.26982231929547</v>
      </c>
      <c r="GP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3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6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>
        <f>VLOOKUP(A150,'Données projet'!$A$35:$I$55,2,0)</f>
        <v>351</v>
      </c>
      <c r="L150" s="13">
        <f>VLOOKUP(A150,'Données projet'!$A$35:$I$55,9,0)</f>
        <v>5.833333333333333</v>
      </c>
      <c r="M150" s="13">
        <f t="array" ref="M150">INDEX(L:L,MIN(IF(ISNUMBER(L150:L346),ROW(L150:L346),"")))</f>
        <v>5.833333333333333</v>
      </c>
      <c r="N150" s="14">
        <f>IF('Données projet'!$A$36&gt;35,N149+M150-V149,IF(A150&lt;'Données projet'!$A$36,$K$205^A150,IF(A150='Données projet'!$A$36,'Données projet'!$B$36,N149+M150-V149)))</f>
        <v>350.99999999999977</v>
      </c>
      <c r="O150" s="14">
        <f>N150*VLOOKUP('Données projet'!$B$9,Paramètres!$A$1:$I$88,3,0)*VLOOKUP('Données projet'!$B$9,Paramètres!$A$1:$I$88,5,0)</f>
        <v>317.58479999999975</v>
      </c>
      <c r="P150" s="14">
        <f t="shared" si="141"/>
        <v>74.85060296671989</v>
      </c>
      <c r="Q150" s="22">
        <f t="shared" si="108"/>
        <v>683.49166016703657</v>
      </c>
      <c r="R150" s="59">
        <f t="shared" si="109"/>
        <v>976.82499350036983</v>
      </c>
      <c r="S150" s="59">
        <f ca="1">AVERAGE(OFFSET($R$3,0,0,'Données projet'!$E$9+1,1))-AVERAGE(OFFSET($H$3,0,0,'Données projet'!$E$9+1,1))</f>
        <v>247.57967230773539</v>
      </c>
      <c r="T150" s="59">
        <f t="shared" si="142"/>
        <v>156.58857589533295</v>
      </c>
      <c r="U150" s="16">
        <f>IF(ISNA(VLOOKUP(A150,'Données projet'!$A$35:$I$55,3,0)),0,VLOOKUP(A150,'Données projet'!$A$35:$I$55,3,0))</f>
        <v>12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0.30099999999999999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36.101793998230733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36.101793998230733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-3.4106051316484809E-13</v>
      </c>
      <c r="AJ150" s="14">
        <f>AI150*VLOOKUP('Données projet'!$B$10,Paramètres!$A$1:$I$88,3,0)*VLOOKUP('Données projet'!$B$10,Paramètres!$A$1:$I$88,5,0)</f>
        <v>-2.7134774427395314E-13</v>
      </c>
      <c r="AK150" s="14" t="e">
        <f t="shared" si="143"/>
        <v>#NUM!</v>
      </c>
      <c r="AL150" s="22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504.15006129790828</v>
      </c>
      <c r="AO150" s="59">
        <f t="shared" si="144"/>
        <v>374.39334457402742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95.205880276161992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95.205880276161992</v>
      </c>
      <c r="AY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-3.4106051316484809E-13</v>
      </c>
      <c r="BE150" s="14">
        <f>BD150*VLOOKUP('Données projet'!$B$11,Paramètres!$A$1:$I$88,3,0)*VLOOKUP('Données projet'!$B$11,Paramètres!$A$1:$I$88,5,0)</f>
        <v>-2.7134774427395314E-13</v>
      </c>
      <c r="BF150" s="14" t="e">
        <f t="shared" si="145"/>
        <v>#NUM!</v>
      </c>
      <c r="BG150" s="22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504.15006129790828</v>
      </c>
      <c r="BJ150" s="59">
        <f t="shared" si="146"/>
        <v>374.39334457402742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95.205880276161992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95.205880276161992</v>
      </c>
      <c r="BT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-3.4106051316484809E-13</v>
      </c>
      <c r="BZ150" s="14">
        <f>BY150*VLOOKUP('Données projet'!$B$12,Paramètres!$A$1:$I$88,3,0)*VLOOKUP('Données projet'!$B$12,Paramètres!$A$1:$I$88,5,0)</f>
        <v>-2.2878339223098009E-13</v>
      </c>
      <c r="CA150" s="14" t="e">
        <f t="shared" si="147"/>
        <v>#NUM!</v>
      </c>
      <c r="CB150" s="22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387.15063677712425</v>
      </c>
      <c r="CE150" s="59">
        <f t="shared" si="148"/>
        <v>313.19155394370705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62.771676185421988</v>
      </c>
      <c r="CL150" s="23">
        <f>EXP(-LN(2)/25)*CL149+(1-EXP(-LN(2)/25))/(LN(2)/25)*Calculateur!CG150*Calculateur!CI150*VLOOKUP('Données projet'!$B$12,Paramètres!$A$1:$I$88,3,0)*0.475*44/12</f>
        <v>0</v>
      </c>
      <c r="CM150" s="23">
        <f>EXP(-LN(2)/2)*CM149+(1-EXP(-LN(2)/2))/(LN(2)/2)*CG150*CJ150*VLOOKUP('Données projet'!$B$12,Paramètres!$A$1:$I$88,3,0)*0.475*44/12</f>
        <v>0</v>
      </c>
      <c r="CN150" s="24">
        <f t="shared" si="120"/>
        <v>62.771676185421988</v>
      </c>
      <c r="CO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>
        <f>VLOOKUP(A150,'Données projet'!$A$139:$I$159,2,0)</f>
        <v>351</v>
      </c>
      <c r="CR150" s="13">
        <f>VLOOKUP(A150,'Données projet'!$A$139:$I$159,9,0)</f>
        <v>5.833333333333333</v>
      </c>
      <c r="CS150" s="13">
        <f t="array" ref="CS150">INDEX(CR:CR,MIN(IF(ISNUMBER(CR150:CR346),ROW(CR150:CR346),"")))</f>
        <v>5.833333333333333</v>
      </c>
      <c r="CT150" s="13">
        <f>IF('Données projet'!$A$140&gt;35,CT149+CS150-DB149,IF(A150&lt;'Données projet'!$A$140,$CQ$205^A150,IF(A150='Données projet'!$A$140,'Données projet'!$B$140,CT149+CS150-DB149)))</f>
        <v>350.99999999999977</v>
      </c>
      <c r="CU150" s="18">
        <f>CT150*VLOOKUP('Données projet'!$B$13,Paramètres!$A$1:$I$88,3,0)*VLOOKUP('Données projet'!$B$13,Paramètres!$A$1:$I$88,5,0)</f>
        <v>339.4871999999998</v>
      </c>
      <c r="CV150" s="14">
        <f t="shared" si="149"/>
        <v>79.393989389839604</v>
      </c>
      <c r="CW150" s="22">
        <f t="shared" si="121"/>
        <v>729.55140485397021</v>
      </c>
      <c r="CX150" s="59">
        <f t="shared" si="122"/>
        <v>1022.8847381873036</v>
      </c>
      <c r="CY150" s="59">
        <f ca="1">AVERAGE(OFFSET($CX$3,0,0,'Données projet'!$E$13+1,1))-AVERAGE(OFFSET($H$3,0,0,'Données projet'!$E$13+1,1))</f>
        <v>306.00894145276209</v>
      </c>
      <c r="CZ150" s="59">
        <f t="shared" si="150"/>
        <v>168.74705421228828</v>
      </c>
      <c r="DA150" s="16">
        <f>IF(ISNA(VLOOKUP(A150,'Données projet'!$A$139:$I$159,3,0)),0,VLOOKUP(A150,'Données projet'!$A$139:$I$159,3,0))</f>
        <v>12</v>
      </c>
      <c r="DB150" s="16">
        <f>IF(ISNA(VLOOKUP(A150,'Données projet'!$A$139:$I$159,4,0)),0,VLOOKUP(A150,'Données projet'!$A$139:$I$159,4,0))</f>
        <v>48</v>
      </c>
      <c r="DC150" s="17">
        <f>IF(ISNA(VLOOKUP(A150,'Données projet'!$A$139:$I$159,5,0)),0%,VLOOKUP(A150,'Données projet'!$A$139:$I$159,5,0)*VLOOKUP('Données projet'!$B$13,Paramètres!$A$1:$I$88,7,0))</f>
        <v>0.30099999999999999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54.039532715926001</v>
      </c>
      <c r="DG150" s="23">
        <f>EXP(-LN(2)/25)*DG149+(1-EXP(-LN(2)/25))/(LN(2)/25)*Calculateur!DB150*Calculateur!DD150*VLOOKUP('Données projet'!$B$13,Paramètres!$A$1:$I$88,3,0)*0.475*44/12</f>
        <v>0</v>
      </c>
      <c r="DH150" s="23">
        <f>EXP(-LN(2)/2)*DH149+(1-EXP(-LN(2)/2))/(LN(2)/2)*DB150*DE150*VLOOKUP('Données projet'!$B$13,Paramètres!$A$1:$I$88,3,0)*0.475*44/12</f>
        <v>0</v>
      </c>
      <c r="DI150" s="24">
        <f t="shared" si="123"/>
        <v>54.039532715926001</v>
      </c>
      <c r="DJ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-3.4106051316484809E-13</v>
      </c>
      <c r="DP150" s="18">
        <f>DO150*VLOOKUP('Données projet'!$B$14,Paramètres!$A$1:$I$88,3,0)*VLOOKUP('Données projet'!$B$14,Paramètres!$A$1:$I$88,5,0)</f>
        <v>-2.6602720026858149E-13</v>
      </c>
      <c r="DQ150" s="14" t="e">
        <f t="shared" si="151"/>
        <v>#NUM!</v>
      </c>
      <c r="DR150" s="22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458.14328535055694</v>
      </c>
      <c r="DU150" s="59">
        <f t="shared" si="152"/>
        <v>366.75500153675739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projet'!$B$14,Paramètres!$A$1:$I$88,3,0)*0.475*44/12</f>
        <v>59.218562439077424</v>
      </c>
      <c r="EB150" s="23">
        <f>EXP(-LN(2)/25)*EB149+(1-EXP(-LN(2)/25))/(LN(2)/25)*Calculateur!DW150*Calculateur!DY150*VLOOKUP('Données projet'!$B$14,Paramètres!$A$1:$I$88,3,0)*0.475*44/12</f>
        <v>0</v>
      </c>
      <c r="EC150" s="23">
        <f>EXP(-LN(2)/2)*EC149+(1-EXP(-LN(2)/2))/(LN(2)/2)*DW150*DZ150*VLOOKUP('Données projet'!$B$14,Paramètres!$A$1:$I$88,3,0)*0.475*44/12</f>
        <v>0</v>
      </c>
      <c r="ED150" s="24">
        <f t="shared" si="126"/>
        <v>59.218562439077424</v>
      </c>
      <c r="EE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4.5474735088646412E-13</v>
      </c>
      <c r="EK150" s="18">
        <f>EJ150*VLOOKUP('Données projet'!$B$15,Paramètres!$A$1:$I$88,3,0)*VLOOKUP('Données projet'!$B$15,Paramètres!$A$1:$I$88,5,0)</f>
        <v>3.9017322706058626E-13</v>
      </c>
      <c r="EL150" s="14">
        <f t="shared" si="153"/>
        <v>5.0025007393608908E-12</v>
      </c>
      <c r="EM150" s="22">
        <f t="shared" si="127"/>
        <v>9.3922404915174053E-12</v>
      </c>
      <c r="EN150" s="59">
        <f t="shared" si="128"/>
        <v>293.33333333334269</v>
      </c>
      <c r="EO150" s="59">
        <f ca="1">AVERAGE(OFFSET($EN$3,0,0,'Données projet'!$E$15+1,1))-AVERAGE(OFFSET($H$3,0,0,'Données projet'!$E$15+1,1))</f>
        <v>462.99360395552145</v>
      </c>
      <c r="EP150" s="59">
        <f t="shared" si="154"/>
        <v>153.03880717786046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projet'!$B$15,Paramètres!$A$1:$I$88,3,0)*0.475*44/12</f>
        <v>103.07861726922086</v>
      </c>
      <c r="EW150" s="23">
        <f>EXP(-LN(2)/25)*EW149+(1-EXP(-LN(2)/25))/(LN(2)/25)*Calculateur!ER150*Calculateur!ET150*VLOOKUP('Données projet'!$B$15,Paramètres!$A$1:$I$88,3,0)*0.475*44/12</f>
        <v>0</v>
      </c>
      <c r="EX150" s="23">
        <f>EXP(-LN(2)/2)*EX149+(1-EXP(-LN(2)/2))/(LN(2)/2)*ER150*EU150*VLOOKUP('Données projet'!$B$15,Paramètres!$A$1:$I$88,3,0)*0.475*44/12</f>
        <v>0</v>
      </c>
      <c r="EY150" s="24">
        <f t="shared" si="129"/>
        <v>103.07861726922086</v>
      </c>
      <c r="EZ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2.2737367544323206E-13</v>
      </c>
      <c r="FF150" s="18">
        <f>FE150*VLOOKUP('Données projet'!$B$16,Paramètres!$A$1:$I$88,3,0)*VLOOKUP('Données projet'!$B$16,Paramètres!$A$1:$I$88,5,0)</f>
        <v>1.9863364286720756E-13</v>
      </c>
      <c r="FG150" s="14">
        <f t="shared" si="155"/>
        <v>2.7549360720371426E-12</v>
      </c>
      <c r="FH150" s="22">
        <f t="shared" si="130"/>
        <v>5.144133920125077E-12</v>
      </c>
      <c r="FI150" s="59">
        <f t="shared" si="131"/>
        <v>293.33333333333843</v>
      </c>
      <c r="FJ150" s="59">
        <f ca="1">AVERAGE(OFFSET($FI$3,0,0,'Données projet'!$E$16+1,1))-AVERAGE(OFFSET($H$3,0,0,'Données projet'!$E$16+1,1))</f>
        <v>427.76895185088944</v>
      </c>
      <c r="FK150" s="59">
        <f t="shared" si="156"/>
        <v>308.32543361559135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projet'!$B$16,Paramètres!$A$1:$I$88,3,0)*0.475*44/12</f>
        <v>83.710381816385663</v>
      </c>
      <c r="FR150" s="23">
        <f>EXP(-LN(2)/25)*FR149+(1-EXP(-LN(2)/25))/(LN(2)/25)*Calculateur!FM150*Calculateur!FO150*VLOOKUP('Données projet'!$B$16,Paramètres!$A$1:$I$88,3,0)*0.475*44/12</f>
        <v>0</v>
      </c>
      <c r="FS150" s="23">
        <f>EXP(-LN(2)/2)*FS149+(1-EXP(-LN(2)/2))/(LN(2)/2)*FM150*FP150*VLOOKUP('Données projet'!$B$16,Paramètres!$A$1:$I$88,3,0)*0.475*44/12</f>
        <v>0</v>
      </c>
      <c r="FT150" s="24">
        <f t="shared" si="132"/>
        <v>83.710381816385663</v>
      </c>
      <c r="FU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333.00000000000006</v>
      </c>
      <c r="GA150" s="18">
        <f>FZ150*VLOOKUP('Données projet'!$B$17,Paramètres!$A$1:$I$88,3,0)*VLOOKUP('Données projet'!$B$17,Paramètres!$A$1:$I$88,5,0)</f>
        <v>207.79200000000006</v>
      </c>
      <c r="GB150" s="14">
        <f t="shared" si="157"/>
        <v>51.452785725007907</v>
      </c>
      <c r="GC150" s="22">
        <f t="shared" si="133"/>
        <v>451.5180018043888</v>
      </c>
      <c r="GD150" s="59">
        <f t="shared" si="134"/>
        <v>744.85133513772212</v>
      </c>
      <c r="GE150" s="59">
        <f ca="1">AVERAGE(OFFSET($GD$3,0,0,'Données projet'!$E$17+1,1))-AVERAGE(OFFSET($H$3,0,0,'Données projet'!$E$17+1,1))</f>
        <v>247.85542034088905</v>
      </c>
      <c r="GF150" s="59">
        <f t="shared" si="158"/>
        <v>299.52241743660352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projet'!$B$17,Paramètres!$A$1:$I$88,3,0)*0.475*44/12</f>
        <v>6.6333310166504287</v>
      </c>
      <c r="GM150" s="23">
        <f>EXP(-LN(2)/25)*GM149+(1-EXP(-LN(2)/25))/(LN(2)/25)*Calculateur!GH150*Calculateur!GJ150*VLOOKUP('Données projet'!$B$17,Paramètres!$A$1:$I$88,3,0)*0.475*44/12</f>
        <v>3.4080020282187427</v>
      </c>
      <c r="GN150" s="23">
        <f>EXP(-LN(2)/2)*GN149+(1-EXP(-LN(2)/2))/(LN(2)/2)*GH150*GK150*VLOOKUP('Données projet'!$B$17,Paramètres!$A$1:$I$88,3,0)*0.475*44/12</f>
        <v>3.4408071263336911E-12</v>
      </c>
      <c r="GO150" s="23">
        <f t="shared" si="135"/>
        <v>10.041333044872612</v>
      </c>
      <c r="GP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3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6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350.99999999999977</v>
      </c>
      <c r="O151" s="14">
        <f>N151*VLOOKUP('Données projet'!$B$9,Paramètres!$A$1:$I$88,3,0)*VLOOKUP('Données projet'!$B$9,Paramètres!$A$1:$I$88,5,0)</f>
        <v>317.58479999999975</v>
      </c>
      <c r="P151" s="14">
        <f t="shared" si="141"/>
        <v>74.85060296671989</v>
      </c>
      <c r="Q151" s="22">
        <f t="shared" si="108"/>
        <v>683.49166016703657</v>
      </c>
      <c r="R151" s="59">
        <f t="shared" si="109"/>
        <v>976.82499350036983</v>
      </c>
      <c r="S151" s="59">
        <f ca="1">AVERAGE(OFFSET($R$3,0,0,'Données projet'!$E$9+1,1))-AVERAGE(OFFSET($H$3,0,0,'Données projet'!$E$9+1,1))</f>
        <v>247.57967230773539</v>
      </c>
      <c r="T151" s="59">
        <f t="shared" si="142"/>
        <v>156.58857589533295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35.393859837845483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35.393859837845483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-3.4106051316484809E-13</v>
      </c>
      <c r="AJ151" s="14">
        <f>AI151*VLOOKUP('Données projet'!$B$10,Paramètres!$A$1:$I$88,3,0)*VLOOKUP('Données projet'!$B$10,Paramètres!$A$1:$I$88,5,0)</f>
        <v>-2.7134774427395314E-13</v>
      </c>
      <c r="AK151" s="14" t="e">
        <f t="shared" si="143"/>
        <v>#NUM!</v>
      </c>
      <c r="AL151" s="22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504.15006129790828</v>
      </c>
      <c r="AO151" s="59">
        <f t="shared" si="144"/>
        <v>374.39334457402742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93.338951033799503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93.338951033799503</v>
      </c>
      <c r="AY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-3.4106051316484809E-13</v>
      </c>
      <c r="BE151" s="14">
        <f>BD151*VLOOKUP('Données projet'!$B$11,Paramètres!$A$1:$I$88,3,0)*VLOOKUP('Données projet'!$B$11,Paramètres!$A$1:$I$88,5,0)</f>
        <v>-2.7134774427395314E-13</v>
      </c>
      <c r="BF151" s="14" t="e">
        <f t="shared" si="145"/>
        <v>#NUM!</v>
      </c>
      <c r="BG151" s="22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504.15006129790828</v>
      </c>
      <c r="BJ151" s="59">
        <f t="shared" si="146"/>
        <v>374.39334457402742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93.338951033799503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93.338951033799503</v>
      </c>
      <c r="BT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-3.4106051316484809E-13</v>
      </c>
      <c r="BZ151" s="14">
        <f>BY151*VLOOKUP('Données projet'!$B$12,Paramètres!$A$1:$I$88,3,0)*VLOOKUP('Données projet'!$B$12,Paramètres!$A$1:$I$88,5,0)</f>
        <v>-2.2878339223098009E-13</v>
      </c>
      <c r="CA151" s="14" t="e">
        <f t="shared" si="147"/>
        <v>#NUM!</v>
      </c>
      <c r="CB151" s="22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387.15063677712425</v>
      </c>
      <c r="CE151" s="59">
        <f t="shared" si="148"/>
        <v>313.19155394370705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61.540761902367812</v>
      </c>
      <c r="CL151" s="23">
        <f>EXP(-LN(2)/25)*CL150+(1-EXP(-LN(2)/25))/(LN(2)/25)*Calculateur!CG151*Calculateur!CI151*VLOOKUP('Données projet'!$B$12,Paramètres!$A$1:$I$88,3,0)*0.475*44/12</f>
        <v>0</v>
      </c>
      <c r="CM151" s="23">
        <f>EXP(-LN(2)/2)*CM150+(1-EXP(-LN(2)/2))/(LN(2)/2)*CG151*CJ151*VLOOKUP('Données projet'!$B$12,Paramètres!$A$1:$I$88,3,0)*0.475*44/12</f>
        <v>0</v>
      </c>
      <c r="CN151" s="24">
        <f t="shared" si="120"/>
        <v>61.540761902367812</v>
      </c>
      <c r="CO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5.916666666666667</v>
      </c>
      <c r="CT151" s="13">
        <f>IF('Données projet'!$A$140&gt;35,CT150+CS151-DB150,IF(A151&lt;'Données projet'!$A$140,$CQ$205^A151,IF(A151='Données projet'!$A$140,'Données projet'!$B$140,CT150+CS151-DB150)))</f>
        <v>308.91666666666646</v>
      </c>
      <c r="CU151" s="18">
        <f>CT151*VLOOKUP('Données projet'!$B$13,Paramètres!$A$1:$I$88,3,0)*VLOOKUP('Données projet'!$B$13,Paramètres!$A$1:$I$88,5,0)</f>
        <v>298.78419999999977</v>
      </c>
      <c r="CV151" s="14">
        <f t="shared" si="149"/>
        <v>70.921524888495966</v>
      </c>
      <c r="CW151" s="22">
        <f t="shared" si="121"/>
        <v>643.90413751413007</v>
      </c>
      <c r="CX151" s="59">
        <f t="shared" si="122"/>
        <v>937.23747084746333</v>
      </c>
      <c r="CY151" s="59">
        <f ca="1">AVERAGE(OFFSET($CX$3,0,0,'Données projet'!$E$13+1,1))-AVERAGE(OFFSET($H$3,0,0,'Données projet'!$E$13+1,1))</f>
        <v>306.00894145276209</v>
      </c>
      <c r="CZ151" s="59">
        <f t="shared" si="150"/>
        <v>168.74705421228828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52.979850440227032</v>
      </c>
      <c r="DG151" s="23">
        <f>EXP(-LN(2)/25)*DG150+(1-EXP(-LN(2)/25))/(LN(2)/25)*Calculateur!DB151*Calculateur!DD151*VLOOKUP('Données projet'!$B$13,Paramètres!$A$1:$I$88,3,0)*0.475*44/12</f>
        <v>0</v>
      </c>
      <c r="DH151" s="23">
        <f>EXP(-LN(2)/2)*DH150+(1-EXP(-LN(2)/2))/(LN(2)/2)*DB151*DE151*VLOOKUP('Données projet'!$B$13,Paramètres!$A$1:$I$88,3,0)*0.475*44/12</f>
        <v>0</v>
      </c>
      <c r="DI151" s="24">
        <f t="shared" si="123"/>
        <v>52.979850440227032</v>
      </c>
      <c r="DJ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-3.4106051316484809E-13</v>
      </c>
      <c r="DP151" s="18">
        <f>DO151*VLOOKUP('Données projet'!$B$14,Paramètres!$A$1:$I$88,3,0)*VLOOKUP('Données projet'!$B$14,Paramètres!$A$1:$I$88,5,0)</f>
        <v>-2.6602720026858149E-13</v>
      </c>
      <c r="DQ151" s="14" t="e">
        <f t="shared" si="151"/>
        <v>#NUM!</v>
      </c>
      <c r="DR151" s="22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458.14328535055694</v>
      </c>
      <c r="DU151" s="59">
        <f t="shared" si="152"/>
        <v>366.75500153675739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projet'!$B$14,Paramètres!$A$1:$I$88,3,0)*0.475*44/12</f>
        <v>58.057322549403672</v>
      </c>
      <c r="EB151" s="23">
        <f>EXP(-LN(2)/25)*EB150+(1-EXP(-LN(2)/25))/(LN(2)/25)*Calculateur!DW151*Calculateur!DY151*VLOOKUP('Données projet'!$B$14,Paramètres!$A$1:$I$88,3,0)*0.475*44/12</f>
        <v>0</v>
      </c>
      <c r="EC151" s="23">
        <f>EXP(-LN(2)/2)*EC150+(1-EXP(-LN(2)/2))/(LN(2)/2)*DW151*DZ151*VLOOKUP('Données projet'!$B$14,Paramètres!$A$1:$I$88,3,0)*0.475*44/12</f>
        <v>0</v>
      </c>
      <c r="ED151" s="24">
        <f t="shared" si="126"/>
        <v>58.057322549403672</v>
      </c>
      <c r="EE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4.5474735088646412E-13</v>
      </c>
      <c r="EK151" s="18">
        <f>EJ151*VLOOKUP('Données projet'!$B$15,Paramètres!$A$1:$I$88,3,0)*VLOOKUP('Données projet'!$B$15,Paramètres!$A$1:$I$88,5,0)</f>
        <v>3.9017322706058626E-13</v>
      </c>
      <c r="EL151" s="14">
        <f t="shared" si="153"/>
        <v>5.0025007393608908E-12</v>
      </c>
      <c r="EM151" s="22">
        <f t="shared" si="127"/>
        <v>9.3922404915174053E-12</v>
      </c>
      <c r="EN151" s="59">
        <f t="shared" si="128"/>
        <v>293.33333333334269</v>
      </c>
      <c r="EO151" s="59">
        <f ca="1">AVERAGE(OFFSET($EN$3,0,0,'Données projet'!$E$15+1,1))-AVERAGE(OFFSET($H$3,0,0,'Données projet'!$E$15+1,1))</f>
        <v>462.99360395552145</v>
      </c>
      <c r="EP151" s="59">
        <f t="shared" si="154"/>
        <v>153.03880717786046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projet'!$B$15,Paramètres!$A$1:$I$88,3,0)*0.475*44/12</f>
        <v>101.0573084563199</v>
      </c>
      <c r="EW151" s="23">
        <f>EXP(-LN(2)/25)*EW150+(1-EXP(-LN(2)/25))/(LN(2)/25)*Calculateur!ER151*Calculateur!ET151*VLOOKUP('Données projet'!$B$15,Paramètres!$A$1:$I$88,3,0)*0.475*44/12</f>
        <v>0</v>
      </c>
      <c r="EX151" s="23">
        <f>EXP(-LN(2)/2)*EX150+(1-EXP(-LN(2)/2))/(LN(2)/2)*ER151*EU151*VLOOKUP('Données projet'!$B$15,Paramètres!$A$1:$I$88,3,0)*0.475*44/12</f>
        <v>0</v>
      </c>
      <c r="EY151" s="24">
        <f t="shared" si="129"/>
        <v>101.0573084563199</v>
      </c>
      <c r="EZ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2.2737367544323206E-13</v>
      </c>
      <c r="FF151" s="18">
        <f>FE151*VLOOKUP('Données projet'!$B$16,Paramètres!$A$1:$I$88,3,0)*VLOOKUP('Données projet'!$B$16,Paramètres!$A$1:$I$88,5,0)</f>
        <v>1.9863364286720756E-13</v>
      </c>
      <c r="FG151" s="14">
        <f t="shared" si="155"/>
        <v>2.7549360720371426E-12</v>
      </c>
      <c r="FH151" s="22">
        <f t="shared" si="130"/>
        <v>5.144133920125077E-12</v>
      </c>
      <c r="FI151" s="59">
        <f t="shared" si="131"/>
        <v>293.33333333333843</v>
      </c>
      <c r="FJ151" s="59">
        <f ca="1">AVERAGE(OFFSET($FI$3,0,0,'Données projet'!$E$16+1,1))-AVERAGE(OFFSET($H$3,0,0,'Données projet'!$E$16+1,1))</f>
        <v>427.76895185088944</v>
      </c>
      <c r="FK151" s="59">
        <f t="shared" si="156"/>
        <v>308.32543361559135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projet'!$B$16,Paramètres!$A$1:$I$88,3,0)*0.475*44/12</f>
        <v>82.068872287257662</v>
      </c>
      <c r="FR151" s="23">
        <f>EXP(-LN(2)/25)*FR150+(1-EXP(-LN(2)/25))/(LN(2)/25)*Calculateur!FM151*Calculateur!FO151*VLOOKUP('Données projet'!$B$16,Paramètres!$A$1:$I$88,3,0)*0.475*44/12</f>
        <v>0</v>
      </c>
      <c r="FS151" s="23">
        <f>EXP(-LN(2)/2)*FS150+(1-EXP(-LN(2)/2))/(LN(2)/2)*FM151*FP151*VLOOKUP('Données projet'!$B$16,Paramètres!$A$1:$I$88,3,0)*0.475*44/12</f>
        <v>0</v>
      </c>
      <c r="FT151" s="24">
        <f t="shared" si="132"/>
        <v>82.068872287257662</v>
      </c>
      <c r="FU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333.00000000000006</v>
      </c>
      <c r="GA151" s="18">
        <f>FZ151*VLOOKUP('Données projet'!$B$17,Paramètres!$A$1:$I$88,3,0)*VLOOKUP('Données projet'!$B$17,Paramètres!$A$1:$I$88,5,0)</f>
        <v>207.79200000000006</v>
      </c>
      <c r="GB151" s="14">
        <f t="shared" si="157"/>
        <v>51.452785725007907</v>
      </c>
      <c r="GC151" s="22">
        <f t="shared" si="133"/>
        <v>451.5180018043888</v>
      </c>
      <c r="GD151" s="59">
        <f t="shared" si="134"/>
        <v>744.85133513772212</v>
      </c>
      <c r="GE151" s="59">
        <f ca="1">AVERAGE(OFFSET($GD$3,0,0,'Données projet'!$E$17+1,1))-AVERAGE(OFFSET($H$3,0,0,'Données projet'!$E$17+1,1))</f>
        <v>247.85542034088905</v>
      </c>
      <c r="GF151" s="59">
        <f t="shared" si="158"/>
        <v>299.52241743660352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projet'!$B$17,Paramètres!$A$1:$I$88,3,0)*0.475*44/12</f>
        <v>6.5032554413463313</v>
      </c>
      <c r="GM151" s="23">
        <f>EXP(-LN(2)/25)*GM150+(1-EXP(-LN(2)/25))/(LN(2)/25)*Calculateur!GH151*Calculateur!GJ151*VLOOKUP('Données projet'!$B$17,Paramètres!$A$1:$I$88,3,0)*0.475*44/12</f>
        <v>3.3148100335380635</v>
      </c>
      <c r="GN151" s="23">
        <f>EXP(-LN(2)/2)*GN150+(1-EXP(-LN(2)/2))/(LN(2)/2)*GH151*GK151*VLOOKUP('Données projet'!$B$17,Paramètres!$A$1:$I$88,3,0)*0.475*44/12</f>
        <v>2.4330180517855507E-12</v>
      </c>
      <c r="GO151" s="23">
        <f t="shared" si="135"/>
        <v>9.8180654748868292</v>
      </c>
      <c r="GP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3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6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350.99999999999977</v>
      </c>
      <c r="O152" s="14">
        <f>N152*VLOOKUP('Données projet'!$B$9,Paramètres!$A$1:$I$88,3,0)*VLOOKUP('Données projet'!$B$9,Paramètres!$A$1:$I$88,5,0)</f>
        <v>317.58479999999975</v>
      </c>
      <c r="P152" s="14">
        <f t="shared" si="141"/>
        <v>74.85060296671989</v>
      </c>
      <c r="Q152" s="22">
        <f t="shared" si="108"/>
        <v>683.49166016703657</v>
      </c>
      <c r="R152" s="59">
        <f t="shared" si="109"/>
        <v>976.82499350036983</v>
      </c>
      <c r="S152" s="59">
        <f ca="1">AVERAGE(OFFSET($R$3,0,0,'Données projet'!$E$9+1,1))-AVERAGE(OFFSET($H$3,0,0,'Données projet'!$E$9+1,1))</f>
        <v>247.57967230773539</v>
      </c>
      <c r="T152" s="59">
        <f t="shared" si="142"/>
        <v>156.58857589533295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34.699807834548182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34.699807834548182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-3.4106051316484809E-13</v>
      </c>
      <c r="AJ152" s="14">
        <f>AI152*VLOOKUP('Données projet'!$B$10,Paramètres!$A$1:$I$88,3,0)*VLOOKUP('Données projet'!$B$10,Paramètres!$A$1:$I$88,5,0)</f>
        <v>-2.7134774427395314E-13</v>
      </c>
      <c r="AK152" s="14" t="e">
        <f t="shared" si="143"/>
        <v>#NUM!</v>
      </c>
      <c r="AL152" s="22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504.15006129790828</v>
      </c>
      <c r="AO152" s="59">
        <f t="shared" si="144"/>
        <v>374.39334457402742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91.508631135165345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91.508631135165345</v>
      </c>
      <c r="AY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-3.4106051316484809E-13</v>
      </c>
      <c r="BE152" s="14">
        <f>BD152*VLOOKUP('Données projet'!$B$11,Paramètres!$A$1:$I$88,3,0)*VLOOKUP('Données projet'!$B$11,Paramètres!$A$1:$I$88,5,0)</f>
        <v>-2.7134774427395314E-13</v>
      </c>
      <c r="BF152" s="14" t="e">
        <f t="shared" si="145"/>
        <v>#NUM!</v>
      </c>
      <c r="BG152" s="22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504.15006129790828</v>
      </c>
      <c r="BJ152" s="59">
        <f t="shared" si="146"/>
        <v>374.39334457402742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91.508631135165345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91.508631135165345</v>
      </c>
      <c r="BT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-3.4106051316484809E-13</v>
      </c>
      <c r="BZ152" s="14">
        <f>BY152*VLOOKUP('Données projet'!$B$12,Paramètres!$A$1:$I$88,3,0)*VLOOKUP('Données projet'!$B$12,Paramètres!$A$1:$I$88,5,0)</f>
        <v>-2.2878339223098009E-13</v>
      </c>
      <c r="CA152" s="14" t="e">
        <f t="shared" si="147"/>
        <v>#NUM!</v>
      </c>
      <c r="CB152" s="22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387.15063677712425</v>
      </c>
      <c r="CE152" s="59">
        <f t="shared" si="148"/>
        <v>313.19155394370705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60.333985097620754</v>
      </c>
      <c r="CL152" s="23">
        <f>EXP(-LN(2)/25)*CL151+(1-EXP(-LN(2)/25))/(LN(2)/25)*Calculateur!CG152*Calculateur!CI152*VLOOKUP('Données projet'!$B$12,Paramètres!$A$1:$I$88,3,0)*0.475*44/12</f>
        <v>0</v>
      </c>
      <c r="CM152" s="23">
        <f>EXP(-LN(2)/2)*CM151+(1-EXP(-LN(2)/2))/(LN(2)/2)*CG152*CJ152*VLOOKUP('Données projet'!$B$12,Paramètres!$A$1:$I$88,3,0)*0.475*44/12</f>
        <v>0</v>
      </c>
      <c r="CN152" s="24">
        <f t="shared" si="120"/>
        <v>60.333985097620754</v>
      </c>
      <c r="CO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5.916666666666667</v>
      </c>
      <c r="CT152" s="13">
        <f>IF('Données projet'!$A$140&gt;35,CT151+CS152-DB151,IF(A152&lt;'Données projet'!$A$140,$CQ$205^A152,IF(A152='Données projet'!$A$140,'Données projet'!$B$140,CT151+CS152-DB151)))</f>
        <v>314.83333333333314</v>
      </c>
      <c r="CU152" s="18">
        <f>CT152*VLOOKUP('Données projet'!$B$13,Paramètres!$A$1:$I$88,3,0)*VLOOKUP('Données projet'!$B$13,Paramètres!$A$1:$I$88,5,0)</f>
        <v>304.50679999999983</v>
      </c>
      <c r="CV152" s="14">
        <f t="shared" si="149"/>
        <v>72.120440390057936</v>
      </c>
      <c r="CW152" s="22">
        <f t="shared" si="121"/>
        <v>655.95911034601727</v>
      </c>
      <c r="CX152" s="59">
        <f t="shared" si="122"/>
        <v>949.29244367935053</v>
      </c>
      <c r="CY152" s="59">
        <f ca="1">AVERAGE(OFFSET($CX$3,0,0,'Données projet'!$E$13+1,1))-AVERAGE(OFFSET($H$3,0,0,'Données projet'!$E$13+1,1))</f>
        <v>306.00894145276209</v>
      </c>
      <c r="CZ152" s="59">
        <f t="shared" si="150"/>
        <v>168.74705421228828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51.940947887612154</v>
      </c>
      <c r="DG152" s="23">
        <f>EXP(-LN(2)/25)*DG151+(1-EXP(-LN(2)/25))/(LN(2)/25)*Calculateur!DB152*Calculateur!DD152*VLOOKUP('Données projet'!$B$13,Paramètres!$A$1:$I$88,3,0)*0.475*44/12</f>
        <v>0</v>
      </c>
      <c r="DH152" s="23">
        <f>EXP(-LN(2)/2)*DH151+(1-EXP(-LN(2)/2))/(LN(2)/2)*DB152*DE152*VLOOKUP('Données projet'!$B$13,Paramètres!$A$1:$I$88,3,0)*0.475*44/12</f>
        <v>0</v>
      </c>
      <c r="DI152" s="24">
        <f t="shared" si="123"/>
        <v>51.940947887612154</v>
      </c>
      <c r="DJ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-3.4106051316484809E-13</v>
      </c>
      <c r="DP152" s="18">
        <f>DO152*VLOOKUP('Données projet'!$B$14,Paramètres!$A$1:$I$88,3,0)*VLOOKUP('Données projet'!$B$14,Paramètres!$A$1:$I$88,5,0)</f>
        <v>-2.6602720026858149E-13</v>
      </c>
      <c r="DQ152" s="14" t="e">
        <f t="shared" si="151"/>
        <v>#NUM!</v>
      </c>
      <c r="DR152" s="22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458.14328535055694</v>
      </c>
      <c r="DU152" s="59">
        <f t="shared" si="152"/>
        <v>366.75500153675739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projet'!$B$14,Paramètres!$A$1:$I$88,3,0)*0.475*44/12</f>
        <v>56.918853865680028</v>
      </c>
      <c r="EB152" s="23">
        <f>EXP(-LN(2)/25)*EB151+(1-EXP(-LN(2)/25))/(LN(2)/25)*Calculateur!DW152*Calculateur!DY152*VLOOKUP('Données projet'!$B$14,Paramètres!$A$1:$I$88,3,0)*0.475*44/12</f>
        <v>0</v>
      </c>
      <c r="EC152" s="23">
        <f>EXP(-LN(2)/2)*EC151+(1-EXP(-LN(2)/2))/(LN(2)/2)*DW152*DZ152*VLOOKUP('Données projet'!$B$14,Paramètres!$A$1:$I$88,3,0)*0.475*44/12</f>
        <v>0</v>
      </c>
      <c r="ED152" s="24">
        <f t="shared" si="126"/>
        <v>56.918853865680028</v>
      </c>
      <c r="EE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4.5474735088646412E-13</v>
      </c>
      <c r="EK152" s="18">
        <f>EJ152*VLOOKUP('Données projet'!$B$15,Paramètres!$A$1:$I$88,3,0)*VLOOKUP('Données projet'!$B$15,Paramètres!$A$1:$I$88,5,0)</f>
        <v>3.9017322706058626E-13</v>
      </c>
      <c r="EL152" s="14">
        <f t="shared" si="153"/>
        <v>5.0025007393608908E-12</v>
      </c>
      <c r="EM152" s="22">
        <f t="shared" si="127"/>
        <v>9.3922404915174053E-12</v>
      </c>
      <c r="EN152" s="59">
        <f t="shared" si="128"/>
        <v>293.33333333334269</v>
      </c>
      <c r="EO152" s="59">
        <f ca="1">AVERAGE(OFFSET($EN$3,0,0,'Données projet'!$E$15+1,1))-AVERAGE(OFFSET($H$3,0,0,'Données projet'!$E$15+1,1))</f>
        <v>462.99360395552145</v>
      </c>
      <c r="EP152" s="59">
        <f t="shared" si="154"/>
        <v>153.03880717786046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projet'!$B$15,Paramètres!$A$1:$I$88,3,0)*0.475*44/12</f>
        <v>99.075636276363298</v>
      </c>
      <c r="EW152" s="23">
        <f>EXP(-LN(2)/25)*EW151+(1-EXP(-LN(2)/25))/(LN(2)/25)*Calculateur!ER152*Calculateur!ET152*VLOOKUP('Données projet'!$B$15,Paramètres!$A$1:$I$88,3,0)*0.475*44/12</f>
        <v>0</v>
      </c>
      <c r="EX152" s="23">
        <f>EXP(-LN(2)/2)*EX151+(1-EXP(-LN(2)/2))/(LN(2)/2)*ER152*EU152*VLOOKUP('Données projet'!$B$15,Paramètres!$A$1:$I$88,3,0)*0.475*44/12</f>
        <v>0</v>
      </c>
      <c r="EY152" s="24">
        <f t="shared" si="129"/>
        <v>99.075636276363298</v>
      </c>
      <c r="EZ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2.2737367544323206E-13</v>
      </c>
      <c r="FF152" s="18">
        <f>FE152*VLOOKUP('Données projet'!$B$16,Paramètres!$A$1:$I$88,3,0)*VLOOKUP('Données projet'!$B$16,Paramètres!$A$1:$I$88,5,0)</f>
        <v>1.9863364286720756E-13</v>
      </c>
      <c r="FG152" s="14">
        <f t="shared" si="155"/>
        <v>2.7549360720371426E-12</v>
      </c>
      <c r="FH152" s="22">
        <f t="shared" si="130"/>
        <v>5.144133920125077E-12</v>
      </c>
      <c r="FI152" s="59">
        <f t="shared" si="131"/>
        <v>293.33333333333843</v>
      </c>
      <c r="FJ152" s="59">
        <f ca="1">AVERAGE(OFFSET($FI$3,0,0,'Données projet'!$E$16+1,1))-AVERAGE(OFFSET($H$3,0,0,'Données projet'!$E$16+1,1))</f>
        <v>427.76895185088944</v>
      </c>
      <c r="FK152" s="59">
        <f t="shared" si="156"/>
        <v>308.32543361559135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projet'!$B$16,Paramètres!$A$1:$I$88,3,0)*0.475*44/12</f>
        <v>80.459551758773912</v>
      </c>
      <c r="FR152" s="23">
        <f>EXP(-LN(2)/25)*FR151+(1-EXP(-LN(2)/25))/(LN(2)/25)*Calculateur!FM152*Calculateur!FO152*VLOOKUP('Données projet'!$B$16,Paramètres!$A$1:$I$88,3,0)*0.475*44/12</f>
        <v>0</v>
      </c>
      <c r="FS152" s="23">
        <f>EXP(-LN(2)/2)*FS151+(1-EXP(-LN(2)/2))/(LN(2)/2)*FM152*FP152*VLOOKUP('Données projet'!$B$16,Paramètres!$A$1:$I$88,3,0)*0.475*44/12</f>
        <v>0</v>
      </c>
      <c r="FT152" s="24">
        <f t="shared" si="132"/>
        <v>80.459551758773912</v>
      </c>
      <c r="FU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333.00000000000006</v>
      </c>
      <c r="GA152" s="18">
        <f>FZ152*VLOOKUP('Données projet'!$B$17,Paramètres!$A$1:$I$88,3,0)*VLOOKUP('Données projet'!$B$17,Paramètres!$A$1:$I$88,5,0)</f>
        <v>207.79200000000006</v>
      </c>
      <c r="GB152" s="14">
        <f t="shared" si="157"/>
        <v>51.452785725007907</v>
      </c>
      <c r="GC152" s="22">
        <f t="shared" si="133"/>
        <v>451.5180018043888</v>
      </c>
      <c r="GD152" s="59">
        <f t="shared" si="134"/>
        <v>744.85133513772212</v>
      </c>
      <c r="GE152" s="59">
        <f ca="1">AVERAGE(OFFSET($GD$3,0,0,'Données projet'!$E$17+1,1))-AVERAGE(OFFSET($H$3,0,0,'Données projet'!$E$17+1,1))</f>
        <v>247.85542034088905</v>
      </c>
      <c r="GF152" s="59">
        <f t="shared" si="158"/>
        <v>299.52241743660352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projet'!$B$17,Paramètres!$A$1:$I$88,3,0)*0.475*44/12</f>
        <v>6.3757305687356807</v>
      </c>
      <c r="GM152" s="23">
        <f>EXP(-LN(2)/25)*GM151+(1-EXP(-LN(2)/25))/(LN(2)/25)*Calculateur!GH152*Calculateur!GJ152*VLOOKUP('Données projet'!$B$17,Paramètres!$A$1:$I$88,3,0)*0.475*44/12</f>
        <v>3.2241663788526815</v>
      </c>
      <c r="GN152" s="23">
        <f>EXP(-LN(2)/2)*GN151+(1-EXP(-LN(2)/2))/(LN(2)/2)*GH152*GK152*VLOOKUP('Données projet'!$B$17,Paramètres!$A$1:$I$88,3,0)*0.475*44/12</f>
        <v>1.7204035631668456E-12</v>
      </c>
      <c r="GO152" s="23">
        <f t="shared" si="135"/>
        <v>9.5998969475900839</v>
      </c>
      <c r="GP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3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6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351</v>
      </c>
      <c r="L153" s="13">
        <f>VLOOKUP(A153,'Données projet'!$A$35:$I$55,9,0)</f>
        <v>0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350.99999999999977</v>
      </c>
      <c r="O153" s="14">
        <f>N153*VLOOKUP('Données projet'!$B$9,Paramètres!$A$1:$I$88,3,0)*VLOOKUP('Données projet'!$B$9,Paramètres!$A$1:$I$88,5,0)</f>
        <v>317.58479999999975</v>
      </c>
      <c r="P153" s="14">
        <f t="shared" si="141"/>
        <v>74.85060296671989</v>
      </c>
      <c r="Q153" s="22">
        <f t="shared" si="108"/>
        <v>683.49166016703657</v>
      </c>
      <c r="R153" s="59">
        <f t="shared" si="109"/>
        <v>976.82499350036983</v>
      </c>
      <c r="S153" s="59">
        <f ca="1">AVERAGE(OFFSET($R$3,0,0,'Données projet'!$E$9+1,1))-AVERAGE(OFFSET($H$3,0,0,'Données projet'!$E$9+1,1))</f>
        <v>247.57967230773539</v>
      </c>
      <c r="T153" s="59">
        <f t="shared" si="142"/>
        <v>156.58857589533295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351</v>
      </c>
      <c r="W153" s="17">
        <f>IF(ISNA(VLOOKUP(A153,'Données projet'!$A$35:$I$55,5,0)),0%,VLOOKUP(A153,'Données projet'!$A$35:$I$55,5,0)*VLOOKUP('Données projet'!$B$9,Paramètres!$A$1:$I$88,7,0))</f>
        <v>0.34400000000000003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154.79108851782985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154.79108851782985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-3.4106051316484809E-13</v>
      </c>
      <c r="AJ153" s="14">
        <f>AI153*VLOOKUP('Données projet'!$B$10,Paramètres!$A$1:$I$88,3,0)*VLOOKUP('Données projet'!$B$10,Paramètres!$A$1:$I$88,5,0)</f>
        <v>-2.7134774427395314E-13</v>
      </c>
      <c r="AK153" s="14" t="e">
        <f t="shared" si="143"/>
        <v>#NUM!</v>
      </c>
      <c r="AL153" s="22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504.15006129790828</v>
      </c>
      <c r="AO153" s="59">
        <f t="shared" si="144"/>
        <v>374.39334457402742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89.714202693358502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89.714202693358502</v>
      </c>
      <c r="AY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-3.4106051316484809E-13</v>
      </c>
      <c r="BE153" s="14">
        <f>BD153*VLOOKUP('Données projet'!$B$11,Paramètres!$A$1:$I$88,3,0)*VLOOKUP('Données projet'!$B$11,Paramètres!$A$1:$I$88,5,0)</f>
        <v>-2.7134774427395314E-13</v>
      </c>
      <c r="BF153" s="14" t="e">
        <f t="shared" si="145"/>
        <v>#NUM!</v>
      </c>
      <c r="BG153" s="22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504.15006129790828</v>
      </c>
      <c r="BJ153" s="59">
        <f t="shared" si="146"/>
        <v>374.39334457402742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89.714202693358502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89.714202693358502</v>
      </c>
      <c r="BT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-3.4106051316484809E-13</v>
      </c>
      <c r="BZ153" s="14">
        <f>BY153*VLOOKUP('Données projet'!$B$12,Paramètres!$A$1:$I$88,3,0)*VLOOKUP('Données projet'!$B$12,Paramètres!$A$1:$I$88,5,0)</f>
        <v>-2.2878339223098009E-13</v>
      </c>
      <c r="CA153" s="14" t="e">
        <f t="shared" si="147"/>
        <v>#NUM!</v>
      </c>
      <c r="CB153" s="22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387.15063677712425</v>
      </c>
      <c r="CE153" s="59">
        <f t="shared" si="148"/>
        <v>313.19155394370705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59.15087244995361</v>
      </c>
      <c r="CL153" s="23">
        <f>EXP(-LN(2)/25)*CL152+(1-EXP(-LN(2)/25))/(LN(2)/25)*Calculateur!CG153*Calculateur!CI153*VLOOKUP('Données projet'!$B$12,Paramètres!$A$1:$I$88,3,0)*0.475*44/12</f>
        <v>0</v>
      </c>
      <c r="CM153" s="23">
        <f>EXP(-LN(2)/2)*CM152+(1-EXP(-LN(2)/2))/(LN(2)/2)*CG153*CJ153*VLOOKUP('Données projet'!$B$12,Paramètres!$A$1:$I$88,3,0)*0.475*44/12</f>
        <v>0</v>
      </c>
      <c r="CN153" s="24">
        <f t="shared" si="120"/>
        <v>59.15087244995361</v>
      </c>
      <c r="CO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5.916666666666667</v>
      </c>
      <c r="CT153" s="13">
        <f>IF('Données projet'!$A$140&gt;35,CT152+CS153-DB152,IF(A153&lt;'Données projet'!$A$140,$CQ$205^A153,IF(A153='Données projet'!$A$140,'Données projet'!$B$140,CT152+CS153-DB152)))</f>
        <v>320.74999999999983</v>
      </c>
      <c r="CU153" s="18">
        <f>CT153*VLOOKUP('Données projet'!$B$13,Paramètres!$A$1:$I$88,3,0)*VLOOKUP('Données projet'!$B$13,Paramètres!$A$1:$I$88,5,0)</f>
        <v>310.22939999999983</v>
      </c>
      <c r="CV153" s="14">
        <f t="shared" si="149"/>
        <v>73.316735959424847</v>
      </c>
      <c r="CW153" s="22">
        <f t="shared" si="121"/>
        <v>668.00952012933124</v>
      </c>
      <c r="CX153" s="59">
        <f t="shared" si="122"/>
        <v>961.34285346266461</v>
      </c>
      <c r="CY153" s="59">
        <f ca="1">AVERAGE(OFFSET($CX$3,0,0,'Données projet'!$E$13+1,1))-AVERAGE(OFFSET($H$3,0,0,'Données projet'!$E$13+1,1))</f>
        <v>306.00894145276209</v>
      </c>
      <c r="CZ153" s="59">
        <f t="shared" si="150"/>
        <v>168.74705421228828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50.922417580386067</v>
      </c>
      <c r="DG153" s="23">
        <f>EXP(-LN(2)/25)*DG152+(1-EXP(-LN(2)/25))/(LN(2)/25)*Calculateur!DB153*Calculateur!DD153*VLOOKUP('Données projet'!$B$13,Paramètres!$A$1:$I$88,3,0)*0.475*44/12</f>
        <v>0</v>
      </c>
      <c r="DH153" s="23">
        <f>EXP(-LN(2)/2)*DH152+(1-EXP(-LN(2)/2))/(LN(2)/2)*DB153*DE153*VLOOKUP('Données projet'!$B$13,Paramètres!$A$1:$I$88,3,0)*0.475*44/12</f>
        <v>0</v>
      </c>
      <c r="DI153" s="24">
        <f t="shared" si="123"/>
        <v>50.922417580386067</v>
      </c>
      <c r="DJ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-3.4106051316484809E-13</v>
      </c>
      <c r="DP153" s="18">
        <f>DO153*VLOOKUP('Données projet'!$B$14,Paramètres!$A$1:$I$88,3,0)*VLOOKUP('Données projet'!$B$14,Paramètres!$A$1:$I$88,5,0)</f>
        <v>-2.6602720026858149E-13</v>
      </c>
      <c r="DQ153" s="14" t="e">
        <f t="shared" si="151"/>
        <v>#NUM!</v>
      </c>
      <c r="DR153" s="22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458.14328535055694</v>
      </c>
      <c r="DU153" s="59">
        <f t="shared" si="152"/>
        <v>366.75500153675739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projet'!$B$14,Paramètres!$A$1:$I$88,3,0)*0.475*44/12</f>
        <v>55.802709858446875</v>
      </c>
      <c r="EB153" s="23">
        <f>EXP(-LN(2)/25)*EB152+(1-EXP(-LN(2)/25))/(LN(2)/25)*Calculateur!DW153*Calculateur!DY153*VLOOKUP('Données projet'!$B$14,Paramètres!$A$1:$I$88,3,0)*0.475*44/12</f>
        <v>0</v>
      </c>
      <c r="EC153" s="23">
        <f>EXP(-LN(2)/2)*EC152+(1-EXP(-LN(2)/2))/(LN(2)/2)*DW153*DZ153*VLOOKUP('Données projet'!$B$14,Paramètres!$A$1:$I$88,3,0)*0.475*44/12</f>
        <v>0</v>
      </c>
      <c r="ED153" s="24">
        <f t="shared" si="126"/>
        <v>55.802709858446875</v>
      </c>
      <c r="EE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4.5474735088646412E-13</v>
      </c>
      <c r="EK153" s="18">
        <f>EJ153*VLOOKUP('Données projet'!$B$15,Paramètres!$A$1:$I$88,3,0)*VLOOKUP('Données projet'!$B$15,Paramètres!$A$1:$I$88,5,0)</f>
        <v>3.9017322706058626E-13</v>
      </c>
      <c r="EL153" s="14">
        <f t="shared" si="153"/>
        <v>5.0025007393608908E-12</v>
      </c>
      <c r="EM153" s="22">
        <f t="shared" si="127"/>
        <v>9.3922404915174053E-12</v>
      </c>
      <c r="EN153" s="59">
        <f t="shared" si="128"/>
        <v>293.33333333334269</v>
      </c>
      <c r="EO153" s="59">
        <f ca="1">AVERAGE(OFFSET($EN$3,0,0,'Données projet'!$E$15+1,1))-AVERAGE(OFFSET($H$3,0,0,'Données projet'!$E$15+1,1))</f>
        <v>462.99360395552145</v>
      </c>
      <c r="EP153" s="59">
        <f t="shared" si="154"/>
        <v>153.03880717786046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projet'!$B$15,Paramètres!$A$1:$I$88,3,0)*0.475*44/12</f>
        <v>97.132823479154965</v>
      </c>
      <c r="EW153" s="23">
        <f>EXP(-LN(2)/25)*EW152+(1-EXP(-LN(2)/25))/(LN(2)/25)*Calculateur!ER153*Calculateur!ET153*VLOOKUP('Données projet'!$B$15,Paramètres!$A$1:$I$88,3,0)*0.475*44/12</f>
        <v>0</v>
      </c>
      <c r="EX153" s="23">
        <f>EXP(-LN(2)/2)*EX152+(1-EXP(-LN(2)/2))/(LN(2)/2)*ER153*EU153*VLOOKUP('Données projet'!$B$15,Paramètres!$A$1:$I$88,3,0)*0.475*44/12</f>
        <v>0</v>
      </c>
      <c r="EY153" s="24">
        <f t="shared" si="129"/>
        <v>97.132823479154965</v>
      </c>
      <c r="EZ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2.2737367544323206E-13</v>
      </c>
      <c r="FF153" s="18">
        <f>FE153*VLOOKUP('Données projet'!$B$16,Paramètres!$A$1:$I$88,3,0)*VLOOKUP('Données projet'!$B$16,Paramètres!$A$1:$I$88,5,0)</f>
        <v>1.9863364286720756E-13</v>
      </c>
      <c r="FG153" s="14">
        <f t="shared" si="155"/>
        <v>2.7549360720371426E-12</v>
      </c>
      <c r="FH153" s="22">
        <f t="shared" si="130"/>
        <v>5.144133920125077E-12</v>
      </c>
      <c r="FI153" s="59">
        <f t="shared" si="131"/>
        <v>293.33333333333843</v>
      </c>
      <c r="FJ153" s="59">
        <f ca="1">AVERAGE(OFFSET($FI$3,0,0,'Données projet'!$E$16+1,1))-AVERAGE(OFFSET($H$3,0,0,'Données projet'!$E$16+1,1))</f>
        <v>427.76895185088944</v>
      </c>
      <c r="FK153" s="59">
        <f t="shared" si="156"/>
        <v>308.32543361559135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projet'!$B$16,Paramètres!$A$1:$I$88,3,0)*0.475*44/12</f>
        <v>78.881789024265132</v>
      </c>
      <c r="FR153" s="23">
        <f>EXP(-LN(2)/25)*FR152+(1-EXP(-LN(2)/25))/(LN(2)/25)*Calculateur!FM153*Calculateur!FO153*VLOOKUP('Données projet'!$B$16,Paramètres!$A$1:$I$88,3,0)*0.475*44/12</f>
        <v>0</v>
      </c>
      <c r="FS153" s="23">
        <f>EXP(-LN(2)/2)*FS152+(1-EXP(-LN(2)/2))/(LN(2)/2)*FM153*FP153*VLOOKUP('Données projet'!$B$16,Paramètres!$A$1:$I$88,3,0)*0.475*44/12</f>
        <v>0</v>
      </c>
      <c r="FT153" s="24">
        <f t="shared" si="132"/>
        <v>78.881789024265132</v>
      </c>
      <c r="FU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333.00000000000006</v>
      </c>
      <c r="GA153" s="18">
        <f>FZ153*VLOOKUP('Données projet'!$B$17,Paramètres!$A$1:$I$88,3,0)*VLOOKUP('Données projet'!$B$17,Paramètres!$A$1:$I$88,5,0)</f>
        <v>207.79200000000006</v>
      </c>
      <c r="GB153" s="14">
        <f t="shared" si="157"/>
        <v>51.452785725007907</v>
      </c>
      <c r="GC153" s="22">
        <f t="shared" si="133"/>
        <v>451.5180018043888</v>
      </c>
      <c r="GD153" s="59">
        <f t="shared" si="134"/>
        <v>744.85133513772212</v>
      </c>
      <c r="GE153" s="59">
        <f ca="1">AVERAGE(OFFSET($GD$3,0,0,'Données projet'!$E$17+1,1))-AVERAGE(OFFSET($H$3,0,0,'Données projet'!$E$17+1,1))</f>
        <v>247.85542034088905</v>
      </c>
      <c r="GF153" s="59">
        <f t="shared" si="158"/>
        <v>299.52241743660352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projet'!$B$17,Paramètres!$A$1:$I$88,3,0)*0.475*44/12</f>
        <v>6.2507063810944326</v>
      </c>
      <c r="GM153" s="23">
        <f>EXP(-LN(2)/25)*GM152+(1-EXP(-LN(2)/25))/(LN(2)/25)*Calculateur!GH153*Calculateur!GJ153*VLOOKUP('Données projet'!$B$17,Paramètres!$A$1:$I$88,3,0)*0.475*44/12</f>
        <v>3.1360013796714141</v>
      </c>
      <c r="GN153" s="23">
        <f>EXP(-LN(2)/2)*GN152+(1-EXP(-LN(2)/2))/(LN(2)/2)*GH153*GK153*VLOOKUP('Données projet'!$B$17,Paramètres!$A$1:$I$88,3,0)*0.475*44/12</f>
        <v>1.2165090258927753E-12</v>
      </c>
      <c r="GO153" s="23">
        <f t="shared" si="135"/>
        <v>9.386707760767063</v>
      </c>
      <c r="GP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3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6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projet'!$B$9,Paramètres!$A$1:$I$88,3,0)*VLOOKUP('Données projet'!$B$9,Paramètres!$A$1:$I$88,5,0)</f>
        <v>-2.0572770154103635E-13</v>
      </c>
      <c r="P154" s="14" t="e">
        <f t="shared" si="141"/>
        <v>#NUM!</v>
      </c>
      <c r="Q154" s="22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247.57967230773539</v>
      </c>
      <c r="T154" s="59">
        <f t="shared" si="142"/>
        <v>156.58857589533295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151.75572968523667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151.75572968523667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-3.4106051316484809E-13</v>
      </c>
      <c r="AJ154" s="14">
        <f>AI154*VLOOKUP('Données projet'!$B$10,Paramètres!$A$1:$I$88,3,0)*VLOOKUP('Données projet'!$B$10,Paramètres!$A$1:$I$88,5,0)</f>
        <v>-2.7134774427395314E-13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504.15006129790828</v>
      </c>
      <c r="AO154" s="59">
        <f t="shared" si="144"/>
        <v>374.39334457402742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87.95496189880221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87.95496189880221</v>
      </c>
      <c r="AY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-3.4106051316484809E-13</v>
      </c>
      <c r="BE154" s="14">
        <f>BD154*VLOOKUP('Données projet'!$B$11,Paramètres!$A$1:$I$88,3,0)*VLOOKUP('Données projet'!$B$11,Paramètres!$A$1:$I$88,5,0)</f>
        <v>-2.7134774427395314E-13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504.15006129790828</v>
      </c>
      <c r="BJ154" s="59">
        <f t="shared" si="146"/>
        <v>374.39334457402742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87.95496189880221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87.95496189880221</v>
      </c>
      <c r="BT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-3.4106051316484809E-13</v>
      </c>
      <c r="BZ154" s="14">
        <f>BY154*VLOOKUP('Données projet'!$B$12,Paramètres!$A$1:$I$88,3,0)*VLOOKUP('Données projet'!$B$12,Paramètres!$A$1:$I$88,5,0)</f>
        <v>-2.2878339223098009E-13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387.15063677712425</v>
      </c>
      <c r="CE154" s="59">
        <f t="shared" si="148"/>
        <v>313.19155394370705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57.99095991967976</v>
      </c>
      <c r="CL154" s="23">
        <f>EXP(-LN(2)/25)*CL153+(1-EXP(-LN(2)/25))/(LN(2)/25)*Calculateur!CG154*Calculateur!CI154*VLOOKUP('Données projet'!$B$12,Paramètres!$A$1:$I$88,3,0)*0.475*44/12</f>
        <v>0</v>
      </c>
      <c r="CM154" s="23">
        <f>EXP(-LN(2)/2)*CM153+(1-EXP(-LN(2)/2))/(LN(2)/2)*CG154*CJ154*VLOOKUP('Données projet'!$B$12,Paramètres!$A$1:$I$88,3,0)*0.475*44/12</f>
        <v>0</v>
      </c>
      <c r="CN154" s="24">
        <f t="shared" ref="CN154:CN203" si="172">SUM(CK154:CM154)</f>
        <v>57.99095991967976</v>
      </c>
      <c r="CO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5.916666666666667</v>
      </c>
      <c r="CT154" s="13">
        <f>IF('Données projet'!$A$140&gt;35,CT153+CS154-DB153,IF(A154&lt;'Données projet'!$A$140,$CQ$205^A154,IF(A154='Données projet'!$A$140,'Données projet'!$B$140,CT153+CS154-DB153)))</f>
        <v>326.66666666666652</v>
      </c>
      <c r="CU154" s="18">
        <f>CT154*VLOOKUP('Données projet'!$B$13,Paramètres!$A$1:$I$88,3,0)*VLOOKUP('Données projet'!$B$13,Paramètres!$A$1:$I$88,5,0)</f>
        <v>315.95199999999988</v>
      </c>
      <c r="CV154" s="14">
        <f t="shared" ref="CV154:CV203" si="173">EXP(-1.0587+0.8836*LN(CU154)+0.284)</f>
        <v>74.510465498466033</v>
      </c>
      <c r="CW154" s="22">
        <f t="shared" ref="CW154:CW203" si="174">(CU154+CV154)*0.475*44/12</f>
        <v>680.05546074316146</v>
      </c>
      <c r="CX154" s="59">
        <f t="shared" si="122"/>
        <v>973.38879407649483</v>
      </c>
      <c r="CY154" s="59">
        <f ca="1">AVERAGE(OFFSET($CX$3,0,0,'Données projet'!$E$13+1,1))-AVERAGE(OFFSET($H$3,0,0,'Données projet'!$E$13+1,1))</f>
        <v>306.00894145276209</v>
      </c>
      <c r="CZ154" s="59">
        <f t="shared" si="150"/>
        <v>168.74705421228828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49.92386003124254</v>
      </c>
      <c r="DG154" s="23">
        <f>EXP(-LN(2)/25)*DG153+(1-EXP(-LN(2)/25))/(LN(2)/25)*Calculateur!DB154*Calculateur!DD154*VLOOKUP('Données projet'!$B$13,Paramètres!$A$1:$I$88,3,0)*0.475*44/12</f>
        <v>0</v>
      </c>
      <c r="DH154" s="23">
        <f>EXP(-LN(2)/2)*DH153+(1-EXP(-LN(2)/2))/(LN(2)/2)*DB154*DE154*VLOOKUP('Données projet'!$B$13,Paramètres!$A$1:$I$88,3,0)*0.475*44/12</f>
        <v>0</v>
      </c>
      <c r="DI154" s="24">
        <f t="shared" ref="DI154:DI203" si="175">SUM(DF154:DH154)</f>
        <v>49.92386003124254</v>
      </c>
      <c r="DJ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-3.4106051316484809E-13</v>
      </c>
      <c r="DP154" s="18">
        <f>DO154*VLOOKUP('Données projet'!$B$14,Paramètres!$A$1:$I$88,3,0)*VLOOKUP('Données projet'!$B$14,Paramètres!$A$1:$I$88,5,0)</f>
        <v>-2.6602720026858149E-13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458.14328535055694</v>
      </c>
      <c r="DU154" s="59">
        <f t="shared" si="152"/>
        <v>366.75500153675739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projet'!$B$14,Paramètres!$A$1:$I$88,3,0)*0.475*44/12</f>
        <v>54.708452754414942</v>
      </c>
      <c r="EB154" s="23">
        <f>EXP(-LN(2)/25)*EB153+(1-EXP(-LN(2)/25))/(LN(2)/25)*Calculateur!DW154*Calculateur!DY154*VLOOKUP('Données projet'!$B$14,Paramètres!$A$1:$I$88,3,0)*0.475*44/12</f>
        <v>0</v>
      </c>
      <c r="EC154" s="23">
        <f>EXP(-LN(2)/2)*EC153+(1-EXP(-LN(2)/2))/(LN(2)/2)*DW154*DZ154*VLOOKUP('Données projet'!$B$14,Paramètres!$A$1:$I$88,3,0)*0.475*44/12</f>
        <v>0</v>
      </c>
      <c r="ED154" s="24">
        <f t="shared" ref="ED154:ED203" si="178">SUM(EA154:EC154)</f>
        <v>54.708452754414942</v>
      </c>
      <c r="EE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4.5474735088646412E-13</v>
      </c>
      <c r="EK154" s="18">
        <f>EJ154*VLOOKUP('Données projet'!$B$15,Paramètres!$A$1:$I$88,3,0)*VLOOKUP('Données projet'!$B$15,Paramètres!$A$1:$I$88,5,0)</f>
        <v>3.9017322706058626E-13</v>
      </c>
      <c r="EL154" s="14">
        <f t="shared" ref="EL154:EL203" si="179">EXP(-1.0587+0.8836*LN(EK154)+0.284)</f>
        <v>5.0025007393608908E-12</v>
      </c>
      <c r="EM154" s="22">
        <f t="shared" ref="EM154:EM203" si="180">(EK154+EL154)*0.475*44/12</f>
        <v>9.3922404915174053E-12</v>
      </c>
      <c r="EN154" s="59">
        <f t="shared" si="128"/>
        <v>293.33333333334269</v>
      </c>
      <c r="EO154" s="59">
        <f ca="1">AVERAGE(OFFSET($EN$3,0,0,'Données projet'!$E$15+1,1))-AVERAGE(OFFSET($H$3,0,0,'Données projet'!$E$15+1,1))</f>
        <v>462.99360395552145</v>
      </c>
      <c r="EP154" s="59">
        <f t="shared" si="154"/>
        <v>153.03880717786046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projet'!$B$15,Paramètres!$A$1:$I$88,3,0)*0.475*44/12</f>
        <v>95.228108055901089</v>
      </c>
      <c r="EW154" s="23">
        <f>EXP(-LN(2)/25)*EW153+(1-EXP(-LN(2)/25))/(LN(2)/25)*Calculateur!ER154*Calculateur!ET154*VLOOKUP('Données projet'!$B$15,Paramètres!$A$1:$I$88,3,0)*0.475*44/12</f>
        <v>0</v>
      </c>
      <c r="EX154" s="23">
        <f>EXP(-LN(2)/2)*EX153+(1-EXP(-LN(2)/2))/(LN(2)/2)*ER154*EU154*VLOOKUP('Données projet'!$B$15,Paramètres!$A$1:$I$88,3,0)*0.475*44/12</f>
        <v>0</v>
      </c>
      <c r="EY154" s="24">
        <f t="shared" ref="EY154:EY203" si="181">SUM(EV154:EX154)</f>
        <v>95.228108055901089</v>
      </c>
      <c r="EZ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2.2737367544323206E-13</v>
      </c>
      <c r="FF154" s="18">
        <f>FE154*VLOOKUP('Données projet'!$B$16,Paramètres!$A$1:$I$88,3,0)*VLOOKUP('Données projet'!$B$16,Paramètres!$A$1:$I$88,5,0)</f>
        <v>1.9863364286720756E-13</v>
      </c>
      <c r="FG154" s="14">
        <f t="shared" ref="FG154:FG203" si="182">EXP(-1.0587+0.8836*LN(FF154)+0.284)</f>
        <v>2.7549360720371426E-12</v>
      </c>
      <c r="FH154" s="22">
        <f t="shared" ref="FH154:FH203" si="183">(FF154+FG154)*0.475*44/12</f>
        <v>5.144133920125077E-12</v>
      </c>
      <c r="FI154" s="59">
        <f t="shared" si="131"/>
        <v>293.33333333333843</v>
      </c>
      <c r="FJ154" s="59">
        <f ca="1">AVERAGE(OFFSET($FI$3,0,0,'Données projet'!$E$16+1,1))-AVERAGE(OFFSET($H$3,0,0,'Données projet'!$E$16+1,1))</f>
        <v>427.76895185088944</v>
      </c>
      <c r="FK154" s="59">
        <f t="shared" si="156"/>
        <v>308.32543361559135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projet'!$B$16,Paramètres!$A$1:$I$88,3,0)*0.475*44/12</f>
        <v>77.334965254639826</v>
      </c>
      <c r="FR154" s="23">
        <f>EXP(-LN(2)/25)*FR153+(1-EXP(-LN(2)/25))/(LN(2)/25)*Calculateur!FM154*Calculateur!FO154*VLOOKUP('Données projet'!$B$16,Paramètres!$A$1:$I$88,3,0)*0.475*44/12</f>
        <v>0</v>
      </c>
      <c r="FS154" s="23">
        <f>EXP(-LN(2)/2)*FS153+(1-EXP(-LN(2)/2))/(LN(2)/2)*FM154*FP154*VLOOKUP('Données projet'!$B$16,Paramètres!$A$1:$I$88,3,0)*0.475*44/12</f>
        <v>0</v>
      </c>
      <c r="FT154" s="24">
        <f t="shared" ref="FT154:FT203" si="184">SUM(FQ154:FS154)</f>
        <v>77.334965254639826</v>
      </c>
      <c r="FU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333.00000000000006</v>
      </c>
      <c r="GA154" s="18">
        <f>FZ154*VLOOKUP('Données projet'!$B$17,Paramètres!$A$1:$I$88,3,0)*VLOOKUP('Données projet'!$B$17,Paramètres!$A$1:$I$88,5,0)</f>
        <v>207.79200000000006</v>
      </c>
      <c r="GB154" s="14">
        <f t="shared" ref="GB154:GB203" si="185">EXP(-1.0587+0.8836*LN(GA154)+0.284)</f>
        <v>51.452785725007907</v>
      </c>
      <c r="GC154" s="22">
        <f t="shared" ref="GC154:GC203" si="186">(GA154+GB154)*0.475*44/12</f>
        <v>451.5180018043888</v>
      </c>
      <c r="GD154" s="59">
        <f t="shared" si="134"/>
        <v>744.85133513772212</v>
      </c>
      <c r="GE154" s="59">
        <f ca="1">AVERAGE(OFFSET($GD$3,0,0,'Données projet'!$E$17+1,1))-AVERAGE(OFFSET($H$3,0,0,'Données projet'!$E$17+1,1))</f>
        <v>247.85542034088905</v>
      </c>
      <c r="GF154" s="59">
        <f t="shared" si="158"/>
        <v>299.52241743660352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projet'!$B$17,Paramètres!$A$1:$I$88,3,0)*0.475*44/12</f>
        <v>6.1281338415156048</v>
      </c>
      <c r="GM154" s="23">
        <f>EXP(-LN(2)/25)*GM153+(1-EXP(-LN(2)/25))/(LN(2)/25)*Calculateur!GH154*Calculateur!GJ154*VLOOKUP('Données projet'!$B$17,Paramètres!$A$1:$I$88,3,0)*0.475*44/12</f>
        <v>3.0502472570291541</v>
      </c>
      <c r="GN154" s="23">
        <f>EXP(-LN(2)/2)*GN153+(1-EXP(-LN(2)/2))/(LN(2)/2)*GH154*GK154*VLOOKUP('Données projet'!$B$17,Paramètres!$A$1:$I$88,3,0)*0.475*44/12</f>
        <v>8.6020178158342278E-13</v>
      </c>
      <c r="GO154" s="23">
        <f t="shared" ref="GO154:GO203" si="187">SUM(GL154:GN154)</f>
        <v>9.1783810985456178</v>
      </c>
      <c r="GP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3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6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projet'!$B$9,Paramètres!$A$1:$I$88,3,0)*VLOOKUP('Données projet'!$B$9,Paramètres!$A$1:$I$88,5,0)</f>
        <v>-2.0572770154103635E-13</v>
      </c>
      <c r="P155" s="14" t="e">
        <f t="shared" si="141"/>
        <v>#NUM!</v>
      </c>
      <c r="Q155" s="22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247.57967230773539</v>
      </c>
      <c r="T155" s="59">
        <f t="shared" si="142"/>
        <v>156.58857589533295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148.77989238796457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148.77989238796457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-3.4106051316484809E-13</v>
      </c>
      <c r="AJ155" s="14">
        <f>AI155*VLOOKUP('Données projet'!$B$10,Paramètres!$A$1:$I$88,3,0)*VLOOKUP('Données projet'!$B$10,Paramètres!$A$1:$I$88,5,0)</f>
        <v>-2.7134774427395314E-13</v>
      </c>
      <c r="AK155" s="14" t="e">
        <f t="shared" si="164"/>
        <v>#NUM!</v>
      </c>
      <c r="AL155" s="22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504.15006129790828</v>
      </c>
      <c r="AO155" s="59">
        <f t="shared" si="144"/>
        <v>374.39334457402742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86.230218743196232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86.230218743196232</v>
      </c>
      <c r="AY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-3.4106051316484809E-13</v>
      </c>
      <c r="BE155" s="14">
        <f>BD155*VLOOKUP('Données projet'!$B$11,Paramètres!$A$1:$I$88,3,0)*VLOOKUP('Données projet'!$B$11,Paramètres!$A$1:$I$88,5,0)</f>
        <v>-2.7134774427395314E-13</v>
      </c>
      <c r="BF155" s="14" t="e">
        <f t="shared" si="167"/>
        <v>#NUM!</v>
      </c>
      <c r="BG155" s="22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504.15006129790828</v>
      </c>
      <c r="BJ155" s="59">
        <f t="shared" si="146"/>
        <v>374.39334457402742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86.230218743196232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86.230218743196232</v>
      </c>
      <c r="BT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-3.4106051316484809E-13</v>
      </c>
      <c r="BZ155" s="14">
        <f>BY155*VLOOKUP('Données projet'!$B$12,Paramètres!$A$1:$I$88,3,0)*VLOOKUP('Données projet'!$B$12,Paramètres!$A$1:$I$88,5,0)</f>
        <v>-2.2878339223098009E-13</v>
      </c>
      <c r="CA155" s="14" t="e">
        <f t="shared" si="170"/>
        <v>#NUM!</v>
      </c>
      <c r="CB155" s="22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387.15063677712425</v>
      </c>
      <c r="CE155" s="59">
        <f t="shared" si="148"/>
        <v>313.19155394370705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56.853792566647797</v>
      </c>
      <c r="CL155" s="23">
        <f>EXP(-LN(2)/25)*CL154+(1-EXP(-LN(2)/25))/(LN(2)/25)*Calculateur!CG155*Calculateur!CI155*VLOOKUP('Données projet'!$B$12,Paramètres!$A$1:$I$88,3,0)*0.475*44/12</f>
        <v>0</v>
      </c>
      <c r="CM155" s="23">
        <f>EXP(-LN(2)/2)*CM154+(1-EXP(-LN(2)/2))/(LN(2)/2)*CG155*CJ155*VLOOKUP('Données projet'!$B$12,Paramètres!$A$1:$I$88,3,0)*0.475*44/12</f>
        <v>0</v>
      </c>
      <c r="CN155" s="24">
        <f t="shared" si="172"/>
        <v>56.853792566647797</v>
      </c>
      <c r="CO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5.916666666666667</v>
      </c>
      <c r="CT155" s="13">
        <f>IF('Données projet'!$A$140&gt;35,CT154+CS155-DB154,IF(A155&lt;'Données projet'!$A$140,$CQ$205^A155,IF(A155='Données projet'!$A$140,'Données projet'!$B$140,CT154+CS155-DB154)))</f>
        <v>332.5833333333332</v>
      </c>
      <c r="CU155" s="18">
        <f>CT155*VLOOKUP('Données projet'!$B$13,Paramètres!$A$1:$I$88,3,0)*VLOOKUP('Données projet'!$B$13,Paramètres!$A$1:$I$88,5,0)</f>
        <v>321.67459999999988</v>
      </c>
      <c r="CV155" s="14">
        <f t="shared" si="173"/>
        <v>75.701680844682286</v>
      </c>
      <c r="CW155" s="22">
        <f t="shared" si="174"/>
        <v>692.09702247115467</v>
      </c>
      <c r="CX155" s="59">
        <f t="shared" si="122"/>
        <v>985.43035580448804</v>
      </c>
      <c r="CY155" s="59">
        <f ca="1">AVERAGE(OFFSET($CX$3,0,0,'Données projet'!$E$13+1,1))-AVERAGE(OFFSET($H$3,0,0,'Données projet'!$E$13+1,1))</f>
        <v>306.00894145276209</v>
      </c>
      <c r="CZ155" s="59">
        <f t="shared" si="150"/>
        <v>168.74705421228828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48.944883586577753</v>
      </c>
      <c r="DG155" s="23">
        <f>EXP(-LN(2)/25)*DG154+(1-EXP(-LN(2)/25))/(LN(2)/25)*Calculateur!DB155*Calculateur!DD155*VLOOKUP('Données projet'!$B$13,Paramètres!$A$1:$I$88,3,0)*0.475*44/12</f>
        <v>0</v>
      </c>
      <c r="DH155" s="23">
        <f>EXP(-LN(2)/2)*DH154+(1-EXP(-LN(2)/2))/(LN(2)/2)*DB155*DE155*VLOOKUP('Données projet'!$B$13,Paramètres!$A$1:$I$88,3,0)*0.475*44/12</f>
        <v>0</v>
      </c>
      <c r="DI155" s="24">
        <f t="shared" si="175"/>
        <v>48.944883586577753</v>
      </c>
      <c r="DJ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-3.4106051316484809E-13</v>
      </c>
      <c r="DP155" s="18">
        <f>DO155*VLOOKUP('Données projet'!$B$14,Paramètres!$A$1:$I$88,3,0)*VLOOKUP('Données projet'!$B$14,Paramètres!$A$1:$I$88,5,0)</f>
        <v>-2.6602720026858149E-13</v>
      </c>
      <c r="DQ155" s="14" t="e">
        <f t="shared" si="176"/>
        <v>#NUM!</v>
      </c>
      <c r="DR155" s="22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458.14328535055694</v>
      </c>
      <c r="DU155" s="59">
        <f t="shared" si="152"/>
        <v>366.75500153675739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projet'!$B$14,Paramètres!$A$1:$I$88,3,0)*0.475*44/12</f>
        <v>53.635653364762142</v>
      </c>
      <c r="EB155" s="23">
        <f>EXP(-LN(2)/25)*EB154+(1-EXP(-LN(2)/25))/(LN(2)/25)*Calculateur!DW155*Calculateur!DY155*VLOOKUP('Données projet'!$B$14,Paramètres!$A$1:$I$88,3,0)*0.475*44/12</f>
        <v>0</v>
      </c>
      <c r="EC155" s="23">
        <f>EXP(-LN(2)/2)*EC154+(1-EXP(-LN(2)/2))/(LN(2)/2)*DW155*DZ155*VLOOKUP('Données projet'!$B$14,Paramètres!$A$1:$I$88,3,0)*0.475*44/12</f>
        <v>0</v>
      </c>
      <c r="ED155" s="24">
        <f t="shared" si="178"/>
        <v>53.635653364762142</v>
      </c>
      <c r="EE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4.5474735088646412E-13</v>
      </c>
      <c r="EK155" s="18">
        <f>EJ155*VLOOKUP('Données projet'!$B$15,Paramètres!$A$1:$I$88,3,0)*VLOOKUP('Données projet'!$B$15,Paramètres!$A$1:$I$88,5,0)</f>
        <v>3.9017322706058626E-13</v>
      </c>
      <c r="EL155" s="14">
        <f t="shared" si="179"/>
        <v>5.0025007393608908E-12</v>
      </c>
      <c r="EM155" s="22">
        <f t="shared" si="180"/>
        <v>9.3922404915174053E-12</v>
      </c>
      <c r="EN155" s="59">
        <f t="shared" si="128"/>
        <v>293.33333333334269</v>
      </c>
      <c r="EO155" s="59">
        <f ca="1">AVERAGE(OFFSET($EN$3,0,0,'Données projet'!$E$15+1,1))-AVERAGE(OFFSET($H$3,0,0,'Données projet'!$E$15+1,1))</f>
        <v>462.99360395552145</v>
      </c>
      <c r="EP155" s="59">
        <f t="shared" si="154"/>
        <v>153.03880717786046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projet'!$B$15,Paramètres!$A$1:$I$88,3,0)*0.475*44/12</f>
        <v>93.360742940335527</v>
      </c>
      <c r="EW155" s="23">
        <f>EXP(-LN(2)/25)*EW154+(1-EXP(-LN(2)/25))/(LN(2)/25)*Calculateur!ER155*Calculateur!ET155*VLOOKUP('Données projet'!$B$15,Paramètres!$A$1:$I$88,3,0)*0.475*44/12</f>
        <v>0</v>
      </c>
      <c r="EX155" s="23">
        <f>EXP(-LN(2)/2)*EX154+(1-EXP(-LN(2)/2))/(LN(2)/2)*ER155*EU155*VLOOKUP('Données projet'!$B$15,Paramètres!$A$1:$I$88,3,0)*0.475*44/12</f>
        <v>0</v>
      </c>
      <c r="EY155" s="24">
        <f t="shared" si="181"/>
        <v>93.360742940335527</v>
      </c>
      <c r="EZ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2.2737367544323206E-13</v>
      </c>
      <c r="FF155" s="18">
        <f>FE155*VLOOKUP('Données projet'!$B$16,Paramètres!$A$1:$I$88,3,0)*VLOOKUP('Données projet'!$B$16,Paramètres!$A$1:$I$88,5,0)</f>
        <v>1.9863364286720756E-13</v>
      </c>
      <c r="FG155" s="14">
        <f t="shared" si="182"/>
        <v>2.7549360720371426E-12</v>
      </c>
      <c r="FH155" s="22">
        <f t="shared" si="183"/>
        <v>5.144133920125077E-12</v>
      </c>
      <c r="FI155" s="59">
        <f t="shared" si="131"/>
        <v>293.33333333333843</v>
      </c>
      <c r="FJ155" s="59">
        <f ca="1">AVERAGE(OFFSET($FI$3,0,0,'Données projet'!$E$16+1,1))-AVERAGE(OFFSET($H$3,0,0,'Données projet'!$E$16+1,1))</f>
        <v>427.76895185088944</v>
      </c>
      <c r="FK155" s="59">
        <f t="shared" si="156"/>
        <v>308.32543361559135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projet'!$B$16,Paramètres!$A$1:$I$88,3,0)*0.475*44/12</f>
        <v>75.818473755667526</v>
      </c>
      <c r="FR155" s="23">
        <f>EXP(-LN(2)/25)*FR154+(1-EXP(-LN(2)/25))/(LN(2)/25)*Calculateur!FM155*Calculateur!FO155*VLOOKUP('Données projet'!$B$16,Paramètres!$A$1:$I$88,3,0)*0.475*44/12</f>
        <v>0</v>
      </c>
      <c r="FS155" s="23">
        <f>EXP(-LN(2)/2)*FS154+(1-EXP(-LN(2)/2))/(LN(2)/2)*FM155*FP155*VLOOKUP('Données projet'!$B$16,Paramètres!$A$1:$I$88,3,0)*0.475*44/12</f>
        <v>0</v>
      </c>
      <c r="FT155" s="24">
        <f t="shared" si="184"/>
        <v>75.818473755667526</v>
      </c>
      <c r="FU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333.00000000000006</v>
      </c>
      <c r="GA155" s="18">
        <f>FZ155*VLOOKUP('Données projet'!$B$17,Paramètres!$A$1:$I$88,3,0)*VLOOKUP('Données projet'!$B$17,Paramètres!$A$1:$I$88,5,0)</f>
        <v>207.79200000000006</v>
      </c>
      <c r="GB155" s="14">
        <f t="shared" si="185"/>
        <v>51.452785725007907</v>
      </c>
      <c r="GC155" s="22">
        <f t="shared" si="186"/>
        <v>451.5180018043888</v>
      </c>
      <c r="GD155" s="59">
        <f t="shared" si="134"/>
        <v>744.85133513772212</v>
      </c>
      <c r="GE155" s="59">
        <f ca="1">AVERAGE(OFFSET($GD$3,0,0,'Données projet'!$E$17+1,1))-AVERAGE(OFFSET($H$3,0,0,'Données projet'!$E$17+1,1))</f>
        <v>247.85542034088905</v>
      </c>
      <c r="GF155" s="59">
        <f t="shared" si="158"/>
        <v>299.52241743660352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projet'!$B$17,Paramètres!$A$1:$I$88,3,0)*0.475*44/12</f>
        <v>6.007964874676051</v>
      </c>
      <c r="GM155" s="23">
        <f>EXP(-LN(2)/25)*GM154+(1-EXP(-LN(2)/25))/(LN(2)/25)*Calculateur!GH155*Calculateur!GJ155*VLOOKUP('Données projet'!$B$17,Paramètres!$A$1:$I$88,3,0)*0.475*44/12</f>
        <v>2.9668380853801599</v>
      </c>
      <c r="GN155" s="23">
        <f>EXP(-LN(2)/2)*GN154+(1-EXP(-LN(2)/2))/(LN(2)/2)*GH155*GK155*VLOOKUP('Données projet'!$B$17,Paramètres!$A$1:$I$88,3,0)*0.475*44/12</f>
        <v>6.0825451294638767E-13</v>
      </c>
      <c r="GO155" s="23">
        <f t="shared" si="187"/>
        <v>8.9748029600568184</v>
      </c>
      <c r="GP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3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6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projet'!$B$9,Paramètres!$A$1:$I$88,3,0)*VLOOKUP('Données projet'!$B$9,Paramètres!$A$1:$I$88,5,0)</f>
        <v>-2.0572770154103635E-13</v>
      </c>
      <c r="P156" s="14" t="e">
        <f t="shared" si="141"/>
        <v>#NUM!</v>
      </c>
      <c r="Q156" s="22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247.57967230773539</v>
      </c>
      <c r="T156" s="59">
        <f t="shared" si="142"/>
        <v>156.58857589533295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145.86240944501043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145.86240944501043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-3.4106051316484809E-13</v>
      </c>
      <c r="AJ156" s="14">
        <f>AI156*VLOOKUP('Données projet'!$B$10,Paramètres!$A$1:$I$88,3,0)*VLOOKUP('Données projet'!$B$10,Paramètres!$A$1:$I$88,5,0)</f>
        <v>-2.7134774427395314E-13</v>
      </c>
      <c r="AK156" s="14" t="e">
        <f t="shared" si="164"/>
        <v>#NUM!</v>
      </c>
      <c r="AL156" s="22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504.15006129790828</v>
      </c>
      <c r="AO156" s="59">
        <f t="shared" si="144"/>
        <v>374.39334457402742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84.539296748882236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84.539296748882236</v>
      </c>
      <c r="AY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-3.4106051316484809E-13</v>
      </c>
      <c r="BE156" s="14">
        <f>BD156*VLOOKUP('Données projet'!$B$11,Paramètres!$A$1:$I$88,3,0)*VLOOKUP('Données projet'!$B$11,Paramètres!$A$1:$I$88,5,0)</f>
        <v>-2.7134774427395314E-13</v>
      </c>
      <c r="BF156" s="14" t="e">
        <f t="shared" si="167"/>
        <v>#NUM!</v>
      </c>
      <c r="BG156" s="22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504.15006129790828</v>
      </c>
      <c r="BJ156" s="59">
        <f t="shared" si="146"/>
        <v>374.39334457402742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84.539296748882236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84.539296748882236</v>
      </c>
      <c r="BT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-3.4106051316484809E-13</v>
      </c>
      <c r="BZ156" s="14">
        <f>BY156*VLOOKUP('Données projet'!$B$12,Paramètres!$A$1:$I$88,3,0)*VLOOKUP('Données projet'!$B$12,Paramètres!$A$1:$I$88,5,0)</f>
        <v>-2.2878339223098009E-13</v>
      </c>
      <c r="CA156" s="14" t="e">
        <f t="shared" si="170"/>
        <v>#NUM!</v>
      </c>
      <c r="CB156" s="22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387.15063677712425</v>
      </c>
      <c r="CE156" s="59">
        <f t="shared" si="148"/>
        <v>313.19155394370705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55.73892437180519</v>
      </c>
      <c r="CL156" s="23">
        <f>EXP(-LN(2)/25)*CL155+(1-EXP(-LN(2)/25))/(LN(2)/25)*Calculateur!CG156*Calculateur!CI156*VLOOKUP('Données projet'!$B$12,Paramètres!$A$1:$I$88,3,0)*0.475*44/12</f>
        <v>0</v>
      </c>
      <c r="CM156" s="23">
        <f>EXP(-LN(2)/2)*CM155+(1-EXP(-LN(2)/2))/(LN(2)/2)*CG156*CJ156*VLOOKUP('Données projet'!$B$12,Paramètres!$A$1:$I$88,3,0)*0.475*44/12</f>
        <v>0</v>
      </c>
      <c r="CN156" s="24">
        <f t="shared" si="172"/>
        <v>55.73892437180519</v>
      </c>
      <c r="CO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5.916666666666667</v>
      </c>
      <c r="CT156" s="13">
        <f>IF('Données projet'!$A$140&gt;35,CT155+CS156-DB155,IF(A156&lt;'Données projet'!$A$140,$CQ$205^A156,IF(A156='Données projet'!$A$140,'Données projet'!$B$140,CT155+CS156-DB155)))</f>
        <v>338.49999999999989</v>
      </c>
      <c r="CU156" s="18">
        <f>CT156*VLOOKUP('Données projet'!$B$13,Paramètres!$A$1:$I$88,3,0)*VLOOKUP('Données projet'!$B$13,Paramètres!$A$1:$I$88,5,0)</f>
        <v>327.39719999999988</v>
      </c>
      <c r="CV156" s="14">
        <f t="shared" si="173"/>
        <v>76.890431885561796</v>
      </c>
      <c r="CW156" s="22">
        <f t="shared" si="174"/>
        <v>704.13429220068656</v>
      </c>
      <c r="CX156" s="59">
        <f t="shared" si="122"/>
        <v>997.46762553401982</v>
      </c>
      <c r="CY156" s="59">
        <f ca="1">AVERAGE(OFFSET($CX$3,0,0,'Données projet'!$E$13+1,1))-AVERAGE(OFFSET($H$3,0,0,'Données projet'!$E$13+1,1))</f>
        <v>306.00894145276209</v>
      </c>
      <c r="CZ156" s="59">
        <f t="shared" si="150"/>
        <v>168.74705421228828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47.985104272876171</v>
      </c>
      <c r="DG156" s="23">
        <f>EXP(-LN(2)/25)*DG155+(1-EXP(-LN(2)/25))/(LN(2)/25)*Calculateur!DB156*Calculateur!DD156*VLOOKUP('Données projet'!$B$13,Paramètres!$A$1:$I$88,3,0)*0.475*44/12</f>
        <v>0</v>
      </c>
      <c r="DH156" s="23">
        <f>EXP(-LN(2)/2)*DH155+(1-EXP(-LN(2)/2))/(LN(2)/2)*DB156*DE156*VLOOKUP('Données projet'!$B$13,Paramètres!$A$1:$I$88,3,0)*0.475*44/12</f>
        <v>0</v>
      </c>
      <c r="DI156" s="24">
        <f t="shared" si="175"/>
        <v>47.985104272876171</v>
      </c>
      <c r="DJ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-3.4106051316484809E-13</v>
      </c>
      <c r="DP156" s="18">
        <f>DO156*VLOOKUP('Données projet'!$B$14,Paramètres!$A$1:$I$88,3,0)*VLOOKUP('Données projet'!$B$14,Paramètres!$A$1:$I$88,5,0)</f>
        <v>-2.6602720026858149E-13</v>
      </c>
      <c r="DQ156" s="14" t="e">
        <f t="shared" si="176"/>
        <v>#NUM!</v>
      </c>
      <c r="DR156" s="22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458.14328535055694</v>
      </c>
      <c r="DU156" s="59">
        <f t="shared" si="152"/>
        <v>366.75500153675739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projet'!$B$14,Paramètres!$A$1:$I$88,3,0)*0.475*44/12</f>
        <v>52.583890916797415</v>
      </c>
      <c r="EB156" s="23">
        <f>EXP(-LN(2)/25)*EB155+(1-EXP(-LN(2)/25))/(LN(2)/25)*Calculateur!DW156*Calculateur!DY156*VLOOKUP('Données projet'!$B$14,Paramètres!$A$1:$I$88,3,0)*0.475*44/12</f>
        <v>0</v>
      </c>
      <c r="EC156" s="23">
        <f>EXP(-LN(2)/2)*EC155+(1-EXP(-LN(2)/2))/(LN(2)/2)*DW156*DZ156*VLOOKUP('Données projet'!$B$14,Paramètres!$A$1:$I$88,3,0)*0.475*44/12</f>
        <v>0</v>
      </c>
      <c r="ED156" s="24">
        <f t="shared" si="178"/>
        <v>52.583890916797415</v>
      </c>
      <c r="EE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4.5474735088646412E-13</v>
      </c>
      <c r="EK156" s="18">
        <f>EJ156*VLOOKUP('Données projet'!$B$15,Paramètres!$A$1:$I$88,3,0)*VLOOKUP('Données projet'!$B$15,Paramètres!$A$1:$I$88,5,0)</f>
        <v>3.9017322706058626E-13</v>
      </c>
      <c r="EL156" s="14">
        <f t="shared" si="179"/>
        <v>5.0025007393608908E-12</v>
      </c>
      <c r="EM156" s="22">
        <f t="shared" si="180"/>
        <v>9.3922404915174053E-12</v>
      </c>
      <c r="EN156" s="59">
        <f t="shared" si="128"/>
        <v>293.33333333334269</v>
      </c>
      <c r="EO156" s="59">
        <f ca="1">AVERAGE(OFFSET($EN$3,0,0,'Données projet'!$E$15+1,1))-AVERAGE(OFFSET($H$3,0,0,'Données projet'!$E$15+1,1))</f>
        <v>462.99360395552145</v>
      </c>
      <c r="EP156" s="59">
        <f t="shared" si="154"/>
        <v>153.03880717786046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projet'!$B$15,Paramètres!$A$1:$I$88,3,0)*0.475*44/12</f>
        <v>91.529995715705951</v>
      </c>
      <c r="EW156" s="23">
        <f>EXP(-LN(2)/25)*EW155+(1-EXP(-LN(2)/25))/(LN(2)/25)*Calculateur!ER156*Calculateur!ET156*VLOOKUP('Données projet'!$B$15,Paramètres!$A$1:$I$88,3,0)*0.475*44/12</f>
        <v>0</v>
      </c>
      <c r="EX156" s="23">
        <f>EXP(-LN(2)/2)*EX155+(1-EXP(-LN(2)/2))/(LN(2)/2)*ER156*EU156*VLOOKUP('Données projet'!$B$15,Paramètres!$A$1:$I$88,3,0)*0.475*44/12</f>
        <v>0</v>
      </c>
      <c r="EY156" s="24">
        <f t="shared" si="181"/>
        <v>91.529995715705951</v>
      </c>
      <c r="EZ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2.2737367544323206E-13</v>
      </c>
      <c r="FF156" s="18">
        <f>FE156*VLOOKUP('Données projet'!$B$16,Paramètres!$A$1:$I$88,3,0)*VLOOKUP('Données projet'!$B$16,Paramètres!$A$1:$I$88,5,0)</f>
        <v>1.9863364286720756E-13</v>
      </c>
      <c r="FG156" s="14">
        <f t="shared" si="182"/>
        <v>2.7549360720371426E-12</v>
      </c>
      <c r="FH156" s="22">
        <f t="shared" si="183"/>
        <v>5.144133920125077E-12</v>
      </c>
      <c r="FI156" s="59">
        <f t="shared" si="131"/>
        <v>293.33333333333843</v>
      </c>
      <c r="FJ156" s="59">
        <f ca="1">AVERAGE(OFFSET($FI$3,0,0,'Données projet'!$E$16+1,1))-AVERAGE(OFFSET($H$3,0,0,'Données projet'!$E$16+1,1))</f>
        <v>427.76895185088944</v>
      </c>
      <c r="FK156" s="59">
        <f t="shared" si="156"/>
        <v>308.32543361559135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projet'!$B$16,Paramètres!$A$1:$I$88,3,0)*0.475*44/12</f>
        <v>74.331719730021589</v>
      </c>
      <c r="FR156" s="23">
        <f>EXP(-LN(2)/25)*FR155+(1-EXP(-LN(2)/25))/(LN(2)/25)*Calculateur!FM156*Calculateur!FO156*VLOOKUP('Données projet'!$B$16,Paramètres!$A$1:$I$88,3,0)*0.475*44/12</f>
        <v>0</v>
      </c>
      <c r="FS156" s="23">
        <f>EXP(-LN(2)/2)*FS155+(1-EXP(-LN(2)/2))/(LN(2)/2)*FM156*FP156*VLOOKUP('Données projet'!$B$16,Paramètres!$A$1:$I$88,3,0)*0.475*44/12</f>
        <v>0</v>
      </c>
      <c r="FT156" s="24">
        <f t="shared" si="184"/>
        <v>74.331719730021589</v>
      </c>
      <c r="FU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333.00000000000006</v>
      </c>
      <c r="GA156" s="18">
        <f>FZ156*VLOOKUP('Données projet'!$B$17,Paramètres!$A$1:$I$88,3,0)*VLOOKUP('Données projet'!$B$17,Paramètres!$A$1:$I$88,5,0)</f>
        <v>207.79200000000006</v>
      </c>
      <c r="GB156" s="14">
        <f t="shared" si="185"/>
        <v>51.452785725007907</v>
      </c>
      <c r="GC156" s="22">
        <f t="shared" si="186"/>
        <v>451.5180018043888</v>
      </c>
      <c r="GD156" s="59">
        <f t="shared" si="134"/>
        <v>744.85133513772212</v>
      </c>
      <c r="GE156" s="59">
        <f ca="1">AVERAGE(OFFSET($GD$3,0,0,'Données projet'!$E$17+1,1))-AVERAGE(OFFSET($H$3,0,0,'Données projet'!$E$17+1,1))</f>
        <v>247.85542034088905</v>
      </c>
      <c r="GF156" s="59">
        <f t="shared" si="158"/>
        <v>299.52241743660352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projet'!$B$17,Paramètres!$A$1:$I$88,3,0)*0.475*44/12</f>
        <v>5.8901523479803881</v>
      </c>
      <c r="GM156" s="23">
        <f>EXP(-LN(2)/25)*GM155+(1-EXP(-LN(2)/25))/(LN(2)/25)*Calculateur!GH156*Calculateur!GJ156*VLOOKUP('Données projet'!$B$17,Paramètres!$A$1:$I$88,3,0)*0.475*44/12</f>
        <v>2.8857097419162052</v>
      </c>
      <c r="GN156" s="23">
        <f>EXP(-LN(2)/2)*GN155+(1-EXP(-LN(2)/2))/(LN(2)/2)*GH156*GK156*VLOOKUP('Données projet'!$B$17,Paramètres!$A$1:$I$88,3,0)*0.475*44/12</f>
        <v>4.3010089079171139E-13</v>
      </c>
      <c r="GO156" s="23">
        <f t="shared" si="187"/>
        <v>8.7758620898970232</v>
      </c>
      <c r="GP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3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6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projet'!$B$9,Paramètres!$A$1:$I$88,3,0)*VLOOKUP('Données projet'!$B$9,Paramètres!$A$1:$I$88,5,0)</f>
        <v>-2.0572770154103635E-13</v>
      </c>
      <c r="P157" s="14" t="e">
        <f t="shared" si="141"/>
        <v>#NUM!</v>
      </c>
      <c r="Q157" s="22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247.57967230773539</v>
      </c>
      <c r="T157" s="59">
        <f t="shared" si="142"/>
        <v>156.58857589533295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143.00213656307875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143.00213656307875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-3.4106051316484809E-13</v>
      </c>
      <c r="AJ157" s="14">
        <f>AI157*VLOOKUP('Données projet'!$B$10,Paramètres!$A$1:$I$88,3,0)*VLOOKUP('Données projet'!$B$10,Paramètres!$A$1:$I$88,5,0)</f>
        <v>-2.7134774427395314E-13</v>
      </c>
      <c r="AK157" s="14" t="e">
        <f t="shared" si="164"/>
        <v>#NUM!</v>
      </c>
      <c r="AL157" s="22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504.15006129790828</v>
      </c>
      <c r="AO157" s="59">
        <f t="shared" si="144"/>
        <v>374.39334457402742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82.881532703516157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82.881532703516157</v>
      </c>
      <c r="AY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-3.4106051316484809E-13</v>
      </c>
      <c r="BE157" s="14">
        <f>BD157*VLOOKUP('Données projet'!$B$11,Paramètres!$A$1:$I$88,3,0)*VLOOKUP('Données projet'!$B$11,Paramètres!$A$1:$I$88,5,0)</f>
        <v>-2.7134774427395314E-13</v>
      </c>
      <c r="BF157" s="14" t="e">
        <f t="shared" si="167"/>
        <v>#NUM!</v>
      </c>
      <c r="BG157" s="22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504.15006129790828</v>
      </c>
      <c r="BJ157" s="59">
        <f t="shared" si="146"/>
        <v>374.39334457402742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82.881532703516157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82.881532703516157</v>
      </c>
      <c r="BT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-3.4106051316484809E-13</v>
      </c>
      <c r="BZ157" s="14">
        <f>BY157*VLOOKUP('Données projet'!$B$12,Paramètres!$A$1:$I$88,3,0)*VLOOKUP('Données projet'!$B$12,Paramètres!$A$1:$I$88,5,0)</f>
        <v>-2.2878339223098009E-13</v>
      </c>
      <c r="CA157" s="14" t="e">
        <f t="shared" si="170"/>
        <v>#NUM!</v>
      </c>
      <c r="CB157" s="22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387.15063677712425</v>
      </c>
      <c r="CE157" s="59">
        <f t="shared" si="148"/>
        <v>313.19155394370705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54.645918062260996</v>
      </c>
      <c r="CL157" s="23">
        <f>EXP(-LN(2)/25)*CL156+(1-EXP(-LN(2)/25))/(LN(2)/25)*Calculateur!CG157*Calculateur!CI157*VLOOKUP('Données projet'!$B$12,Paramètres!$A$1:$I$88,3,0)*0.475*44/12</f>
        <v>0</v>
      </c>
      <c r="CM157" s="23">
        <f>EXP(-LN(2)/2)*CM156+(1-EXP(-LN(2)/2))/(LN(2)/2)*CG157*CJ157*VLOOKUP('Données projet'!$B$12,Paramètres!$A$1:$I$88,3,0)*0.475*44/12</f>
        <v>0</v>
      </c>
      <c r="CN157" s="24">
        <f t="shared" si="172"/>
        <v>54.645918062260996</v>
      </c>
      <c r="CO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5.916666666666667</v>
      </c>
      <c r="CT157" s="13">
        <f>IF('Données projet'!$A$140&gt;35,CT156+CS157-DB156,IF(A157&lt;'Données projet'!$A$140,$CQ$205^A157,IF(A157='Données projet'!$A$140,'Données projet'!$B$140,CT156+CS157-DB156)))</f>
        <v>344.41666666666657</v>
      </c>
      <c r="CU157" s="18">
        <f>CT157*VLOOKUP('Données projet'!$B$13,Paramètres!$A$1:$I$88,3,0)*VLOOKUP('Données projet'!$B$13,Paramètres!$A$1:$I$88,5,0)</f>
        <v>333.11979999999994</v>
      </c>
      <c r="CV157" s="14">
        <f t="shared" si="173"/>
        <v>78.076766664714427</v>
      </c>
      <c r="CW157" s="22">
        <f t="shared" si="174"/>
        <v>716.16735360771088</v>
      </c>
      <c r="CX157" s="59">
        <f t="shared" si="122"/>
        <v>1009.5006869410443</v>
      </c>
      <c r="CY157" s="59">
        <f ca="1">AVERAGE(OFFSET($CX$3,0,0,'Données projet'!$E$13+1,1))-AVERAGE(OFFSET($H$3,0,0,'Données projet'!$E$13+1,1))</f>
        <v>306.00894145276209</v>
      </c>
      <c r="CZ157" s="59">
        <f t="shared" si="150"/>
        <v>168.74705421228828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47.044145646108696</v>
      </c>
      <c r="DG157" s="23">
        <f>EXP(-LN(2)/25)*DG156+(1-EXP(-LN(2)/25))/(LN(2)/25)*Calculateur!DB157*Calculateur!DD157*VLOOKUP('Données projet'!$B$13,Paramètres!$A$1:$I$88,3,0)*0.475*44/12</f>
        <v>0</v>
      </c>
      <c r="DH157" s="23">
        <f>EXP(-LN(2)/2)*DH156+(1-EXP(-LN(2)/2))/(LN(2)/2)*DB157*DE157*VLOOKUP('Données projet'!$B$13,Paramètres!$A$1:$I$88,3,0)*0.475*44/12</f>
        <v>0</v>
      </c>
      <c r="DI157" s="24">
        <f t="shared" si="175"/>
        <v>47.044145646108696</v>
      </c>
      <c r="DJ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-3.4106051316484809E-13</v>
      </c>
      <c r="DP157" s="18">
        <f>DO157*VLOOKUP('Données projet'!$B$14,Paramètres!$A$1:$I$88,3,0)*VLOOKUP('Données projet'!$B$14,Paramètres!$A$1:$I$88,5,0)</f>
        <v>-2.6602720026858149E-13</v>
      </c>
      <c r="DQ157" s="14" t="e">
        <f t="shared" si="176"/>
        <v>#NUM!</v>
      </c>
      <c r="DR157" s="22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458.14328535055694</v>
      </c>
      <c r="DU157" s="59">
        <f t="shared" si="152"/>
        <v>366.75500153675739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projet'!$B$14,Paramètres!$A$1:$I$88,3,0)*0.475*44/12</f>
        <v>51.552752888925532</v>
      </c>
      <c r="EB157" s="23">
        <f>EXP(-LN(2)/25)*EB156+(1-EXP(-LN(2)/25))/(LN(2)/25)*Calculateur!DW157*Calculateur!DY157*VLOOKUP('Données projet'!$B$14,Paramètres!$A$1:$I$88,3,0)*0.475*44/12</f>
        <v>0</v>
      </c>
      <c r="EC157" s="23">
        <f>EXP(-LN(2)/2)*EC156+(1-EXP(-LN(2)/2))/(LN(2)/2)*DW157*DZ157*VLOOKUP('Données projet'!$B$14,Paramètres!$A$1:$I$88,3,0)*0.475*44/12</f>
        <v>0</v>
      </c>
      <c r="ED157" s="24">
        <f t="shared" si="178"/>
        <v>51.552752888925532</v>
      </c>
      <c r="EE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4.5474735088646412E-13</v>
      </c>
      <c r="EK157" s="18">
        <f>EJ157*VLOOKUP('Données projet'!$B$15,Paramètres!$A$1:$I$88,3,0)*VLOOKUP('Données projet'!$B$15,Paramètres!$A$1:$I$88,5,0)</f>
        <v>3.9017322706058626E-13</v>
      </c>
      <c r="EL157" s="14">
        <f t="shared" si="179"/>
        <v>5.0025007393608908E-12</v>
      </c>
      <c r="EM157" s="22">
        <f t="shared" si="180"/>
        <v>9.3922404915174053E-12</v>
      </c>
      <c r="EN157" s="59">
        <f t="shared" si="128"/>
        <v>293.33333333334269</v>
      </c>
      <c r="EO157" s="59">
        <f ca="1">AVERAGE(OFFSET($EN$3,0,0,'Données projet'!$E$15+1,1))-AVERAGE(OFFSET($H$3,0,0,'Données projet'!$E$15+1,1))</f>
        <v>462.99360395552145</v>
      </c>
      <c r="EP157" s="59">
        <f t="shared" si="154"/>
        <v>153.03880717786046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projet'!$B$15,Paramètres!$A$1:$I$88,3,0)*0.475*44/12</f>
        <v>89.735148327505811</v>
      </c>
      <c r="EW157" s="23">
        <f>EXP(-LN(2)/25)*EW156+(1-EXP(-LN(2)/25))/(LN(2)/25)*Calculateur!ER157*Calculateur!ET157*VLOOKUP('Données projet'!$B$15,Paramètres!$A$1:$I$88,3,0)*0.475*44/12</f>
        <v>0</v>
      </c>
      <c r="EX157" s="23">
        <f>EXP(-LN(2)/2)*EX156+(1-EXP(-LN(2)/2))/(LN(2)/2)*ER157*EU157*VLOOKUP('Données projet'!$B$15,Paramètres!$A$1:$I$88,3,0)*0.475*44/12</f>
        <v>0</v>
      </c>
      <c r="EY157" s="24">
        <f t="shared" si="181"/>
        <v>89.735148327505811</v>
      </c>
      <c r="EZ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2.2737367544323206E-13</v>
      </c>
      <c r="FF157" s="18">
        <f>FE157*VLOOKUP('Données projet'!$B$16,Paramètres!$A$1:$I$88,3,0)*VLOOKUP('Données projet'!$B$16,Paramètres!$A$1:$I$88,5,0)</f>
        <v>1.9863364286720756E-13</v>
      </c>
      <c r="FG157" s="14">
        <f t="shared" si="182"/>
        <v>2.7549360720371426E-12</v>
      </c>
      <c r="FH157" s="22">
        <f t="shared" si="183"/>
        <v>5.144133920125077E-12</v>
      </c>
      <c r="FI157" s="59">
        <f t="shared" si="131"/>
        <v>293.33333333333843</v>
      </c>
      <c r="FJ157" s="59">
        <f ca="1">AVERAGE(OFFSET($FI$3,0,0,'Données projet'!$E$16+1,1))-AVERAGE(OFFSET($H$3,0,0,'Données projet'!$E$16+1,1))</f>
        <v>427.76895185088944</v>
      </c>
      <c r="FK157" s="59">
        <f t="shared" si="156"/>
        <v>308.32543361559135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projet'!$B$16,Paramètres!$A$1:$I$88,3,0)*0.475*44/12</f>
        <v>72.874120043988157</v>
      </c>
      <c r="FR157" s="23">
        <f>EXP(-LN(2)/25)*FR156+(1-EXP(-LN(2)/25))/(LN(2)/25)*Calculateur!FM157*Calculateur!FO157*VLOOKUP('Données projet'!$B$16,Paramètres!$A$1:$I$88,3,0)*0.475*44/12</f>
        <v>0</v>
      </c>
      <c r="FS157" s="23">
        <f>EXP(-LN(2)/2)*FS156+(1-EXP(-LN(2)/2))/(LN(2)/2)*FM157*FP157*VLOOKUP('Données projet'!$B$16,Paramètres!$A$1:$I$88,3,0)*0.475*44/12</f>
        <v>0</v>
      </c>
      <c r="FT157" s="24">
        <f t="shared" si="184"/>
        <v>72.874120043988157</v>
      </c>
      <c r="FU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333.00000000000006</v>
      </c>
      <c r="GA157" s="18">
        <f>FZ157*VLOOKUP('Données projet'!$B$17,Paramètres!$A$1:$I$88,3,0)*VLOOKUP('Données projet'!$B$17,Paramètres!$A$1:$I$88,5,0)</f>
        <v>207.79200000000006</v>
      </c>
      <c r="GB157" s="14">
        <f t="shared" si="185"/>
        <v>51.452785725007907</v>
      </c>
      <c r="GC157" s="22">
        <f t="shared" si="186"/>
        <v>451.5180018043888</v>
      </c>
      <c r="GD157" s="59">
        <f t="shared" si="134"/>
        <v>744.85133513772212</v>
      </c>
      <c r="GE157" s="59">
        <f ca="1">AVERAGE(OFFSET($GD$3,0,0,'Données projet'!$E$17+1,1))-AVERAGE(OFFSET($H$3,0,0,'Données projet'!$E$17+1,1))</f>
        <v>247.85542034088905</v>
      </c>
      <c r="GF157" s="59">
        <f t="shared" si="158"/>
        <v>299.52241743660352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projet'!$B$17,Paramètres!$A$1:$I$88,3,0)*0.475*44/12</f>
        <v>5.7746500530746818</v>
      </c>
      <c r="GM157" s="23">
        <f>EXP(-LN(2)/25)*GM156+(1-EXP(-LN(2)/25))/(LN(2)/25)*Calculateur!GH157*Calculateur!GJ157*VLOOKUP('Données projet'!$B$17,Paramètres!$A$1:$I$88,3,0)*0.475*44/12</f>
        <v>2.8067998572706268</v>
      </c>
      <c r="GN157" s="23">
        <f>EXP(-LN(2)/2)*GN156+(1-EXP(-LN(2)/2))/(LN(2)/2)*GH157*GK157*VLOOKUP('Données projet'!$B$17,Paramètres!$A$1:$I$88,3,0)*0.475*44/12</f>
        <v>3.0412725647319384E-13</v>
      </c>
      <c r="GO157" s="23">
        <f t="shared" si="187"/>
        <v>8.5814499103456132</v>
      </c>
      <c r="GP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3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6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projet'!$B$9,Paramètres!$A$1:$I$88,3,0)*VLOOKUP('Données projet'!$B$9,Paramètres!$A$1:$I$88,5,0)</f>
        <v>-2.0572770154103635E-13</v>
      </c>
      <c r="P158" s="14" t="e">
        <f t="shared" si="141"/>
        <v>#NUM!</v>
      </c>
      <c r="Q158" s="22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247.57967230773539</v>
      </c>
      <c r="T158" s="59">
        <f t="shared" si="142"/>
        <v>156.58857589533295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140.19795188776754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140.19795188776754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-3.4106051316484809E-13</v>
      </c>
      <c r="AJ158" s="14">
        <f>AI158*VLOOKUP('Données projet'!$B$10,Paramètres!$A$1:$I$88,3,0)*VLOOKUP('Données projet'!$B$10,Paramètres!$A$1:$I$88,5,0)</f>
        <v>-2.7134774427395314E-13</v>
      </c>
      <c r="AK158" s="14" t="e">
        <f t="shared" si="164"/>
        <v>#NUM!</v>
      </c>
      <c r="AL158" s="22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504.15006129790828</v>
      </c>
      <c r="AO158" s="59">
        <f t="shared" si="144"/>
        <v>374.39334457402742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81.256276399943488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81.256276399943488</v>
      </c>
      <c r="AY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-3.4106051316484809E-13</v>
      </c>
      <c r="BE158" s="14">
        <f>BD158*VLOOKUP('Données projet'!$B$11,Paramètres!$A$1:$I$88,3,0)*VLOOKUP('Données projet'!$B$11,Paramètres!$A$1:$I$88,5,0)</f>
        <v>-2.7134774427395314E-13</v>
      </c>
      <c r="BF158" s="14" t="e">
        <f t="shared" si="167"/>
        <v>#NUM!</v>
      </c>
      <c r="BG158" s="22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504.15006129790828</v>
      </c>
      <c r="BJ158" s="59">
        <f t="shared" si="146"/>
        <v>374.39334457402742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81.256276399943488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81.256276399943488</v>
      </c>
      <c r="BT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-3.4106051316484809E-13</v>
      </c>
      <c r="BZ158" s="14">
        <f>BY158*VLOOKUP('Données projet'!$B$12,Paramètres!$A$1:$I$88,3,0)*VLOOKUP('Données projet'!$B$12,Paramètres!$A$1:$I$88,5,0)</f>
        <v>-2.2878339223098009E-13</v>
      </c>
      <c r="CA158" s="14" t="e">
        <f t="shared" si="170"/>
        <v>#NUM!</v>
      </c>
      <c r="CB158" s="22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387.15063677712425</v>
      </c>
      <c r="CE158" s="59">
        <f t="shared" si="148"/>
        <v>313.19155394370705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53.574344939778939</v>
      </c>
      <c r="CL158" s="23">
        <f>EXP(-LN(2)/25)*CL157+(1-EXP(-LN(2)/25))/(LN(2)/25)*Calculateur!CG158*Calculateur!CI158*VLOOKUP('Données projet'!$B$12,Paramètres!$A$1:$I$88,3,0)*0.475*44/12</f>
        <v>0</v>
      </c>
      <c r="CM158" s="23">
        <f>EXP(-LN(2)/2)*CM157+(1-EXP(-LN(2)/2))/(LN(2)/2)*CG158*CJ158*VLOOKUP('Données projet'!$B$12,Paramètres!$A$1:$I$88,3,0)*0.475*44/12</f>
        <v>0</v>
      </c>
      <c r="CN158" s="24">
        <f t="shared" si="172"/>
        <v>53.574344939778939</v>
      </c>
      <c r="CO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5.916666666666667</v>
      </c>
      <c r="CT158" s="13">
        <f>IF('Données projet'!$A$140&gt;35,CT157+CS158-DB157,IF(A158&lt;'Données projet'!$A$140,$CQ$205^A158,IF(A158='Données projet'!$A$140,'Données projet'!$B$140,CT157+CS158-DB157)))</f>
        <v>350.33333333333326</v>
      </c>
      <c r="CU158" s="18">
        <f>CT158*VLOOKUP('Données projet'!$B$13,Paramètres!$A$1:$I$88,3,0)*VLOOKUP('Données projet'!$B$13,Paramètres!$A$1:$I$88,5,0)</f>
        <v>338.84239999999994</v>
      </c>
      <c r="CV158" s="14">
        <f t="shared" si="173"/>
        <v>79.260731480506308</v>
      </c>
      <c r="CW158" s="22">
        <f t="shared" si="174"/>
        <v>728.19628732854835</v>
      </c>
      <c r="CX158" s="59">
        <f t="shared" si="122"/>
        <v>1021.5296206618816</v>
      </c>
      <c r="CY158" s="59">
        <f ca="1">AVERAGE(OFFSET($CX$3,0,0,'Données projet'!$E$13+1,1))-AVERAGE(OFFSET($H$3,0,0,'Données projet'!$E$13+1,1))</f>
        <v>306.00894145276209</v>
      </c>
      <c r="CZ158" s="59">
        <f t="shared" si="150"/>
        <v>168.74705421228828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46.121638644084044</v>
      </c>
      <c r="DG158" s="23">
        <f>EXP(-LN(2)/25)*DG157+(1-EXP(-LN(2)/25))/(LN(2)/25)*Calculateur!DB158*Calculateur!DD158*VLOOKUP('Données projet'!$B$13,Paramètres!$A$1:$I$88,3,0)*0.475*44/12</f>
        <v>0</v>
      </c>
      <c r="DH158" s="23">
        <f>EXP(-LN(2)/2)*DH157+(1-EXP(-LN(2)/2))/(LN(2)/2)*DB158*DE158*VLOOKUP('Données projet'!$B$13,Paramètres!$A$1:$I$88,3,0)*0.475*44/12</f>
        <v>0</v>
      </c>
      <c r="DI158" s="24">
        <f t="shared" si="175"/>
        <v>46.121638644084044</v>
      </c>
      <c r="DJ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-3.4106051316484809E-13</v>
      </c>
      <c r="DP158" s="18">
        <f>DO158*VLOOKUP('Données projet'!$B$14,Paramètres!$A$1:$I$88,3,0)*VLOOKUP('Données projet'!$B$14,Paramètres!$A$1:$I$88,5,0)</f>
        <v>-2.6602720026858149E-13</v>
      </c>
      <c r="DQ158" s="14" t="e">
        <f t="shared" si="176"/>
        <v>#NUM!</v>
      </c>
      <c r="DR158" s="22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458.14328535055694</v>
      </c>
      <c r="DU158" s="59">
        <f t="shared" si="152"/>
        <v>366.75500153675739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projet'!$B$14,Paramètres!$A$1:$I$88,3,0)*0.475*44/12</f>
        <v>50.541834848848119</v>
      </c>
      <c r="EB158" s="23">
        <f>EXP(-LN(2)/25)*EB157+(1-EXP(-LN(2)/25))/(LN(2)/25)*Calculateur!DW158*Calculateur!DY158*VLOOKUP('Données projet'!$B$14,Paramètres!$A$1:$I$88,3,0)*0.475*44/12</f>
        <v>0</v>
      </c>
      <c r="EC158" s="23">
        <f>EXP(-LN(2)/2)*EC157+(1-EXP(-LN(2)/2))/(LN(2)/2)*DW158*DZ158*VLOOKUP('Données projet'!$B$14,Paramètres!$A$1:$I$88,3,0)*0.475*44/12</f>
        <v>0</v>
      </c>
      <c r="ED158" s="24">
        <f t="shared" si="178"/>
        <v>50.541834848848119</v>
      </c>
      <c r="EE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4.5474735088646412E-13</v>
      </c>
      <c r="EK158" s="18">
        <f>EJ158*VLOOKUP('Données projet'!$B$15,Paramètres!$A$1:$I$88,3,0)*VLOOKUP('Données projet'!$B$15,Paramètres!$A$1:$I$88,5,0)</f>
        <v>3.9017322706058626E-13</v>
      </c>
      <c r="EL158" s="14">
        <f t="shared" si="179"/>
        <v>5.0025007393608908E-12</v>
      </c>
      <c r="EM158" s="22">
        <f t="shared" si="180"/>
        <v>9.3922404915174053E-12</v>
      </c>
      <c r="EN158" s="59">
        <f t="shared" si="128"/>
        <v>293.33333333334269</v>
      </c>
      <c r="EO158" s="59">
        <f ca="1">AVERAGE(OFFSET($EN$3,0,0,'Données projet'!$E$15+1,1))-AVERAGE(OFFSET($H$3,0,0,'Données projet'!$E$15+1,1))</f>
        <v>462.99360395552145</v>
      </c>
      <c r="EP158" s="59">
        <f t="shared" si="154"/>
        <v>153.03880717786046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projet'!$B$15,Paramètres!$A$1:$I$88,3,0)*0.475*44/12</f>
        <v>87.975496801839469</v>
      </c>
      <c r="EW158" s="23">
        <f>EXP(-LN(2)/25)*EW157+(1-EXP(-LN(2)/25))/(LN(2)/25)*Calculateur!ER158*Calculateur!ET158*VLOOKUP('Données projet'!$B$15,Paramètres!$A$1:$I$88,3,0)*0.475*44/12</f>
        <v>0</v>
      </c>
      <c r="EX158" s="23">
        <f>EXP(-LN(2)/2)*EX157+(1-EXP(-LN(2)/2))/(LN(2)/2)*ER158*EU158*VLOOKUP('Données projet'!$B$15,Paramètres!$A$1:$I$88,3,0)*0.475*44/12</f>
        <v>0</v>
      </c>
      <c r="EY158" s="24">
        <f t="shared" si="181"/>
        <v>87.975496801839469</v>
      </c>
      <c r="EZ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2.2737367544323206E-13</v>
      </c>
      <c r="FF158" s="18">
        <f>FE158*VLOOKUP('Données projet'!$B$16,Paramètres!$A$1:$I$88,3,0)*VLOOKUP('Données projet'!$B$16,Paramètres!$A$1:$I$88,5,0)</f>
        <v>1.9863364286720756E-13</v>
      </c>
      <c r="FG158" s="14">
        <f t="shared" si="182"/>
        <v>2.7549360720371426E-12</v>
      </c>
      <c r="FH158" s="22">
        <f t="shared" si="183"/>
        <v>5.144133920125077E-12</v>
      </c>
      <c r="FI158" s="59">
        <f t="shared" si="131"/>
        <v>293.33333333333843</v>
      </c>
      <c r="FJ158" s="59">
        <f ca="1">AVERAGE(OFFSET($FI$3,0,0,'Données projet'!$E$16+1,1))-AVERAGE(OFFSET($H$3,0,0,'Données projet'!$E$16+1,1))</f>
        <v>427.76895185088944</v>
      </c>
      <c r="FK158" s="59">
        <f t="shared" si="156"/>
        <v>308.32543361559135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projet'!$B$16,Paramètres!$A$1:$I$88,3,0)*0.475*44/12</f>
        <v>71.445102998749817</v>
      </c>
      <c r="FR158" s="23">
        <f>EXP(-LN(2)/25)*FR157+(1-EXP(-LN(2)/25))/(LN(2)/25)*Calculateur!FM158*Calculateur!FO158*VLOOKUP('Données projet'!$B$16,Paramètres!$A$1:$I$88,3,0)*0.475*44/12</f>
        <v>0</v>
      </c>
      <c r="FS158" s="23">
        <f>EXP(-LN(2)/2)*FS157+(1-EXP(-LN(2)/2))/(LN(2)/2)*FM158*FP158*VLOOKUP('Données projet'!$B$16,Paramètres!$A$1:$I$88,3,0)*0.475*44/12</f>
        <v>0</v>
      </c>
      <c r="FT158" s="24">
        <f t="shared" si="184"/>
        <v>71.445102998749817</v>
      </c>
      <c r="FU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333.00000000000006</v>
      </c>
      <c r="GA158" s="18">
        <f>FZ158*VLOOKUP('Données projet'!$B$17,Paramètres!$A$1:$I$88,3,0)*VLOOKUP('Données projet'!$B$17,Paramètres!$A$1:$I$88,5,0)</f>
        <v>207.79200000000006</v>
      </c>
      <c r="GB158" s="14">
        <f t="shared" si="185"/>
        <v>51.452785725007907</v>
      </c>
      <c r="GC158" s="22">
        <f t="shared" si="186"/>
        <v>451.5180018043888</v>
      </c>
      <c r="GD158" s="59">
        <f t="shared" si="134"/>
        <v>744.85133513772212</v>
      </c>
      <c r="GE158" s="59">
        <f ca="1">AVERAGE(OFFSET($GD$3,0,0,'Données projet'!$E$17+1,1))-AVERAGE(OFFSET($H$3,0,0,'Données projet'!$E$17+1,1))</f>
        <v>247.85542034088905</v>
      </c>
      <c r="GF158" s="59">
        <f t="shared" si="158"/>
        <v>299.52241743660352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projet'!$B$17,Paramètres!$A$1:$I$88,3,0)*0.475*44/12</f>
        <v>5.6614126877226321</v>
      </c>
      <c r="GM158" s="23">
        <f>EXP(-LN(2)/25)*GM157+(1-EXP(-LN(2)/25))/(LN(2)/25)*Calculateur!GH158*Calculateur!GJ158*VLOOKUP('Données projet'!$B$17,Paramètres!$A$1:$I$88,3,0)*0.475*44/12</f>
        <v>2.730047767570372</v>
      </c>
      <c r="GN158" s="23">
        <f>EXP(-LN(2)/2)*GN157+(1-EXP(-LN(2)/2))/(LN(2)/2)*GH158*GK158*VLOOKUP('Données projet'!$B$17,Paramètres!$A$1:$I$88,3,0)*0.475*44/12</f>
        <v>2.150504453958557E-13</v>
      </c>
      <c r="GO158" s="23">
        <f t="shared" si="187"/>
        <v>8.3914604552932186</v>
      </c>
      <c r="GP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3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6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projet'!$B$9,Paramètres!$A$1:$I$88,3,0)*VLOOKUP('Données projet'!$B$9,Paramètres!$A$1:$I$88,5,0)</f>
        <v>-2.0572770154103635E-13</v>
      </c>
      <c r="P159" s="14" t="e">
        <f t="shared" si="141"/>
        <v>#NUM!</v>
      </c>
      <c r="Q159" s="22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247.57967230773539</v>
      </c>
      <c r="T159" s="59">
        <f t="shared" si="142"/>
        <v>156.58857589533295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137.44875556355544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137.44875556355544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-3.4106051316484809E-13</v>
      </c>
      <c r="AJ159" s="14">
        <f>AI159*VLOOKUP('Données projet'!$B$10,Paramètres!$A$1:$I$88,3,0)*VLOOKUP('Données projet'!$B$10,Paramètres!$A$1:$I$88,5,0)</f>
        <v>-2.7134774427395314E-13</v>
      </c>
      <c r="AK159" s="14" t="e">
        <f t="shared" si="164"/>
        <v>#NUM!</v>
      </c>
      <c r="AL159" s="22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504.15006129790828</v>
      </c>
      <c r="AO159" s="59">
        <f t="shared" si="144"/>
        <v>374.39334457402742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79.662890381175416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79.662890381175416</v>
      </c>
      <c r="AY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-3.4106051316484809E-13</v>
      </c>
      <c r="BE159" s="14">
        <f>BD159*VLOOKUP('Données projet'!$B$11,Paramètres!$A$1:$I$88,3,0)*VLOOKUP('Données projet'!$B$11,Paramètres!$A$1:$I$88,5,0)</f>
        <v>-2.7134774427395314E-13</v>
      </c>
      <c r="BF159" s="14" t="e">
        <f t="shared" si="167"/>
        <v>#NUM!</v>
      </c>
      <c r="BG159" s="22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504.15006129790828</v>
      </c>
      <c r="BJ159" s="59">
        <f t="shared" si="146"/>
        <v>374.39334457402742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79.662890381175416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79.662890381175416</v>
      </c>
      <c r="BT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-3.4106051316484809E-13</v>
      </c>
      <c r="BZ159" s="14">
        <f>BY159*VLOOKUP('Données projet'!$B$12,Paramètres!$A$1:$I$88,3,0)*VLOOKUP('Données projet'!$B$12,Paramètres!$A$1:$I$88,5,0)</f>
        <v>-2.2878339223098009E-13</v>
      </c>
      <c r="CA159" s="14" t="e">
        <f t="shared" si="170"/>
        <v>#NUM!</v>
      </c>
      <c r="CB159" s="22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387.15063677712425</v>
      </c>
      <c r="CE159" s="59">
        <f t="shared" si="148"/>
        <v>313.19155394370705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52.523784712633692</v>
      </c>
      <c r="CL159" s="23">
        <f>EXP(-LN(2)/25)*CL158+(1-EXP(-LN(2)/25))/(LN(2)/25)*Calculateur!CG159*Calculateur!CI159*VLOOKUP('Données projet'!$B$12,Paramètres!$A$1:$I$88,3,0)*0.475*44/12</f>
        <v>0</v>
      </c>
      <c r="CM159" s="23">
        <f>EXP(-LN(2)/2)*CM158+(1-EXP(-LN(2)/2))/(LN(2)/2)*CG159*CJ159*VLOOKUP('Données projet'!$B$12,Paramètres!$A$1:$I$88,3,0)*0.475*44/12</f>
        <v>0</v>
      </c>
      <c r="CN159" s="24">
        <f t="shared" si="172"/>
        <v>52.523784712633692</v>
      </c>
      <c r="CO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5.916666666666667</v>
      </c>
      <c r="CT159" s="13">
        <f>IF('Données projet'!$A$140&gt;35,CT158+CS159-DB158,IF(A159&lt;'Données projet'!$A$140,$CQ$205^A159,IF(A159='Données projet'!$A$140,'Données projet'!$B$140,CT158+CS159-DB158)))</f>
        <v>356.24999999999994</v>
      </c>
      <c r="CU159" s="18">
        <f>CT159*VLOOKUP('Données projet'!$B$13,Paramètres!$A$1:$I$88,3,0)*VLOOKUP('Données projet'!$B$13,Paramètres!$A$1:$I$88,5,0)</f>
        <v>344.56499999999994</v>
      </c>
      <c r="CV159" s="14">
        <f t="shared" si="173"/>
        <v>80.442370977842387</v>
      </c>
      <c r="CW159" s="22">
        <f t="shared" si="174"/>
        <v>740.22117111974205</v>
      </c>
      <c r="CX159" s="59">
        <f t="shared" si="122"/>
        <v>1033.5545044530754</v>
      </c>
      <c r="CY159" s="59">
        <f ca="1">AVERAGE(OFFSET($CX$3,0,0,'Données projet'!$E$13+1,1))-AVERAGE(OFFSET($H$3,0,0,'Données projet'!$E$13+1,1))</f>
        <v>306.00894145276209</v>
      </c>
      <c r="CZ159" s="59">
        <f t="shared" si="150"/>
        <v>168.74705421228828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45.217221441695379</v>
      </c>
      <c r="DG159" s="23">
        <f>EXP(-LN(2)/25)*DG158+(1-EXP(-LN(2)/25))/(LN(2)/25)*Calculateur!DB159*Calculateur!DD159*VLOOKUP('Données projet'!$B$13,Paramètres!$A$1:$I$88,3,0)*0.475*44/12</f>
        <v>0</v>
      </c>
      <c r="DH159" s="23">
        <f>EXP(-LN(2)/2)*DH158+(1-EXP(-LN(2)/2))/(LN(2)/2)*DB159*DE159*VLOOKUP('Données projet'!$B$13,Paramètres!$A$1:$I$88,3,0)*0.475*44/12</f>
        <v>0</v>
      </c>
      <c r="DI159" s="24">
        <f t="shared" si="175"/>
        <v>45.217221441695379</v>
      </c>
      <c r="DJ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-3.4106051316484809E-13</v>
      </c>
      <c r="DP159" s="18">
        <f>DO159*VLOOKUP('Données projet'!$B$14,Paramètres!$A$1:$I$88,3,0)*VLOOKUP('Données projet'!$B$14,Paramètres!$A$1:$I$88,5,0)</f>
        <v>-2.6602720026858149E-13</v>
      </c>
      <c r="DQ159" s="14" t="e">
        <f t="shared" si="176"/>
        <v>#NUM!</v>
      </c>
      <c r="DR159" s="22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458.14328535055694</v>
      </c>
      <c r="DU159" s="59">
        <f t="shared" si="152"/>
        <v>366.75500153675739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projet'!$B$14,Paramètres!$A$1:$I$88,3,0)*0.475*44/12</f>
        <v>49.550740294937505</v>
      </c>
      <c r="EB159" s="23">
        <f>EXP(-LN(2)/25)*EB158+(1-EXP(-LN(2)/25))/(LN(2)/25)*Calculateur!DW159*Calculateur!DY159*VLOOKUP('Données projet'!$B$14,Paramètres!$A$1:$I$88,3,0)*0.475*44/12</f>
        <v>0</v>
      </c>
      <c r="EC159" s="23">
        <f>EXP(-LN(2)/2)*EC158+(1-EXP(-LN(2)/2))/(LN(2)/2)*DW159*DZ159*VLOOKUP('Données projet'!$B$14,Paramètres!$A$1:$I$88,3,0)*0.475*44/12</f>
        <v>0</v>
      </c>
      <c r="ED159" s="24">
        <f t="shared" si="178"/>
        <v>49.550740294937505</v>
      </c>
      <c r="EE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4.5474735088646412E-13</v>
      </c>
      <c r="EK159" s="18">
        <f>EJ159*VLOOKUP('Données projet'!$B$15,Paramètres!$A$1:$I$88,3,0)*VLOOKUP('Données projet'!$B$15,Paramètres!$A$1:$I$88,5,0)</f>
        <v>3.9017322706058626E-13</v>
      </c>
      <c r="EL159" s="14">
        <f t="shared" si="179"/>
        <v>5.0025007393608908E-12</v>
      </c>
      <c r="EM159" s="22">
        <f t="shared" si="180"/>
        <v>9.3922404915174053E-12</v>
      </c>
      <c r="EN159" s="59">
        <f t="shared" si="128"/>
        <v>293.33333333334269</v>
      </c>
      <c r="EO159" s="59">
        <f ca="1">AVERAGE(OFFSET($EN$3,0,0,'Données projet'!$E$15+1,1))-AVERAGE(OFFSET($H$3,0,0,'Données projet'!$E$15+1,1))</f>
        <v>462.99360395552145</v>
      </c>
      <c r="EP159" s="59">
        <f t="shared" si="154"/>
        <v>153.03880717786046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projet'!$B$15,Paramètres!$A$1:$I$88,3,0)*0.475*44/12</f>
        <v>86.250350969309991</v>
      </c>
      <c r="EW159" s="23">
        <f>EXP(-LN(2)/25)*EW158+(1-EXP(-LN(2)/25))/(LN(2)/25)*Calculateur!ER159*Calculateur!ET159*VLOOKUP('Données projet'!$B$15,Paramètres!$A$1:$I$88,3,0)*0.475*44/12</f>
        <v>0</v>
      </c>
      <c r="EX159" s="23">
        <f>EXP(-LN(2)/2)*EX158+(1-EXP(-LN(2)/2))/(LN(2)/2)*ER159*EU159*VLOOKUP('Données projet'!$B$15,Paramètres!$A$1:$I$88,3,0)*0.475*44/12</f>
        <v>0</v>
      </c>
      <c r="EY159" s="24">
        <f t="shared" si="181"/>
        <v>86.250350969309991</v>
      </c>
      <c r="EZ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2.2737367544323206E-13</v>
      </c>
      <c r="FF159" s="18">
        <f>FE159*VLOOKUP('Données projet'!$B$16,Paramètres!$A$1:$I$88,3,0)*VLOOKUP('Données projet'!$B$16,Paramètres!$A$1:$I$88,5,0)</f>
        <v>1.9863364286720756E-13</v>
      </c>
      <c r="FG159" s="14">
        <f t="shared" si="182"/>
        <v>2.7549360720371426E-12</v>
      </c>
      <c r="FH159" s="22">
        <f t="shared" si="183"/>
        <v>5.144133920125077E-12</v>
      </c>
      <c r="FI159" s="59">
        <f t="shared" si="131"/>
        <v>293.33333333333843</v>
      </c>
      <c r="FJ159" s="59">
        <f ca="1">AVERAGE(OFFSET($FI$3,0,0,'Données projet'!$E$16+1,1))-AVERAGE(OFFSET($H$3,0,0,'Données projet'!$E$16+1,1))</f>
        <v>427.76895185088944</v>
      </c>
      <c r="FK159" s="59">
        <f t="shared" si="156"/>
        <v>308.32543361559135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projet'!$B$16,Paramètres!$A$1:$I$88,3,0)*0.475*44/12</f>
        <v>70.044108106154269</v>
      </c>
      <c r="FR159" s="23">
        <f>EXP(-LN(2)/25)*FR158+(1-EXP(-LN(2)/25))/(LN(2)/25)*Calculateur!FM159*Calculateur!FO159*VLOOKUP('Données projet'!$B$16,Paramètres!$A$1:$I$88,3,0)*0.475*44/12</f>
        <v>0</v>
      </c>
      <c r="FS159" s="23">
        <f>EXP(-LN(2)/2)*FS158+(1-EXP(-LN(2)/2))/(LN(2)/2)*FM159*FP159*VLOOKUP('Données projet'!$B$16,Paramètres!$A$1:$I$88,3,0)*0.475*44/12</f>
        <v>0</v>
      </c>
      <c r="FT159" s="24">
        <f t="shared" si="184"/>
        <v>70.044108106154269</v>
      </c>
      <c r="FU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333.00000000000006</v>
      </c>
      <c r="GA159" s="18">
        <f>FZ159*VLOOKUP('Données projet'!$B$17,Paramètres!$A$1:$I$88,3,0)*VLOOKUP('Données projet'!$B$17,Paramètres!$A$1:$I$88,5,0)</f>
        <v>207.79200000000006</v>
      </c>
      <c r="GB159" s="14">
        <f t="shared" si="185"/>
        <v>51.452785725007907</v>
      </c>
      <c r="GC159" s="22">
        <f t="shared" si="186"/>
        <v>451.5180018043888</v>
      </c>
      <c r="GD159" s="59">
        <f t="shared" si="134"/>
        <v>744.85133513772212</v>
      </c>
      <c r="GE159" s="59">
        <f ca="1">AVERAGE(OFFSET($GD$3,0,0,'Données projet'!$E$17+1,1))-AVERAGE(OFFSET($H$3,0,0,'Données projet'!$E$17+1,1))</f>
        <v>247.85542034088905</v>
      </c>
      <c r="GF159" s="59">
        <f t="shared" si="158"/>
        <v>299.52241743660352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projet'!$B$17,Paramètres!$A$1:$I$88,3,0)*0.475*44/12</f>
        <v>5.5503958380371632</v>
      </c>
      <c r="GM159" s="23">
        <f>EXP(-LN(2)/25)*GM158+(1-EXP(-LN(2)/25))/(LN(2)/25)*Calculateur!GH159*Calculateur!GJ159*VLOOKUP('Données projet'!$B$17,Paramètres!$A$1:$I$88,3,0)*0.475*44/12</f>
        <v>2.6553944677991876</v>
      </c>
      <c r="GN159" s="23">
        <f>EXP(-LN(2)/2)*GN158+(1-EXP(-LN(2)/2))/(LN(2)/2)*GH159*GK159*VLOOKUP('Données projet'!$B$17,Paramètres!$A$1:$I$88,3,0)*0.475*44/12</f>
        <v>1.5206362823659692E-13</v>
      </c>
      <c r="GO159" s="23">
        <f t="shared" si="187"/>
        <v>8.2057903058365032</v>
      </c>
      <c r="GP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3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6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projet'!$B$9,Paramètres!$A$1:$I$88,3,0)*VLOOKUP('Données projet'!$B$9,Paramètres!$A$1:$I$88,5,0)</f>
        <v>-2.0572770154103635E-13</v>
      </c>
      <c r="P160" s="14" t="e">
        <f t="shared" si="141"/>
        <v>#NUM!</v>
      </c>
      <c r="Q160" s="22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247.57967230773539</v>
      </c>
      <c r="T160" s="59">
        <f t="shared" si="142"/>
        <v>156.58857589533295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134.75346930241693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134.75346930241693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-3.4106051316484809E-13</v>
      </c>
      <c r="AJ160" s="14">
        <f>AI160*VLOOKUP('Données projet'!$B$10,Paramètres!$A$1:$I$88,3,0)*VLOOKUP('Données projet'!$B$10,Paramètres!$A$1:$I$88,5,0)</f>
        <v>-2.7134774427395314E-13</v>
      </c>
      <c r="AK160" s="14" t="e">
        <f t="shared" si="164"/>
        <v>#NUM!</v>
      </c>
      <c r="AL160" s="22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504.15006129790828</v>
      </c>
      <c r="AO160" s="59">
        <f t="shared" si="144"/>
        <v>374.39334457402742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78.100749690365873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78.100749690365873</v>
      </c>
      <c r="AY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-3.4106051316484809E-13</v>
      </c>
      <c r="BE160" s="14">
        <f>BD160*VLOOKUP('Données projet'!$B$11,Paramètres!$A$1:$I$88,3,0)*VLOOKUP('Données projet'!$B$11,Paramètres!$A$1:$I$88,5,0)</f>
        <v>-2.7134774427395314E-13</v>
      </c>
      <c r="BF160" s="14" t="e">
        <f t="shared" si="167"/>
        <v>#NUM!</v>
      </c>
      <c r="BG160" s="22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504.15006129790828</v>
      </c>
      <c r="BJ160" s="59">
        <f t="shared" si="146"/>
        <v>374.39334457402742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78.100749690365873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78.100749690365873</v>
      </c>
      <c r="BT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-3.4106051316484809E-13</v>
      </c>
      <c r="BZ160" s="14">
        <f>BY160*VLOOKUP('Données projet'!$B$12,Paramètres!$A$1:$I$88,3,0)*VLOOKUP('Données projet'!$B$12,Paramètres!$A$1:$I$88,5,0)</f>
        <v>-2.2878339223098009E-13</v>
      </c>
      <c r="CA160" s="14" t="e">
        <f t="shared" si="170"/>
        <v>#NUM!</v>
      </c>
      <c r="CB160" s="22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387.15063677712425</v>
      </c>
      <c r="CE160" s="59">
        <f t="shared" si="148"/>
        <v>313.19155394370705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51.493825330764295</v>
      </c>
      <c r="CL160" s="23">
        <f>EXP(-LN(2)/25)*CL159+(1-EXP(-LN(2)/25))/(LN(2)/25)*Calculateur!CG160*Calculateur!CI160*VLOOKUP('Données projet'!$B$12,Paramètres!$A$1:$I$88,3,0)*0.475*44/12</f>
        <v>0</v>
      </c>
      <c r="CM160" s="23">
        <f>EXP(-LN(2)/2)*CM159+(1-EXP(-LN(2)/2))/(LN(2)/2)*CG160*CJ160*VLOOKUP('Données projet'!$B$12,Paramètres!$A$1:$I$88,3,0)*0.475*44/12</f>
        <v>0</v>
      </c>
      <c r="CN160" s="24">
        <f t="shared" si="172"/>
        <v>51.493825330764295</v>
      </c>
      <c r="CO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5.916666666666667</v>
      </c>
      <c r="CT160" s="13">
        <f>IF('Données projet'!$A$140&gt;35,CT159+CS160-DB159,IF(A160&lt;'Données projet'!$A$140,$CQ$205^A160,IF(A160='Données projet'!$A$140,'Données projet'!$B$140,CT159+CS160-DB159)))</f>
        <v>362.16666666666663</v>
      </c>
      <c r="CU160" s="18">
        <f>CT160*VLOOKUP('Données projet'!$B$13,Paramètres!$A$1:$I$88,3,0)*VLOOKUP('Données projet'!$B$13,Paramètres!$A$1:$I$88,5,0)</f>
        <v>350.2876</v>
      </c>
      <c r="CV160" s="14">
        <f t="shared" si="173"/>
        <v>81.621728233678979</v>
      </c>
      <c r="CW160" s="22">
        <f t="shared" si="174"/>
        <v>752.24208000699093</v>
      </c>
      <c r="CX160" s="59">
        <f t="shared" si="122"/>
        <v>1045.5754133403243</v>
      </c>
      <c r="CY160" s="59">
        <f ca="1">AVERAGE(OFFSET($CX$3,0,0,'Données projet'!$E$13+1,1))-AVERAGE(OFFSET($H$3,0,0,'Données projet'!$E$13+1,1))</f>
        <v>306.00894145276209</v>
      </c>
      <c r="CZ160" s="59">
        <f t="shared" si="150"/>
        <v>168.74705421228828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44.330539309005538</v>
      </c>
      <c r="DG160" s="23">
        <f>EXP(-LN(2)/25)*DG159+(1-EXP(-LN(2)/25))/(LN(2)/25)*Calculateur!DB160*Calculateur!DD160*VLOOKUP('Données projet'!$B$13,Paramètres!$A$1:$I$88,3,0)*0.475*44/12</f>
        <v>0</v>
      </c>
      <c r="DH160" s="23">
        <f>EXP(-LN(2)/2)*DH159+(1-EXP(-LN(2)/2))/(LN(2)/2)*DB160*DE160*VLOOKUP('Données projet'!$B$13,Paramètres!$A$1:$I$88,3,0)*0.475*44/12</f>
        <v>0</v>
      </c>
      <c r="DI160" s="24">
        <f t="shared" si="175"/>
        <v>44.330539309005538</v>
      </c>
      <c r="DJ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-3.4106051316484809E-13</v>
      </c>
      <c r="DP160" s="18">
        <f>DO160*VLOOKUP('Données projet'!$B$14,Paramètres!$A$1:$I$88,3,0)*VLOOKUP('Données projet'!$B$14,Paramètres!$A$1:$I$88,5,0)</f>
        <v>-2.6602720026858149E-13</v>
      </c>
      <c r="DQ160" s="14" t="e">
        <f t="shared" si="176"/>
        <v>#NUM!</v>
      </c>
      <c r="DR160" s="22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458.14328535055694</v>
      </c>
      <c r="DU160" s="59">
        <f t="shared" si="152"/>
        <v>366.75500153675739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projet'!$B$14,Paramètres!$A$1:$I$88,3,0)*0.475*44/12</f>
        <v>48.579080500721091</v>
      </c>
      <c r="EB160" s="23">
        <f>EXP(-LN(2)/25)*EB159+(1-EXP(-LN(2)/25))/(LN(2)/25)*Calculateur!DW160*Calculateur!DY160*VLOOKUP('Données projet'!$B$14,Paramètres!$A$1:$I$88,3,0)*0.475*44/12</f>
        <v>0</v>
      </c>
      <c r="EC160" s="23">
        <f>EXP(-LN(2)/2)*EC159+(1-EXP(-LN(2)/2))/(LN(2)/2)*DW160*DZ160*VLOOKUP('Données projet'!$B$14,Paramètres!$A$1:$I$88,3,0)*0.475*44/12</f>
        <v>0</v>
      </c>
      <c r="ED160" s="24">
        <f t="shared" si="178"/>
        <v>48.579080500721091</v>
      </c>
      <c r="EE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4.5474735088646412E-13</v>
      </c>
      <c r="EK160" s="18">
        <f>EJ160*VLOOKUP('Données projet'!$B$15,Paramètres!$A$1:$I$88,3,0)*VLOOKUP('Données projet'!$B$15,Paramètres!$A$1:$I$88,5,0)</f>
        <v>3.9017322706058626E-13</v>
      </c>
      <c r="EL160" s="14">
        <f t="shared" si="179"/>
        <v>5.0025007393608908E-12</v>
      </c>
      <c r="EM160" s="22">
        <f t="shared" si="180"/>
        <v>9.3922404915174053E-12</v>
      </c>
      <c r="EN160" s="59">
        <f t="shared" si="128"/>
        <v>293.33333333334269</v>
      </c>
      <c r="EO160" s="59">
        <f ca="1">AVERAGE(OFFSET($EN$3,0,0,'Données projet'!$E$15+1,1))-AVERAGE(OFFSET($H$3,0,0,'Données projet'!$E$15+1,1))</f>
        <v>462.99360395552145</v>
      </c>
      <c r="EP160" s="59">
        <f t="shared" si="154"/>
        <v>153.03880717786046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projet'!$B$15,Paramètres!$A$1:$I$88,3,0)*0.475*44/12</f>
        <v>84.559034194321356</v>
      </c>
      <c r="EW160" s="23">
        <f>EXP(-LN(2)/25)*EW159+(1-EXP(-LN(2)/25))/(LN(2)/25)*Calculateur!ER160*Calculateur!ET160*VLOOKUP('Données projet'!$B$15,Paramètres!$A$1:$I$88,3,0)*0.475*44/12</f>
        <v>0</v>
      </c>
      <c r="EX160" s="23">
        <f>EXP(-LN(2)/2)*EX159+(1-EXP(-LN(2)/2))/(LN(2)/2)*ER160*EU160*VLOOKUP('Données projet'!$B$15,Paramètres!$A$1:$I$88,3,0)*0.475*44/12</f>
        <v>0</v>
      </c>
      <c r="EY160" s="24">
        <f t="shared" si="181"/>
        <v>84.559034194321356</v>
      </c>
      <c r="EZ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2.2737367544323206E-13</v>
      </c>
      <c r="FF160" s="18">
        <f>FE160*VLOOKUP('Données projet'!$B$16,Paramètres!$A$1:$I$88,3,0)*VLOOKUP('Données projet'!$B$16,Paramètres!$A$1:$I$88,5,0)</f>
        <v>1.9863364286720756E-13</v>
      </c>
      <c r="FG160" s="14">
        <f t="shared" si="182"/>
        <v>2.7549360720371426E-12</v>
      </c>
      <c r="FH160" s="22">
        <f t="shared" si="183"/>
        <v>5.144133920125077E-12</v>
      </c>
      <c r="FI160" s="59">
        <f t="shared" si="131"/>
        <v>293.33333333333843</v>
      </c>
      <c r="FJ160" s="59">
        <f ca="1">AVERAGE(OFFSET($FI$3,0,0,'Données projet'!$E$16+1,1))-AVERAGE(OFFSET($H$3,0,0,'Données projet'!$E$16+1,1))</f>
        <v>427.76895185088944</v>
      </c>
      <c r="FK160" s="59">
        <f t="shared" si="156"/>
        <v>308.32543361559135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projet'!$B$16,Paramètres!$A$1:$I$88,3,0)*0.475*44/12</f>
        <v>68.670585868880011</v>
      </c>
      <c r="FR160" s="23">
        <f>EXP(-LN(2)/25)*FR159+(1-EXP(-LN(2)/25))/(LN(2)/25)*Calculateur!FM160*Calculateur!FO160*VLOOKUP('Données projet'!$B$16,Paramètres!$A$1:$I$88,3,0)*0.475*44/12</f>
        <v>0</v>
      </c>
      <c r="FS160" s="23">
        <f>EXP(-LN(2)/2)*FS159+(1-EXP(-LN(2)/2))/(LN(2)/2)*FM160*FP160*VLOOKUP('Données projet'!$B$16,Paramètres!$A$1:$I$88,3,0)*0.475*44/12</f>
        <v>0</v>
      </c>
      <c r="FT160" s="24">
        <f t="shared" si="184"/>
        <v>68.670585868880011</v>
      </c>
      <c r="FU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333.00000000000006</v>
      </c>
      <c r="GA160" s="18">
        <f>FZ160*VLOOKUP('Données projet'!$B$17,Paramètres!$A$1:$I$88,3,0)*VLOOKUP('Données projet'!$B$17,Paramètres!$A$1:$I$88,5,0)</f>
        <v>207.79200000000006</v>
      </c>
      <c r="GB160" s="14">
        <f t="shared" si="185"/>
        <v>51.452785725007907</v>
      </c>
      <c r="GC160" s="22">
        <f t="shared" si="186"/>
        <v>451.5180018043888</v>
      </c>
      <c r="GD160" s="59">
        <f t="shared" si="134"/>
        <v>744.85133513772212</v>
      </c>
      <c r="GE160" s="59">
        <f ca="1">AVERAGE(OFFSET($GD$3,0,0,'Données projet'!$E$17+1,1))-AVERAGE(OFFSET($H$3,0,0,'Données projet'!$E$17+1,1))</f>
        <v>247.85542034088905</v>
      </c>
      <c r="GF160" s="59">
        <f t="shared" si="158"/>
        <v>299.52241743660352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projet'!$B$17,Paramètres!$A$1:$I$88,3,0)*0.475*44/12</f>
        <v>5.441555961060434</v>
      </c>
      <c r="GM160" s="23">
        <f>EXP(-LN(2)/25)*GM159+(1-EXP(-LN(2)/25))/(LN(2)/25)*Calculateur!GH160*Calculateur!GJ160*VLOOKUP('Données projet'!$B$17,Paramètres!$A$1:$I$88,3,0)*0.475*44/12</f>
        <v>2.5827825664360926</v>
      </c>
      <c r="GN160" s="23">
        <f>EXP(-LN(2)/2)*GN159+(1-EXP(-LN(2)/2))/(LN(2)/2)*GH160*GK160*VLOOKUP('Données projet'!$B$17,Paramètres!$A$1:$I$88,3,0)*0.475*44/12</f>
        <v>1.0752522269792785E-13</v>
      </c>
      <c r="GO160" s="23">
        <f t="shared" si="187"/>
        <v>8.024338527496635</v>
      </c>
      <c r="GP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3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6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projet'!$B$9,Paramètres!$A$1:$I$88,3,0)*VLOOKUP('Données projet'!$B$9,Paramètres!$A$1:$I$88,5,0)</f>
        <v>-2.0572770154103635E-13</v>
      </c>
      <c r="P161" s="14" t="e">
        <f t="shared" si="141"/>
        <v>#NUM!</v>
      </c>
      <c r="Q161" s="22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247.57967230773539</v>
      </c>
      <c r="T161" s="59">
        <f t="shared" si="142"/>
        <v>156.58857589533295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132.11103596089708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132.11103596089708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-3.4106051316484809E-13</v>
      </c>
      <c r="AJ161" s="14">
        <f>AI161*VLOOKUP('Données projet'!$B$10,Paramètres!$A$1:$I$88,3,0)*VLOOKUP('Données projet'!$B$10,Paramètres!$A$1:$I$88,5,0)</f>
        <v>-2.7134774427395314E-13</v>
      </c>
      <c r="AK161" s="14" t="e">
        <f t="shared" si="164"/>
        <v>#NUM!</v>
      </c>
      <c r="AL161" s="22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504.15006129790828</v>
      </c>
      <c r="AO161" s="59">
        <f t="shared" si="144"/>
        <v>374.39334457402742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76.569241625691376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76.569241625691376</v>
      </c>
      <c r="AY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-3.4106051316484809E-13</v>
      </c>
      <c r="BE161" s="14">
        <f>BD161*VLOOKUP('Données projet'!$B$11,Paramètres!$A$1:$I$88,3,0)*VLOOKUP('Données projet'!$B$11,Paramètres!$A$1:$I$88,5,0)</f>
        <v>-2.7134774427395314E-13</v>
      </c>
      <c r="BF161" s="14" t="e">
        <f t="shared" si="167"/>
        <v>#NUM!</v>
      </c>
      <c r="BG161" s="22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504.15006129790828</v>
      </c>
      <c r="BJ161" s="59">
        <f t="shared" si="146"/>
        <v>374.39334457402742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76.569241625691376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76.569241625691376</v>
      </c>
      <c r="BT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-3.4106051316484809E-13</v>
      </c>
      <c r="BZ161" s="14">
        <f>BY161*VLOOKUP('Données projet'!$B$12,Paramètres!$A$1:$I$88,3,0)*VLOOKUP('Données projet'!$B$12,Paramètres!$A$1:$I$88,5,0)</f>
        <v>-2.2878339223098009E-13</v>
      </c>
      <c r="CA161" s="14" t="e">
        <f t="shared" si="170"/>
        <v>#NUM!</v>
      </c>
      <c r="CB161" s="22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387.15063677712425</v>
      </c>
      <c r="CE161" s="59">
        <f t="shared" si="148"/>
        <v>313.19155394370705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50.484062824160162</v>
      </c>
      <c r="CL161" s="23">
        <f>EXP(-LN(2)/25)*CL160+(1-EXP(-LN(2)/25))/(LN(2)/25)*Calculateur!CG161*Calculateur!CI161*VLOOKUP('Données projet'!$B$12,Paramètres!$A$1:$I$88,3,0)*0.475*44/12</f>
        <v>0</v>
      </c>
      <c r="CM161" s="23">
        <f>EXP(-LN(2)/2)*CM160+(1-EXP(-LN(2)/2))/(LN(2)/2)*CG161*CJ161*VLOOKUP('Données projet'!$B$12,Paramètres!$A$1:$I$88,3,0)*0.475*44/12</f>
        <v>0</v>
      </c>
      <c r="CN161" s="24">
        <f t="shared" si="172"/>
        <v>50.484062824160162</v>
      </c>
      <c r="CO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5.916666666666667</v>
      </c>
      <c r="CT161" s="13">
        <f>IF('Données projet'!$A$140&gt;35,CT160+CS161-DB160,IF(A161&lt;'Données projet'!$A$140,$CQ$205^A161,IF(A161='Données projet'!$A$140,'Données projet'!$B$140,CT160+CS161-DB160)))</f>
        <v>368.08333333333331</v>
      </c>
      <c r="CU161" s="18">
        <f>CT161*VLOOKUP('Données projet'!$B$13,Paramètres!$A$1:$I$88,3,0)*VLOOKUP('Données projet'!$B$13,Paramètres!$A$1:$I$88,5,0)</f>
        <v>356.0102</v>
      </c>
      <c r="CV161" s="14">
        <f t="shared" si="173"/>
        <v>82.798844836789684</v>
      </c>
      <c r="CW161" s="22">
        <f t="shared" si="174"/>
        <v>764.25908642407524</v>
      </c>
      <c r="CX161" s="59">
        <f t="shared" si="122"/>
        <v>1057.5924197574086</v>
      </c>
      <c r="CY161" s="59">
        <f ca="1">AVERAGE(OFFSET($CX$3,0,0,'Données projet'!$E$13+1,1))-AVERAGE(OFFSET($H$3,0,0,'Données projet'!$E$13+1,1))</f>
        <v>306.00894145276209</v>
      </c>
      <c r="CZ161" s="59">
        <f t="shared" si="150"/>
        <v>168.74705421228828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43.461244472115041</v>
      </c>
      <c r="DG161" s="23">
        <f>EXP(-LN(2)/25)*DG160+(1-EXP(-LN(2)/25))/(LN(2)/25)*Calculateur!DB161*Calculateur!DD161*VLOOKUP('Données projet'!$B$13,Paramètres!$A$1:$I$88,3,0)*0.475*44/12</f>
        <v>0</v>
      </c>
      <c r="DH161" s="23">
        <f>EXP(-LN(2)/2)*DH160+(1-EXP(-LN(2)/2))/(LN(2)/2)*DB161*DE161*VLOOKUP('Données projet'!$B$13,Paramètres!$A$1:$I$88,3,0)*0.475*44/12</f>
        <v>0</v>
      </c>
      <c r="DI161" s="24">
        <f t="shared" si="175"/>
        <v>43.461244472115041</v>
      </c>
      <c r="DJ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-3.4106051316484809E-13</v>
      </c>
      <c r="DP161" s="18">
        <f>DO161*VLOOKUP('Données projet'!$B$14,Paramètres!$A$1:$I$88,3,0)*VLOOKUP('Données projet'!$B$14,Paramètres!$A$1:$I$88,5,0)</f>
        <v>-2.6602720026858149E-13</v>
      </c>
      <c r="DQ161" s="14" t="e">
        <f t="shared" si="176"/>
        <v>#NUM!</v>
      </c>
      <c r="DR161" s="22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458.14328535055694</v>
      </c>
      <c r="DU161" s="59">
        <f t="shared" si="152"/>
        <v>366.75500153675739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projet'!$B$14,Paramètres!$A$1:$I$88,3,0)*0.475*44/12</f>
        <v>47.626474362415308</v>
      </c>
      <c r="EB161" s="23">
        <f>EXP(-LN(2)/25)*EB160+(1-EXP(-LN(2)/25))/(LN(2)/25)*Calculateur!DW161*Calculateur!DY161*VLOOKUP('Données projet'!$B$14,Paramètres!$A$1:$I$88,3,0)*0.475*44/12</f>
        <v>0</v>
      </c>
      <c r="EC161" s="23">
        <f>EXP(-LN(2)/2)*EC160+(1-EXP(-LN(2)/2))/(LN(2)/2)*DW161*DZ161*VLOOKUP('Données projet'!$B$14,Paramètres!$A$1:$I$88,3,0)*0.475*44/12</f>
        <v>0</v>
      </c>
      <c r="ED161" s="24">
        <f t="shared" si="178"/>
        <v>47.626474362415308</v>
      </c>
      <c r="EE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4.5474735088646412E-13</v>
      </c>
      <c r="EK161" s="18">
        <f>EJ161*VLOOKUP('Données projet'!$B$15,Paramètres!$A$1:$I$88,3,0)*VLOOKUP('Données projet'!$B$15,Paramètres!$A$1:$I$88,5,0)</f>
        <v>3.9017322706058626E-13</v>
      </c>
      <c r="EL161" s="14">
        <f t="shared" si="179"/>
        <v>5.0025007393608908E-12</v>
      </c>
      <c r="EM161" s="22">
        <f t="shared" si="180"/>
        <v>9.3922404915174053E-12</v>
      </c>
      <c r="EN161" s="59">
        <f t="shared" si="128"/>
        <v>293.33333333334269</v>
      </c>
      <c r="EO161" s="59">
        <f ca="1">AVERAGE(OFFSET($EN$3,0,0,'Données projet'!$E$15+1,1))-AVERAGE(OFFSET($H$3,0,0,'Données projet'!$E$15+1,1))</f>
        <v>462.99360395552145</v>
      </c>
      <c r="EP161" s="59">
        <f t="shared" si="154"/>
        <v>153.03880717786046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projet'!$B$15,Paramètres!$A$1:$I$88,3,0)*0.475*44/12</f>
        <v>82.900883109688877</v>
      </c>
      <c r="EW161" s="23">
        <f>EXP(-LN(2)/25)*EW160+(1-EXP(-LN(2)/25))/(LN(2)/25)*Calculateur!ER161*Calculateur!ET161*VLOOKUP('Données projet'!$B$15,Paramètres!$A$1:$I$88,3,0)*0.475*44/12</f>
        <v>0</v>
      </c>
      <c r="EX161" s="23">
        <f>EXP(-LN(2)/2)*EX160+(1-EXP(-LN(2)/2))/(LN(2)/2)*ER161*EU161*VLOOKUP('Données projet'!$B$15,Paramètres!$A$1:$I$88,3,0)*0.475*44/12</f>
        <v>0</v>
      </c>
      <c r="EY161" s="24">
        <f t="shared" si="181"/>
        <v>82.900883109688877</v>
      </c>
      <c r="EZ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2.2737367544323206E-13</v>
      </c>
      <c r="FF161" s="18">
        <f>FE161*VLOOKUP('Données projet'!$B$16,Paramètres!$A$1:$I$88,3,0)*VLOOKUP('Données projet'!$B$16,Paramètres!$A$1:$I$88,5,0)</f>
        <v>1.9863364286720756E-13</v>
      </c>
      <c r="FG161" s="14">
        <f t="shared" si="182"/>
        <v>2.7549360720371426E-12</v>
      </c>
      <c r="FH161" s="22">
        <f t="shared" si="183"/>
        <v>5.144133920125077E-12</v>
      </c>
      <c r="FI161" s="59">
        <f t="shared" si="131"/>
        <v>293.33333333333843</v>
      </c>
      <c r="FJ161" s="59">
        <f ca="1">AVERAGE(OFFSET($FI$3,0,0,'Données projet'!$E$16+1,1))-AVERAGE(OFFSET($H$3,0,0,'Données projet'!$E$16+1,1))</f>
        <v>427.76895185088944</v>
      </c>
      <c r="FK161" s="59">
        <f t="shared" si="156"/>
        <v>308.32543361559135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projet'!$B$16,Paramètres!$A$1:$I$88,3,0)*0.475*44/12</f>
        <v>67.323997564912858</v>
      </c>
      <c r="FR161" s="23">
        <f>EXP(-LN(2)/25)*FR160+(1-EXP(-LN(2)/25))/(LN(2)/25)*Calculateur!FM161*Calculateur!FO161*VLOOKUP('Données projet'!$B$16,Paramètres!$A$1:$I$88,3,0)*0.475*44/12</f>
        <v>0</v>
      </c>
      <c r="FS161" s="23">
        <f>EXP(-LN(2)/2)*FS160+(1-EXP(-LN(2)/2))/(LN(2)/2)*FM161*FP161*VLOOKUP('Données projet'!$B$16,Paramètres!$A$1:$I$88,3,0)*0.475*44/12</f>
        <v>0</v>
      </c>
      <c r="FT161" s="24">
        <f t="shared" si="184"/>
        <v>67.323997564912858</v>
      </c>
      <c r="FU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333.00000000000006</v>
      </c>
      <c r="GA161" s="18">
        <f>FZ161*VLOOKUP('Données projet'!$B$17,Paramètres!$A$1:$I$88,3,0)*VLOOKUP('Données projet'!$B$17,Paramètres!$A$1:$I$88,5,0)</f>
        <v>207.79200000000006</v>
      </c>
      <c r="GB161" s="14">
        <f t="shared" si="185"/>
        <v>51.452785725007907</v>
      </c>
      <c r="GC161" s="22">
        <f t="shared" si="186"/>
        <v>451.5180018043888</v>
      </c>
      <c r="GD161" s="59">
        <f t="shared" si="134"/>
        <v>744.85133513772212</v>
      </c>
      <c r="GE161" s="59">
        <f ca="1">AVERAGE(OFFSET($GD$3,0,0,'Données projet'!$E$17+1,1))-AVERAGE(OFFSET($H$3,0,0,'Données projet'!$E$17+1,1))</f>
        <v>247.85542034088905</v>
      </c>
      <c r="GF161" s="59">
        <f t="shared" si="158"/>
        <v>299.52241743660352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projet'!$B$17,Paramètres!$A$1:$I$88,3,0)*0.475*44/12</f>
        <v>5.3348503676854486</v>
      </c>
      <c r="GM161" s="23">
        <f>EXP(-LN(2)/25)*GM160+(1-EXP(-LN(2)/25))/(LN(2)/25)*Calculateur!GH161*Calculateur!GJ161*VLOOKUP('Données projet'!$B$17,Paramètres!$A$1:$I$88,3,0)*0.475*44/12</f>
        <v>2.5121562413342655</v>
      </c>
      <c r="GN161" s="23">
        <f>EXP(-LN(2)/2)*GN160+(1-EXP(-LN(2)/2))/(LN(2)/2)*GH161*GK161*VLOOKUP('Données projet'!$B$17,Paramètres!$A$1:$I$88,3,0)*0.475*44/12</f>
        <v>7.6031814118298459E-14</v>
      </c>
      <c r="GO161" s="23">
        <f t="shared" si="187"/>
        <v>7.8470066090197905</v>
      </c>
      <c r="GP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3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6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projet'!$B$9,Paramètres!$A$1:$I$88,3,0)*VLOOKUP('Données projet'!$B$9,Paramètres!$A$1:$I$88,5,0)</f>
        <v>-2.0572770154103635E-13</v>
      </c>
      <c r="P162" s="14" t="e">
        <f t="shared" si="141"/>
        <v>#NUM!</v>
      </c>
      <c r="Q162" s="22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247.57967230773539</v>
      </c>
      <c r="T162" s="59">
        <f t="shared" si="142"/>
        <v>156.58857589533295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129.52041912547924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129.52041912547924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-3.4106051316484809E-13</v>
      </c>
      <c r="AJ162" s="14">
        <f>AI162*VLOOKUP('Données projet'!$B$10,Paramètres!$A$1:$I$88,3,0)*VLOOKUP('Données projet'!$B$10,Paramètres!$A$1:$I$88,5,0)</f>
        <v>-2.7134774427395314E-13</v>
      </c>
      <c r="AK162" s="14" t="e">
        <f t="shared" si="164"/>
        <v>#NUM!</v>
      </c>
      <c r="AL162" s="22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504.15006129790828</v>
      </c>
      <c r="AO162" s="59">
        <f t="shared" si="144"/>
        <v>374.39334457402742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75.067765500037453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75.067765500037453</v>
      </c>
      <c r="AY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-3.4106051316484809E-13</v>
      </c>
      <c r="BE162" s="14">
        <f>BD162*VLOOKUP('Données projet'!$B$11,Paramètres!$A$1:$I$88,3,0)*VLOOKUP('Données projet'!$B$11,Paramètres!$A$1:$I$88,5,0)</f>
        <v>-2.7134774427395314E-13</v>
      </c>
      <c r="BF162" s="14" t="e">
        <f t="shared" si="167"/>
        <v>#NUM!</v>
      </c>
      <c r="BG162" s="22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504.15006129790828</v>
      </c>
      <c r="BJ162" s="59">
        <f t="shared" si="146"/>
        <v>374.39334457402742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75.067765500037453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75.067765500037453</v>
      </c>
      <c r="BT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-3.4106051316484809E-13</v>
      </c>
      <c r="BZ162" s="14">
        <f>BY162*VLOOKUP('Données projet'!$B$12,Paramètres!$A$1:$I$88,3,0)*VLOOKUP('Données projet'!$B$12,Paramètres!$A$1:$I$88,5,0)</f>
        <v>-2.2878339223098009E-13</v>
      </c>
      <c r="CA162" s="14" t="e">
        <f t="shared" si="170"/>
        <v>#NUM!</v>
      </c>
      <c r="CB162" s="22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387.15063677712425</v>
      </c>
      <c r="CE162" s="59">
        <f t="shared" si="148"/>
        <v>313.19155394370705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49.49410114441622</v>
      </c>
      <c r="CL162" s="23">
        <f>EXP(-LN(2)/25)*CL161+(1-EXP(-LN(2)/25))/(LN(2)/25)*Calculateur!CG162*Calculateur!CI162*VLOOKUP('Données projet'!$B$12,Paramètres!$A$1:$I$88,3,0)*0.475*44/12</f>
        <v>0</v>
      </c>
      <c r="CM162" s="23">
        <f>EXP(-LN(2)/2)*CM161+(1-EXP(-LN(2)/2))/(LN(2)/2)*CG162*CJ162*VLOOKUP('Données projet'!$B$12,Paramètres!$A$1:$I$88,3,0)*0.475*44/12</f>
        <v>0</v>
      </c>
      <c r="CN162" s="24">
        <f t="shared" si="172"/>
        <v>49.49410114441622</v>
      </c>
      <c r="CO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>
        <f>VLOOKUP(A162,'Données projet'!$A$139:$I$159,2,0)</f>
        <v>374</v>
      </c>
      <c r="CR162" s="13">
        <f>VLOOKUP(A162,'Données projet'!$A$139:$I$159,9,0)</f>
        <v>5.916666666666667</v>
      </c>
      <c r="CS162" s="13">
        <f t="array" ref="CS162">INDEX(CR:CR,MIN(IF(ISNUMBER(CR162:CR358),ROW(CR162:CR358),"")))</f>
        <v>5.916666666666667</v>
      </c>
      <c r="CT162" s="13">
        <f>IF('Données projet'!$A$140&gt;35,CT161+CS162-DB161,IF(A162&lt;'Données projet'!$A$140,$CQ$205^A162,IF(A162='Données projet'!$A$140,'Données projet'!$B$140,CT161+CS162-DB161)))</f>
        <v>374</v>
      </c>
      <c r="CU162" s="18">
        <f>CT162*VLOOKUP('Données projet'!$B$13,Paramètres!$A$1:$I$88,3,0)*VLOOKUP('Données projet'!$B$13,Paramètres!$A$1:$I$88,5,0)</f>
        <v>361.7328</v>
      </c>
      <c r="CV162" s="14">
        <f t="shared" si="173"/>
        <v>83.973760962256947</v>
      </c>
      <c r="CW162" s="22">
        <f t="shared" si="174"/>
        <v>776.27226034259741</v>
      </c>
      <c r="CX162" s="59">
        <f t="shared" si="122"/>
        <v>1069.6055936759308</v>
      </c>
      <c r="CY162" s="59">
        <f ca="1">AVERAGE(OFFSET($CX$3,0,0,'Données projet'!$E$13+1,1))-AVERAGE(OFFSET($H$3,0,0,'Données projet'!$E$13+1,1))</f>
        <v>306.00894145276209</v>
      </c>
      <c r="CZ162" s="59">
        <f t="shared" si="150"/>
        <v>168.74705421228828</v>
      </c>
      <c r="DA162" s="16">
        <f>IF(ISNA(VLOOKUP(A162,'Données projet'!$A$139:$I$159,3,0)),0,VLOOKUP(A162,'Données projet'!$A$139:$I$159,3,0))</f>
        <v>13</v>
      </c>
      <c r="DB162" s="16">
        <f>IF(ISNA(VLOOKUP(A162,'Données projet'!$A$139:$I$159,4,0)),0,VLOOKUP(A162,'Données projet'!$A$139:$I$159,4,0))</f>
        <v>48</v>
      </c>
      <c r="DC162" s="17">
        <f>IF(ISNA(VLOOKUP(A162,'Données projet'!$A$139:$I$159,5,0)),0%,VLOOKUP(A162,'Données projet'!$A$139:$I$159,5,0)*VLOOKUP('Données projet'!$B$13,Paramètres!$A$1:$I$88,7,0))</f>
        <v>0.34400000000000003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60.263807201061937</v>
      </c>
      <c r="DG162" s="23">
        <f>EXP(-LN(2)/25)*DG161+(1-EXP(-LN(2)/25))/(LN(2)/25)*Calculateur!DB162*Calculateur!DD162*VLOOKUP('Données projet'!$B$13,Paramètres!$A$1:$I$88,3,0)*0.475*44/12</f>
        <v>0</v>
      </c>
      <c r="DH162" s="23">
        <f>EXP(-LN(2)/2)*DH161+(1-EXP(-LN(2)/2))/(LN(2)/2)*DB162*DE162*VLOOKUP('Données projet'!$B$13,Paramètres!$A$1:$I$88,3,0)*0.475*44/12</f>
        <v>0</v>
      </c>
      <c r="DI162" s="24">
        <f t="shared" si="175"/>
        <v>60.263807201061937</v>
      </c>
      <c r="DJ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-3.4106051316484809E-13</v>
      </c>
      <c r="DP162" s="18">
        <f>DO162*VLOOKUP('Données projet'!$B$14,Paramètres!$A$1:$I$88,3,0)*VLOOKUP('Données projet'!$B$14,Paramètres!$A$1:$I$88,5,0)</f>
        <v>-2.6602720026858149E-13</v>
      </c>
      <c r="DQ162" s="14" t="e">
        <f t="shared" si="176"/>
        <v>#NUM!</v>
      </c>
      <c r="DR162" s="22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458.14328535055694</v>
      </c>
      <c r="DU162" s="59">
        <f t="shared" si="152"/>
        <v>366.75500153675739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projet'!$B$14,Paramètres!$A$1:$I$88,3,0)*0.475*44/12</f>
        <v>46.692548249449324</v>
      </c>
      <c r="EB162" s="23">
        <f>EXP(-LN(2)/25)*EB161+(1-EXP(-LN(2)/25))/(LN(2)/25)*Calculateur!DW162*Calculateur!DY162*VLOOKUP('Données projet'!$B$14,Paramètres!$A$1:$I$88,3,0)*0.475*44/12</f>
        <v>0</v>
      </c>
      <c r="EC162" s="23">
        <f>EXP(-LN(2)/2)*EC161+(1-EXP(-LN(2)/2))/(LN(2)/2)*DW162*DZ162*VLOOKUP('Données projet'!$B$14,Paramètres!$A$1:$I$88,3,0)*0.475*44/12</f>
        <v>0</v>
      </c>
      <c r="ED162" s="24">
        <f t="shared" si="178"/>
        <v>46.692548249449324</v>
      </c>
      <c r="EE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4.5474735088646412E-13</v>
      </c>
      <c r="EK162" s="18">
        <f>EJ162*VLOOKUP('Données projet'!$B$15,Paramètres!$A$1:$I$88,3,0)*VLOOKUP('Données projet'!$B$15,Paramètres!$A$1:$I$88,5,0)</f>
        <v>3.9017322706058626E-13</v>
      </c>
      <c r="EL162" s="14">
        <f t="shared" si="179"/>
        <v>5.0025007393608908E-12</v>
      </c>
      <c r="EM162" s="22">
        <f t="shared" si="180"/>
        <v>9.3922404915174053E-12</v>
      </c>
      <c r="EN162" s="59">
        <f t="shared" si="128"/>
        <v>293.33333333334269</v>
      </c>
      <c r="EO162" s="59">
        <f ca="1">AVERAGE(OFFSET($EN$3,0,0,'Données projet'!$E$15+1,1))-AVERAGE(OFFSET($H$3,0,0,'Données projet'!$E$15+1,1))</f>
        <v>462.99360395552145</v>
      </c>
      <c r="EP162" s="59">
        <f t="shared" si="154"/>
        <v>153.03880717786046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projet'!$B$15,Paramètres!$A$1:$I$88,3,0)*0.475*44/12</f>
        <v>81.275247356453747</v>
      </c>
      <c r="EW162" s="23">
        <f>EXP(-LN(2)/25)*EW161+(1-EXP(-LN(2)/25))/(LN(2)/25)*Calculateur!ER162*Calculateur!ET162*VLOOKUP('Données projet'!$B$15,Paramètres!$A$1:$I$88,3,0)*0.475*44/12</f>
        <v>0</v>
      </c>
      <c r="EX162" s="23">
        <f>EXP(-LN(2)/2)*EX161+(1-EXP(-LN(2)/2))/(LN(2)/2)*ER162*EU162*VLOOKUP('Données projet'!$B$15,Paramètres!$A$1:$I$88,3,0)*0.475*44/12</f>
        <v>0</v>
      </c>
      <c r="EY162" s="24">
        <f t="shared" si="181"/>
        <v>81.275247356453747</v>
      </c>
      <c r="EZ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2.2737367544323206E-13</v>
      </c>
      <c r="FF162" s="18">
        <f>FE162*VLOOKUP('Données projet'!$B$16,Paramètres!$A$1:$I$88,3,0)*VLOOKUP('Données projet'!$B$16,Paramètres!$A$1:$I$88,5,0)</f>
        <v>1.9863364286720756E-13</v>
      </c>
      <c r="FG162" s="14">
        <f t="shared" si="182"/>
        <v>2.7549360720371426E-12</v>
      </c>
      <c r="FH162" s="22">
        <f t="shared" si="183"/>
        <v>5.144133920125077E-12</v>
      </c>
      <c r="FI162" s="59">
        <f t="shared" si="131"/>
        <v>293.33333333333843</v>
      </c>
      <c r="FJ162" s="59">
        <f ca="1">AVERAGE(OFFSET($FI$3,0,0,'Données projet'!$E$16+1,1))-AVERAGE(OFFSET($H$3,0,0,'Données projet'!$E$16+1,1))</f>
        <v>427.76895185088944</v>
      </c>
      <c r="FK162" s="59">
        <f t="shared" si="156"/>
        <v>308.32543361559135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projet'!$B$16,Paramètres!$A$1:$I$88,3,0)*0.475*44/12</f>
        <v>66.003815036248739</v>
      </c>
      <c r="FR162" s="23">
        <f>EXP(-LN(2)/25)*FR161+(1-EXP(-LN(2)/25))/(LN(2)/25)*Calculateur!FM162*Calculateur!FO162*VLOOKUP('Données projet'!$B$16,Paramètres!$A$1:$I$88,3,0)*0.475*44/12</f>
        <v>0</v>
      </c>
      <c r="FS162" s="23">
        <f>EXP(-LN(2)/2)*FS161+(1-EXP(-LN(2)/2))/(LN(2)/2)*FM162*FP162*VLOOKUP('Données projet'!$B$16,Paramètres!$A$1:$I$88,3,0)*0.475*44/12</f>
        <v>0</v>
      </c>
      <c r="FT162" s="24">
        <f t="shared" si="184"/>
        <v>66.003815036248739</v>
      </c>
      <c r="FU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333.00000000000006</v>
      </c>
      <c r="GA162" s="18">
        <f>FZ162*VLOOKUP('Données projet'!$B$17,Paramètres!$A$1:$I$88,3,0)*VLOOKUP('Données projet'!$B$17,Paramètres!$A$1:$I$88,5,0)</f>
        <v>207.79200000000006</v>
      </c>
      <c r="GB162" s="14">
        <f t="shared" si="185"/>
        <v>51.452785725007907</v>
      </c>
      <c r="GC162" s="22">
        <f t="shared" si="186"/>
        <v>451.5180018043888</v>
      </c>
      <c r="GD162" s="59">
        <f t="shared" si="134"/>
        <v>744.85133513772212</v>
      </c>
      <c r="GE162" s="59">
        <f ca="1">AVERAGE(OFFSET($GD$3,0,0,'Données projet'!$E$17+1,1))-AVERAGE(OFFSET($H$3,0,0,'Données projet'!$E$17+1,1))</f>
        <v>247.85542034088905</v>
      </c>
      <c r="GF162" s="59">
        <f t="shared" si="158"/>
        <v>299.52241743660352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projet'!$B$17,Paramètres!$A$1:$I$88,3,0)*0.475*44/12</f>
        <v>5.2302372059125615</v>
      </c>
      <c r="GM162" s="23">
        <f>EXP(-LN(2)/25)*GM161+(1-EXP(-LN(2)/25))/(LN(2)/25)*Calculateur!GH162*Calculateur!GJ162*VLOOKUP('Données projet'!$B$17,Paramètres!$A$1:$I$88,3,0)*0.475*44/12</f>
        <v>2.443461196806425</v>
      </c>
      <c r="GN162" s="23">
        <f>EXP(-LN(2)/2)*GN161+(1-EXP(-LN(2)/2))/(LN(2)/2)*GH162*GK162*VLOOKUP('Données projet'!$B$17,Paramètres!$A$1:$I$88,3,0)*0.475*44/12</f>
        <v>5.3762611348963924E-14</v>
      </c>
      <c r="GO162" s="23">
        <f t="shared" si="187"/>
        <v>7.6736984027190411</v>
      </c>
      <c r="GP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3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6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projet'!$B$9,Paramètres!$A$1:$I$88,3,0)*VLOOKUP('Données projet'!$B$9,Paramètres!$A$1:$I$88,5,0)</f>
        <v>-2.0572770154103635E-13</v>
      </c>
      <c r="P163" s="14" t="e">
        <f t="shared" si="141"/>
        <v>#NUM!</v>
      </c>
      <c r="Q163" s="22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247.57967230773539</v>
      </c>
      <c r="T163" s="59">
        <f t="shared" si="142"/>
        <v>156.58857589533295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126.98060270608369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126.98060270608369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-3.4106051316484809E-13</v>
      </c>
      <c r="AJ163" s="14">
        <f>AI163*VLOOKUP('Données projet'!$B$10,Paramètres!$A$1:$I$88,3,0)*VLOOKUP('Données projet'!$B$10,Paramètres!$A$1:$I$88,5,0)</f>
        <v>-2.7134774427395314E-13</v>
      </c>
      <c r="AK163" s="14" t="e">
        <f t="shared" si="164"/>
        <v>#NUM!</v>
      </c>
      <c r="AL163" s="22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504.15006129790828</v>
      </c>
      <c r="AO163" s="59">
        <f t="shared" si="144"/>
        <v>374.39334457402742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73.595732405397598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73.595732405397598</v>
      </c>
      <c r="AY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-3.4106051316484809E-13</v>
      </c>
      <c r="BE163" s="14">
        <f>BD163*VLOOKUP('Données projet'!$B$11,Paramètres!$A$1:$I$88,3,0)*VLOOKUP('Données projet'!$B$11,Paramètres!$A$1:$I$88,5,0)</f>
        <v>-2.7134774427395314E-13</v>
      </c>
      <c r="BF163" s="14" t="e">
        <f t="shared" si="167"/>
        <v>#NUM!</v>
      </c>
      <c r="BG163" s="22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504.15006129790828</v>
      </c>
      <c r="BJ163" s="59">
        <f t="shared" si="146"/>
        <v>374.39334457402742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73.595732405397598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73.595732405397598</v>
      </c>
      <c r="BT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-3.4106051316484809E-13</v>
      </c>
      <c r="BZ163" s="14">
        <f>BY163*VLOOKUP('Données projet'!$B$12,Paramètres!$A$1:$I$88,3,0)*VLOOKUP('Données projet'!$B$12,Paramètres!$A$1:$I$88,5,0)</f>
        <v>-2.2878339223098009E-13</v>
      </c>
      <c r="CA163" s="14" t="e">
        <f t="shared" si="170"/>
        <v>#NUM!</v>
      </c>
      <c r="CB163" s="22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387.15063677712425</v>
      </c>
      <c r="CE163" s="59">
        <f t="shared" si="148"/>
        <v>313.19155394370705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48.523552009395054</v>
      </c>
      <c r="CL163" s="23">
        <f>EXP(-LN(2)/25)*CL162+(1-EXP(-LN(2)/25))/(LN(2)/25)*Calculateur!CG163*Calculateur!CI163*VLOOKUP('Données projet'!$B$12,Paramètres!$A$1:$I$88,3,0)*0.475*44/12</f>
        <v>0</v>
      </c>
      <c r="CM163" s="23">
        <f>EXP(-LN(2)/2)*CM162+(1-EXP(-LN(2)/2))/(LN(2)/2)*CG163*CJ163*VLOOKUP('Données projet'!$B$12,Paramètres!$A$1:$I$88,3,0)*0.475*44/12</f>
        <v>0</v>
      </c>
      <c r="CN163" s="24">
        <f t="shared" si="172"/>
        <v>48.523552009395054</v>
      </c>
      <c r="CO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6.083333333333333</v>
      </c>
      <c r="CT163" s="13">
        <f>IF('Données projet'!$A$140&gt;35,CT162+CS163-DB162,IF(A163&lt;'Données projet'!$A$140,$CQ$205^A163,IF(A163='Données projet'!$A$140,'Données projet'!$B$140,CT162+CS163-DB162)))</f>
        <v>332.08333333333331</v>
      </c>
      <c r="CU163" s="18">
        <f>CT163*VLOOKUP('Données projet'!$B$13,Paramètres!$A$1:$I$88,3,0)*VLOOKUP('Données projet'!$B$13,Paramètres!$A$1:$I$88,5,0)</f>
        <v>321.19099999999997</v>
      </c>
      <c r="CV163" s="14">
        <f t="shared" si="173"/>
        <v>75.60111077030912</v>
      </c>
      <c r="CW163" s="22">
        <f t="shared" si="174"/>
        <v>691.07959292495491</v>
      </c>
      <c r="CX163" s="59">
        <f t="shared" si="122"/>
        <v>984.41292625828828</v>
      </c>
      <c r="CY163" s="59">
        <f ca="1">AVERAGE(OFFSET($CX$3,0,0,'Données projet'!$E$13+1,1))-AVERAGE(OFFSET($H$3,0,0,'Données projet'!$E$13+1,1))</f>
        <v>306.00894145276209</v>
      </c>
      <c r="CZ163" s="59">
        <f t="shared" si="150"/>
        <v>168.74705421228828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59.082070699142022</v>
      </c>
      <c r="DG163" s="23">
        <f>EXP(-LN(2)/25)*DG162+(1-EXP(-LN(2)/25))/(LN(2)/25)*Calculateur!DB163*Calculateur!DD163*VLOOKUP('Données projet'!$B$13,Paramètres!$A$1:$I$88,3,0)*0.475*44/12</f>
        <v>0</v>
      </c>
      <c r="DH163" s="23">
        <f>EXP(-LN(2)/2)*DH162+(1-EXP(-LN(2)/2))/(LN(2)/2)*DB163*DE163*VLOOKUP('Données projet'!$B$13,Paramètres!$A$1:$I$88,3,0)*0.475*44/12</f>
        <v>0</v>
      </c>
      <c r="DI163" s="24">
        <f t="shared" si="175"/>
        <v>59.082070699142022</v>
      </c>
      <c r="DJ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-3.4106051316484809E-13</v>
      </c>
      <c r="DP163" s="18">
        <f>DO163*VLOOKUP('Données projet'!$B$14,Paramètres!$A$1:$I$88,3,0)*VLOOKUP('Données projet'!$B$14,Paramètres!$A$1:$I$88,5,0)</f>
        <v>-2.6602720026858149E-13</v>
      </c>
      <c r="DQ163" s="14" t="e">
        <f t="shared" si="176"/>
        <v>#NUM!</v>
      </c>
      <c r="DR163" s="22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458.14328535055694</v>
      </c>
      <c r="DU163" s="59">
        <f t="shared" si="152"/>
        <v>366.75500153675739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projet'!$B$14,Paramètres!$A$1:$I$88,3,0)*0.475*44/12</f>
        <v>45.776935857919923</v>
      </c>
      <c r="EB163" s="23">
        <f>EXP(-LN(2)/25)*EB162+(1-EXP(-LN(2)/25))/(LN(2)/25)*Calculateur!DW163*Calculateur!DY163*VLOOKUP('Données projet'!$B$14,Paramètres!$A$1:$I$88,3,0)*0.475*44/12</f>
        <v>0</v>
      </c>
      <c r="EC163" s="23">
        <f>EXP(-LN(2)/2)*EC162+(1-EXP(-LN(2)/2))/(LN(2)/2)*DW163*DZ163*VLOOKUP('Données projet'!$B$14,Paramètres!$A$1:$I$88,3,0)*0.475*44/12</f>
        <v>0</v>
      </c>
      <c r="ED163" s="24">
        <f t="shared" si="178"/>
        <v>45.776935857919923</v>
      </c>
      <c r="EE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4.5474735088646412E-13</v>
      </c>
      <c r="EK163" s="18">
        <f>EJ163*VLOOKUP('Données projet'!$B$15,Paramètres!$A$1:$I$88,3,0)*VLOOKUP('Données projet'!$B$15,Paramètres!$A$1:$I$88,5,0)</f>
        <v>3.9017322706058626E-13</v>
      </c>
      <c r="EL163" s="14">
        <f t="shared" si="179"/>
        <v>5.0025007393608908E-12</v>
      </c>
      <c r="EM163" s="22">
        <f t="shared" si="180"/>
        <v>9.3922404915174053E-12</v>
      </c>
      <c r="EN163" s="59">
        <f t="shared" si="128"/>
        <v>293.33333333334269</v>
      </c>
      <c r="EO163" s="59">
        <f ca="1">AVERAGE(OFFSET($EN$3,0,0,'Données projet'!$E$15+1,1))-AVERAGE(OFFSET($H$3,0,0,'Données projet'!$E$15+1,1))</f>
        <v>462.99360395552145</v>
      </c>
      <c r="EP163" s="59">
        <f t="shared" si="154"/>
        <v>153.03880717786046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projet'!$B$15,Paramètres!$A$1:$I$88,3,0)*0.475*44/12</f>
        <v>79.681489328799643</v>
      </c>
      <c r="EW163" s="23">
        <f>EXP(-LN(2)/25)*EW162+(1-EXP(-LN(2)/25))/(LN(2)/25)*Calculateur!ER163*Calculateur!ET163*VLOOKUP('Données projet'!$B$15,Paramètres!$A$1:$I$88,3,0)*0.475*44/12</f>
        <v>0</v>
      </c>
      <c r="EX163" s="23">
        <f>EXP(-LN(2)/2)*EX162+(1-EXP(-LN(2)/2))/(LN(2)/2)*ER163*EU163*VLOOKUP('Données projet'!$B$15,Paramètres!$A$1:$I$88,3,0)*0.475*44/12</f>
        <v>0</v>
      </c>
      <c r="EY163" s="24">
        <f t="shared" si="181"/>
        <v>79.681489328799643</v>
      </c>
      <c r="EZ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2.2737367544323206E-13</v>
      </c>
      <c r="FF163" s="18">
        <f>FE163*VLOOKUP('Données projet'!$B$16,Paramètres!$A$1:$I$88,3,0)*VLOOKUP('Données projet'!$B$16,Paramètres!$A$1:$I$88,5,0)</f>
        <v>1.9863364286720756E-13</v>
      </c>
      <c r="FG163" s="14">
        <f t="shared" si="182"/>
        <v>2.7549360720371426E-12</v>
      </c>
      <c r="FH163" s="22">
        <f t="shared" si="183"/>
        <v>5.144133920125077E-12</v>
      </c>
      <c r="FI163" s="59">
        <f t="shared" si="131"/>
        <v>293.33333333333843</v>
      </c>
      <c r="FJ163" s="59">
        <f ca="1">AVERAGE(OFFSET($FI$3,0,0,'Données projet'!$E$16+1,1))-AVERAGE(OFFSET($H$3,0,0,'Données projet'!$E$16+1,1))</f>
        <v>427.76895185088944</v>
      </c>
      <c r="FK163" s="59">
        <f t="shared" si="156"/>
        <v>308.32543361559135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projet'!$B$16,Paramètres!$A$1:$I$88,3,0)*0.475*44/12</f>
        <v>64.709520481739887</v>
      </c>
      <c r="FR163" s="23">
        <f>EXP(-LN(2)/25)*FR162+(1-EXP(-LN(2)/25))/(LN(2)/25)*Calculateur!FM163*Calculateur!FO163*VLOOKUP('Données projet'!$B$16,Paramètres!$A$1:$I$88,3,0)*0.475*44/12</f>
        <v>0</v>
      </c>
      <c r="FS163" s="23">
        <f>EXP(-LN(2)/2)*FS162+(1-EXP(-LN(2)/2))/(LN(2)/2)*FM163*FP163*VLOOKUP('Données projet'!$B$16,Paramètres!$A$1:$I$88,3,0)*0.475*44/12</f>
        <v>0</v>
      </c>
      <c r="FT163" s="24">
        <f t="shared" si="184"/>
        <v>64.709520481739887</v>
      </c>
      <c r="FU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333.00000000000006</v>
      </c>
      <c r="GA163" s="18">
        <f>FZ163*VLOOKUP('Données projet'!$B$17,Paramètres!$A$1:$I$88,3,0)*VLOOKUP('Données projet'!$B$17,Paramètres!$A$1:$I$88,5,0)</f>
        <v>207.79200000000006</v>
      </c>
      <c r="GB163" s="14">
        <f t="shared" si="185"/>
        <v>51.452785725007907</v>
      </c>
      <c r="GC163" s="22">
        <f t="shared" si="186"/>
        <v>451.5180018043888</v>
      </c>
      <c r="GD163" s="59">
        <f t="shared" si="134"/>
        <v>744.85133513772212</v>
      </c>
      <c r="GE163" s="59">
        <f ca="1">AVERAGE(OFFSET($GD$3,0,0,'Données projet'!$E$17+1,1))-AVERAGE(OFFSET($H$3,0,0,'Données projet'!$E$17+1,1))</f>
        <v>247.85542034088905</v>
      </c>
      <c r="GF163" s="59">
        <f t="shared" si="158"/>
        <v>299.52241743660352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projet'!$B$17,Paramètres!$A$1:$I$88,3,0)*0.475*44/12</f>
        <v>5.1276754444343124</v>
      </c>
      <c r="GM163" s="23">
        <f>EXP(-LN(2)/25)*GM162+(1-EXP(-LN(2)/25))/(LN(2)/25)*Calculateur!GH163*Calculateur!GJ163*VLOOKUP('Données projet'!$B$17,Paramètres!$A$1:$I$88,3,0)*0.475*44/12</f>
        <v>2.3766446218837136</v>
      </c>
      <c r="GN163" s="23">
        <f>EXP(-LN(2)/2)*GN162+(1-EXP(-LN(2)/2))/(LN(2)/2)*GH163*GK163*VLOOKUP('Données projet'!$B$17,Paramètres!$A$1:$I$88,3,0)*0.475*44/12</f>
        <v>3.801590705914923E-14</v>
      </c>
      <c r="GO163" s="23">
        <f t="shared" si="187"/>
        <v>7.5043200663180647</v>
      </c>
      <c r="GP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3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6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projet'!$B$9,Paramètres!$A$1:$I$88,3,0)*VLOOKUP('Données projet'!$B$9,Paramètres!$A$1:$I$88,5,0)</f>
        <v>-2.0572770154103635E-13</v>
      </c>
      <c r="P164" s="14" t="e">
        <f t="shared" si="141"/>
        <v>#NUM!</v>
      </c>
      <c r="Q164" s="22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247.57967230773539</v>
      </c>
      <c r="T164" s="59">
        <f t="shared" si="142"/>
        <v>156.58857589533295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124.49059053753743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124.49059053753743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-3.4106051316484809E-13</v>
      </c>
      <c r="AJ164" s="14">
        <f>AI164*VLOOKUP('Données projet'!$B$10,Paramètres!$A$1:$I$88,3,0)*VLOOKUP('Données projet'!$B$10,Paramètres!$A$1:$I$88,5,0)</f>
        <v>-2.7134774427395314E-13</v>
      </c>
      <c r="AK164" s="14" t="e">
        <f t="shared" si="164"/>
        <v>#NUM!</v>
      </c>
      <c r="AL164" s="22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504.15006129790828</v>
      </c>
      <c r="AO164" s="59">
        <f t="shared" si="144"/>
        <v>374.39334457402742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72.152564981892098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72.152564981892098</v>
      </c>
      <c r="AY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-3.4106051316484809E-13</v>
      </c>
      <c r="BE164" s="14">
        <f>BD164*VLOOKUP('Données projet'!$B$11,Paramètres!$A$1:$I$88,3,0)*VLOOKUP('Données projet'!$B$11,Paramètres!$A$1:$I$88,5,0)</f>
        <v>-2.7134774427395314E-13</v>
      </c>
      <c r="BF164" s="14" t="e">
        <f t="shared" si="167"/>
        <v>#NUM!</v>
      </c>
      <c r="BG164" s="22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504.15006129790828</v>
      </c>
      <c r="BJ164" s="59">
        <f t="shared" si="146"/>
        <v>374.39334457402742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72.152564981892098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72.152564981892098</v>
      </c>
      <c r="BT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-3.4106051316484809E-13</v>
      </c>
      <c r="BZ164" s="14">
        <f>BY164*VLOOKUP('Données projet'!$B$12,Paramètres!$A$1:$I$88,3,0)*VLOOKUP('Données projet'!$B$12,Paramètres!$A$1:$I$88,5,0)</f>
        <v>-2.2878339223098009E-13</v>
      </c>
      <c r="CA164" s="14" t="e">
        <f t="shared" si="170"/>
        <v>#NUM!</v>
      </c>
      <c r="CB164" s="22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387.15063677712425</v>
      </c>
      <c r="CE164" s="59">
        <f t="shared" si="148"/>
        <v>313.19155394370705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47.572034750935138</v>
      </c>
      <c r="CL164" s="23">
        <f>EXP(-LN(2)/25)*CL163+(1-EXP(-LN(2)/25))/(LN(2)/25)*Calculateur!CG164*Calculateur!CI164*VLOOKUP('Données projet'!$B$12,Paramètres!$A$1:$I$88,3,0)*0.475*44/12</f>
        <v>0</v>
      </c>
      <c r="CM164" s="23">
        <f>EXP(-LN(2)/2)*CM163+(1-EXP(-LN(2)/2))/(LN(2)/2)*CG164*CJ164*VLOOKUP('Données projet'!$B$12,Paramètres!$A$1:$I$88,3,0)*0.475*44/12</f>
        <v>0</v>
      </c>
      <c r="CN164" s="24">
        <f t="shared" si="172"/>
        <v>47.572034750935138</v>
      </c>
      <c r="CO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6.083333333333333</v>
      </c>
      <c r="CT164" s="13">
        <f>IF('Données projet'!$A$140&gt;35,CT163+CS164-DB163,IF(A164&lt;'Données projet'!$A$140,$CQ$205^A164,IF(A164='Données projet'!$A$140,'Données projet'!$B$140,CT163+CS164-DB163)))</f>
        <v>338.16666666666663</v>
      </c>
      <c r="CU164" s="18">
        <f>CT164*VLOOKUP('Données projet'!$B$13,Paramètres!$A$1:$I$88,3,0)*VLOOKUP('Données projet'!$B$13,Paramètres!$A$1:$I$88,5,0)</f>
        <v>327.07479999999998</v>
      </c>
      <c r="CV164" s="14">
        <f t="shared" si="173"/>
        <v>76.823524666636587</v>
      </c>
      <c r="CW164" s="22">
        <f t="shared" si="174"/>
        <v>703.45624879439185</v>
      </c>
      <c r="CX164" s="59">
        <f t="shared" si="122"/>
        <v>996.78958212772523</v>
      </c>
      <c r="CY164" s="59">
        <f ca="1">AVERAGE(OFFSET($CX$3,0,0,'Données projet'!$E$13+1,1))-AVERAGE(OFFSET($H$3,0,0,'Données projet'!$E$13+1,1))</f>
        <v>306.00894145276209</v>
      </c>
      <c r="CZ164" s="59">
        <f t="shared" si="150"/>
        <v>168.74705421228828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57.923507329236664</v>
      </c>
      <c r="DG164" s="23">
        <f>EXP(-LN(2)/25)*DG163+(1-EXP(-LN(2)/25))/(LN(2)/25)*Calculateur!DB164*Calculateur!DD164*VLOOKUP('Données projet'!$B$13,Paramètres!$A$1:$I$88,3,0)*0.475*44/12</f>
        <v>0</v>
      </c>
      <c r="DH164" s="23">
        <f>EXP(-LN(2)/2)*DH163+(1-EXP(-LN(2)/2))/(LN(2)/2)*DB164*DE164*VLOOKUP('Données projet'!$B$13,Paramètres!$A$1:$I$88,3,0)*0.475*44/12</f>
        <v>0</v>
      </c>
      <c r="DI164" s="24">
        <f t="shared" si="175"/>
        <v>57.923507329236664</v>
      </c>
      <c r="DJ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-3.4106051316484809E-13</v>
      </c>
      <c r="DP164" s="18">
        <f>DO164*VLOOKUP('Données projet'!$B$14,Paramètres!$A$1:$I$88,3,0)*VLOOKUP('Données projet'!$B$14,Paramètres!$A$1:$I$88,5,0)</f>
        <v>-2.6602720026858149E-13</v>
      </c>
      <c r="DQ164" s="14" t="e">
        <f t="shared" si="176"/>
        <v>#NUM!</v>
      </c>
      <c r="DR164" s="22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458.14328535055694</v>
      </c>
      <c r="DU164" s="59">
        <f t="shared" si="152"/>
        <v>366.75500153675739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projet'!$B$14,Paramètres!$A$1:$I$88,3,0)*0.475*44/12</f>
        <v>44.879278066920001</v>
      </c>
      <c r="EB164" s="23">
        <f>EXP(-LN(2)/25)*EB163+(1-EXP(-LN(2)/25))/(LN(2)/25)*Calculateur!DW164*Calculateur!DY164*VLOOKUP('Données projet'!$B$14,Paramètres!$A$1:$I$88,3,0)*0.475*44/12</f>
        <v>0</v>
      </c>
      <c r="EC164" s="23">
        <f>EXP(-LN(2)/2)*EC163+(1-EXP(-LN(2)/2))/(LN(2)/2)*DW164*DZ164*VLOOKUP('Données projet'!$B$14,Paramètres!$A$1:$I$88,3,0)*0.475*44/12</f>
        <v>0</v>
      </c>
      <c r="ED164" s="24">
        <f t="shared" si="178"/>
        <v>44.879278066920001</v>
      </c>
      <c r="EE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4.5474735088646412E-13</v>
      </c>
      <c r="EK164" s="18">
        <f>EJ164*VLOOKUP('Données projet'!$B$15,Paramètres!$A$1:$I$88,3,0)*VLOOKUP('Données projet'!$B$15,Paramètres!$A$1:$I$88,5,0)</f>
        <v>3.9017322706058626E-13</v>
      </c>
      <c r="EL164" s="14">
        <f t="shared" si="179"/>
        <v>5.0025007393608908E-12</v>
      </c>
      <c r="EM164" s="22">
        <f t="shared" si="180"/>
        <v>9.3922404915174053E-12</v>
      </c>
      <c r="EN164" s="59">
        <f t="shared" si="128"/>
        <v>293.33333333334269</v>
      </c>
      <c r="EO164" s="59">
        <f ca="1">AVERAGE(OFFSET($EN$3,0,0,'Données projet'!$E$15+1,1))-AVERAGE(OFFSET($H$3,0,0,'Données projet'!$E$15+1,1))</f>
        <v>462.99360395552145</v>
      </c>
      <c r="EP164" s="59">
        <f t="shared" si="154"/>
        <v>153.03880717786046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projet'!$B$15,Paramètres!$A$1:$I$88,3,0)*0.475*44/12</f>
        <v>78.118983923971427</v>
      </c>
      <c r="EW164" s="23">
        <f>EXP(-LN(2)/25)*EW163+(1-EXP(-LN(2)/25))/(LN(2)/25)*Calculateur!ER164*Calculateur!ET164*VLOOKUP('Données projet'!$B$15,Paramètres!$A$1:$I$88,3,0)*0.475*44/12</f>
        <v>0</v>
      </c>
      <c r="EX164" s="23">
        <f>EXP(-LN(2)/2)*EX163+(1-EXP(-LN(2)/2))/(LN(2)/2)*ER164*EU164*VLOOKUP('Données projet'!$B$15,Paramètres!$A$1:$I$88,3,0)*0.475*44/12</f>
        <v>0</v>
      </c>
      <c r="EY164" s="24">
        <f t="shared" si="181"/>
        <v>78.118983923971427</v>
      </c>
      <c r="EZ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2.2737367544323206E-13</v>
      </c>
      <c r="FF164" s="18">
        <f>FE164*VLOOKUP('Données projet'!$B$16,Paramètres!$A$1:$I$88,3,0)*VLOOKUP('Données projet'!$B$16,Paramètres!$A$1:$I$88,5,0)</f>
        <v>1.9863364286720756E-13</v>
      </c>
      <c r="FG164" s="14">
        <f t="shared" si="182"/>
        <v>2.7549360720371426E-12</v>
      </c>
      <c r="FH164" s="22">
        <f t="shared" si="183"/>
        <v>5.144133920125077E-12</v>
      </c>
      <c r="FI164" s="59">
        <f t="shared" si="131"/>
        <v>293.33333333333843</v>
      </c>
      <c r="FJ164" s="59">
        <f ca="1">AVERAGE(OFFSET($FI$3,0,0,'Données projet'!$E$16+1,1))-AVERAGE(OFFSET($H$3,0,0,'Données projet'!$E$16+1,1))</f>
        <v>427.76895185088944</v>
      </c>
      <c r="FK164" s="59">
        <f t="shared" si="156"/>
        <v>308.32543361559135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projet'!$B$16,Paramètres!$A$1:$I$88,3,0)*0.475*44/12</f>
        <v>63.440606254003228</v>
      </c>
      <c r="FR164" s="23">
        <f>EXP(-LN(2)/25)*FR163+(1-EXP(-LN(2)/25))/(LN(2)/25)*Calculateur!FM164*Calculateur!FO164*VLOOKUP('Données projet'!$B$16,Paramètres!$A$1:$I$88,3,0)*0.475*44/12</f>
        <v>0</v>
      </c>
      <c r="FS164" s="23">
        <f>EXP(-LN(2)/2)*FS163+(1-EXP(-LN(2)/2))/(LN(2)/2)*FM164*FP164*VLOOKUP('Données projet'!$B$16,Paramètres!$A$1:$I$88,3,0)*0.475*44/12</f>
        <v>0</v>
      </c>
      <c r="FT164" s="24">
        <f t="shared" si="184"/>
        <v>63.440606254003228</v>
      </c>
      <c r="FU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333.00000000000006</v>
      </c>
      <c r="GA164" s="18">
        <f>FZ164*VLOOKUP('Données projet'!$B$17,Paramètres!$A$1:$I$88,3,0)*VLOOKUP('Données projet'!$B$17,Paramètres!$A$1:$I$88,5,0)</f>
        <v>207.79200000000006</v>
      </c>
      <c r="GB164" s="14">
        <f t="shared" si="185"/>
        <v>51.452785725007907</v>
      </c>
      <c r="GC164" s="22">
        <f t="shared" si="186"/>
        <v>451.5180018043888</v>
      </c>
      <c r="GD164" s="59">
        <f t="shared" si="134"/>
        <v>744.85133513772212</v>
      </c>
      <c r="GE164" s="59">
        <f ca="1">AVERAGE(OFFSET($GD$3,0,0,'Données projet'!$E$17+1,1))-AVERAGE(OFFSET($H$3,0,0,'Données projet'!$E$17+1,1))</f>
        <v>247.85542034088905</v>
      </c>
      <c r="GF164" s="59">
        <f t="shared" si="158"/>
        <v>299.52241743660352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projet'!$B$17,Paramètres!$A$1:$I$88,3,0)*0.475*44/12</f>
        <v>5.0271248565421542</v>
      </c>
      <c r="GM164" s="23">
        <f>EXP(-LN(2)/25)*GM163+(1-EXP(-LN(2)/25))/(LN(2)/25)*Calculateur!GH164*Calculateur!GJ164*VLOOKUP('Données projet'!$B$17,Paramètres!$A$1:$I$88,3,0)*0.475*44/12</f>
        <v>2.3116551497159947</v>
      </c>
      <c r="GN164" s="23">
        <f>EXP(-LN(2)/2)*GN163+(1-EXP(-LN(2)/2))/(LN(2)/2)*GH164*GK164*VLOOKUP('Données projet'!$B$17,Paramètres!$A$1:$I$88,3,0)*0.475*44/12</f>
        <v>2.6881305674481962E-14</v>
      </c>
      <c r="GO164" s="23">
        <f t="shared" si="187"/>
        <v>7.3387800062581761</v>
      </c>
      <c r="GP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3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6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projet'!$B$9,Paramètres!$A$1:$I$88,3,0)*VLOOKUP('Données projet'!$B$9,Paramètres!$A$1:$I$88,5,0)</f>
        <v>-2.0572770154103635E-13</v>
      </c>
      <c r="P165" s="14" t="e">
        <f t="shared" si="141"/>
        <v>#NUM!</v>
      </c>
      <c r="Q165" s="22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247.57967230773539</v>
      </c>
      <c r="T165" s="59">
        <f t="shared" si="142"/>
        <v>156.58857589533295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122.04940598885891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122.04940598885891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-3.4106051316484809E-13</v>
      </c>
      <c r="AJ165" s="14">
        <f>AI165*VLOOKUP('Données projet'!$B$10,Paramètres!$A$1:$I$88,3,0)*VLOOKUP('Données projet'!$B$10,Paramètres!$A$1:$I$88,5,0)</f>
        <v>-2.7134774427395314E-13</v>
      </c>
      <c r="AK165" s="14" t="e">
        <f t="shared" si="164"/>
        <v>#NUM!</v>
      </c>
      <c r="AL165" s="22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504.15006129790828</v>
      </c>
      <c r="AO165" s="59">
        <f t="shared" si="144"/>
        <v>374.39334457402742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70.737697191316329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70.737697191316329</v>
      </c>
      <c r="AY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-3.4106051316484809E-13</v>
      </c>
      <c r="BE165" s="14">
        <f>BD165*VLOOKUP('Données projet'!$B$11,Paramètres!$A$1:$I$88,3,0)*VLOOKUP('Données projet'!$B$11,Paramètres!$A$1:$I$88,5,0)</f>
        <v>-2.7134774427395314E-13</v>
      </c>
      <c r="BF165" s="14" t="e">
        <f t="shared" si="167"/>
        <v>#NUM!</v>
      </c>
      <c r="BG165" s="22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504.15006129790828</v>
      </c>
      <c r="BJ165" s="59">
        <f t="shared" si="146"/>
        <v>374.39334457402742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70.737697191316329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70.737697191316329</v>
      </c>
      <c r="BT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-3.4106051316484809E-13</v>
      </c>
      <c r="BZ165" s="14">
        <f>BY165*VLOOKUP('Données projet'!$B$12,Paramètres!$A$1:$I$88,3,0)*VLOOKUP('Données projet'!$B$12,Paramètres!$A$1:$I$88,5,0)</f>
        <v>-2.2878339223098009E-13</v>
      </c>
      <c r="CA165" s="14" t="e">
        <f t="shared" si="170"/>
        <v>#NUM!</v>
      </c>
      <c r="CB165" s="22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387.15063677712425</v>
      </c>
      <c r="CE165" s="59">
        <f t="shared" si="148"/>
        <v>313.19155394370705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46.6391761655454</v>
      </c>
      <c r="CL165" s="23">
        <f>EXP(-LN(2)/25)*CL164+(1-EXP(-LN(2)/25))/(LN(2)/25)*Calculateur!CG165*Calculateur!CI165*VLOOKUP('Données projet'!$B$12,Paramètres!$A$1:$I$88,3,0)*0.475*44/12</f>
        <v>0</v>
      </c>
      <c r="CM165" s="23">
        <f>EXP(-LN(2)/2)*CM164+(1-EXP(-LN(2)/2))/(LN(2)/2)*CG165*CJ165*VLOOKUP('Données projet'!$B$12,Paramètres!$A$1:$I$88,3,0)*0.475*44/12</f>
        <v>0</v>
      </c>
      <c r="CN165" s="24">
        <f t="shared" si="172"/>
        <v>46.6391761655454</v>
      </c>
      <c r="CO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6.083333333333333</v>
      </c>
      <c r="CT165" s="13">
        <f>IF('Données projet'!$A$140&gt;35,CT164+CS165-DB164,IF(A165&lt;'Données projet'!$A$140,$CQ$205^A165,IF(A165='Données projet'!$A$140,'Données projet'!$B$140,CT164+CS165-DB164)))</f>
        <v>344.24999999999994</v>
      </c>
      <c r="CU165" s="18">
        <f>CT165*VLOOKUP('Données projet'!$B$13,Paramètres!$A$1:$I$88,3,0)*VLOOKUP('Données projet'!$B$13,Paramètres!$A$1:$I$88,5,0)</f>
        <v>332.95859999999999</v>
      </c>
      <c r="CV165" s="14">
        <f t="shared" si="173"/>
        <v>78.043381436386142</v>
      </c>
      <c r="CW165" s="22">
        <f t="shared" si="174"/>
        <v>715.82845100170573</v>
      </c>
      <c r="CX165" s="59">
        <f t="shared" si="122"/>
        <v>1009.1617843350391</v>
      </c>
      <c r="CY165" s="59">
        <f ca="1">AVERAGE(OFFSET($CX$3,0,0,'Données projet'!$E$13+1,1))-AVERAGE(OFFSET($H$3,0,0,'Données projet'!$E$13+1,1))</f>
        <v>306.00894145276209</v>
      </c>
      <c r="CZ165" s="59">
        <f t="shared" si="150"/>
        <v>168.74705421228828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56.787662680361272</v>
      </c>
      <c r="DG165" s="23">
        <f>EXP(-LN(2)/25)*DG164+(1-EXP(-LN(2)/25))/(LN(2)/25)*Calculateur!DB165*Calculateur!DD165*VLOOKUP('Données projet'!$B$13,Paramètres!$A$1:$I$88,3,0)*0.475*44/12</f>
        <v>0</v>
      </c>
      <c r="DH165" s="23">
        <f>EXP(-LN(2)/2)*DH164+(1-EXP(-LN(2)/2))/(LN(2)/2)*DB165*DE165*VLOOKUP('Données projet'!$B$13,Paramètres!$A$1:$I$88,3,0)*0.475*44/12</f>
        <v>0</v>
      </c>
      <c r="DI165" s="24">
        <f t="shared" si="175"/>
        <v>56.787662680361272</v>
      </c>
      <c r="DJ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-3.4106051316484809E-13</v>
      </c>
      <c r="DP165" s="18">
        <f>DO165*VLOOKUP('Données projet'!$B$14,Paramètres!$A$1:$I$88,3,0)*VLOOKUP('Données projet'!$B$14,Paramètres!$A$1:$I$88,5,0)</f>
        <v>-2.6602720026858149E-13</v>
      </c>
      <c r="DQ165" s="14" t="e">
        <f t="shared" si="176"/>
        <v>#NUM!</v>
      </c>
      <c r="DR165" s="22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458.14328535055694</v>
      </c>
      <c r="DU165" s="59">
        <f t="shared" si="152"/>
        <v>366.75500153675739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projet'!$B$14,Paramètres!$A$1:$I$88,3,0)*0.475*44/12</f>
        <v>43.999222797684396</v>
      </c>
      <c r="EB165" s="23">
        <f>EXP(-LN(2)/25)*EB164+(1-EXP(-LN(2)/25))/(LN(2)/25)*Calculateur!DW165*Calculateur!DY165*VLOOKUP('Données projet'!$B$14,Paramètres!$A$1:$I$88,3,0)*0.475*44/12</f>
        <v>0</v>
      </c>
      <c r="EC165" s="23">
        <f>EXP(-LN(2)/2)*EC164+(1-EXP(-LN(2)/2))/(LN(2)/2)*DW165*DZ165*VLOOKUP('Données projet'!$B$14,Paramètres!$A$1:$I$88,3,0)*0.475*44/12</f>
        <v>0</v>
      </c>
      <c r="ED165" s="24">
        <f t="shared" si="178"/>
        <v>43.999222797684396</v>
      </c>
      <c r="EE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4.5474735088646412E-13</v>
      </c>
      <c r="EK165" s="18">
        <f>EJ165*VLOOKUP('Données projet'!$B$15,Paramètres!$A$1:$I$88,3,0)*VLOOKUP('Données projet'!$B$15,Paramètres!$A$1:$I$88,5,0)</f>
        <v>3.9017322706058626E-13</v>
      </c>
      <c r="EL165" s="14">
        <f t="shared" si="179"/>
        <v>5.0025007393608908E-12</v>
      </c>
      <c r="EM165" s="22">
        <f t="shared" si="180"/>
        <v>9.3922404915174053E-12</v>
      </c>
      <c r="EN165" s="59">
        <f t="shared" si="128"/>
        <v>293.33333333334269</v>
      </c>
      <c r="EO165" s="59">
        <f ca="1">AVERAGE(OFFSET($EN$3,0,0,'Données projet'!$E$15+1,1))-AVERAGE(OFFSET($H$3,0,0,'Données projet'!$E$15+1,1))</f>
        <v>462.99360395552145</v>
      </c>
      <c r="EP165" s="59">
        <f t="shared" si="154"/>
        <v>153.03880717786046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projet'!$B$15,Paramètres!$A$1:$I$88,3,0)*0.475*44/12</f>
        <v>76.587118297097703</v>
      </c>
      <c r="EW165" s="23">
        <f>EXP(-LN(2)/25)*EW164+(1-EXP(-LN(2)/25))/(LN(2)/25)*Calculateur!ER165*Calculateur!ET165*VLOOKUP('Données projet'!$B$15,Paramètres!$A$1:$I$88,3,0)*0.475*44/12</f>
        <v>0</v>
      </c>
      <c r="EX165" s="23">
        <f>EXP(-LN(2)/2)*EX164+(1-EXP(-LN(2)/2))/(LN(2)/2)*ER165*EU165*VLOOKUP('Données projet'!$B$15,Paramètres!$A$1:$I$88,3,0)*0.475*44/12</f>
        <v>0</v>
      </c>
      <c r="EY165" s="24">
        <f t="shared" si="181"/>
        <v>76.587118297097703</v>
      </c>
      <c r="EZ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2.2737367544323206E-13</v>
      </c>
      <c r="FF165" s="18">
        <f>FE165*VLOOKUP('Données projet'!$B$16,Paramètres!$A$1:$I$88,3,0)*VLOOKUP('Données projet'!$B$16,Paramètres!$A$1:$I$88,5,0)</f>
        <v>1.9863364286720756E-13</v>
      </c>
      <c r="FG165" s="14">
        <f t="shared" si="182"/>
        <v>2.7549360720371426E-12</v>
      </c>
      <c r="FH165" s="22">
        <f t="shared" si="183"/>
        <v>5.144133920125077E-12</v>
      </c>
      <c r="FI165" s="59">
        <f t="shared" si="131"/>
        <v>293.33333333333843</v>
      </c>
      <c r="FJ165" s="59">
        <f ca="1">AVERAGE(OFFSET($FI$3,0,0,'Données projet'!$E$16+1,1))-AVERAGE(OFFSET($H$3,0,0,'Données projet'!$E$16+1,1))</f>
        <v>427.76895185088944</v>
      </c>
      <c r="FK165" s="59">
        <f t="shared" si="156"/>
        <v>308.32543361559135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projet'!$B$16,Paramètres!$A$1:$I$88,3,0)*0.475*44/12</f>
        <v>62.196574660311228</v>
      </c>
      <c r="FR165" s="23">
        <f>EXP(-LN(2)/25)*FR164+(1-EXP(-LN(2)/25))/(LN(2)/25)*Calculateur!FM165*Calculateur!FO165*VLOOKUP('Données projet'!$B$16,Paramètres!$A$1:$I$88,3,0)*0.475*44/12</f>
        <v>0</v>
      </c>
      <c r="FS165" s="23">
        <f>EXP(-LN(2)/2)*FS164+(1-EXP(-LN(2)/2))/(LN(2)/2)*FM165*FP165*VLOOKUP('Données projet'!$B$16,Paramètres!$A$1:$I$88,3,0)*0.475*44/12</f>
        <v>0</v>
      </c>
      <c r="FT165" s="24">
        <f t="shared" si="184"/>
        <v>62.196574660311228</v>
      </c>
      <c r="FU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333.00000000000006</v>
      </c>
      <c r="GA165" s="18">
        <f>FZ165*VLOOKUP('Données projet'!$B$17,Paramètres!$A$1:$I$88,3,0)*VLOOKUP('Données projet'!$B$17,Paramètres!$A$1:$I$88,5,0)</f>
        <v>207.79200000000006</v>
      </c>
      <c r="GB165" s="14">
        <f t="shared" si="185"/>
        <v>51.452785725007907</v>
      </c>
      <c r="GC165" s="22">
        <f t="shared" si="186"/>
        <v>451.5180018043888</v>
      </c>
      <c r="GD165" s="59">
        <f t="shared" si="134"/>
        <v>744.85133513772212</v>
      </c>
      <c r="GE165" s="59">
        <f ca="1">AVERAGE(OFFSET($GD$3,0,0,'Données projet'!$E$17+1,1))-AVERAGE(OFFSET($H$3,0,0,'Données projet'!$E$17+1,1))</f>
        <v>247.85542034088905</v>
      </c>
      <c r="GF165" s="59">
        <f t="shared" si="158"/>
        <v>299.52241743660352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projet'!$B$17,Paramètres!$A$1:$I$88,3,0)*0.475*44/12</f>
        <v>4.9285460043487586</v>
      </c>
      <c r="GM165" s="23">
        <f>EXP(-LN(2)/25)*GM164+(1-EXP(-LN(2)/25))/(LN(2)/25)*Calculateur!GH165*Calculateur!GJ165*VLOOKUP('Données projet'!$B$17,Paramètres!$A$1:$I$88,3,0)*0.475*44/12</f>
        <v>2.2484428180823497</v>
      </c>
      <c r="GN165" s="23">
        <f>EXP(-LN(2)/2)*GN164+(1-EXP(-LN(2)/2))/(LN(2)/2)*GH165*GK165*VLOOKUP('Données projet'!$B$17,Paramètres!$A$1:$I$88,3,0)*0.475*44/12</f>
        <v>1.9007953529574615E-14</v>
      </c>
      <c r="GO165" s="23">
        <f t="shared" si="187"/>
        <v>7.1769888224311265</v>
      </c>
      <c r="GP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3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6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projet'!$B$9,Paramètres!$A$1:$I$88,3,0)*VLOOKUP('Données projet'!$B$9,Paramètres!$A$1:$I$88,5,0)</f>
        <v>-2.0572770154103635E-13</v>
      </c>
      <c r="P166" s="14" t="e">
        <f t="shared" si="141"/>
        <v>#NUM!</v>
      </c>
      <c r="Q166" s="22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247.57967230773539</v>
      </c>
      <c r="T166" s="59">
        <f t="shared" si="142"/>
        <v>156.58857589533295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119.65609158020442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119.65609158020442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-3.4106051316484809E-13</v>
      </c>
      <c r="AJ166" s="14">
        <f>AI166*VLOOKUP('Données projet'!$B$10,Paramètres!$A$1:$I$88,3,0)*VLOOKUP('Données projet'!$B$10,Paramètres!$A$1:$I$88,5,0)</f>
        <v>-2.7134774427395314E-13</v>
      </c>
      <c r="AK166" s="14" t="e">
        <f t="shared" si="164"/>
        <v>#NUM!</v>
      </c>
      <c r="AL166" s="22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504.15006129790828</v>
      </c>
      <c r="AO166" s="59">
        <f t="shared" si="144"/>
        <v>374.39334457402742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69.350574095129616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69.350574095129616</v>
      </c>
      <c r="AY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-3.4106051316484809E-13</v>
      </c>
      <c r="BE166" s="14">
        <f>BD166*VLOOKUP('Données projet'!$B$11,Paramètres!$A$1:$I$88,3,0)*VLOOKUP('Données projet'!$B$11,Paramètres!$A$1:$I$88,5,0)</f>
        <v>-2.7134774427395314E-13</v>
      </c>
      <c r="BF166" s="14" t="e">
        <f t="shared" si="167"/>
        <v>#NUM!</v>
      </c>
      <c r="BG166" s="22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504.15006129790828</v>
      </c>
      <c r="BJ166" s="59">
        <f t="shared" si="146"/>
        <v>374.39334457402742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69.350574095129616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69.350574095129616</v>
      </c>
      <c r="BT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-3.4106051316484809E-13</v>
      </c>
      <c r="BZ166" s="14">
        <f>BY166*VLOOKUP('Données projet'!$B$12,Paramètres!$A$1:$I$88,3,0)*VLOOKUP('Données projet'!$B$12,Paramètres!$A$1:$I$88,5,0)</f>
        <v>-2.2878339223098009E-13</v>
      </c>
      <c r="CA166" s="14" t="e">
        <f t="shared" si="170"/>
        <v>#NUM!</v>
      </c>
      <c r="CB166" s="22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387.15063677712425</v>
      </c>
      <c r="CE166" s="59">
        <f t="shared" si="148"/>
        <v>313.19155394370705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45.724610368027598</v>
      </c>
      <c r="CL166" s="23">
        <f>EXP(-LN(2)/25)*CL165+(1-EXP(-LN(2)/25))/(LN(2)/25)*Calculateur!CG166*Calculateur!CI166*VLOOKUP('Données projet'!$B$12,Paramètres!$A$1:$I$88,3,0)*0.475*44/12</f>
        <v>0</v>
      </c>
      <c r="CM166" s="23">
        <f>EXP(-LN(2)/2)*CM165+(1-EXP(-LN(2)/2))/(LN(2)/2)*CG166*CJ166*VLOOKUP('Données projet'!$B$12,Paramètres!$A$1:$I$88,3,0)*0.475*44/12</f>
        <v>0</v>
      </c>
      <c r="CN166" s="24">
        <f t="shared" si="172"/>
        <v>45.724610368027598</v>
      </c>
      <c r="CO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6.083333333333333</v>
      </c>
      <c r="CT166" s="13">
        <f>IF('Données projet'!$A$140&gt;35,CT165+CS166-DB165,IF(A166&lt;'Données projet'!$A$140,$CQ$205^A166,IF(A166='Données projet'!$A$140,'Données projet'!$B$140,CT165+CS166-DB165)))</f>
        <v>350.33333333333326</v>
      </c>
      <c r="CU166" s="18">
        <f>CT166*VLOOKUP('Données projet'!$B$13,Paramètres!$A$1:$I$88,3,0)*VLOOKUP('Données projet'!$B$13,Paramètres!$A$1:$I$88,5,0)</f>
        <v>338.84239999999994</v>
      </c>
      <c r="CV166" s="14">
        <f t="shared" si="173"/>
        <v>79.260731480506308</v>
      </c>
      <c r="CW166" s="22">
        <f t="shared" si="174"/>
        <v>728.19628732854835</v>
      </c>
      <c r="CX166" s="59">
        <f t="shared" si="122"/>
        <v>1021.5296206618816</v>
      </c>
      <c r="CY166" s="59">
        <f ca="1">AVERAGE(OFFSET($CX$3,0,0,'Données projet'!$E$13+1,1))-AVERAGE(OFFSET($H$3,0,0,'Données projet'!$E$13+1,1))</f>
        <v>306.00894145276209</v>
      </c>
      <c r="CZ166" s="59">
        <f t="shared" si="150"/>
        <v>168.74705421228828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55.674091252253497</v>
      </c>
      <c r="DG166" s="23">
        <f>EXP(-LN(2)/25)*DG165+(1-EXP(-LN(2)/25))/(LN(2)/25)*Calculateur!DB166*Calculateur!DD166*VLOOKUP('Données projet'!$B$13,Paramètres!$A$1:$I$88,3,0)*0.475*44/12</f>
        <v>0</v>
      </c>
      <c r="DH166" s="23">
        <f>EXP(-LN(2)/2)*DH165+(1-EXP(-LN(2)/2))/(LN(2)/2)*DB166*DE166*VLOOKUP('Données projet'!$B$13,Paramètres!$A$1:$I$88,3,0)*0.475*44/12</f>
        <v>0</v>
      </c>
      <c r="DI166" s="24">
        <f t="shared" si="175"/>
        <v>55.674091252253497</v>
      </c>
      <c r="DJ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-3.4106051316484809E-13</v>
      </c>
      <c r="DP166" s="18">
        <f>DO166*VLOOKUP('Données projet'!$B$14,Paramètres!$A$1:$I$88,3,0)*VLOOKUP('Données projet'!$B$14,Paramètres!$A$1:$I$88,5,0)</f>
        <v>-2.6602720026858149E-13</v>
      </c>
      <c r="DQ166" s="14" t="e">
        <f t="shared" si="176"/>
        <v>#NUM!</v>
      </c>
      <c r="DR166" s="22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458.14328535055694</v>
      </c>
      <c r="DU166" s="59">
        <f t="shared" si="152"/>
        <v>366.75500153675739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projet'!$B$14,Paramètres!$A$1:$I$88,3,0)*0.475*44/12</f>
        <v>43.136424875497788</v>
      </c>
      <c r="EB166" s="23">
        <f>EXP(-LN(2)/25)*EB165+(1-EXP(-LN(2)/25))/(LN(2)/25)*Calculateur!DW166*Calculateur!DY166*VLOOKUP('Données projet'!$B$14,Paramètres!$A$1:$I$88,3,0)*0.475*44/12</f>
        <v>0</v>
      </c>
      <c r="EC166" s="23">
        <f>EXP(-LN(2)/2)*EC165+(1-EXP(-LN(2)/2))/(LN(2)/2)*DW166*DZ166*VLOOKUP('Données projet'!$B$14,Paramètres!$A$1:$I$88,3,0)*0.475*44/12</f>
        <v>0</v>
      </c>
      <c r="ED166" s="24">
        <f t="shared" si="178"/>
        <v>43.136424875497788</v>
      </c>
      <c r="EE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4.5474735088646412E-13</v>
      </c>
      <c r="EK166" s="18">
        <f>EJ166*VLOOKUP('Données projet'!$B$15,Paramètres!$A$1:$I$88,3,0)*VLOOKUP('Données projet'!$B$15,Paramètres!$A$1:$I$88,5,0)</f>
        <v>3.9017322706058626E-13</v>
      </c>
      <c r="EL166" s="14">
        <f t="shared" si="179"/>
        <v>5.0025007393608908E-12</v>
      </c>
      <c r="EM166" s="22">
        <f t="shared" si="180"/>
        <v>9.3922404915174053E-12</v>
      </c>
      <c r="EN166" s="59">
        <f t="shared" si="128"/>
        <v>293.33333333334269</v>
      </c>
      <c r="EO166" s="59">
        <f ca="1">AVERAGE(OFFSET($EN$3,0,0,'Données projet'!$E$15+1,1))-AVERAGE(OFFSET($H$3,0,0,'Données projet'!$E$15+1,1))</f>
        <v>462.99360395552145</v>
      </c>
      <c r="EP166" s="59">
        <f t="shared" si="154"/>
        <v>153.03880717786046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projet'!$B$15,Paramètres!$A$1:$I$88,3,0)*0.475*44/12</f>
        <v>75.085291620821195</v>
      </c>
      <c r="EW166" s="23">
        <f>EXP(-LN(2)/25)*EW165+(1-EXP(-LN(2)/25))/(LN(2)/25)*Calculateur!ER166*Calculateur!ET166*VLOOKUP('Données projet'!$B$15,Paramètres!$A$1:$I$88,3,0)*0.475*44/12</f>
        <v>0</v>
      </c>
      <c r="EX166" s="23">
        <f>EXP(-LN(2)/2)*EX165+(1-EXP(-LN(2)/2))/(LN(2)/2)*ER166*EU166*VLOOKUP('Données projet'!$B$15,Paramètres!$A$1:$I$88,3,0)*0.475*44/12</f>
        <v>0</v>
      </c>
      <c r="EY166" s="24">
        <f t="shared" si="181"/>
        <v>75.085291620821195</v>
      </c>
      <c r="EZ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2.2737367544323206E-13</v>
      </c>
      <c r="FF166" s="18">
        <f>FE166*VLOOKUP('Données projet'!$B$16,Paramètres!$A$1:$I$88,3,0)*VLOOKUP('Données projet'!$B$16,Paramètres!$A$1:$I$88,5,0)</f>
        <v>1.9863364286720756E-13</v>
      </c>
      <c r="FG166" s="14">
        <f t="shared" si="182"/>
        <v>2.7549360720371426E-12</v>
      </c>
      <c r="FH166" s="22">
        <f t="shared" si="183"/>
        <v>5.144133920125077E-12</v>
      </c>
      <c r="FI166" s="59">
        <f t="shared" si="131"/>
        <v>293.33333333333843</v>
      </c>
      <c r="FJ166" s="59">
        <f ca="1">AVERAGE(OFFSET($FI$3,0,0,'Données projet'!$E$16+1,1))-AVERAGE(OFFSET($H$3,0,0,'Données projet'!$E$16+1,1))</f>
        <v>427.76895185088944</v>
      </c>
      <c r="FK166" s="59">
        <f t="shared" si="156"/>
        <v>308.32543361559135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projet'!$B$16,Paramètres!$A$1:$I$88,3,0)*0.475*44/12</f>
        <v>60.976937767387184</v>
      </c>
      <c r="FR166" s="23">
        <f>EXP(-LN(2)/25)*FR165+(1-EXP(-LN(2)/25))/(LN(2)/25)*Calculateur!FM166*Calculateur!FO166*VLOOKUP('Données projet'!$B$16,Paramètres!$A$1:$I$88,3,0)*0.475*44/12</f>
        <v>0</v>
      </c>
      <c r="FS166" s="23">
        <f>EXP(-LN(2)/2)*FS165+(1-EXP(-LN(2)/2))/(LN(2)/2)*FM166*FP166*VLOOKUP('Données projet'!$B$16,Paramètres!$A$1:$I$88,3,0)*0.475*44/12</f>
        <v>0</v>
      </c>
      <c r="FT166" s="24">
        <f t="shared" si="184"/>
        <v>60.976937767387184</v>
      </c>
      <c r="FU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333.00000000000006</v>
      </c>
      <c r="GA166" s="18">
        <f>FZ166*VLOOKUP('Données projet'!$B$17,Paramètres!$A$1:$I$88,3,0)*VLOOKUP('Données projet'!$B$17,Paramètres!$A$1:$I$88,5,0)</f>
        <v>207.79200000000006</v>
      </c>
      <c r="GB166" s="14">
        <f t="shared" si="185"/>
        <v>51.452785725007907</v>
      </c>
      <c r="GC166" s="22">
        <f t="shared" si="186"/>
        <v>451.5180018043888</v>
      </c>
      <c r="GD166" s="59">
        <f t="shared" si="134"/>
        <v>744.85133513772212</v>
      </c>
      <c r="GE166" s="59">
        <f ca="1">AVERAGE(OFFSET($GD$3,0,0,'Données projet'!$E$17+1,1))-AVERAGE(OFFSET($H$3,0,0,'Données projet'!$E$17+1,1))</f>
        <v>247.85542034088905</v>
      </c>
      <c r="GF166" s="59">
        <f t="shared" si="158"/>
        <v>299.52241743660352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projet'!$B$17,Paramètres!$A$1:$I$88,3,0)*0.475*44/12</f>
        <v>4.831900223319713</v>
      </c>
      <c r="GM166" s="23">
        <f>EXP(-LN(2)/25)*GM165+(1-EXP(-LN(2)/25))/(LN(2)/25)*Calculateur!GH166*Calculateur!GJ166*VLOOKUP('Données projet'!$B$17,Paramètres!$A$1:$I$88,3,0)*0.475*44/12</f>
        <v>2.1869590309814191</v>
      </c>
      <c r="GN166" s="23">
        <f>EXP(-LN(2)/2)*GN165+(1-EXP(-LN(2)/2))/(LN(2)/2)*GH166*GK166*VLOOKUP('Données projet'!$B$17,Paramètres!$A$1:$I$88,3,0)*0.475*44/12</f>
        <v>1.3440652837240981E-14</v>
      </c>
      <c r="GO166" s="23">
        <f t="shared" si="187"/>
        <v>7.0188592543011454</v>
      </c>
      <c r="GP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3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6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projet'!$B$9,Paramètres!$A$1:$I$88,3,0)*VLOOKUP('Données projet'!$B$9,Paramètres!$A$1:$I$88,5,0)</f>
        <v>-2.0572770154103635E-13</v>
      </c>
      <c r="P167" s="14" t="e">
        <f t="shared" si="141"/>
        <v>#NUM!</v>
      </c>
      <c r="Q167" s="22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247.57967230773539</v>
      </c>
      <c r="T167" s="59">
        <f t="shared" si="142"/>
        <v>156.58857589533295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117.309708607326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117.309708607326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-3.4106051316484809E-13</v>
      </c>
      <c r="AJ167" s="14">
        <f>AI167*VLOOKUP('Données projet'!$B$10,Paramètres!$A$1:$I$88,3,0)*VLOOKUP('Données projet'!$B$10,Paramètres!$A$1:$I$88,5,0)</f>
        <v>-2.7134774427395314E-13</v>
      </c>
      <c r="AK167" s="14" t="e">
        <f t="shared" si="164"/>
        <v>#NUM!</v>
      </c>
      <c r="AL167" s="22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504.15006129790828</v>
      </c>
      <c r="AO167" s="59">
        <f t="shared" si="144"/>
        <v>374.39334457402742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67.99065163679758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67.99065163679758</v>
      </c>
      <c r="AY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-3.4106051316484809E-13</v>
      </c>
      <c r="BE167" s="14">
        <f>BD167*VLOOKUP('Données projet'!$B$11,Paramètres!$A$1:$I$88,3,0)*VLOOKUP('Données projet'!$B$11,Paramètres!$A$1:$I$88,5,0)</f>
        <v>-2.7134774427395314E-13</v>
      </c>
      <c r="BF167" s="14" t="e">
        <f t="shared" si="167"/>
        <v>#NUM!</v>
      </c>
      <c r="BG167" s="22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504.15006129790828</v>
      </c>
      <c r="BJ167" s="59">
        <f t="shared" si="146"/>
        <v>374.39334457402742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67.99065163679758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67.99065163679758</v>
      </c>
      <c r="BT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-3.4106051316484809E-13</v>
      </c>
      <c r="BZ167" s="14">
        <f>BY167*VLOOKUP('Données projet'!$B$12,Paramètres!$A$1:$I$88,3,0)*VLOOKUP('Données projet'!$B$12,Paramètres!$A$1:$I$88,5,0)</f>
        <v>-2.2878339223098009E-13</v>
      </c>
      <c r="CA167" s="14" t="e">
        <f t="shared" si="170"/>
        <v>#NUM!</v>
      </c>
      <c r="CB167" s="22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387.15063677712425</v>
      </c>
      <c r="CE167" s="59">
        <f t="shared" si="148"/>
        <v>313.19155394370705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44.827978647969069</v>
      </c>
      <c r="CL167" s="23">
        <f>EXP(-LN(2)/25)*CL166+(1-EXP(-LN(2)/25))/(LN(2)/25)*Calculateur!CG167*Calculateur!CI167*VLOOKUP('Données projet'!$B$12,Paramètres!$A$1:$I$88,3,0)*0.475*44/12</f>
        <v>0</v>
      </c>
      <c r="CM167" s="23">
        <f>EXP(-LN(2)/2)*CM166+(1-EXP(-LN(2)/2))/(LN(2)/2)*CG167*CJ167*VLOOKUP('Données projet'!$B$12,Paramètres!$A$1:$I$88,3,0)*0.475*44/12</f>
        <v>0</v>
      </c>
      <c r="CN167" s="24">
        <f t="shared" si="172"/>
        <v>44.827978647969069</v>
      </c>
      <c r="CO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6.083333333333333</v>
      </c>
      <c r="CT167" s="13">
        <f>IF('Données projet'!$A$140&gt;35,CT166+CS167-DB166,IF(A167&lt;'Données projet'!$A$140,$CQ$205^A167,IF(A167='Données projet'!$A$140,'Données projet'!$B$140,CT166+CS167-DB166)))</f>
        <v>356.41666666666657</v>
      </c>
      <c r="CU167" s="18">
        <f>CT167*VLOOKUP('Données projet'!$B$13,Paramètres!$A$1:$I$88,3,0)*VLOOKUP('Données projet'!$B$13,Paramètres!$A$1:$I$88,5,0)</f>
        <v>344.72619999999989</v>
      </c>
      <c r="CV167" s="14">
        <f t="shared" si="173"/>
        <v>80.475623349300704</v>
      </c>
      <c r="CW167" s="22">
        <f t="shared" si="174"/>
        <v>740.55984233336528</v>
      </c>
      <c r="CX167" s="59">
        <f t="shared" si="122"/>
        <v>1033.8931756666987</v>
      </c>
      <c r="CY167" s="59">
        <f ca="1">AVERAGE(OFFSET($CX$3,0,0,'Données projet'!$E$13+1,1))-AVERAGE(OFFSET($H$3,0,0,'Données projet'!$E$13+1,1))</f>
        <v>306.00894145276209</v>
      </c>
      <c r="CZ167" s="59">
        <f t="shared" si="150"/>
        <v>168.74705421228828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54.582356280639409</v>
      </c>
      <c r="DG167" s="23">
        <f>EXP(-LN(2)/25)*DG166+(1-EXP(-LN(2)/25))/(LN(2)/25)*Calculateur!DB167*Calculateur!DD167*VLOOKUP('Données projet'!$B$13,Paramètres!$A$1:$I$88,3,0)*0.475*44/12</f>
        <v>0</v>
      </c>
      <c r="DH167" s="23">
        <f>EXP(-LN(2)/2)*DH166+(1-EXP(-LN(2)/2))/(LN(2)/2)*DB167*DE167*VLOOKUP('Données projet'!$B$13,Paramètres!$A$1:$I$88,3,0)*0.475*44/12</f>
        <v>0</v>
      </c>
      <c r="DI167" s="24">
        <f t="shared" si="175"/>
        <v>54.582356280639409</v>
      </c>
      <c r="DJ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-3.4106051316484809E-13</v>
      </c>
      <c r="DP167" s="18">
        <f>DO167*VLOOKUP('Données projet'!$B$14,Paramètres!$A$1:$I$88,3,0)*VLOOKUP('Données projet'!$B$14,Paramètres!$A$1:$I$88,5,0)</f>
        <v>-2.6602720026858149E-13</v>
      </c>
      <c r="DQ167" s="14" t="e">
        <f t="shared" si="176"/>
        <v>#NUM!</v>
      </c>
      <c r="DR167" s="22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458.14328535055694</v>
      </c>
      <c r="DU167" s="59">
        <f t="shared" si="152"/>
        <v>366.75500153675739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projet'!$B$14,Paramètres!$A$1:$I$88,3,0)*0.475*44/12</f>
        <v>42.29054589431049</v>
      </c>
      <c r="EB167" s="23">
        <f>EXP(-LN(2)/25)*EB166+(1-EXP(-LN(2)/25))/(LN(2)/25)*Calculateur!DW167*Calculateur!DY167*VLOOKUP('Données projet'!$B$14,Paramètres!$A$1:$I$88,3,0)*0.475*44/12</f>
        <v>0</v>
      </c>
      <c r="EC167" s="23">
        <f>EXP(-LN(2)/2)*EC166+(1-EXP(-LN(2)/2))/(LN(2)/2)*DW167*DZ167*VLOOKUP('Données projet'!$B$14,Paramètres!$A$1:$I$88,3,0)*0.475*44/12</f>
        <v>0</v>
      </c>
      <c r="ED167" s="24">
        <f t="shared" si="178"/>
        <v>42.29054589431049</v>
      </c>
      <c r="EE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4.5474735088646412E-13</v>
      </c>
      <c r="EK167" s="18">
        <f>EJ167*VLOOKUP('Données projet'!$B$15,Paramètres!$A$1:$I$88,3,0)*VLOOKUP('Données projet'!$B$15,Paramètres!$A$1:$I$88,5,0)</f>
        <v>3.9017322706058626E-13</v>
      </c>
      <c r="EL167" s="14">
        <f t="shared" si="179"/>
        <v>5.0025007393608908E-12</v>
      </c>
      <c r="EM167" s="22">
        <f t="shared" si="180"/>
        <v>9.3922404915174053E-12</v>
      </c>
      <c r="EN167" s="59">
        <f t="shared" si="128"/>
        <v>293.33333333334269</v>
      </c>
      <c r="EO167" s="59">
        <f ca="1">AVERAGE(OFFSET($EN$3,0,0,'Données projet'!$E$15+1,1))-AVERAGE(OFFSET($H$3,0,0,'Données projet'!$E$15+1,1))</f>
        <v>462.99360395552145</v>
      </c>
      <c r="EP167" s="59">
        <f t="shared" si="154"/>
        <v>153.03880717786046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projet'!$B$15,Paramètres!$A$1:$I$88,3,0)*0.475*44/12</f>
        <v>73.61291484964265</v>
      </c>
      <c r="EW167" s="23">
        <f>EXP(-LN(2)/25)*EW166+(1-EXP(-LN(2)/25))/(LN(2)/25)*Calculateur!ER167*Calculateur!ET167*VLOOKUP('Données projet'!$B$15,Paramètres!$A$1:$I$88,3,0)*0.475*44/12</f>
        <v>0</v>
      </c>
      <c r="EX167" s="23">
        <f>EXP(-LN(2)/2)*EX166+(1-EXP(-LN(2)/2))/(LN(2)/2)*ER167*EU167*VLOOKUP('Données projet'!$B$15,Paramètres!$A$1:$I$88,3,0)*0.475*44/12</f>
        <v>0</v>
      </c>
      <c r="EY167" s="24">
        <f t="shared" si="181"/>
        <v>73.61291484964265</v>
      </c>
      <c r="EZ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2.2737367544323206E-13</v>
      </c>
      <c r="FF167" s="18">
        <f>FE167*VLOOKUP('Données projet'!$B$16,Paramètres!$A$1:$I$88,3,0)*VLOOKUP('Données projet'!$B$16,Paramètres!$A$1:$I$88,5,0)</f>
        <v>1.9863364286720756E-13</v>
      </c>
      <c r="FG167" s="14">
        <f t="shared" si="182"/>
        <v>2.7549360720371426E-12</v>
      </c>
      <c r="FH167" s="22">
        <f t="shared" si="183"/>
        <v>5.144133920125077E-12</v>
      </c>
      <c r="FI167" s="59">
        <f t="shared" si="131"/>
        <v>293.33333333333843</v>
      </c>
      <c r="FJ167" s="59">
        <f ca="1">AVERAGE(OFFSET($FI$3,0,0,'Données projet'!$E$16+1,1))-AVERAGE(OFFSET($H$3,0,0,'Données projet'!$E$16+1,1))</f>
        <v>427.76895185088944</v>
      </c>
      <c r="FK167" s="59">
        <f t="shared" si="156"/>
        <v>308.32543361559135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projet'!$B$16,Paramètres!$A$1:$I$88,3,0)*0.475*44/12</f>
        <v>59.781217210028331</v>
      </c>
      <c r="FR167" s="23">
        <f>EXP(-LN(2)/25)*FR166+(1-EXP(-LN(2)/25))/(LN(2)/25)*Calculateur!FM167*Calculateur!FO167*VLOOKUP('Données projet'!$B$16,Paramètres!$A$1:$I$88,3,0)*0.475*44/12</f>
        <v>0</v>
      </c>
      <c r="FS167" s="23">
        <f>EXP(-LN(2)/2)*FS166+(1-EXP(-LN(2)/2))/(LN(2)/2)*FM167*FP167*VLOOKUP('Données projet'!$B$16,Paramètres!$A$1:$I$88,3,0)*0.475*44/12</f>
        <v>0</v>
      </c>
      <c r="FT167" s="24">
        <f t="shared" si="184"/>
        <v>59.781217210028331</v>
      </c>
      <c r="FU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333.00000000000006</v>
      </c>
      <c r="GA167" s="18">
        <f>FZ167*VLOOKUP('Données projet'!$B$17,Paramètres!$A$1:$I$88,3,0)*VLOOKUP('Données projet'!$B$17,Paramètres!$A$1:$I$88,5,0)</f>
        <v>207.79200000000006</v>
      </c>
      <c r="GB167" s="14">
        <f t="shared" si="185"/>
        <v>51.452785725007907</v>
      </c>
      <c r="GC167" s="22">
        <f t="shared" si="186"/>
        <v>451.5180018043888</v>
      </c>
      <c r="GD167" s="59">
        <f t="shared" si="134"/>
        <v>744.85133513772212</v>
      </c>
      <c r="GE167" s="59">
        <f ca="1">AVERAGE(OFFSET($GD$3,0,0,'Données projet'!$E$17+1,1))-AVERAGE(OFFSET($H$3,0,0,'Données projet'!$E$17+1,1))</f>
        <v>247.85542034088905</v>
      </c>
      <c r="GF167" s="59">
        <f t="shared" si="158"/>
        <v>299.52241743660352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projet'!$B$17,Paramètres!$A$1:$I$88,3,0)*0.475*44/12</f>
        <v>4.7371496071085408</v>
      </c>
      <c r="GM167" s="23">
        <f>EXP(-LN(2)/25)*GM166+(1-EXP(-LN(2)/25))/(LN(2)/25)*Calculateur!GH167*Calculateur!GJ167*VLOOKUP('Données projet'!$B$17,Paramètres!$A$1:$I$88,3,0)*0.475*44/12</f>
        <v>2.1271565212720551</v>
      </c>
      <c r="GN167" s="23">
        <f>EXP(-LN(2)/2)*GN166+(1-EXP(-LN(2)/2))/(LN(2)/2)*GH167*GK167*VLOOKUP('Données projet'!$B$17,Paramètres!$A$1:$I$88,3,0)*0.475*44/12</f>
        <v>9.5039767647873074E-15</v>
      </c>
      <c r="GO167" s="23">
        <f t="shared" si="187"/>
        <v>6.8643061283806057</v>
      </c>
      <c r="GP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3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6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projet'!$B$9,Paramètres!$A$1:$I$88,3,0)*VLOOKUP('Données projet'!$B$9,Paramètres!$A$1:$I$88,5,0)</f>
        <v>-2.0572770154103635E-13</v>
      </c>
      <c r="P168" s="14" t="e">
        <f t="shared" si="141"/>
        <v>#NUM!</v>
      </c>
      <c r="Q168" s="22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247.57967230773539</v>
      </c>
      <c r="T168" s="59">
        <f t="shared" si="142"/>
        <v>156.58857589533295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115.00933677339343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115.00933677339343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-3.4106051316484809E-13</v>
      </c>
      <c r="AJ168" s="14">
        <f>AI168*VLOOKUP('Données projet'!$B$10,Paramètres!$A$1:$I$88,3,0)*VLOOKUP('Données projet'!$B$10,Paramètres!$A$1:$I$88,5,0)</f>
        <v>-2.7134774427395314E-13</v>
      </c>
      <c r="AK168" s="14" t="e">
        <f t="shared" si="164"/>
        <v>#NUM!</v>
      </c>
      <c r="AL168" s="22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504.15006129790828</v>
      </c>
      <c r="AO168" s="59">
        <f t="shared" si="144"/>
        <v>374.39334457402742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66.657396428402635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66.657396428402635</v>
      </c>
      <c r="AY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-3.4106051316484809E-13</v>
      </c>
      <c r="BE168" s="14">
        <f>BD168*VLOOKUP('Données projet'!$B$11,Paramètres!$A$1:$I$88,3,0)*VLOOKUP('Données projet'!$B$11,Paramètres!$A$1:$I$88,5,0)</f>
        <v>-2.7134774427395314E-13</v>
      </c>
      <c r="BF168" s="14" t="e">
        <f t="shared" si="167"/>
        <v>#NUM!</v>
      </c>
      <c r="BG168" s="22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504.15006129790828</v>
      </c>
      <c r="BJ168" s="59">
        <f t="shared" si="146"/>
        <v>374.39334457402742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66.657396428402635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66.657396428402635</v>
      </c>
      <c r="BT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-3.4106051316484809E-13</v>
      </c>
      <c r="BZ168" s="14">
        <f>BY168*VLOOKUP('Données projet'!$B$12,Paramètres!$A$1:$I$88,3,0)*VLOOKUP('Données projet'!$B$12,Paramètres!$A$1:$I$88,5,0)</f>
        <v>-2.2878339223098009E-13</v>
      </c>
      <c r="CA168" s="14" t="e">
        <f t="shared" si="170"/>
        <v>#NUM!</v>
      </c>
      <c r="CB168" s="22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387.15063677712425</v>
      </c>
      <c r="CE168" s="59">
        <f t="shared" si="148"/>
        <v>313.19155394370705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43.948929329049534</v>
      </c>
      <c r="CL168" s="23">
        <f>EXP(-LN(2)/25)*CL167+(1-EXP(-LN(2)/25))/(LN(2)/25)*Calculateur!CG168*Calculateur!CI168*VLOOKUP('Données projet'!$B$12,Paramètres!$A$1:$I$88,3,0)*0.475*44/12</f>
        <v>0</v>
      </c>
      <c r="CM168" s="23">
        <f>EXP(-LN(2)/2)*CM167+(1-EXP(-LN(2)/2))/(LN(2)/2)*CG168*CJ168*VLOOKUP('Données projet'!$B$12,Paramètres!$A$1:$I$88,3,0)*0.475*44/12</f>
        <v>0</v>
      </c>
      <c r="CN168" s="24">
        <f t="shared" si="172"/>
        <v>43.948929329049534</v>
      </c>
      <c r="CO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6.083333333333333</v>
      </c>
      <c r="CT168" s="13">
        <f>IF('Données projet'!$A$140&gt;35,CT167+CS168-DB167,IF(A168&lt;'Données projet'!$A$140,$CQ$205^A168,IF(A168='Données projet'!$A$140,'Données projet'!$B$140,CT167+CS168-DB167)))</f>
        <v>362.49999999999989</v>
      </c>
      <c r="CU168" s="18">
        <f>CT168*VLOOKUP('Données projet'!$B$13,Paramètres!$A$1:$I$88,3,0)*VLOOKUP('Données projet'!$B$13,Paramètres!$A$1:$I$88,5,0)</f>
        <v>350.6099999999999</v>
      </c>
      <c r="CV168" s="14">
        <f t="shared" si="173"/>
        <v>81.688103840786837</v>
      </c>
      <c r="CW168" s="22">
        <f t="shared" si="174"/>
        <v>752.91919752270348</v>
      </c>
      <c r="CX168" s="59">
        <f t="shared" si="122"/>
        <v>1046.2525308560369</v>
      </c>
      <c r="CY168" s="59">
        <f ca="1">AVERAGE(OFFSET($CX$3,0,0,'Données projet'!$E$13+1,1))-AVERAGE(OFFSET($H$3,0,0,'Données projet'!$E$13+1,1))</f>
        <v>306.00894145276209</v>
      </c>
      <c r="CZ168" s="59">
        <f t="shared" si="150"/>
        <v>168.74705421228828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53.512029565926092</v>
      </c>
      <c r="DG168" s="23">
        <f>EXP(-LN(2)/25)*DG167+(1-EXP(-LN(2)/25))/(LN(2)/25)*Calculateur!DB168*Calculateur!DD168*VLOOKUP('Données projet'!$B$13,Paramètres!$A$1:$I$88,3,0)*0.475*44/12</f>
        <v>0</v>
      </c>
      <c r="DH168" s="23">
        <f>EXP(-LN(2)/2)*DH167+(1-EXP(-LN(2)/2))/(LN(2)/2)*DB168*DE168*VLOOKUP('Données projet'!$B$13,Paramètres!$A$1:$I$88,3,0)*0.475*44/12</f>
        <v>0</v>
      </c>
      <c r="DI168" s="24">
        <f t="shared" si="175"/>
        <v>53.512029565926092</v>
      </c>
      <c r="DJ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-3.4106051316484809E-13</v>
      </c>
      <c r="DP168" s="18">
        <f>DO168*VLOOKUP('Données projet'!$B$14,Paramètres!$A$1:$I$88,3,0)*VLOOKUP('Données projet'!$B$14,Paramètres!$A$1:$I$88,5,0)</f>
        <v>-2.6602720026858149E-13</v>
      </c>
      <c r="DQ168" s="14" t="e">
        <f t="shared" si="176"/>
        <v>#NUM!</v>
      </c>
      <c r="DR168" s="22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458.14328535055694</v>
      </c>
      <c r="DU168" s="59">
        <f t="shared" si="152"/>
        <v>366.75500153675739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projet'!$B$14,Paramètres!$A$1:$I$88,3,0)*0.475*44/12</f>
        <v>41.461254084009042</v>
      </c>
      <c r="EB168" s="23">
        <f>EXP(-LN(2)/25)*EB167+(1-EXP(-LN(2)/25))/(LN(2)/25)*Calculateur!DW168*Calculateur!DY168*VLOOKUP('Données projet'!$B$14,Paramètres!$A$1:$I$88,3,0)*0.475*44/12</f>
        <v>0</v>
      </c>
      <c r="EC168" s="23">
        <f>EXP(-LN(2)/2)*EC167+(1-EXP(-LN(2)/2))/(LN(2)/2)*DW168*DZ168*VLOOKUP('Données projet'!$B$14,Paramètres!$A$1:$I$88,3,0)*0.475*44/12</f>
        <v>0</v>
      </c>
      <c r="ED168" s="24">
        <f t="shared" si="178"/>
        <v>41.461254084009042</v>
      </c>
      <c r="EE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4.5474735088646412E-13</v>
      </c>
      <c r="EK168" s="18">
        <f>EJ168*VLOOKUP('Données projet'!$B$15,Paramètres!$A$1:$I$88,3,0)*VLOOKUP('Données projet'!$B$15,Paramètres!$A$1:$I$88,5,0)</f>
        <v>3.9017322706058626E-13</v>
      </c>
      <c r="EL168" s="14">
        <f t="shared" si="179"/>
        <v>5.0025007393608908E-12</v>
      </c>
      <c r="EM168" s="22">
        <f t="shared" si="180"/>
        <v>9.3922404915174053E-12</v>
      </c>
      <c r="EN168" s="59">
        <f t="shared" si="128"/>
        <v>293.33333333334269</v>
      </c>
      <c r="EO168" s="59">
        <f ca="1">AVERAGE(OFFSET($EN$3,0,0,'Données projet'!$E$15+1,1))-AVERAGE(OFFSET($H$3,0,0,'Données projet'!$E$15+1,1))</f>
        <v>462.99360395552145</v>
      </c>
      <c r="EP168" s="59">
        <f t="shared" si="154"/>
        <v>153.03880717786046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projet'!$B$15,Paramètres!$A$1:$I$88,3,0)*0.475*44/12</f>
        <v>72.169410488885759</v>
      </c>
      <c r="EW168" s="23">
        <f>EXP(-LN(2)/25)*EW167+(1-EXP(-LN(2)/25))/(LN(2)/25)*Calculateur!ER168*Calculateur!ET168*VLOOKUP('Données projet'!$B$15,Paramètres!$A$1:$I$88,3,0)*0.475*44/12</f>
        <v>0</v>
      </c>
      <c r="EX168" s="23">
        <f>EXP(-LN(2)/2)*EX167+(1-EXP(-LN(2)/2))/(LN(2)/2)*ER168*EU168*VLOOKUP('Données projet'!$B$15,Paramètres!$A$1:$I$88,3,0)*0.475*44/12</f>
        <v>0</v>
      </c>
      <c r="EY168" s="24">
        <f t="shared" si="181"/>
        <v>72.169410488885759</v>
      </c>
      <c r="EZ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2.2737367544323206E-13</v>
      </c>
      <c r="FF168" s="18">
        <f>FE168*VLOOKUP('Données projet'!$B$16,Paramètres!$A$1:$I$88,3,0)*VLOOKUP('Données projet'!$B$16,Paramètres!$A$1:$I$88,5,0)</f>
        <v>1.9863364286720756E-13</v>
      </c>
      <c r="FG168" s="14">
        <f t="shared" si="182"/>
        <v>2.7549360720371426E-12</v>
      </c>
      <c r="FH168" s="22">
        <f t="shared" si="183"/>
        <v>5.144133920125077E-12</v>
      </c>
      <c r="FI168" s="59">
        <f t="shared" si="131"/>
        <v>293.33333333333843</v>
      </c>
      <c r="FJ168" s="59">
        <f ca="1">AVERAGE(OFFSET($FI$3,0,0,'Données projet'!$E$16+1,1))-AVERAGE(OFFSET($H$3,0,0,'Données projet'!$E$16+1,1))</f>
        <v>427.76895185088944</v>
      </c>
      <c r="FK168" s="59">
        <f t="shared" si="156"/>
        <v>308.32543361559135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projet'!$B$16,Paramètres!$A$1:$I$88,3,0)*0.475*44/12</f>
        <v>58.60894400348176</v>
      </c>
      <c r="FR168" s="23">
        <f>EXP(-LN(2)/25)*FR167+(1-EXP(-LN(2)/25))/(LN(2)/25)*Calculateur!FM168*Calculateur!FO168*VLOOKUP('Données projet'!$B$16,Paramètres!$A$1:$I$88,3,0)*0.475*44/12</f>
        <v>0</v>
      </c>
      <c r="FS168" s="23">
        <f>EXP(-LN(2)/2)*FS167+(1-EXP(-LN(2)/2))/(LN(2)/2)*FM168*FP168*VLOOKUP('Données projet'!$B$16,Paramètres!$A$1:$I$88,3,0)*0.475*44/12</f>
        <v>0</v>
      </c>
      <c r="FT168" s="24">
        <f t="shared" si="184"/>
        <v>58.60894400348176</v>
      </c>
      <c r="FU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333.00000000000006</v>
      </c>
      <c r="GA168" s="18">
        <f>FZ168*VLOOKUP('Données projet'!$B$17,Paramètres!$A$1:$I$88,3,0)*VLOOKUP('Données projet'!$B$17,Paramètres!$A$1:$I$88,5,0)</f>
        <v>207.79200000000006</v>
      </c>
      <c r="GB168" s="14">
        <f t="shared" si="185"/>
        <v>51.452785725007907</v>
      </c>
      <c r="GC168" s="22">
        <f t="shared" si="186"/>
        <v>451.5180018043888</v>
      </c>
      <c r="GD168" s="59">
        <f t="shared" si="134"/>
        <v>744.85133513772212</v>
      </c>
      <c r="GE168" s="59">
        <f ca="1">AVERAGE(OFFSET($GD$3,0,0,'Données projet'!$E$17+1,1))-AVERAGE(OFFSET($H$3,0,0,'Données projet'!$E$17+1,1))</f>
        <v>247.85542034088905</v>
      </c>
      <c r="GF168" s="59">
        <f t="shared" si="158"/>
        <v>299.52241743660352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projet'!$B$17,Paramètres!$A$1:$I$88,3,0)*0.475*44/12</f>
        <v>4.6442569926891002</v>
      </c>
      <c r="GM168" s="23">
        <f>EXP(-LN(2)/25)*GM167+(1-EXP(-LN(2)/25))/(LN(2)/25)*Calculateur!GH168*Calculateur!GJ168*VLOOKUP('Données projet'!$B$17,Paramètres!$A$1:$I$88,3,0)*0.475*44/12</f>
        <v>2.0689893143355711</v>
      </c>
      <c r="GN168" s="23">
        <f>EXP(-LN(2)/2)*GN167+(1-EXP(-LN(2)/2))/(LN(2)/2)*GH168*GK168*VLOOKUP('Données projet'!$B$17,Paramètres!$A$1:$I$88,3,0)*0.475*44/12</f>
        <v>6.7203264186204905E-15</v>
      </c>
      <c r="GO168" s="23">
        <f t="shared" si="187"/>
        <v>6.7132463070246784</v>
      </c>
      <c r="GP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3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6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projet'!$B$9,Paramètres!$A$1:$I$88,3,0)*VLOOKUP('Données projet'!$B$9,Paramètres!$A$1:$I$88,5,0)</f>
        <v>-2.0572770154103635E-13</v>
      </c>
      <c r="P169" s="14" t="e">
        <f t="shared" si="141"/>
        <v>#NUM!</v>
      </c>
      <c r="Q169" s="22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247.57967230773539</v>
      </c>
      <c r="T169" s="59">
        <f t="shared" si="142"/>
        <v>156.58857589533295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112.754073828036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112.754073828036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-3.4106051316484809E-13</v>
      </c>
      <c r="AJ169" s="14">
        <f>AI169*VLOOKUP('Données projet'!$B$10,Paramètres!$A$1:$I$88,3,0)*VLOOKUP('Données projet'!$B$10,Paramètres!$A$1:$I$88,5,0)</f>
        <v>-2.7134774427395314E-13</v>
      </c>
      <c r="AK169" s="14" t="e">
        <f t="shared" si="164"/>
        <v>#NUM!</v>
      </c>
      <c r="AL169" s="22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504.15006129790828</v>
      </c>
      <c r="AO169" s="59">
        <f t="shared" si="144"/>
        <v>374.39334457402742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65.350285541438936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65.350285541438936</v>
      </c>
      <c r="AY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-3.4106051316484809E-13</v>
      </c>
      <c r="BE169" s="14">
        <f>BD169*VLOOKUP('Données projet'!$B$11,Paramètres!$A$1:$I$88,3,0)*VLOOKUP('Données projet'!$B$11,Paramètres!$A$1:$I$88,5,0)</f>
        <v>-2.7134774427395314E-13</v>
      </c>
      <c r="BF169" s="14" t="e">
        <f t="shared" si="167"/>
        <v>#NUM!</v>
      </c>
      <c r="BG169" s="22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504.15006129790828</v>
      </c>
      <c r="BJ169" s="59">
        <f t="shared" si="146"/>
        <v>374.39334457402742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65.350285541438936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65.350285541438936</v>
      </c>
      <c r="BT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-3.4106051316484809E-13</v>
      </c>
      <c r="BZ169" s="14">
        <f>BY169*VLOOKUP('Données projet'!$B$12,Paramètres!$A$1:$I$88,3,0)*VLOOKUP('Données projet'!$B$12,Paramètres!$A$1:$I$88,5,0)</f>
        <v>-2.2878339223098009E-13</v>
      </c>
      <c r="CA169" s="14" t="e">
        <f t="shared" si="170"/>
        <v>#NUM!</v>
      </c>
      <c r="CB169" s="22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387.15063677712425</v>
      </c>
      <c r="CE169" s="59">
        <f t="shared" si="148"/>
        <v>313.19155394370705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43.087117631106871</v>
      </c>
      <c r="CL169" s="23">
        <f>EXP(-LN(2)/25)*CL168+(1-EXP(-LN(2)/25))/(LN(2)/25)*Calculateur!CG169*Calculateur!CI169*VLOOKUP('Données projet'!$B$12,Paramètres!$A$1:$I$88,3,0)*0.475*44/12</f>
        <v>0</v>
      </c>
      <c r="CM169" s="23">
        <f>EXP(-LN(2)/2)*CM168+(1-EXP(-LN(2)/2))/(LN(2)/2)*CG169*CJ169*VLOOKUP('Données projet'!$B$12,Paramètres!$A$1:$I$88,3,0)*0.475*44/12</f>
        <v>0</v>
      </c>
      <c r="CN169" s="24">
        <f t="shared" si="172"/>
        <v>43.087117631106871</v>
      </c>
      <c r="CO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6.083333333333333</v>
      </c>
      <c r="CT169" s="13">
        <f>IF('Données projet'!$A$140&gt;35,CT168+CS169-DB168,IF(A169&lt;'Données projet'!$A$140,$CQ$205^A169,IF(A169='Données projet'!$A$140,'Données projet'!$B$140,CT168+CS169-DB168)))</f>
        <v>368.5833333333332</v>
      </c>
      <c r="CU169" s="18">
        <f>CT169*VLOOKUP('Données projet'!$B$13,Paramètres!$A$1:$I$88,3,0)*VLOOKUP('Données projet'!$B$13,Paramètres!$A$1:$I$88,5,0)</f>
        <v>356.49379999999991</v>
      </c>
      <c r="CV169" s="14">
        <f t="shared" si="173"/>
        <v>82.898218092264813</v>
      </c>
      <c r="CW169" s="22">
        <f t="shared" si="174"/>
        <v>765.2744315106944</v>
      </c>
      <c r="CX169" s="59">
        <f t="shared" si="122"/>
        <v>1058.6077648440278</v>
      </c>
      <c r="CY169" s="59">
        <f ca="1">AVERAGE(OFFSET($CX$3,0,0,'Données projet'!$E$13+1,1))-AVERAGE(OFFSET($H$3,0,0,'Données projet'!$E$13+1,1))</f>
        <v>306.00894145276209</v>
      </c>
      <c r="CZ169" s="59">
        <f t="shared" si="150"/>
        <v>168.74705421228828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52.462691305253472</v>
      </c>
      <c r="DG169" s="23">
        <f>EXP(-LN(2)/25)*DG168+(1-EXP(-LN(2)/25))/(LN(2)/25)*Calculateur!DB169*Calculateur!DD169*VLOOKUP('Données projet'!$B$13,Paramètres!$A$1:$I$88,3,0)*0.475*44/12</f>
        <v>0</v>
      </c>
      <c r="DH169" s="23">
        <f>EXP(-LN(2)/2)*DH168+(1-EXP(-LN(2)/2))/(LN(2)/2)*DB169*DE169*VLOOKUP('Données projet'!$B$13,Paramètres!$A$1:$I$88,3,0)*0.475*44/12</f>
        <v>0</v>
      </c>
      <c r="DI169" s="24">
        <f t="shared" si="175"/>
        <v>52.462691305253472</v>
      </c>
      <c r="DJ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-3.4106051316484809E-13</v>
      </c>
      <c r="DP169" s="18">
        <f>DO169*VLOOKUP('Données projet'!$B$14,Paramètres!$A$1:$I$88,3,0)*VLOOKUP('Données projet'!$B$14,Paramètres!$A$1:$I$88,5,0)</f>
        <v>-2.6602720026858149E-13</v>
      </c>
      <c r="DQ169" s="14" t="e">
        <f t="shared" si="176"/>
        <v>#NUM!</v>
      </c>
      <c r="DR169" s="22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458.14328535055694</v>
      </c>
      <c r="DU169" s="59">
        <f t="shared" si="152"/>
        <v>366.75500153675739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projet'!$B$14,Paramètres!$A$1:$I$88,3,0)*0.475*44/12</f>
        <v>40.648224180289546</v>
      </c>
      <c r="EB169" s="23">
        <f>EXP(-LN(2)/25)*EB168+(1-EXP(-LN(2)/25))/(LN(2)/25)*Calculateur!DW169*Calculateur!DY169*VLOOKUP('Données projet'!$B$14,Paramètres!$A$1:$I$88,3,0)*0.475*44/12</f>
        <v>0</v>
      </c>
      <c r="EC169" s="23">
        <f>EXP(-LN(2)/2)*EC168+(1-EXP(-LN(2)/2))/(LN(2)/2)*DW169*DZ169*VLOOKUP('Données projet'!$B$14,Paramètres!$A$1:$I$88,3,0)*0.475*44/12</f>
        <v>0</v>
      </c>
      <c r="ED169" s="24">
        <f t="shared" si="178"/>
        <v>40.648224180289546</v>
      </c>
      <c r="EE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4.5474735088646412E-13</v>
      </c>
      <c r="EK169" s="18">
        <f>EJ169*VLOOKUP('Données projet'!$B$15,Paramètres!$A$1:$I$88,3,0)*VLOOKUP('Données projet'!$B$15,Paramètres!$A$1:$I$88,5,0)</f>
        <v>3.9017322706058626E-13</v>
      </c>
      <c r="EL169" s="14">
        <f t="shared" si="179"/>
        <v>5.0025007393608908E-12</v>
      </c>
      <c r="EM169" s="22">
        <f t="shared" si="180"/>
        <v>9.3922404915174053E-12</v>
      </c>
      <c r="EN169" s="59">
        <f t="shared" si="128"/>
        <v>293.33333333334269</v>
      </c>
      <c r="EO169" s="59">
        <f ca="1">AVERAGE(OFFSET($EN$3,0,0,'Données projet'!$E$15+1,1))-AVERAGE(OFFSET($H$3,0,0,'Données projet'!$E$15+1,1))</f>
        <v>462.99360395552145</v>
      </c>
      <c r="EP169" s="59">
        <f t="shared" si="154"/>
        <v>153.03880717786046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projet'!$B$15,Paramètres!$A$1:$I$88,3,0)*0.475*44/12</f>
        <v>70.754212368192597</v>
      </c>
      <c r="EW169" s="23">
        <f>EXP(-LN(2)/25)*EW168+(1-EXP(-LN(2)/25))/(LN(2)/25)*Calculateur!ER169*Calculateur!ET169*VLOOKUP('Données projet'!$B$15,Paramètres!$A$1:$I$88,3,0)*0.475*44/12</f>
        <v>0</v>
      </c>
      <c r="EX169" s="23">
        <f>EXP(-LN(2)/2)*EX168+(1-EXP(-LN(2)/2))/(LN(2)/2)*ER169*EU169*VLOOKUP('Données projet'!$B$15,Paramètres!$A$1:$I$88,3,0)*0.475*44/12</f>
        <v>0</v>
      </c>
      <c r="EY169" s="24">
        <f t="shared" si="181"/>
        <v>70.754212368192597</v>
      </c>
      <c r="EZ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2.2737367544323206E-13</v>
      </c>
      <c r="FF169" s="18">
        <f>FE169*VLOOKUP('Données projet'!$B$16,Paramètres!$A$1:$I$88,3,0)*VLOOKUP('Données projet'!$B$16,Paramètres!$A$1:$I$88,5,0)</f>
        <v>1.9863364286720756E-13</v>
      </c>
      <c r="FG169" s="14">
        <f t="shared" si="182"/>
        <v>2.7549360720371426E-12</v>
      </c>
      <c r="FH169" s="22">
        <f t="shared" si="183"/>
        <v>5.144133920125077E-12</v>
      </c>
      <c r="FI169" s="59">
        <f t="shared" si="131"/>
        <v>293.33333333333843</v>
      </c>
      <c r="FJ169" s="59">
        <f ca="1">AVERAGE(OFFSET($FI$3,0,0,'Données projet'!$E$16+1,1))-AVERAGE(OFFSET($H$3,0,0,'Données projet'!$E$16+1,1))</f>
        <v>427.76895185088944</v>
      </c>
      <c r="FK169" s="59">
        <f t="shared" si="156"/>
        <v>308.32543361559135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projet'!$B$16,Paramètres!$A$1:$I$88,3,0)*0.475*44/12</f>
        <v>57.459658359499507</v>
      </c>
      <c r="FR169" s="23">
        <f>EXP(-LN(2)/25)*FR168+(1-EXP(-LN(2)/25))/(LN(2)/25)*Calculateur!FM169*Calculateur!FO169*VLOOKUP('Données projet'!$B$16,Paramètres!$A$1:$I$88,3,0)*0.475*44/12</f>
        <v>0</v>
      </c>
      <c r="FS169" s="23">
        <f>EXP(-LN(2)/2)*FS168+(1-EXP(-LN(2)/2))/(LN(2)/2)*FM169*FP169*VLOOKUP('Données projet'!$B$16,Paramètres!$A$1:$I$88,3,0)*0.475*44/12</f>
        <v>0</v>
      </c>
      <c r="FT169" s="24">
        <f t="shared" si="184"/>
        <v>57.459658359499507</v>
      </c>
      <c r="FU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333.00000000000006</v>
      </c>
      <c r="GA169" s="18">
        <f>FZ169*VLOOKUP('Données projet'!$B$17,Paramètres!$A$1:$I$88,3,0)*VLOOKUP('Données projet'!$B$17,Paramètres!$A$1:$I$88,5,0)</f>
        <v>207.79200000000006</v>
      </c>
      <c r="GB169" s="14">
        <f t="shared" si="185"/>
        <v>51.452785725007907</v>
      </c>
      <c r="GC169" s="22">
        <f t="shared" si="186"/>
        <v>451.5180018043888</v>
      </c>
      <c r="GD169" s="59">
        <f t="shared" si="134"/>
        <v>744.85133513772212</v>
      </c>
      <c r="GE169" s="59">
        <f ca="1">AVERAGE(OFFSET($GD$3,0,0,'Données projet'!$E$17+1,1))-AVERAGE(OFFSET($H$3,0,0,'Données projet'!$E$17+1,1))</f>
        <v>247.85542034088905</v>
      </c>
      <c r="GF169" s="59">
        <f t="shared" si="158"/>
        <v>299.52241743660352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projet'!$B$17,Paramètres!$A$1:$I$88,3,0)*0.475*44/12</f>
        <v>4.553185945779525</v>
      </c>
      <c r="GM169" s="23">
        <f>EXP(-LN(2)/25)*GM168+(1-EXP(-LN(2)/25))/(LN(2)/25)*Calculateur!GH169*Calculateur!GJ169*VLOOKUP('Données projet'!$B$17,Paramètres!$A$1:$I$88,3,0)*0.475*44/12</f>
        <v>2.0124126927316457</v>
      </c>
      <c r="GN169" s="23">
        <f>EXP(-LN(2)/2)*GN168+(1-EXP(-LN(2)/2))/(LN(2)/2)*GH169*GK169*VLOOKUP('Données projet'!$B$17,Paramètres!$A$1:$I$88,3,0)*0.475*44/12</f>
        <v>4.7519883823936537E-15</v>
      </c>
      <c r="GO169" s="23">
        <f t="shared" si="187"/>
        <v>6.5655986385111751</v>
      </c>
      <c r="GP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3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6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projet'!$B$9,Paramètres!$A$1:$I$88,3,0)*VLOOKUP('Données projet'!$B$9,Paramètres!$A$1:$I$88,5,0)</f>
        <v>-2.0572770154103635E-13</v>
      </c>
      <c r="P170" s="14" t="e">
        <f t="shared" si="141"/>
        <v>#NUM!</v>
      </c>
      <c r="Q170" s="22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247.57967230773539</v>
      </c>
      <c r="T170" s="59">
        <f t="shared" si="142"/>
        <v>156.58857589533295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110.54303521346246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110.54303521346246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-3.4106051316484809E-13</v>
      </c>
      <c r="AJ170" s="14">
        <f>AI170*VLOOKUP('Données projet'!$B$10,Paramètres!$A$1:$I$88,3,0)*VLOOKUP('Données projet'!$B$10,Paramètres!$A$1:$I$88,5,0)</f>
        <v>-2.7134774427395314E-13</v>
      </c>
      <c r="AK170" s="14" t="e">
        <f t="shared" si="164"/>
        <v>#NUM!</v>
      </c>
      <c r="AL170" s="22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504.15006129790828</v>
      </c>
      <c r="AO170" s="59">
        <f t="shared" si="144"/>
        <v>374.39334457402742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64.068806301709671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64.068806301709671</v>
      </c>
      <c r="AY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-3.4106051316484809E-13</v>
      </c>
      <c r="BE170" s="14">
        <f>BD170*VLOOKUP('Données projet'!$B$11,Paramètres!$A$1:$I$88,3,0)*VLOOKUP('Données projet'!$B$11,Paramètres!$A$1:$I$88,5,0)</f>
        <v>-2.7134774427395314E-13</v>
      </c>
      <c r="BF170" s="14" t="e">
        <f t="shared" si="167"/>
        <v>#NUM!</v>
      </c>
      <c r="BG170" s="22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504.15006129790828</v>
      </c>
      <c r="BJ170" s="59">
        <f t="shared" si="146"/>
        <v>374.39334457402742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64.068806301709671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64.068806301709671</v>
      </c>
      <c r="BT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-3.4106051316484809E-13</v>
      </c>
      <c r="BZ170" s="14">
        <f>BY170*VLOOKUP('Données projet'!$B$12,Paramètres!$A$1:$I$88,3,0)*VLOOKUP('Données projet'!$B$12,Paramètres!$A$1:$I$88,5,0)</f>
        <v>-2.2878339223098009E-13</v>
      </c>
      <c r="CA170" s="14" t="e">
        <f t="shared" si="170"/>
        <v>#NUM!</v>
      </c>
      <c r="CB170" s="22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387.15063677712425</v>
      </c>
      <c r="CE170" s="59">
        <f t="shared" si="148"/>
        <v>313.19155394370705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42.242205534907633</v>
      </c>
      <c r="CL170" s="23">
        <f>EXP(-LN(2)/25)*CL169+(1-EXP(-LN(2)/25))/(LN(2)/25)*Calculateur!CG170*Calculateur!CI170*VLOOKUP('Données projet'!$B$12,Paramètres!$A$1:$I$88,3,0)*0.475*44/12</f>
        <v>0</v>
      </c>
      <c r="CM170" s="23">
        <f>EXP(-LN(2)/2)*CM169+(1-EXP(-LN(2)/2))/(LN(2)/2)*CG170*CJ170*VLOOKUP('Données projet'!$B$12,Paramètres!$A$1:$I$88,3,0)*0.475*44/12</f>
        <v>0</v>
      </c>
      <c r="CN170" s="24">
        <f t="shared" si="172"/>
        <v>42.242205534907633</v>
      </c>
      <c r="CO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6.083333333333333</v>
      </c>
      <c r="CT170" s="13">
        <f>IF('Données projet'!$A$140&gt;35,CT169+CS170-DB169,IF(A170&lt;'Données projet'!$A$140,$CQ$205^A170,IF(A170='Données projet'!$A$140,'Données projet'!$B$140,CT169+CS170-DB169)))</f>
        <v>374.66666666666652</v>
      </c>
      <c r="CU170" s="18">
        <f>CT170*VLOOKUP('Données projet'!$B$13,Paramètres!$A$1:$I$88,3,0)*VLOOKUP('Données projet'!$B$13,Paramètres!$A$1:$I$88,5,0)</f>
        <v>362.37759999999986</v>
      </c>
      <c r="CV170" s="14">
        <f t="shared" si="173"/>
        <v>84.106009665670484</v>
      </c>
      <c r="CW170" s="22">
        <f t="shared" si="174"/>
        <v>777.62562016770914</v>
      </c>
      <c r="CX170" s="59">
        <f t="shared" si="122"/>
        <v>1070.9589535010425</v>
      </c>
      <c r="CY170" s="59">
        <f ca="1">AVERAGE(OFFSET($CX$3,0,0,'Données projet'!$E$13+1,1))-AVERAGE(OFFSET($H$3,0,0,'Données projet'!$E$13+1,1))</f>
        <v>306.00894145276209</v>
      </c>
      <c r="CZ170" s="59">
        <f t="shared" si="150"/>
        <v>168.74705421228828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51.4339299278395</v>
      </c>
      <c r="DG170" s="23">
        <f>EXP(-LN(2)/25)*DG169+(1-EXP(-LN(2)/25))/(LN(2)/25)*Calculateur!DB170*Calculateur!DD170*VLOOKUP('Données projet'!$B$13,Paramètres!$A$1:$I$88,3,0)*0.475*44/12</f>
        <v>0</v>
      </c>
      <c r="DH170" s="23">
        <f>EXP(-LN(2)/2)*DH169+(1-EXP(-LN(2)/2))/(LN(2)/2)*DB170*DE170*VLOOKUP('Données projet'!$B$13,Paramètres!$A$1:$I$88,3,0)*0.475*44/12</f>
        <v>0</v>
      </c>
      <c r="DI170" s="24">
        <f t="shared" si="175"/>
        <v>51.4339299278395</v>
      </c>
      <c r="DJ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-3.4106051316484809E-13</v>
      </c>
      <c r="DP170" s="18">
        <f>DO170*VLOOKUP('Données projet'!$B$14,Paramètres!$A$1:$I$88,3,0)*VLOOKUP('Données projet'!$B$14,Paramètres!$A$1:$I$88,5,0)</f>
        <v>-2.6602720026858149E-13</v>
      </c>
      <c r="DQ170" s="14" t="e">
        <f t="shared" si="176"/>
        <v>#NUM!</v>
      </c>
      <c r="DR170" s="22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458.14328535055694</v>
      </c>
      <c r="DU170" s="59">
        <f t="shared" si="152"/>
        <v>366.75500153675739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projet'!$B$14,Paramètres!$A$1:$I$88,3,0)*0.475*44/12</f>
        <v>39.851137297082715</v>
      </c>
      <c r="EB170" s="23">
        <f>EXP(-LN(2)/25)*EB169+(1-EXP(-LN(2)/25))/(LN(2)/25)*Calculateur!DW170*Calculateur!DY170*VLOOKUP('Données projet'!$B$14,Paramètres!$A$1:$I$88,3,0)*0.475*44/12</f>
        <v>0</v>
      </c>
      <c r="EC170" s="23">
        <f>EXP(-LN(2)/2)*EC169+(1-EXP(-LN(2)/2))/(LN(2)/2)*DW170*DZ170*VLOOKUP('Données projet'!$B$14,Paramètres!$A$1:$I$88,3,0)*0.475*44/12</f>
        <v>0</v>
      </c>
      <c r="ED170" s="24">
        <f t="shared" si="178"/>
        <v>39.851137297082715</v>
      </c>
      <c r="EE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4.5474735088646412E-13</v>
      </c>
      <c r="EK170" s="18">
        <f>EJ170*VLOOKUP('Données projet'!$B$15,Paramètres!$A$1:$I$88,3,0)*VLOOKUP('Données projet'!$B$15,Paramètres!$A$1:$I$88,5,0)</f>
        <v>3.9017322706058626E-13</v>
      </c>
      <c r="EL170" s="14">
        <f t="shared" si="179"/>
        <v>5.0025007393608908E-12</v>
      </c>
      <c r="EM170" s="22">
        <f t="shared" si="180"/>
        <v>9.3922404915174053E-12</v>
      </c>
      <c r="EN170" s="59">
        <f t="shared" si="128"/>
        <v>293.33333333334269</v>
      </c>
      <c r="EO170" s="59">
        <f ca="1">AVERAGE(OFFSET($EN$3,0,0,'Données projet'!$E$15+1,1))-AVERAGE(OFFSET($H$3,0,0,'Données projet'!$E$15+1,1))</f>
        <v>462.99360395552145</v>
      </c>
      <c r="EP170" s="59">
        <f t="shared" si="154"/>
        <v>153.03880717786046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projet'!$B$15,Paramètres!$A$1:$I$88,3,0)*0.475*44/12</f>
        <v>69.366765419460606</v>
      </c>
      <c r="EW170" s="23">
        <f>EXP(-LN(2)/25)*EW169+(1-EXP(-LN(2)/25))/(LN(2)/25)*Calculateur!ER170*Calculateur!ET170*VLOOKUP('Données projet'!$B$15,Paramètres!$A$1:$I$88,3,0)*0.475*44/12</f>
        <v>0</v>
      </c>
      <c r="EX170" s="23">
        <f>EXP(-LN(2)/2)*EX169+(1-EXP(-LN(2)/2))/(LN(2)/2)*ER170*EU170*VLOOKUP('Données projet'!$B$15,Paramètres!$A$1:$I$88,3,0)*0.475*44/12</f>
        <v>0</v>
      </c>
      <c r="EY170" s="24">
        <f t="shared" si="181"/>
        <v>69.366765419460606</v>
      </c>
      <c r="EZ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2.2737367544323206E-13</v>
      </c>
      <c r="FF170" s="18">
        <f>FE170*VLOOKUP('Données projet'!$B$16,Paramètres!$A$1:$I$88,3,0)*VLOOKUP('Données projet'!$B$16,Paramètres!$A$1:$I$88,5,0)</f>
        <v>1.9863364286720756E-13</v>
      </c>
      <c r="FG170" s="14">
        <f t="shared" si="182"/>
        <v>2.7549360720371426E-12</v>
      </c>
      <c r="FH170" s="22">
        <f t="shared" si="183"/>
        <v>5.144133920125077E-12</v>
      </c>
      <c r="FI170" s="59">
        <f t="shared" si="131"/>
        <v>293.33333333333843</v>
      </c>
      <c r="FJ170" s="59">
        <f ca="1">AVERAGE(OFFSET($FI$3,0,0,'Données projet'!$E$16+1,1))-AVERAGE(OFFSET($H$3,0,0,'Données projet'!$E$16+1,1))</f>
        <v>427.76895185088944</v>
      </c>
      <c r="FK170" s="59">
        <f t="shared" si="156"/>
        <v>308.32543361559135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projet'!$B$16,Paramètres!$A$1:$I$88,3,0)*0.475*44/12</f>
        <v>56.332909506000725</v>
      </c>
      <c r="FR170" s="23">
        <f>EXP(-LN(2)/25)*FR169+(1-EXP(-LN(2)/25))/(LN(2)/25)*Calculateur!FM170*Calculateur!FO170*VLOOKUP('Données projet'!$B$16,Paramètres!$A$1:$I$88,3,0)*0.475*44/12</f>
        <v>0</v>
      </c>
      <c r="FS170" s="23">
        <f>EXP(-LN(2)/2)*FS169+(1-EXP(-LN(2)/2))/(LN(2)/2)*FM170*FP170*VLOOKUP('Données projet'!$B$16,Paramètres!$A$1:$I$88,3,0)*0.475*44/12</f>
        <v>0</v>
      </c>
      <c r="FT170" s="24">
        <f t="shared" si="184"/>
        <v>56.332909506000725</v>
      </c>
      <c r="FU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333.00000000000006</v>
      </c>
      <c r="GA170" s="18">
        <f>FZ170*VLOOKUP('Données projet'!$B$17,Paramètres!$A$1:$I$88,3,0)*VLOOKUP('Données projet'!$B$17,Paramètres!$A$1:$I$88,5,0)</f>
        <v>207.79200000000006</v>
      </c>
      <c r="GB170" s="14">
        <f t="shared" si="185"/>
        <v>51.452785725007907</v>
      </c>
      <c r="GC170" s="22">
        <f t="shared" si="186"/>
        <v>451.5180018043888</v>
      </c>
      <c r="GD170" s="59">
        <f t="shared" si="134"/>
        <v>744.85133513772212</v>
      </c>
      <c r="GE170" s="59">
        <f ca="1">AVERAGE(OFFSET($GD$3,0,0,'Données projet'!$E$17+1,1))-AVERAGE(OFFSET($H$3,0,0,'Données projet'!$E$17+1,1))</f>
        <v>247.85542034088905</v>
      </c>
      <c r="GF170" s="59">
        <f t="shared" si="158"/>
        <v>299.52241743660352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projet'!$B$17,Paramètres!$A$1:$I$88,3,0)*0.475*44/12</f>
        <v>4.4639007465519924</v>
      </c>
      <c r="GM170" s="23">
        <f>EXP(-LN(2)/25)*GM169+(1-EXP(-LN(2)/25))/(LN(2)/25)*Calculateur!GH170*Calculateur!GJ170*VLOOKUP('Données projet'!$B$17,Paramètres!$A$1:$I$88,3,0)*0.475*44/12</f>
        <v>1.9573831618207147</v>
      </c>
      <c r="GN170" s="23">
        <f>EXP(-LN(2)/2)*GN169+(1-EXP(-LN(2)/2))/(LN(2)/2)*GH170*GK170*VLOOKUP('Données projet'!$B$17,Paramètres!$A$1:$I$88,3,0)*0.475*44/12</f>
        <v>3.3601632093102452E-15</v>
      </c>
      <c r="GO170" s="23">
        <f t="shared" si="187"/>
        <v>6.4212839083727111</v>
      </c>
      <c r="GP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3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6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projet'!$B$9,Paramètres!$A$1:$I$88,3,0)*VLOOKUP('Données projet'!$B$9,Paramètres!$A$1:$I$88,5,0)</f>
        <v>-2.0572770154103635E-13</v>
      </c>
      <c r="P171" s="14" t="e">
        <f t="shared" si="141"/>
        <v>#NUM!</v>
      </c>
      <c r="Q171" s="22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247.57967230773539</v>
      </c>
      <c r="T171" s="59">
        <f t="shared" si="142"/>
        <v>156.58857589533295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108.37535371752031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108.37535371752031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-3.4106051316484809E-13</v>
      </c>
      <c r="AJ171" s="14">
        <f>AI171*VLOOKUP('Données projet'!$B$10,Paramètres!$A$1:$I$88,3,0)*VLOOKUP('Données projet'!$B$10,Paramètres!$A$1:$I$88,5,0)</f>
        <v>-2.7134774427395314E-13</v>
      </c>
      <c r="AK171" s="14" t="e">
        <f t="shared" si="164"/>
        <v>#NUM!</v>
      </c>
      <c r="AL171" s="22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504.15006129790828</v>
      </c>
      <c r="AO171" s="59">
        <f t="shared" si="144"/>
        <v>374.39334457402742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62.812456088246343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62.812456088246343</v>
      </c>
      <c r="AY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-3.4106051316484809E-13</v>
      </c>
      <c r="BE171" s="14">
        <f>BD171*VLOOKUP('Données projet'!$B$11,Paramètres!$A$1:$I$88,3,0)*VLOOKUP('Données projet'!$B$11,Paramètres!$A$1:$I$88,5,0)</f>
        <v>-2.7134774427395314E-13</v>
      </c>
      <c r="BF171" s="14" t="e">
        <f t="shared" si="167"/>
        <v>#NUM!</v>
      </c>
      <c r="BG171" s="22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504.15006129790828</v>
      </c>
      <c r="BJ171" s="59">
        <f t="shared" si="146"/>
        <v>374.39334457402742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62.812456088246343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62.812456088246343</v>
      </c>
      <c r="BT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-3.4106051316484809E-13</v>
      </c>
      <c r="BZ171" s="14">
        <f>BY171*VLOOKUP('Données projet'!$B$12,Paramètres!$A$1:$I$88,3,0)*VLOOKUP('Données projet'!$B$12,Paramètres!$A$1:$I$88,5,0)</f>
        <v>-2.2878339223098009E-13</v>
      </c>
      <c r="CA171" s="14" t="e">
        <f t="shared" si="170"/>
        <v>#NUM!</v>
      </c>
      <c r="CB171" s="22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387.15063677712425</v>
      </c>
      <c r="CE171" s="59">
        <f t="shared" si="148"/>
        <v>313.19155394370705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41.41386164956937</v>
      </c>
      <c r="CL171" s="23">
        <f>EXP(-LN(2)/25)*CL170+(1-EXP(-LN(2)/25))/(LN(2)/25)*Calculateur!CG171*Calculateur!CI171*VLOOKUP('Données projet'!$B$12,Paramètres!$A$1:$I$88,3,0)*0.475*44/12</f>
        <v>0</v>
      </c>
      <c r="CM171" s="23">
        <f>EXP(-LN(2)/2)*CM170+(1-EXP(-LN(2)/2))/(LN(2)/2)*CG171*CJ171*VLOOKUP('Données projet'!$B$12,Paramètres!$A$1:$I$88,3,0)*0.475*44/12</f>
        <v>0</v>
      </c>
      <c r="CN171" s="24">
        <f t="shared" si="172"/>
        <v>41.41386164956937</v>
      </c>
      <c r="CO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6.083333333333333</v>
      </c>
      <c r="CT171" s="13">
        <f>IF('Données projet'!$A$140&gt;35,CT170+CS171-DB170,IF(A171&lt;'Données projet'!$A$140,$CQ$205^A171,IF(A171='Données projet'!$A$140,'Données projet'!$B$140,CT170+CS171-DB170)))</f>
        <v>380.74999999999983</v>
      </c>
      <c r="CU171" s="18">
        <f>CT171*VLOOKUP('Données projet'!$B$13,Paramètres!$A$1:$I$88,3,0)*VLOOKUP('Données projet'!$B$13,Paramètres!$A$1:$I$88,5,0)</f>
        <v>368.26139999999981</v>
      </c>
      <c r="CV171" s="14">
        <f t="shared" si="173"/>
        <v>85.311520627226884</v>
      </c>
      <c r="CW171" s="22">
        <f t="shared" si="174"/>
        <v>789.97283675908648</v>
      </c>
      <c r="CX171" s="59">
        <f t="shared" si="122"/>
        <v>1083.3061700924197</v>
      </c>
      <c r="CY171" s="59">
        <f ca="1">AVERAGE(OFFSET($CX$3,0,0,'Données projet'!$E$13+1,1))-AVERAGE(OFFSET($H$3,0,0,'Données projet'!$E$13+1,1))</f>
        <v>306.00894145276209</v>
      </c>
      <c r="CZ171" s="59">
        <f t="shared" si="150"/>
        <v>168.74705421228828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50.425341933554137</v>
      </c>
      <c r="DG171" s="23">
        <f>EXP(-LN(2)/25)*DG170+(1-EXP(-LN(2)/25))/(LN(2)/25)*Calculateur!DB171*Calculateur!DD171*VLOOKUP('Données projet'!$B$13,Paramètres!$A$1:$I$88,3,0)*0.475*44/12</f>
        <v>0</v>
      </c>
      <c r="DH171" s="23">
        <f>EXP(-LN(2)/2)*DH170+(1-EXP(-LN(2)/2))/(LN(2)/2)*DB171*DE171*VLOOKUP('Données projet'!$B$13,Paramètres!$A$1:$I$88,3,0)*0.475*44/12</f>
        <v>0</v>
      </c>
      <c r="DI171" s="24">
        <f t="shared" si="175"/>
        <v>50.425341933554137</v>
      </c>
      <c r="DJ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-3.4106051316484809E-13</v>
      </c>
      <c r="DP171" s="18">
        <f>DO171*VLOOKUP('Données projet'!$B$14,Paramètres!$A$1:$I$88,3,0)*VLOOKUP('Données projet'!$B$14,Paramètres!$A$1:$I$88,5,0)</f>
        <v>-2.6602720026858149E-13</v>
      </c>
      <c r="DQ171" s="14" t="e">
        <f t="shared" si="176"/>
        <v>#NUM!</v>
      </c>
      <c r="DR171" s="22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458.14328535055694</v>
      </c>
      <c r="DU171" s="59">
        <f t="shared" si="152"/>
        <v>366.75500153675739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projet'!$B$14,Paramètres!$A$1:$I$88,3,0)*0.475*44/12</f>
        <v>39.06968080148058</v>
      </c>
      <c r="EB171" s="23">
        <f>EXP(-LN(2)/25)*EB170+(1-EXP(-LN(2)/25))/(LN(2)/25)*Calculateur!DW171*Calculateur!DY171*VLOOKUP('Données projet'!$B$14,Paramètres!$A$1:$I$88,3,0)*0.475*44/12</f>
        <v>0</v>
      </c>
      <c r="EC171" s="23">
        <f>EXP(-LN(2)/2)*EC170+(1-EXP(-LN(2)/2))/(LN(2)/2)*DW171*DZ171*VLOOKUP('Données projet'!$B$14,Paramètres!$A$1:$I$88,3,0)*0.475*44/12</f>
        <v>0</v>
      </c>
      <c r="ED171" s="24">
        <f t="shared" si="178"/>
        <v>39.06968080148058</v>
      </c>
      <c r="EE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4.5474735088646412E-13</v>
      </c>
      <c r="EK171" s="18">
        <f>EJ171*VLOOKUP('Données projet'!$B$15,Paramètres!$A$1:$I$88,3,0)*VLOOKUP('Données projet'!$B$15,Paramètres!$A$1:$I$88,5,0)</f>
        <v>3.9017322706058626E-13</v>
      </c>
      <c r="EL171" s="14">
        <f t="shared" si="179"/>
        <v>5.0025007393608908E-12</v>
      </c>
      <c r="EM171" s="22">
        <f t="shared" si="180"/>
        <v>9.3922404915174053E-12</v>
      </c>
      <c r="EN171" s="59">
        <f t="shared" si="128"/>
        <v>293.33333333334269</v>
      </c>
      <c r="EO171" s="59">
        <f ca="1">AVERAGE(OFFSET($EN$3,0,0,'Données projet'!$E$15+1,1))-AVERAGE(OFFSET($H$3,0,0,'Données projet'!$E$15+1,1))</f>
        <v>462.99360395552145</v>
      </c>
      <c r="EP171" s="59">
        <f t="shared" si="154"/>
        <v>153.03880717786046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projet'!$B$15,Paramètres!$A$1:$I$88,3,0)*0.475*44/12</f>
        <v>68.006525459134167</v>
      </c>
      <c r="EW171" s="23">
        <f>EXP(-LN(2)/25)*EW170+(1-EXP(-LN(2)/25))/(LN(2)/25)*Calculateur!ER171*Calculateur!ET171*VLOOKUP('Données projet'!$B$15,Paramètres!$A$1:$I$88,3,0)*0.475*44/12</f>
        <v>0</v>
      </c>
      <c r="EX171" s="23">
        <f>EXP(-LN(2)/2)*EX170+(1-EXP(-LN(2)/2))/(LN(2)/2)*ER171*EU171*VLOOKUP('Données projet'!$B$15,Paramètres!$A$1:$I$88,3,0)*0.475*44/12</f>
        <v>0</v>
      </c>
      <c r="EY171" s="24">
        <f t="shared" si="181"/>
        <v>68.006525459134167</v>
      </c>
      <c r="EZ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2.2737367544323206E-13</v>
      </c>
      <c r="FF171" s="18">
        <f>FE171*VLOOKUP('Données projet'!$B$16,Paramètres!$A$1:$I$88,3,0)*VLOOKUP('Données projet'!$B$16,Paramètres!$A$1:$I$88,5,0)</f>
        <v>1.9863364286720756E-13</v>
      </c>
      <c r="FG171" s="14">
        <f t="shared" si="182"/>
        <v>2.7549360720371426E-12</v>
      </c>
      <c r="FH171" s="22">
        <f t="shared" si="183"/>
        <v>5.144133920125077E-12</v>
      </c>
      <c r="FI171" s="59">
        <f t="shared" si="131"/>
        <v>293.33333333333843</v>
      </c>
      <c r="FJ171" s="59">
        <f ca="1">AVERAGE(OFFSET($FI$3,0,0,'Données projet'!$E$16+1,1))-AVERAGE(OFFSET($H$3,0,0,'Données projet'!$E$16+1,1))</f>
        <v>427.76895185088944</v>
      </c>
      <c r="FK171" s="59">
        <f t="shared" si="156"/>
        <v>308.32543361559135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projet'!$B$16,Paramètres!$A$1:$I$88,3,0)*0.475*44/12</f>
        <v>55.22825551027011</v>
      </c>
      <c r="FR171" s="23">
        <f>EXP(-LN(2)/25)*FR170+(1-EXP(-LN(2)/25))/(LN(2)/25)*Calculateur!FM171*Calculateur!FO171*VLOOKUP('Données projet'!$B$16,Paramètres!$A$1:$I$88,3,0)*0.475*44/12</f>
        <v>0</v>
      </c>
      <c r="FS171" s="23">
        <f>EXP(-LN(2)/2)*FS170+(1-EXP(-LN(2)/2))/(LN(2)/2)*FM171*FP171*VLOOKUP('Données projet'!$B$16,Paramètres!$A$1:$I$88,3,0)*0.475*44/12</f>
        <v>0</v>
      </c>
      <c r="FT171" s="24">
        <f t="shared" si="184"/>
        <v>55.22825551027011</v>
      </c>
      <c r="FU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333.00000000000006</v>
      </c>
      <c r="GA171" s="18">
        <f>FZ171*VLOOKUP('Données projet'!$B$17,Paramètres!$A$1:$I$88,3,0)*VLOOKUP('Données projet'!$B$17,Paramètres!$A$1:$I$88,5,0)</f>
        <v>207.79200000000006</v>
      </c>
      <c r="GB171" s="14">
        <f t="shared" si="185"/>
        <v>51.452785725007907</v>
      </c>
      <c r="GC171" s="22">
        <f t="shared" si="186"/>
        <v>451.5180018043888</v>
      </c>
      <c r="GD171" s="59">
        <f t="shared" si="134"/>
        <v>744.85133513772212</v>
      </c>
      <c r="GE171" s="59">
        <f ca="1">AVERAGE(OFFSET($GD$3,0,0,'Données projet'!$E$17+1,1))-AVERAGE(OFFSET($H$3,0,0,'Données projet'!$E$17+1,1))</f>
        <v>247.85542034088905</v>
      </c>
      <c r="GF171" s="59">
        <f t="shared" si="158"/>
        <v>299.52241743660352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projet'!$B$17,Paramètres!$A$1:$I$88,3,0)*0.475*44/12</f>
        <v>4.3763663756227178</v>
      </c>
      <c r="GM171" s="23">
        <f>EXP(-LN(2)/25)*GM170+(1-EXP(-LN(2)/25))/(LN(2)/25)*Calculateur!GH171*Calculateur!GJ171*VLOOKUP('Données projet'!$B$17,Paramètres!$A$1:$I$88,3,0)*0.475*44/12</f>
        <v>1.9038584163264205</v>
      </c>
      <c r="GN171" s="23">
        <f>EXP(-LN(2)/2)*GN170+(1-EXP(-LN(2)/2))/(LN(2)/2)*GH171*GK171*VLOOKUP('Données projet'!$B$17,Paramètres!$A$1:$I$88,3,0)*0.475*44/12</f>
        <v>2.3759941911968268E-15</v>
      </c>
      <c r="GO171" s="23">
        <f t="shared" si="187"/>
        <v>6.2802247919491405</v>
      </c>
      <c r="GP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3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6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projet'!$B$9,Paramètres!$A$1:$I$88,3,0)*VLOOKUP('Données projet'!$B$9,Paramètres!$A$1:$I$88,5,0)</f>
        <v>-2.0572770154103635E-13</v>
      </c>
      <c r="P172" s="14" t="e">
        <f t="shared" si="141"/>
        <v>#NUM!</v>
      </c>
      <c r="Q172" s="22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247.57967230773539</v>
      </c>
      <c r="T172" s="59">
        <f t="shared" si="142"/>
        <v>156.58857589533295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106.25017913355843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106.25017913355843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-3.4106051316484809E-13</v>
      </c>
      <c r="AJ172" s="14">
        <f>AI172*VLOOKUP('Données projet'!$B$10,Paramètres!$A$1:$I$88,3,0)*VLOOKUP('Données projet'!$B$10,Paramètres!$A$1:$I$88,5,0)</f>
        <v>-2.7134774427395314E-13</v>
      </c>
      <c r="AK172" s="14" t="e">
        <f t="shared" si="164"/>
        <v>#NUM!</v>
      </c>
      <c r="AL172" s="22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504.15006129790828</v>
      </c>
      <c r="AO172" s="59">
        <f t="shared" si="144"/>
        <v>374.39334457402742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61.580742136171068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61.580742136171068</v>
      </c>
      <c r="AY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-3.4106051316484809E-13</v>
      </c>
      <c r="BE172" s="14">
        <f>BD172*VLOOKUP('Données projet'!$B$11,Paramètres!$A$1:$I$88,3,0)*VLOOKUP('Données projet'!$B$11,Paramètres!$A$1:$I$88,5,0)</f>
        <v>-2.7134774427395314E-13</v>
      </c>
      <c r="BF172" s="14" t="e">
        <f t="shared" si="167"/>
        <v>#NUM!</v>
      </c>
      <c r="BG172" s="22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504.15006129790828</v>
      </c>
      <c r="BJ172" s="59">
        <f t="shared" si="146"/>
        <v>374.39334457402742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61.580742136171068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61.580742136171068</v>
      </c>
      <c r="BT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-3.4106051316484809E-13</v>
      </c>
      <c r="BZ172" s="14">
        <f>BY172*VLOOKUP('Données projet'!$B$12,Paramètres!$A$1:$I$88,3,0)*VLOOKUP('Données projet'!$B$12,Paramètres!$A$1:$I$88,5,0)</f>
        <v>-2.2878339223098009E-13</v>
      </c>
      <c r="CA172" s="14" t="e">
        <f t="shared" si="170"/>
        <v>#NUM!</v>
      </c>
      <c r="CB172" s="22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387.15063677712425</v>
      </c>
      <c r="CE172" s="59">
        <f t="shared" si="148"/>
        <v>313.19155394370705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40.601761082582705</v>
      </c>
      <c r="CL172" s="23">
        <f>EXP(-LN(2)/25)*CL171+(1-EXP(-LN(2)/25))/(LN(2)/25)*Calculateur!CG172*Calculateur!CI172*VLOOKUP('Données projet'!$B$12,Paramètres!$A$1:$I$88,3,0)*0.475*44/12</f>
        <v>0</v>
      </c>
      <c r="CM172" s="23">
        <f>EXP(-LN(2)/2)*CM171+(1-EXP(-LN(2)/2))/(LN(2)/2)*CG172*CJ172*VLOOKUP('Données projet'!$B$12,Paramètres!$A$1:$I$88,3,0)*0.475*44/12</f>
        <v>0</v>
      </c>
      <c r="CN172" s="24">
        <f t="shared" si="172"/>
        <v>40.601761082582705</v>
      </c>
      <c r="CO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6.083333333333333</v>
      </c>
      <c r="CT172" s="13">
        <f>IF('Données projet'!$A$140&gt;35,CT171+CS172-DB171,IF(A172&lt;'Données projet'!$A$140,$CQ$205^A172,IF(A172='Données projet'!$A$140,'Données projet'!$B$140,CT171+CS172-DB171)))</f>
        <v>386.83333333333314</v>
      </c>
      <c r="CU172" s="18">
        <f>CT172*VLOOKUP('Données projet'!$B$13,Paramètres!$A$1:$I$88,3,0)*VLOOKUP('Données projet'!$B$13,Paramètres!$A$1:$I$88,5,0)</f>
        <v>374.14519999999982</v>
      </c>
      <c r="CV172" s="14">
        <f t="shared" si="173"/>
        <v>86.514791621861349</v>
      </c>
      <c r="CW172" s="22">
        <f t="shared" si="174"/>
        <v>802.31615207474158</v>
      </c>
      <c r="CX172" s="59">
        <f t="shared" si="122"/>
        <v>1095.649485408075</v>
      </c>
      <c r="CY172" s="59">
        <f ca="1">AVERAGE(OFFSET($CX$3,0,0,'Données projet'!$E$13+1,1))-AVERAGE(OFFSET($H$3,0,0,'Données projet'!$E$13+1,1))</f>
        <v>306.00894145276209</v>
      </c>
      <c r="CZ172" s="59">
        <f t="shared" si="150"/>
        <v>168.74705421228828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49.436531734658772</v>
      </c>
      <c r="DG172" s="23">
        <f>EXP(-LN(2)/25)*DG171+(1-EXP(-LN(2)/25))/(LN(2)/25)*Calculateur!DB172*Calculateur!DD172*VLOOKUP('Données projet'!$B$13,Paramètres!$A$1:$I$88,3,0)*0.475*44/12</f>
        <v>0</v>
      </c>
      <c r="DH172" s="23">
        <f>EXP(-LN(2)/2)*DH171+(1-EXP(-LN(2)/2))/(LN(2)/2)*DB172*DE172*VLOOKUP('Données projet'!$B$13,Paramètres!$A$1:$I$88,3,0)*0.475*44/12</f>
        <v>0</v>
      </c>
      <c r="DI172" s="24">
        <f t="shared" si="175"/>
        <v>49.436531734658772</v>
      </c>
      <c r="DJ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-3.4106051316484809E-13</v>
      </c>
      <c r="DP172" s="18">
        <f>DO172*VLOOKUP('Données projet'!$B$14,Paramètres!$A$1:$I$88,3,0)*VLOOKUP('Données projet'!$B$14,Paramètres!$A$1:$I$88,5,0)</f>
        <v>-2.6602720026858149E-13</v>
      </c>
      <c r="DQ172" s="14" t="e">
        <f t="shared" si="176"/>
        <v>#NUM!</v>
      </c>
      <c r="DR172" s="22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458.14328535055694</v>
      </c>
      <c r="DU172" s="59">
        <f t="shared" si="152"/>
        <v>366.75500153675739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projet'!$B$14,Paramètres!$A$1:$I$88,3,0)*0.475*44/12</f>
        <v>38.303548191115802</v>
      </c>
      <c r="EB172" s="23">
        <f>EXP(-LN(2)/25)*EB171+(1-EXP(-LN(2)/25))/(LN(2)/25)*Calculateur!DW172*Calculateur!DY172*VLOOKUP('Données projet'!$B$14,Paramètres!$A$1:$I$88,3,0)*0.475*44/12</f>
        <v>0</v>
      </c>
      <c r="EC172" s="23">
        <f>EXP(-LN(2)/2)*EC171+(1-EXP(-LN(2)/2))/(LN(2)/2)*DW172*DZ172*VLOOKUP('Données projet'!$B$14,Paramètres!$A$1:$I$88,3,0)*0.475*44/12</f>
        <v>0</v>
      </c>
      <c r="ED172" s="24">
        <f t="shared" si="178"/>
        <v>38.303548191115802</v>
      </c>
      <c r="EE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4.5474735088646412E-13</v>
      </c>
      <c r="EK172" s="18">
        <f>EJ172*VLOOKUP('Données projet'!$B$15,Paramètres!$A$1:$I$88,3,0)*VLOOKUP('Données projet'!$B$15,Paramètres!$A$1:$I$88,5,0)</f>
        <v>3.9017322706058626E-13</v>
      </c>
      <c r="EL172" s="14">
        <f t="shared" si="179"/>
        <v>5.0025007393608908E-12</v>
      </c>
      <c r="EM172" s="22">
        <f t="shared" si="180"/>
        <v>9.3922404915174053E-12</v>
      </c>
      <c r="EN172" s="59">
        <f t="shared" si="128"/>
        <v>293.33333333334269</v>
      </c>
      <c r="EO172" s="59">
        <f ca="1">AVERAGE(OFFSET($EN$3,0,0,'Données projet'!$E$15+1,1))-AVERAGE(OFFSET($H$3,0,0,'Données projet'!$E$15+1,1))</f>
        <v>462.99360395552145</v>
      </c>
      <c r="EP172" s="59">
        <f t="shared" si="154"/>
        <v>153.03880717786046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projet'!$B$15,Paramètres!$A$1:$I$88,3,0)*0.475*44/12</f>
        <v>66.67295897476528</v>
      </c>
      <c r="EW172" s="23">
        <f>EXP(-LN(2)/25)*EW171+(1-EXP(-LN(2)/25))/(LN(2)/25)*Calculateur!ER172*Calculateur!ET172*VLOOKUP('Données projet'!$B$15,Paramètres!$A$1:$I$88,3,0)*0.475*44/12</f>
        <v>0</v>
      </c>
      <c r="EX172" s="23">
        <f>EXP(-LN(2)/2)*EX171+(1-EXP(-LN(2)/2))/(LN(2)/2)*ER172*EU172*VLOOKUP('Données projet'!$B$15,Paramètres!$A$1:$I$88,3,0)*0.475*44/12</f>
        <v>0</v>
      </c>
      <c r="EY172" s="24">
        <f t="shared" si="181"/>
        <v>66.67295897476528</v>
      </c>
      <c r="EZ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2.2737367544323206E-13</v>
      </c>
      <c r="FF172" s="18">
        <f>FE172*VLOOKUP('Données projet'!$B$16,Paramètres!$A$1:$I$88,3,0)*VLOOKUP('Données projet'!$B$16,Paramètres!$A$1:$I$88,5,0)</f>
        <v>1.9863364286720756E-13</v>
      </c>
      <c r="FG172" s="14">
        <f t="shared" si="182"/>
        <v>2.7549360720371426E-12</v>
      </c>
      <c r="FH172" s="22">
        <f t="shared" si="183"/>
        <v>5.144133920125077E-12</v>
      </c>
      <c r="FI172" s="59">
        <f t="shared" si="131"/>
        <v>293.33333333333843</v>
      </c>
      <c r="FJ172" s="59">
        <f ca="1">AVERAGE(OFFSET($FI$3,0,0,'Données projet'!$E$16+1,1))-AVERAGE(OFFSET($H$3,0,0,'Données projet'!$E$16+1,1))</f>
        <v>427.76895185088944</v>
      </c>
      <c r="FK172" s="59">
        <f t="shared" si="156"/>
        <v>308.32543361559135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projet'!$B$16,Paramètres!$A$1:$I$88,3,0)*0.475*44/12</f>
        <v>54.145263105623364</v>
      </c>
      <c r="FR172" s="23">
        <f>EXP(-LN(2)/25)*FR171+(1-EXP(-LN(2)/25))/(LN(2)/25)*Calculateur!FM172*Calculateur!FO172*VLOOKUP('Données projet'!$B$16,Paramètres!$A$1:$I$88,3,0)*0.475*44/12</f>
        <v>0</v>
      </c>
      <c r="FS172" s="23">
        <f>EXP(-LN(2)/2)*FS171+(1-EXP(-LN(2)/2))/(LN(2)/2)*FM172*FP172*VLOOKUP('Données projet'!$B$16,Paramètres!$A$1:$I$88,3,0)*0.475*44/12</f>
        <v>0</v>
      </c>
      <c r="FT172" s="24">
        <f t="shared" si="184"/>
        <v>54.145263105623364</v>
      </c>
      <c r="FU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333.00000000000006</v>
      </c>
      <c r="GA172" s="18">
        <f>FZ172*VLOOKUP('Données projet'!$B$17,Paramètres!$A$1:$I$88,3,0)*VLOOKUP('Données projet'!$B$17,Paramètres!$A$1:$I$88,5,0)</f>
        <v>207.79200000000006</v>
      </c>
      <c r="GB172" s="14">
        <f t="shared" si="185"/>
        <v>51.452785725007907</v>
      </c>
      <c r="GC172" s="22">
        <f t="shared" si="186"/>
        <v>451.5180018043888</v>
      </c>
      <c r="GD172" s="59">
        <f t="shared" si="134"/>
        <v>744.85133513772212</v>
      </c>
      <c r="GE172" s="59">
        <f ca="1">AVERAGE(OFFSET($GD$3,0,0,'Données projet'!$E$17+1,1))-AVERAGE(OFFSET($H$3,0,0,'Données projet'!$E$17+1,1))</f>
        <v>247.85542034088905</v>
      </c>
      <c r="GF172" s="59">
        <f t="shared" si="158"/>
        <v>299.52241743660352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projet'!$B$17,Paramètres!$A$1:$I$88,3,0)*0.475*44/12</f>
        <v>4.2905485003166719</v>
      </c>
      <c r="GM172" s="23">
        <f>EXP(-LN(2)/25)*GM171+(1-EXP(-LN(2)/25))/(LN(2)/25)*Calculateur!GH172*Calculateur!GJ172*VLOOKUP('Données projet'!$B$17,Paramètres!$A$1:$I$88,3,0)*0.475*44/12</f>
        <v>1.8517973078124117</v>
      </c>
      <c r="GN172" s="23">
        <f>EXP(-LN(2)/2)*GN171+(1-EXP(-LN(2)/2))/(LN(2)/2)*GH172*GK172*VLOOKUP('Données projet'!$B$17,Paramètres!$A$1:$I$88,3,0)*0.475*44/12</f>
        <v>1.6800816046551226E-15</v>
      </c>
      <c r="GO172" s="23">
        <f t="shared" si="187"/>
        <v>6.1423458081290851</v>
      </c>
      <c r="GP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3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6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projet'!$B$9,Paramètres!$A$1:$I$88,3,0)*VLOOKUP('Données projet'!$B$9,Paramètres!$A$1:$I$88,5,0)</f>
        <v>-2.0572770154103635E-13</v>
      </c>
      <c r="P173" s="14" t="e">
        <f t="shared" si="141"/>
        <v>#NUM!</v>
      </c>
      <c r="Q173" s="22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247.57967230773539</v>
      </c>
      <c r="T173" s="59">
        <f t="shared" si="142"/>
        <v>156.58857589533295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104.16667792695954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104.16667792695954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-3.4106051316484809E-13</v>
      </c>
      <c r="AJ173" s="14">
        <f>AI173*VLOOKUP('Données projet'!$B$10,Paramètres!$A$1:$I$88,3,0)*VLOOKUP('Données projet'!$B$10,Paramètres!$A$1:$I$88,5,0)</f>
        <v>-2.7134774427395314E-13</v>
      </c>
      <c r="AK173" s="14" t="e">
        <f t="shared" si="164"/>
        <v>#NUM!</v>
      </c>
      <c r="AL173" s="22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504.15006129790828</v>
      </c>
      <c r="AO173" s="59">
        <f t="shared" si="144"/>
        <v>374.39334457402742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60.373181343424662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60.373181343424662</v>
      </c>
      <c r="AY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-3.4106051316484809E-13</v>
      </c>
      <c r="BE173" s="14">
        <f>BD173*VLOOKUP('Données projet'!$B$11,Paramètres!$A$1:$I$88,3,0)*VLOOKUP('Données projet'!$B$11,Paramètres!$A$1:$I$88,5,0)</f>
        <v>-2.7134774427395314E-13</v>
      </c>
      <c r="BF173" s="14" t="e">
        <f t="shared" si="167"/>
        <v>#NUM!</v>
      </c>
      <c r="BG173" s="22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504.15006129790828</v>
      </c>
      <c r="BJ173" s="59">
        <f t="shared" si="146"/>
        <v>374.39334457402742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60.373181343424662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60.373181343424662</v>
      </c>
      <c r="BT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-3.4106051316484809E-13</v>
      </c>
      <c r="BZ173" s="14">
        <f>BY173*VLOOKUP('Données projet'!$B$12,Paramètres!$A$1:$I$88,3,0)*VLOOKUP('Données projet'!$B$12,Paramètres!$A$1:$I$88,5,0)</f>
        <v>-2.2878339223098009E-13</v>
      </c>
      <c r="CA173" s="14" t="e">
        <f t="shared" si="170"/>
        <v>#NUM!</v>
      </c>
      <c r="CB173" s="22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387.15063677712425</v>
      </c>
      <c r="CE173" s="59">
        <f t="shared" si="148"/>
        <v>313.19155394370705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39.805585312382213</v>
      </c>
      <c r="CL173" s="23">
        <f>EXP(-LN(2)/25)*CL172+(1-EXP(-LN(2)/25))/(LN(2)/25)*Calculateur!CG173*Calculateur!CI173*VLOOKUP('Données projet'!$B$12,Paramètres!$A$1:$I$88,3,0)*0.475*44/12</f>
        <v>0</v>
      </c>
      <c r="CM173" s="23">
        <f>EXP(-LN(2)/2)*CM172+(1-EXP(-LN(2)/2))/(LN(2)/2)*CG173*CJ173*VLOOKUP('Données projet'!$B$12,Paramètres!$A$1:$I$88,3,0)*0.475*44/12</f>
        <v>0</v>
      </c>
      <c r="CN173" s="24">
        <f t="shared" si="172"/>
        <v>39.805585312382213</v>
      </c>
      <c r="CO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6.083333333333333</v>
      </c>
      <c r="CT173" s="13">
        <f>IF('Données projet'!$A$140&gt;35,CT172+CS173-DB172,IF(A173&lt;'Données projet'!$A$140,$CQ$205^A173,IF(A173='Données projet'!$A$140,'Données projet'!$B$140,CT172+CS173-DB172)))</f>
        <v>392.91666666666646</v>
      </c>
      <c r="CU173" s="18">
        <f>CT173*VLOOKUP('Données projet'!$B$13,Paramètres!$A$1:$I$88,3,0)*VLOOKUP('Données projet'!$B$13,Paramètres!$A$1:$I$88,5,0)</f>
        <v>380.02899999999983</v>
      </c>
      <c r="CV173" s="14">
        <f t="shared" si="173"/>
        <v>87.715861942809155</v>
      </c>
      <c r="CW173" s="22">
        <f t="shared" si="174"/>
        <v>814.65563455039228</v>
      </c>
      <c r="CX173" s="59">
        <f t="shared" si="122"/>
        <v>1107.9889678837255</v>
      </c>
      <c r="CY173" s="59">
        <f ca="1">AVERAGE(OFFSET($CX$3,0,0,'Données projet'!$E$13+1,1))-AVERAGE(OFFSET($H$3,0,0,'Données projet'!$E$13+1,1))</f>
        <v>306.00894145276209</v>
      </c>
      <c r="CZ173" s="59">
        <f t="shared" si="150"/>
        <v>168.74705421228828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48.467111500649082</v>
      </c>
      <c r="DG173" s="23">
        <f>EXP(-LN(2)/25)*DG172+(1-EXP(-LN(2)/25))/(LN(2)/25)*Calculateur!DB173*Calculateur!DD173*VLOOKUP('Données projet'!$B$13,Paramètres!$A$1:$I$88,3,0)*0.475*44/12</f>
        <v>0</v>
      </c>
      <c r="DH173" s="23">
        <f>EXP(-LN(2)/2)*DH172+(1-EXP(-LN(2)/2))/(LN(2)/2)*DB173*DE173*VLOOKUP('Données projet'!$B$13,Paramètres!$A$1:$I$88,3,0)*0.475*44/12</f>
        <v>0</v>
      </c>
      <c r="DI173" s="24">
        <f t="shared" si="175"/>
        <v>48.467111500649082</v>
      </c>
      <c r="DJ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-3.4106051316484809E-13</v>
      </c>
      <c r="DP173" s="18">
        <f>DO173*VLOOKUP('Données projet'!$B$14,Paramètres!$A$1:$I$88,3,0)*VLOOKUP('Données projet'!$B$14,Paramètres!$A$1:$I$88,5,0)</f>
        <v>-2.6602720026858149E-13</v>
      </c>
      <c r="DQ173" s="14" t="e">
        <f t="shared" si="176"/>
        <v>#NUM!</v>
      </c>
      <c r="DR173" s="22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458.14328535055694</v>
      </c>
      <c r="DU173" s="59">
        <f t="shared" si="152"/>
        <v>366.75500153675739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projet'!$B$14,Paramètres!$A$1:$I$88,3,0)*0.475*44/12</f>
        <v>37.552438973945527</v>
      </c>
      <c r="EB173" s="23">
        <f>EXP(-LN(2)/25)*EB172+(1-EXP(-LN(2)/25))/(LN(2)/25)*Calculateur!DW173*Calculateur!DY173*VLOOKUP('Données projet'!$B$14,Paramètres!$A$1:$I$88,3,0)*0.475*44/12</f>
        <v>0</v>
      </c>
      <c r="EC173" s="23">
        <f>EXP(-LN(2)/2)*EC172+(1-EXP(-LN(2)/2))/(LN(2)/2)*DW173*DZ173*VLOOKUP('Données projet'!$B$14,Paramètres!$A$1:$I$88,3,0)*0.475*44/12</f>
        <v>0</v>
      </c>
      <c r="ED173" s="24">
        <f t="shared" si="178"/>
        <v>37.552438973945527</v>
      </c>
      <c r="EE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4.5474735088646412E-13</v>
      </c>
      <c r="EK173" s="18">
        <f>EJ173*VLOOKUP('Données projet'!$B$15,Paramètres!$A$1:$I$88,3,0)*VLOOKUP('Données projet'!$B$15,Paramètres!$A$1:$I$88,5,0)</f>
        <v>3.9017322706058626E-13</v>
      </c>
      <c r="EL173" s="14">
        <f t="shared" si="179"/>
        <v>5.0025007393608908E-12</v>
      </c>
      <c r="EM173" s="22">
        <f t="shared" si="180"/>
        <v>9.3922404915174053E-12</v>
      </c>
      <c r="EN173" s="59">
        <f t="shared" si="128"/>
        <v>293.33333333334269</v>
      </c>
      <c r="EO173" s="59">
        <f ca="1">AVERAGE(OFFSET($EN$3,0,0,'Données projet'!$E$15+1,1))-AVERAGE(OFFSET($H$3,0,0,'Données projet'!$E$15+1,1))</f>
        <v>462.99360395552145</v>
      </c>
      <c r="EP173" s="59">
        <f t="shared" si="154"/>
        <v>153.03880717786046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projet'!$B$15,Paramètres!$A$1:$I$88,3,0)*0.475*44/12</f>
        <v>65.365542915759619</v>
      </c>
      <c r="EW173" s="23">
        <f>EXP(-LN(2)/25)*EW172+(1-EXP(-LN(2)/25))/(LN(2)/25)*Calculateur!ER173*Calculateur!ET173*VLOOKUP('Données projet'!$B$15,Paramètres!$A$1:$I$88,3,0)*0.475*44/12</f>
        <v>0</v>
      </c>
      <c r="EX173" s="23">
        <f>EXP(-LN(2)/2)*EX172+(1-EXP(-LN(2)/2))/(LN(2)/2)*ER173*EU173*VLOOKUP('Données projet'!$B$15,Paramètres!$A$1:$I$88,3,0)*0.475*44/12</f>
        <v>0</v>
      </c>
      <c r="EY173" s="24">
        <f t="shared" si="181"/>
        <v>65.365542915759619</v>
      </c>
      <c r="EZ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2.2737367544323206E-13</v>
      </c>
      <c r="FF173" s="18">
        <f>FE173*VLOOKUP('Données projet'!$B$16,Paramètres!$A$1:$I$88,3,0)*VLOOKUP('Données projet'!$B$16,Paramètres!$A$1:$I$88,5,0)</f>
        <v>1.9863364286720756E-13</v>
      </c>
      <c r="FG173" s="14">
        <f t="shared" si="182"/>
        <v>2.7549360720371426E-12</v>
      </c>
      <c r="FH173" s="22">
        <f t="shared" si="183"/>
        <v>5.144133920125077E-12</v>
      </c>
      <c r="FI173" s="59">
        <f t="shared" si="131"/>
        <v>293.33333333333843</v>
      </c>
      <c r="FJ173" s="59">
        <f ca="1">AVERAGE(OFFSET($FI$3,0,0,'Données projet'!$E$16+1,1))-AVERAGE(OFFSET($H$3,0,0,'Données projet'!$E$16+1,1))</f>
        <v>427.76895185088944</v>
      </c>
      <c r="FK173" s="59">
        <f t="shared" si="156"/>
        <v>308.32543361559135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projet'!$B$16,Paramètres!$A$1:$I$88,3,0)*0.475*44/12</f>
        <v>53.083507521471603</v>
      </c>
      <c r="FR173" s="23">
        <f>EXP(-LN(2)/25)*FR172+(1-EXP(-LN(2)/25))/(LN(2)/25)*Calculateur!FM173*Calculateur!FO173*VLOOKUP('Données projet'!$B$16,Paramètres!$A$1:$I$88,3,0)*0.475*44/12</f>
        <v>0</v>
      </c>
      <c r="FS173" s="23">
        <f>EXP(-LN(2)/2)*FS172+(1-EXP(-LN(2)/2))/(LN(2)/2)*FM173*FP173*VLOOKUP('Données projet'!$B$16,Paramètres!$A$1:$I$88,3,0)*0.475*44/12</f>
        <v>0</v>
      </c>
      <c r="FT173" s="24">
        <f t="shared" si="184"/>
        <v>53.083507521471603</v>
      </c>
      <c r="FU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333.00000000000006</v>
      </c>
      <c r="GA173" s="18">
        <f>FZ173*VLOOKUP('Données projet'!$B$17,Paramètres!$A$1:$I$88,3,0)*VLOOKUP('Données projet'!$B$17,Paramètres!$A$1:$I$88,5,0)</f>
        <v>207.79200000000006</v>
      </c>
      <c r="GB173" s="14">
        <f t="shared" si="185"/>
        <v>51.452785725007907</v>
      </c>
      <c r="GC173" s="22">
        <f t="shared" si="186"/>
        <v>451.5180018043888</v>
      </c>
      <c r="GD173" s="59">
        <f t="shared" si="134"/>
        <v>744.85133513772212</v>
      </c>
      <c r="GE173" s="59">
        <f ca="1">AVERAGE(OFFSET($GD$3,0,0,'Données projet'!$E$17+1,1))-AVERAGE(OFFSET($H$3,0,0,'Données projet'!$E$17+1,1))</f>
        <v>247.85542034088905</v>
      </c>
      <c r="GF173" s="59">
        <f t="shared" si="158"/>
        <v>299.52241743660352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projet'!$B$17,Paramètres!$A$1:$I$88,3,0)*0.475*44/12</f>
        <v>4.2064134612016426</v>
      </c>
      <c r="GM173" s="23">
        <f>EXP(-LN(2)/25)*GM172+(1-EXP(-LN(2)/25))/(LN(2)/25)*Calculateur!GH173*Calculateur!GJ173*VLOOKUP('Données projet'!$B$17,Paramètres!$A$1:$I$88,3,0)*0.475*44/12</f>
        <v>1.8011598130484932</v>
      </c>
      <c r="GN173" s="23">
        <f>EXP(-LN(2)/2)*GN172+(1-EXP(-LN(2)/2))/(LN(2)/2)*GH173*GK173*VLOOKUP('Données projet'!$B$17,Paramètres!$A$1:$I$88,3,0)*0.475*44/12</f>
        <v>1.1879970955984134E-15</v>
      </c>
      <c r="GO173" s="23">
        <f t="shared" si="187"/>
        <v>6.0075732742501371</v>
      </c>
      <c r="GP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3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6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projet'!$B$9,Paramètres!$A$1:$I$88,3,0)*VLOOKUP('Données projet'!$B$9,Paramètres!$A$1:$I$88,5,0)</f>
        <v>-2.0572770154103635E-13</v>
      </c>
      <c r="P174" s="14" t="e">
        <f t="shared" si="141"/>
        <v>#NUM!</v>
      </c>
      <c r="Q174" s="22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247.57967230773539</v>
      </c>
      <c r="T174" s="59">
        <f t="shared" si="142"/>
        <v>156.58857589533295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102.1240329082118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102.1240329082118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-3.4106051316484809E-13</v>
      </c>
      <c r="AJ174" s="14">
        <f>AI174*VLOOKUP('Données projet'!$B$10,Paramètres!$A$1:$I$88,3,0)*VLOOKUP('Données projet'!$B$10,Paramètres!$A$1:$I$88,5,0)</f>
        <v>-2.7134774427395314E-13</v>
      </c>
      <c r="AK174" s="14" t="e">
        <f t="shared" si="164"/>
        <v>#NUM!</v>
      </c>
      <c r="AL174" s="22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504.15006129790828</v>
      </c>
      <c r="AO174" s="59">
        <f t="shared" si="144"/>
        <v>374.39334457402742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59.189300081284657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59.189300081284657</v>
      </c>
      <c r="AY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-3.4106051316484809E-13</v>
      </c>
      <c r="BE174" s="14">
        <f>BD174*VLOOKUP('Données projet'!$B$11,Paramètres!$A$1:$I$88,3,0)*VLOOKUP('Données projet'!$B$11,Paramètres!$A$1:$I$88,5,0)</f>
        <v>-2.7134774427395314E-13</v>
      </c>
      <c r="BF174" s="14" t="e">
        <f t="shared" si="167"/>
        <v>#NUM!</v>
      </c>
      <c r="BG174" s="22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504.15006129790828</v>
      </c>
      <c r="BJ174" s="59">
        <f t="shared" si="146"/>
        <v>374.39334457402742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59.189300081284657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59.189300081284657</v>
      </c>
      <c r="BT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-3.4106051316484809E-13</v>
      </c>
      <c r="BZ174" s="14">
        <f>BY174*VLOOKUP('Données projet'!$B$12,Paramètres!$A$1:$I$88,3,0)*VLOOKUP('Données projet'!$B$12,Paramètres!$A$1:$I$88,5,0)</f>
        <v>-2.2878339223098009E-13</v>
      </c>
      <c r="CA174" s="14" t="e">
        <f t="shared" si="170"/>
        <v>#NUM!</v>
      </c>
      <c r="CB174" s="22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387.15063677712425</v>
      </c>
      <c r="CE174" s="59">
        <f t="shared" si="148"/>
        <v>313.19155394370705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39.025022063416088</v>
      </c>
      <c r="CL174" s="23">
        <f>EXP(-LN(2)/25)*CL173+(1-EXP(-LN(2)/25))/(LN(2)/25)*Calculateur!CG174*Calculateur!CI174*VLOOKUP('Données projet'!$B$12,Paramètres!$A$1:$I$88,3,0)*0.475*44/12</f>
        <v>0</v>
      </c>
      <c r="CM174" s="23">
        <f>EXP(-LN(2)/2)*CM173+(1-EXP(-LN(2)/2))/(LN(2)/2)*CG174*CJ174*VLOOKUP('Données projet'!$B$12,Paramètres!$A$1:$I$88,3,0)*0.475*44/12</f>
        <v>0</v>
      </c>
      <c r="CN174" s="24">
        <f t="shared" si="172"/>
        <v>39.025022063416088</v>
      </c>
      <c r="CO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>
        <f>VLOOKUP(A174,'Données projet'!$A$139:$I$159,2,0)</f>
        <v>399</v>
      </c>
      <c r="CR174" s="13">
        <f>VLOOKUP(A174,'Données projet'!$A$139:$I$159,9,0)</f>
        <v>6.083333333333333</v>
      </c>
      <c r="CS174" s="13">
        <f t="array" ref="CS174">INDEX(CR:CR,MIN(IF(ISNUMBER(CR174:CR370),ROW(CR174:CR370),"")))</f>
        <v>6.083333333333333</v>
      </c>
      <c r="CT174" s="13">
        <f>IF('Données projet'!$A$140&gt;35,CT173+CS174-DB173,IF(A174&lt;'Données projet'!$A$140,$CQ$205^A174,IF(A174='Données projet'!$A$140,'Données projet'!$B$140,CT173+CS174-DB173)))</f>
        <v>398.99999999999977</v>
      </c>
      <c r="CU174" s="18">
        <f>CT174*VLOOKUP('Données projet'!$B$13,Paramètres!$A$1:$I$88,3,0)*VLOOKUP('Données projet'!$B$13,Paramètres!$A$1:$I$88,5,0)</f>
        <v>385.91279999999978</v>
      </c>
      <c r="CV174" s="14">
        <f t="shared" si="173"/>
        <v>88.914769596782989</v>
      </c>
      <c r="CW174" s="22">
        <f t="shared" si="174"/>
        <v>826.9913503810634</v>
      </c>
      <c r="CX174" s="59">
        <f t="shared" si="122"/>
        <v>1120.3246837143968</v>
      </c>
      <c r="CY174" s="59">
        <f ca="1">AVERAGE(OFFSET($CX$3,0,0,'Données projet'!$E$13+1,1))-AVERAGE(OFFSET($H$3,0,0,'Données projet'!$E$13+1,1))</f>
        <v>306.00894145276209</v>
      </c>
      <c r="CZ174" s="59">
        <f t="shared" si="150"/>
        <v>168.74705421228828</v>
      </c>
      <c r="DA174" s="16">
        <f>IF(ISNA(VLOOKUP(A174,'Données projet'!$A$139:$I$159,3,0)),0,VLOOKUP(A174,'Données projet'!$A$139:$I$159,3,0))</f>
        <v>14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0.34400000000000003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47.516701006140359</v>
      </c>
      <c r="DG174" s="23">
        <f>EXP(-LN(2)/25)*DG173+(1-EXP(-LN(2)/25))/(LN(2)/25)*Calculateur!DB174*Calculateur!DD174*VLOOKUP('Données projet'!$B$13,Paramètres!$A$1:$I$88,3,0)*0.475*44/12</f>
        <v>0</v>
      </c>
      <c r="DH174" s="23">
        <f>EXP(-LN(2)/2)*DH173+(1-EXP(-LN(2)/2))/(LN(2)/2)*DB174*DE174*VLOOKUP('Données projet'!$B$13,Paramètres!$A$1:$I$88,3,0)*0.475*44/12</f>
        <v>0</v>
      </c>
      <c r="DI174" s="24">
        <f t="shared" si="175"/>
        <v>47.516701006140359</v>
      </c>
      <c r="DJ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-3.4106051316484809E-13</v>
      </c>
      <c r="DP174" s="18">
        <f>DO174*VLOOKUP('Données projet'!$B$14,Paramètres!$A$1:$I$88,3,0)*VLOOKUP('Données projet'!$B$14,Paramètres!$A$1:$I$88,5,0)</f>
        <v>-2.6602720026858149E-13</v>
      </c>
      <c r="DQ174" s="14" t="e">
        <f t="shared" si="176"/>
        <v>#NUM!</v>
      </c>
      <c r="DR174" s="22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458.14328535055694</v>
      </c>
      <c r="DU174" s="59">
        <f t="shared" si="152"/>
        <v>366.75500153675739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projet'!$B$14,Paramètres!$A$1:$I$88,3,0)*0.475*44/12</f>
        <v>36.816058550392576</v>
      </c>
      <c r="EB174" s="23">
        <f>EXP(-LN(2)/25)*EB173+(1-EXP(-LN(2)/25))/(LN(2)/25)*Calculateur!DW174*Calculateur!DY174*VLOOKUP('Données projet'!$B$14,Paramètres!$A$1:$I$88,3,0)*0.475*44/12</f>
        <v>0</v>
      </c>
      <c r="EC174" s="23">
        <f>EXP(-LN(2)/2)*EC173+(1-EXP(-LN(2)/2))/(LN(2)/2)*DW174*DZ174*VLOOKUP('Données projet'!$B$14,Paramètres!$A$1:$I$88,3,0)*0.475*44/12</f>
        <v>0</v>
      </c>
      <c r="ED174" s="24">
        <f t="shared" si="178"/>
        <v>36.816058550392576</v>
      </c>
      <c r="EE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4.5474735088646412E-13</v>
      </c>
      <c r="EK174" s="18">
        <f>EJ174*VLOOKUP('Données projet'!$B$15,Paramètres!$A$1:$I$88,3,0)*VLOOKUP('Données projet'!$B$15,Paramètres!$A$1:$I$88,5,0)</f>
        <v>3.9017322706058626E-13</v>
      </c>
      <c r="EL174" s="14">
        <f t="shared" si="179"/>
        <v>5.0025007393608908E-12</v>
      </c>
      <c r="EM174" s="22">
        <f t="shared" si="180"/>
        <v>9.3922404915174053E-12</v>
      </c>
      <c r="EN174" s="59">
        <f t="shared" si="128"/>
        <v>293.33333333334269</v>
      </c>
      <c r="EO174" s="59">
        <f ca="1">AVERAGE(OFFSET($EN$3,0,0,'Données projet'!$E$15+1,1))-AVERAGE(OFFSET($H$3,0,0,'Données projet'!$E$15+1,1))</f>
        <v>462.99360395552145</v>
      </c>
      <c r="EP174" s="59">
        <f t="shared" si="154"/>
        <v>153.03880717786046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projet'!$B$15,Paramètres!$A$1:$I$88,3,0)*0.475*44/12</f>
        <v>64.083764488226009</v>
      </c>
      <c r="EW174" s="23">
        <f>EXP(-LN(2)/25)*EW173+(1-EXP(-LN(2)/25))/(LN(2)/25)*Calculateur!ER174*Calculateur!ET174*VLOOKUP('Données projet'!$B$15,Paramètres!$A$1:$I$88,3,0)*0.475*44/12</f>
        <v>0</v>
      </c>
      <c r="EX174" s="23">
        <f>EXP(-LN(2)/2)*EX173+(1-EXP(-LN(2)/2))/(LN(2)/2)*ER174*EU174*VLOOKUP('Données projet'!$B$15,Paramètres!$A$1:$I$88,3,0)*0.475*44/12</f>
        <v>0</v>
      </c>
      <c r="EY174" s="24">
        <f t="shared" si="181"/>
        <v>64.083764488226009</v>
      </c>
      <c r="EZ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2.2737367544323206E-13</v>
      </c>
      <c r="FF174" s="18">
        <f>FE174*VLOOKUP('Données projet'!$B$16,Paramètres!$A$1:$I$88,3,0)*VLOOKUP('Données projet'!$B$16,Paramètres!$A$1:$I$88,5,0)</f>
        <v>1.9863364286720756E-13</v>
      </c>
      <c r="FG174" s="14">
        <f t="shared" si="182"/>
        <v>2.7549360720371426E-12</v>
      </c>
      <c r="FH174" s="22">
        <f t="shared" si="183"/>
        <v>5.144133920125077E-12</v>
      </c>
      <c r="FI174" s="59">
        <f t="shared" si="131"/>
        <v>293.33333333333843</v>
      </c>
      <c r="FJ174" s="59">
        <f ca="1">AVERAGE(OFFSET($FI$3,0,0,'Données projet'!$E$16+1,1))-AVERAGE(OFFSET($H$3,0,0,'Données projet'!$E$16+1,1))</f>
        <v>427.76895185088944</v>
      </c>
      <c r="FK174" s="59">
        <f t="shared" si="156"/>
        <v>308.32543361559135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projet'!$B$16,Paramètres!$A$1:$I$88,3,0)*0.475*44/12</f>
        <v>52.042572316718093</v>
      </c>
      <c r="FR174" s="23">
        <f>EXP(-LN(2)/25)*FR173+(1-EXP(-LN(2)/25))/(LN(2)/25)*Calculateur!FM174*Calculateur!FO174*VLOOKUP('Données projet'!$B$16,Paramètres!$A$1:$I$88,3,0)*0.475*44/12</f>
        <v>0</v>
      </c>
      <c r="FS174" s="23">
        <f>EXP(-LN(2)/2)*FS173+(1-EXP(-LN(2)/2))/(LN(2)/2)*FM174*FP174*VLOOKUP('Données projet'!$B$16,Paramètres!$A$1:$I$88,3,0)*0.475*44/12</f>
        <v>0</v>
      </c>
      <c r="FT174" s="24">
        <f t="shared" si="184"/>
        <v>52.042572316718093</v>
      </c>
      <c r="FU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333.00000000000006</v>
      </c>
      <c r="GA174" s="18">
        <f>FZ174*VLOOKUP('Données projet'!$B$17,Paramètres!$A$1:$I$88,3,0)*VLOOKUP('Données projet'!$B$17,Paramètres!$A$1:$I$88,5,0)</f>
        <v>207.79200000000006</v>
      </c>
      <c r="GB174" s="14">
        <f t="shared" si="185"/>
        <v>51.452785725007907</v>
      </c>
      <c r="GC174" s="22">
        <f t="shared" si="186"/>
        <v>451.5180018043888</v>
      </c>
      <c r="GD174" s="59">
        <f t="shared" si="134"/>
        <v>744.85133513772212</v>
      </c>
      <c r="GE174" s="59">
        <f ca="1">AVERAGE(OFFSET($GD$3,0,0,'Données projet'!$E$17+1,1))-AVERAGE(OFFSET($H$3,0,0,'Données projet'!$E$17+1,1))</f>
        <v>247.85542034088905</v>
      </c>
      <c r="GF174" s="59">
        <f t="shared" si="158"/>
        <v>299.52241743660352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projet'!$B$17,Paramètres!$A$1:$I$88,3,0)*0.475*44/12</f>
        <v>4.1239282588863517</v>
      </c>
      <c r="GM174" s="23">
        <f>EXP(-LN(2)/25)*GM173+(1-EXP(-LN(2)/25))/(LN(2)/25)*Calculateur!GH174*Calculateur!GJ174*VLOOKUP('Données projet'!$B$17,Paramètres!$A$1:$I$88,3,0)*0.475*44/12</f>
        <v>1.751907003241804</v>
      </c>
      <c r="GN174" s="23">
        <f>EXP(-LN(2)/2)*GN173+(1-EXP(-LN(2)/2))/(LN(2)/2)*GH174*GK174*VLOOKUP('Données projet'!$B$17,Paramètres!$A$1:$I$88,3,0)*0.475*44/12</f>
        <v>8.4004080232756131E-16</v>
      </c>
      <c r="GO174" s="23">
        <f t="shared" si="187"/>
        <v>5.8758352621281569</v>
      </c>
      <c r="GP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3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6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projet'!$B$9,Paramètres!$A$1:$I$88,3,0)*VLOOKUP('Données projet'!$B$9,Paramètres!$A$1:$I$88,5,0)</f>
        <v>-2.0572770154103635E-13</v>
      </c>
      <c r="P175" s="14" t="e">
        <f t="shared" si="141"/>
        <v>#NUM!</v>
      </c>
      <c r="Q175" s="22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247.57967230773539</v>
      </c>
      <c r="T175" s="59">
        <f t="shared" si="142"/>
        <v>156.58857589533295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100.12144291239126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100.12144291239126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-3.4106051316484809E-13</v>
      </c>
      <c r="AJ175" s="14">
        <f>AI175*VLOOKUP('Données projet'!$B$10,Paramètres!$A$1:$I$88,3,0)*VLOOKUP('Données projet'!$B$10,Paramètres!$A$1:$I$88,5,0)</f>
        <v>-2.7134774427395314E-13</v>
      </c>
      <c r="AK175" s="14" t="e">
        <f t="shared" si="164"/>
        <v>#NUM!</v>
      </c>
      <c r="AL175" s="22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504.15006129790828</v>
      </c>
      <c r="AO175" s="59">
        <f t="shared" si="144"/>
        <v>374.39334457402742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58.028634008598949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58.028634008598949</v>
      </c>
      <c r="AY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-3.4106051316484809E-13</v>
      </c>
      <c r="BE175" s="14">
        <f>BD175*VLOOKUP('Données projet'!$B$11,Paramètres!$A$1:$I$88,3,0)*VLOOKUP('Données projet'!$B$11,Paramètres!$A$1:$I$88,5,0)</f>
        <v>-2.7134774427395314E-13</v>
      </c>
      <c r="BF175" s="14" t="e">
        <f t="shared" si="167"/>
        <v>#NUM!</v>
      </c>
      <c r="BG175" s="22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504.15006129790828</v>
      </c>
      <c r="BJ175" s="59">
        <f t="shared" si="146"/>
        <v>374.39334457402742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58.028634008598949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58.028634008598949</v>
      </c>
      <c r="BT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-3.4106051316484809E-13</v>
      </c>
      <c r="BZ175" s="14">
        <f>BY175*VLOOKUP('Données projet'!$B$12,Paramètres!$A$1:$I$88,3,0)*VLOOKUP('Données projet'!$B$12,Paramètres!$A$1:$I$88,5,0)</f>
        <v>-2.2878339223098009E-13</v>
      </c>
      <c r="CA175" s="14" t="e">
        <f t="shared" si="170"/>
        <v>#NUM!</v>
      </c>
      <c r="CB175" s="22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387.15063677712425</v>
      </c>
      <c r="CE175" s="59">
        <f t="shared" si="148"/>
        <v>313.19155394370705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38.259765183665614</v>
      </c>
      <c r="CL175" s="23">
        <f>EXP(-LN(2)/25)*CL174+(1-EXP(-LN(2)/25))/(LN(2)/25)*Calculateur!CG175*Calculateur!CI175*VLOOKUP('Données projet'!$B$12,Paramètres!$A$1:$I$88,3,0)*0.475*44/12</f>
        <v>0</v>
      </c>
      <c r="CM175" s="23">
        <f>EXP(-LN(2)/2)*CM174+(1-EXP(-LN(2)/2))/(LN(2)/2)*CG175*CJ175*VLOOKUP('Données projet'!$B$12,Paramètres!$A$1:$I$88,3,0)*0.475*44/12</f>
        <v>0</v>
      </c>
      <c r="CN175" s="24">
        <f t="shared" si="172"/>
        <v>38.259765183665614</v>
      </c>
      <c r="CO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398.99999999999977</v>
      </c>
      <c r="CU175" s="18">
        <f>CT175*VLOOKUP('Données projet'!$B$13,Paramètres!$A$1:$I$88,3,0)*VLOOKUP('Données projet'!$B$13,Paramètres!$A$1:$I$88,5,0)</f>
        <v>385.91279999999978</v>
      </c>
      <c r="CV175" s="14">
        <f t="shared" si="173"/>
        <v>88.914769596782989</v>
      </c>
      <c r="CW175" s="22">
        <f t="shared" si="174"/>
        <v>826.9913503810634</v>
      </c>
      <c r="CX175" s="59">
        <f t="shared" si="122"/>
        <v>1120.3246837143968</v>
      </c>
      <c r="CY175" s="59">
        <f ca="1">AVERAGE(OFFSET($CX$3,0,0,'Données projet'!$E$13+1,1))-AVERAGE(OFFSET($H$3,0,0,'Données projet'!$E$13+1,1))</f>
        <v>306.00894145276209</v>
      </c>
      <c r="CZ175" s="59">
        <f t="shared" si="150"/>
        <v>168.74705421228828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46.584927481735797</v>
      </c>
      <c r="DG175" s="23">
        <f>EXP(-LN(2)/25)*DG174+(1-EXP(-LN(2)/25))/(LN(2)/25)*Calculateur!DB175*Calculateur!DD175*VLOOKUP('Données projet'!$B$13,Paramètres!$A$1:$I$88,3,0)*0.475*44/12</f>
        <v>0</v>
      </c>
      <c r="DH175" s="23">
        <f>EXP(-LN(2)/2)*DH174+(1-EXP(-LN(2)/2))/(LN(2)/2)*DB175*DE175*VLOOKUP('Données projet'!$B$13,Paramètres!$A$1:$I$88,3,0)*0.475*44/12</f>
        <v>0</v>
      </c>
      <c r="DI175" s="24">
        <f t="shared" si="175"/>
        <v>46.584927481735797</v>
      </c>
      <c r="DJ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-3.4106051316484809E-13</v>
      </c>
      <c r="DP175" s="18">
        <f>DO175*VLOOKUP('Données projet'!$B$14,Paramètres!$A$1:$I$88,3,0)*VLOOKUP('Données projet'!$B$14,Paramètres!$A$1:$I$88,5,0)</f>
        <v>-2.6602720026858149E-13</v>
      </c>
      <c r="DQ175" s="14" t="e">
        <f t="shared" si="176"/>
        <v>#NUM!</v>
      </c>
      <c r="DR175" s="22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458.14328535055694</v>
      </c>
      <c r="DU175" s="59">
        <f t="shared" si="152"/>
        <v>366.75500153675739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projet'!$B$14,Paramètres!$A$1:$I$88,3,0)*0.475*44/12</f>
        <v>36.094118097797789</v>
      </c>
      <c r="EB175" s="23">
        <f>EXP(-LN(2)/25)*EB174+(1-EXP(-LN(2)/25))/(LN(2)/25)*Calculateur!DW175*Calculateur!DY175*VLOOKUP('Données projet'!$B$14,Paramètres!$A$1:$I$88,3,0)*0.475*44/12</f>
        <v>0</v>
      </c>
      <c r="EC175" s="23">
        <f>EXP(-LN(2)/2)*EC174+(1-EXP(-LN(2)/2))/(LN(2)/2)*DW175*DZ175*VLOOKUP('Données projet'!$B$14,Paramètres!$A$1:$I$88,3,0)*0.475*44/12</f>
        <v>0</v>
      </c>
      <c r="ED175" s="24">
        <f t="shared" si="178"/>
        <v>36.094118097797789</v>
      </c>
      <c r="EE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4.5474735088646412E-13</v>
      </c>
      <c r="EK175" s="18">
        <f>EJ175*VLOOKUP('Données projet'!$B$15,Paramètres!$A$1:$I$88,3,0)*VLOOKUP('Données projet'!$B$15,Paramètres!$A$1:$I$88,5,0)</f>
        <v>3.9017322706058626E-13</v>
      </c>
      <c r="EL175" s="14">
        <f t="shared" si="179"/>
        <v>5.0025007393608908E-12</v>
      </c>
      <c r="EM175" s="22">
        <f t="shared" si="180"/>
        <v>9.3922404915174053E-12</v>
      </c>
      <c r="EN175" s="59">
        <f t="shared" si="128"/>
        <v>293.33333333334269</v>
      </c>
      <c r="EO175" s="59">
        <f ca="1">AVERAGE(OFFSET($EN$3,0,0,'Données projet'!$E$15+1,1))-AVERAGE(OFFSET($H$3,0,0,'Données projet'!$E$15+1,1))</f>
        <v>462.99360395552145</v>
      </c>
      <c r="EP175" s="59">
        <f t="shared" si="154"/>
        <v>153.03880717786046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projet'!$B$15,Paramètres!$A$1:$I$88,3,0)*0.475*44/12</f>
        <v>62.827120953848691</v>
      </c>
      <c r="EW175" s="23">
        <f>EXP(-LN(2)/25)*EW174+(1-EXP(-LN(2)/25))/(LN(2)/25)*Calculateur!ER175*Calculateur!ET175*VLOOKUP('Données projet'!$B$15,Paramètres!$A$1:$I$88,3,0)*0.475*44/12</f>
        <v>0</v>
      </c>
      <c r="EX175" s="23">
        <f>EXP(-LN(2)/2)*EX174+(1-EXP(-LN(2)/2))/(LN(2)/2)*ER175*EU175*VLOOKUP('Données projet'!$B$15,Paramètres!$A$1:$I$88,3,0)*0.475*44/12</f>
        <v>0</v>
      </c>
      <c r="EY175" s="24">
        <f t="shared" si="181"/>
        <v>62.827120953848691</v>
      </c>
      <c r="EZ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2.2737367544323206E-13</v>
      </c>
      <c r="FF175" s="18">
        <f>FE175*VLOOKUP('Données projet'!$B$16,Paramètres!$A$1:$I$88,3,0)*VLOOKUP('Données projet'!$B$16,Paramètres!$A$1:$I$88,5,0)</f>
        <v>1.9863364286720756E-13</v>
      </c>
      <c r="FG175" s="14">
        <f t="shared" si="182"/>
        <v>2.7549360720371426E-12</v>
      </c>
      <c r="FH175" s="22">
        <f t="shared" si="183"/>
        <v>5.144133920125077E-12</v>
      </c>
      <c r="FI175" s="59">
        <f t="shared" si="131"/>
        <v>293.33333333333843</v>
      </c>
      <c r="FJ175" s="59">
        <f ca="1">AVERAGE(OFFSET($FI$3,0,0,'Données projet'!$E$16+1,1))-AVERAGE(OFFSET($H$3,0,0,'Données projet'!$E$16+1,1))</f>
        <v>427.76895185088944</v>
      </c>
      <c r="FK175" s="59">
        <f t="shared" si="156"/>
        <v>308.32543361559135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projet'!$B$16,Paramètres!$A$1:$I$88,3,0)*0.475*44/12</f>
        <v>51.022049216422019</v>
      </c>
      <c r="FR175" s="23">
        <f>EXP(-LN(2)/25)*FR174+(1-EXP(-LN(2)/25))/(LN(2)/25)*Calculateur!FM175*Calculateur!FO175*VLOOKUP('Données projet'!$B$16,Paramètres!$A$1:$I$88,3,0)*0.475*44/12</f>
        <v>0</v>
      </c>
      <c r="FS175" s="23">
        <f>EXP(-LN(2)/2)*FS174+(1-EXP(-LN(2)/2))/(LN(2)/2)*FM175*FP175*VLOOKUP('Données projet'!$B$16,Paramètres!$A$1:$I$88,3,0)*0.475*44/12</f>
        <v>0</v>
      </c>
      <c r="FT175" s="24">
        <f t="shared" si="184"/>
        <v>51.022049216422019</v>
      </c>
      <c r="FU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333.00000000000006</v>
      </c>
      <c r="GA175" s="18">
        <f>FZ175*VLOOKUP('Données projet'!$B$17,Paramètres!$A$1:$I$88,3,0)*VLOOKUP('Données projet'!$B$17,Paramètres!$A$1:$I$88,5,0)</f>
        <v>207.79200000000006</v>
      </c>
      <c r="GB175" s="14">
        <f t="shared" si="185"/>
        <v>51.452785725007907</v>
      </c>
      <c r="GC175" s="22">
        <f t="shared" si="186"/>
        <v>451.5180018043888</v>
      </c>
      <c r="GD175" s="59">
        <f t="shared" si="134"/>
        <v>744.85133513772212</v>
      </c>
      <c r="GE175" s="59">
        <f ca="1">AVERAGE(OFFSET($GD$3,0,0,'Données projet'!$E$17+1,1))-AVERAGE(OFFSET($H$3,0,0,'Données projet'!$E$17+1,1))</f>
        <v>247.85542034088905</v>
      </c>
      <c r="GF175" s="59">
        <f t="shared" si="158"/>
        <v>299.52241743660352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projet'!$B$17,Paramètres!$A$1:$I$88,3,0)*0.475*44/12</f>
        <v>4.043060541077458</v>
      </c>
      <c r="GM175" s="23">
        <f>EXP(-LN(2)/25)*GM174+(1-EXP(-LN(2)/25))/(LN(2)/25)*Calculateur!GH175*Calculateur!GJ175*VLOOKUP('Données projet'!$B$17,Paramètres!$A$1:$I$88,3,0)*0.475*44/12</f>
        <v>1.7040010141093715</v>
      </c>
      <c r="GN175" s="23">
        <f>EXP(-LN(2)/2)*GN174+(1-EXP(-LN(2)/2))/(LN(2)/2)*GH175*GK175*VLOOKUP('Données projet'!$B$17,Paramètres!$A$1:$I$88,3,0)*0.475*44/12</f>
        <v>5.9399854779920671E-16</v>
      </c>
      <c r="GO175" s="23">
        <f t="shared" si="187"/>
        <v>5.7470615551868303</v>
      </c>
      <c r="GP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3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6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projet'!$B$9,Paramètres!$A$1:$I$88,3,0)*VLOOKUP('Données projet'!$B$9,Paramètres!$A$1:$I$88,5,0)</f>
        <v>-2.0572770154103635E-13</v>
      </c>
      <c r="P176" s="14" t="e">
        <f t="shared" si="141"/>
        <v>#NUM!</v>
      </c>
      <c r="Q176" s="22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247.57967230773539</v>
      </c>
      <c r="T176" s="59">
        <f t="shared" si="142"/>
        <v>156.58857589533295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98.158122484929478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98.158122484929478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-3.4106051316484809E-13</v>
      </c>
      <c r="AJ176" s="14">
        <f>AI176*VLOOKUP('Données projet'!$B$10,Paramètres!$A$1:$I$88,3,0)*VLOOKUP('Données projet'!$B$10,Paramètres!$A$1:$I$88,5,0)</f>
        <v>-2.7134774427395314E-13</v>
      </c>
      <c r="AK176" s="14" t="e">
        <f t="shared" si="164"/>
        <v>#NUM!</v>
      </c>
      <c r="AL176" s="22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504.15006129790828</v>
      </c>
      <c r="AO176" s="59">
        <f t="shared" si="144"/>
        <v>374.39334457402742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56.890727889662202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56.890727889662202</v>
      </c>
      <c r="AY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-3.4106051316484809E-13</v>
      </c>
      <c r="BE176" s="14">
        <f>BD176*VLOOKUP('Données projet'!$B$11,Paramètres!$A$1:$I$88,3,0)*VLOOKUP('Données projet'!$B$11,Paramètres!$A$1:$I$88,5,0)</f>
        <v>-2.7134774427395314E-13</v>
      </c>
      <c r="BF176" s="14" t="e">
        <f t="shared" si="167"/>
        <v>#NUM!</v>
      </c>
      <c r="BG176" s="22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504.15006129790828</v>
      </c>
      <c r="BJ176" s="59">
        <f t="shared" si="146"/>
        <v>374.39334457402742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56.890727889662202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56.890727889662202</v>
      </c>
      <c r="BT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-3.4106051316484809E-13</v>
      </c>
      <c r="BZ176" s="14">
        <f>BY176*VLOOKUP('Données projet'!$B$12,Paramètres!$A$1:$I$88,3,0)*VLOOKUP('Données projet'!$B$12,Paramètres!$A$1:$I$88,5,0)</f>
        <v>-2.2878339223098009E-13</v>
      </c>
      <c r="CA176" s="14" t="e">
        <f t="shared" si="170"/>
        <v>#NUM!</v>
      </c>
      <c r="CB176" s="22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387.15063677712425</v>
      </c>
      <c r="CE176" s="59">
        <f t="shared" si="148"/>
        <v>313.19155394370705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37.509514524566441</v>
      </c>
      <c r="CL176" s="23">
        <f>EXP(-LN(2)/25)*CL175+(1-EXP(-LN(2)/25))/(LN(2)/25)*Calculateur!CG176*Calculateur!CI176*VLOOKUP('Données projet'!$B$12,Paramètres!$A$1:$I$88,3,0)*0.475*44/12</f>
        <v>0</v>
      </c>
      <c r="CM176" s="23">
        <f>EXP(-LN(2)/2)*CM175+(1-EXP(-LN(2)/2))/(LN(2)/2)*CG176*CJ176*VLOOKUP('Données projet'!$B$12,Paramètres!$A$1:$I$88,3,0)*0.475*44/12</f>
        <v>0</v>
      </c>
      <c r="CN176" s="24">
        <f t="shared" si="172"/>
        <v>37.509514524566441</v>
      </c>
      <c r="CO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398.99999999999977</v>
      </c>
      <c r="CU176" s="18">
        <f>CT176*VLOOKUP('Données projet'!$B$13,Paramètres!$A$1:$I$88,3,0)*VLOOKUP('Données projet'!$B$13,Paramètres!$A$1:$I$88,5,0)</f>
        <v>385.91279999999978</v>
      </c>
      <c r="CV176" s="14">
        <f t="shared" si="173"/>
        <v>88.914769596782989</v>
      </c>
      <c r="CW176" s="22">
        <f t="shared" si="174"/>
        <v>826.9913503810634</v>
      </c>
      <c r="CX176" s="59">
        <f t="shared" si="122"/>
        <v>1120.3246837143968</v>
      </c>
      <c r="CY176" s="59">
        <f ca="1">AVERAGE(OFFSET($CX$3,0,0,'Données projet'!$E$13+1,1))-AVERAGE(OFFSET($H$3,0,0,'Données projet'!$E$13+1,1))</f>
        <v>306.00894145276209</v>
      </c>
      <c r="CZ176" s="59">
        <f t="shared" si="150"/>
        <v>168.74705421228828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45.67142546781907</v>
      </c>
      <c r="DG176" s="23">
        <f>EXP(-LN(2)/25)*DG175+(1-EXP(-LN(2)/25))/(LN(2)/25)*Calculateur!DB176*Calculateur!DD176*VLOOKUP('Données projet'!$B$13,Paramètres!$A$1:$I$88,3,0)*0.475*44/12</f>
        <v>0</v>
      </c>
      <c r="DH176" s="23">
        <f>EXP(-LN(2)/2)*DH175+(1-EXP(-LN(2)/2))/(LN(2)/2)*DB176*DE176*VLOOKUP('Données projet'!$B$13,Paramètres!$A$1:$I$88,3,0)*0.475*44/12</f>
        <v>0</v>
      </c>
      <c r="DI176" s="24">
        <f t="shared" si="175"/>
        <v>45.67142546781907</v>
      </c>
      <c r="DJ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-3.4106051316484809E-13</v>
      </c>
      <c r="DP176" s="18">
        <f>DO176*VLOOKUP('Données projet'!$B$14,Paramètres!$A$1:$I$88,3,0)*VLOOKUP('Données projet'!$B$14,Paramètres!$A$1:$I$88,5,0)</f>
        <v>-2.6602720026858149E-13</v>
      </c>
      <c r="DQ176" s="14" t="e">
        <f t="shared" si="176"/>
        <v>#NUM!</v>
      </c>
      <c r="DR176" s="22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458.14328535055694</v>
      </c>
      <c r="DU176" s="59">
        <f t="shared" si="152"/>
        <v>366.75500153675739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projet'!$B$14,Paramètres!$A$1:$I$88,3,0)*0.475*44/12</f>
        <v>35.38633445713819</v>
      </c>
      <c r="EB176" s="23">
        <f>EXP(-LN(2)/25)*EB175+(1-EXP(-LN(2)/25))/(LN(2)/25)*Calculateur!DW176*Calculateur!DY176*VLOOKUP('Données projet'!$B$14,Paramètres!$A$1:$I$88,3,0)*0.475*44/12</f>
        <v>0</v>
      </c>
      <c r="EC176" s="23">
        <f>EXP(-LN(2)/2)*EC175+(1-EXP(-LN(2)/2))/(LN(2)/2)*DW176*DZ176*VLOOKUP('Données projet'!$B$14,Paramètres!$A$1:$I$88,3,0)*0.475*44/12</f>
        <v>0</v>
      </c>
      <c r="ED176" s="24">
        <f t="shared" si="178"/>
        <v>35.38633445713819</v>
      </c>
      <c r="EE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4.5474735088646412E-13</v>
      </c>
      <c r="EK176" s="18">
        <f>EJ176*VLOOKUP('Données projet'!$B$15,Paramètres!$A$1:$I$88,3,0)*VLOOKUP('Données projet'!$B$15,Paramètres!$A$1:$I$88,5,0)</f>
        <v>3.9017322706058626E-13</v>
      </c>
      <c r="EL176" s="14">
        <f t="shared" si="179"/>
        <v>5.0025007393608908E-12</v>
      </c>
      <c r="EM176" s="22">
        <f t="shared" si="180"/>
        <v>9.3922404915174053E-12</v>
      </c>
      <c r="EN176" s="59">
        <f t="shared" si="128"/>
        <v>293.33333333334269</v>
      </c>
      <c r="EO176" s="59">
        <f ca="1">AVERAGE(OFFSET($EN$3,0,0,'Données projet'!$E$15+1,1))-AVERAGE(OFFSET($H$3,0,0,'Données projet'!$E$15+1,1))</f>
        <v>462.99360395552145</v>
      </c>
      <c r="EP176" s="59">
        <f t="shared" si="154"/>
        <v>153.03880717786046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projet'!$B$15,Paramètres!$A$1:$I$88,3,0)*0.475*44/12</f>
        <v>61.59511943270364</v>
      </c>
      <c r="EW176" s="23">
        <f>EXP(-LN(2)/25)*EW175+(1-EXP(-LN(2)/25))/(LN(2)/25)*Calculateur!ER176*Calculateur!ET176*VLOOKUP('Données projet'!$B$15,Paramètres!$A$1:$I$88,3,0)*0.475*44/12</f>
        <v>0</v>
      </c>
      <c r="EX176" s="23">
        <f>EXP(-LN(2)/2)*EX175+(1-EXP(-LN(2)/2))/(LN(2)/2)*ER176*EU176*VLOOKUP('Données projet'!$B$15,Paramètres!$A$1:$I$88,3,0)*0.475*44/12</f>
        <v>0</v>
      </c>
      <c r="EY176" s="24">
        <f t="shared" si="181"/>
        <v>61.59511943270364</v>
      </c>
      <c r="EZ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2.2737367544323206E-13</v>
      </c>
      <c r="FF176" s="18">
        <f>FE176*VLOOKUP('Données projet'!$B$16,Paramètres!$A$1:$I$88,3,0)*VLOOKUP('Données projet'!$B$16,Paramètres!$A$1:$I$88,5,0)</f>
        <v>1.9863364286720756E-13</v>
      </c>
      <c r="FG176" s="14">
        <f t="shared" si="182"/>
        <v>2.7549360720371426E-12</v>
      </c>
      <c r="FH176" s="22">
        <f t="shared" si="183"/>
        <v>5.144133920125077E-12</v>
      </c>
      <c r="FI176" s="59">
        <f t="shared" si="131"/>
        <v>293.33333333333843</v>
      </c>
      <c r="FJ176" s="59">
        <f ca="1">AVERAGE(OFFSET($FI$3,0,0,'Données projet'!$E$16+1,1))-AVERAGE(OFFSET($H$3,0,0,'Données projet'!$E$16+1,1))</f>
        <v>427.76895185088944</v>
      </c>
      <c r="FK176" s="59">
        <f t="shared" si="156"/>
        <v>308.32543361559135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projet'!$B$16,Paramètres!$A$1:$I$88,3,0)*0.475*44/12</f>
        <v>50.021537951665124</v>
      </c>
      <c r="FR176" s="23">
        <f>EXP(-LN(2)/25)*FR175+(1-EXP(-LN(2)/25))/(LN(2)/25)*Calculateur!FM176*Calculateur!FO176*VLOOKUP('Données projet'!$B$16,Paramètres!$A$1:$I$88,3,0)*0.475*44/12</f>
        <v>0</v>
      </c>
      <c r="FS176" s="23">
        <f>EXP(-LN(2)/2)*FS175+(1-EXP(-LN(2)/2))/(LN(2)/2)*FM176*FP176*VLOOKUP('Données projet'!$B$16,Paramètres!$A$1:$I$88,3,0)*0.475*44/12</f>
        <v>0</v>
      </c>
      <c r="FT176" s="24">
        <f t="shared" si="184"/>
        <v>50.021537951665124</v>
      </c>
      <c r="FU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333.00000000000006</v>
      </c>
      <c r="GA176" s="18">
        <f>FZ176*VLOOKUP('Données projet'!$B$17,Paramètres!$A$1:$I$88,3,0)*VLOOKUP('Données projet'!$B$17,Paramètres!$A$1:$I$88,5,0)</f>
        <v>207.79200000000006</v>
      </c>
      <c r="GB176" s="14">
        <f t="shared" si="185"/>
        <v>51.452785725007907</v>
      </c>
      <c r="GC176" s="22">
        <f t="shared" si="186"/>
        <v>451.5180018043888</v>
      </c>
      <c r="GD176" s="59">
        <f t="shared" si="134"/>
        <v>744.85133513772212</v>
      </c>
      <c r="GE176" s="59">
        <f ca="1">AVERAGE(OFFSET($GD$3,0,0,'Données projet'!$E$17+1,1))-AVERAGE(OFFSET($H$3,0,0,'Données projet'!$E$17+1,1))</f>
        <v>247.85542034088905</v>
      </c>
      <c r="GF176" s="59">
        <f t="shared" si="158"/>
        <v>299.52241743660352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projet'!$B$17,Paramètres!$A$1:$I$88,3,0)*0.475*44/12</f>
        <v>3.9637785898903597</v>
      </c>
      <c r="GM176" s="23">
        <f>EXP(-LN(2)/25)*GM175+(1-EXP(-LN(2)/25))/(LN(2)/25)*Calculateur!GH176*Calculateur!GJ176*VLOOKUP('Données projet'!$B$17,Paramètres!$A$1:$I$88,3,0)*0.475*44/12</f>
        <v>1.657405016769032</v>
      </c>
      <c r="GN176" s="23">
        <f>EXP(-LN(2)/2)*GN175+(1-EXP(-LN(2)/2))/(LN(2)/2)*GH176*GK176*VLOOKUP('Données projet'!$B$17,Paramètres!$A$1:$I$88,3,0)*0.475*44/12</f>
        <v>4.2002040116378065E-16</v>
      </c>
      <c r="GO176" s="23">
        <f t="shared" si="187"/>
        <v>5.6211836066593914</v>
      </c>
      <c r="GP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3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6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projet'!$B$9,Paramètres!$A$1:$I$88,3,0)*VLOOKUP('Données projet'!$B$9,Paramètres!$A$1:$I$88,5,0)</f>
        <v>-2.0572770154103635E-13</v>
      </c>
      <c r="P177" s="14" t="e">
        <f t="shared" si="141"/>
        <v>#NUM!</v>
      </c>
      <c r="Q177" s="22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247.57967230773539</v>
      </c>
      <c r="T177" s="59">
        <f t="shared" si="142"/>
        <v>156.58857589533295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96.233301573543002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96.233301573543002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-3.4106051316484809E-13</v>
      </c>
      <c r="AJ177" s="14">
        <f>AI177*VLOOKUP('Données projet'!$B$10,Paramètres!$A$1:$I$88,3,0)*VLOOKUP('Données projet'!$B$10,Paramètres!$A$1:$I$88,5,0)</f>
        <v>-2.7134774427395314E-13</v>
      </c>
      <c r="AK177" s="14" t="e">
        <f t="shared" si="164"/>
        <v>#NUM!</v>
      </c>
      <c r="AL177" s="22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504.15006129790828</v>
      </c>
      <c r="AO177" s="59">
        <f t="shared" si="144"/>
        <v>374.39334457402742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55.775135415663605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55.775135415663605</v>
      </c>
      <c r="AY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-3.4106051316484809E-13</v>
      </c>
      <c r="BE177" s="14">
        <f>BD177*VLOOKUP('Données projet'!$B$11,Paramètres!$A$1:$I$88,3,0)*VLOOKUP('Données projet'!$B$11,Paramètres!$A$1:$I$88,5,0)</f>
        <v>-2.7134774427395314E-13</v>
      </c>
      <c r="BF177" s="14" t="e">
        <f t="shared" si="167"/>
        <v>#NUM!</v>
      </c>
      <c r="BG177" s="22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504.15006129790828</v>
      </c>
      <c r="BJ177" s="59">
        <f t="shared" si="146"/>
        <v>374.39334457402742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55.775135415663605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55.775135415663605</v>
      </c>
      <c r="BT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-3.4106051316484809E-13</v>
      </c>
      <c r="BZ177" s="14">
        <f>BY177*VLOOKUP('Données projet'!$B$12,Paramètres!$A$1:$I$88,3,0)*VLOOKUP('Données projet'!$B$12,Paramètres!$A$1:$I$88,5,0)</f>
        <v>-2.2878339223098009E-13</v>
      </c>
      <c r="CA177" s="14" t="e">
        <f t="shared" si="170"/>
        <v>#NUM!</v>
      </c>
      <c r="CB177" s="22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387.15063677712425</v>
      </c>
      <c r="CE177" s="59">
        <f t="shared" si="148"/>
        <v>313.19155394370705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36.773975823284488</v>
      </c>
      <c r="CL177" s="23">
        <f>EXP(-LN(2)/25)*CL176+(1-EXP(-LN(2)/25))/(LN(2)/25)*Calculateur!CG177*Calculateur!CI177*VLOOKUP('Données projet'!$B$12,Paramètres!$A$1:$I$88,3,0)*0.475*44/12</f>
        <v>0</v>
      </c>
      <c r="CM177" s="23">
        <f>EXP(-LN(2)/2)*CM176+(1-EXP(-LN(2)/2))/(LN(2)/2)*CG177*CJ177*VLOOKUP('Données projet'!$B$12,Paramètres!$A$1:$I$88,3,0)*0.475*44/12</f>
        <v>0</v>
      </c>
      <c r="CN177" s="24">
        <f t="shared" si="172"/>
        <v>36.773975823284488</v>
      </c>
      <c r="CO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398.99999999999977</v>
      </c>
      <c r="CU177" s="18">
        <f>CT177*VLOOKUP('Données projet'!$B$13,Paramètres!$A$1:$I$88,3,0)*VLOOKUP('Données projet'!$B$13,Paramètres!$A$1:$I$88,5,0)</f>
        <v>385.91279999999978</v>
      </c>
      <c r="CV177" s="14">
        <f t="shared" si="173"/>
        <v>88.914769596782989</v>
      </c>
      <c r="CW177" s="22">
        <f t="shared" si="174"/>
        <v>826.9913503810634</v>
      </c>
      <c r="CX177" s="59">
        <f t="shared" si="122"/>
        <v>1120.3246837143968</v>
      </c>
      <c r="CY177" s="59">
        <f ca="1">AVERAGE(OFFSET($CX$3,0,0,'Données projet'!$E$13+1,1))-AVERAGE(OFFSET($H$3,0,0,'Données projet'!$E$13+1,1))</f>
        <v>306.00894145276209</v>
      </c>
      <c r="CZ177" s="59">
        <f t="shared" si="150"/>
        <v>168.74705421228828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44.775836671214044</v>
      </c>
      <c r="DG177" s="23">
        <f>EXP(-LN(2)/25)*DG176+(1-EXP(-LN(2)/25))/(LN(2)/25)*Calculateur!DB177*Calculateur!DD177*VLOOKUP('Données projet'!$B$13,Paramètres!$A$1:$I$88,3,0)*0.475*44/12</f>
        <v>0</v>
      </c>
      <c r="DH177" s="23">
        <f>EXP(-LN(2)/2)*DH176+(1-EXP(-LN(2)/2))/(LN(2)/2)*DB177*DE177*VLOOKUP('Données projet'!$B$13,Paramètres!$A$1:$I$88,3,0)*0.475*44/12</f>
        <v>0</v>
      </c>
      <c r="DI177" s="24">
        <f t="shared" si="175"/>
        <v>44.775836671214044</v>
      </c>
      <c r="DJ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-3.4106051316484809E-13</v>
      </c>
      <c r="DP177" s="18">
        <f>DO177*VLOOKUP('Données projet'!$B$14,Paramètres!$A$1:$I$88,3,0)*VLOOKUP('Données projet'!$B$14,Paramètres!$A$1:$I$88,5,0)</f>
        <v>-2.6602720026858149E-13</v>
      </c>
      <c r="DQ177" s="14" t="e">
        <f t="shared" si="176"/>
        <v>#NUM!</v>
      </c>
      <c r="DR177" s="22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458.14328535055694</v>
      </c>
      <c r="DU177" s="59">
        <f t="shared" si="152"/>
        <v>366.75500153675739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projet'!$B$14,Paramètres!$A$1:$I$88,3,0)*0.475*44/12</f>
        <v>34.69243002196653</v>
      </c>
      <c r="EB177" s="23">
        <f>EXP(-LN(2)/25)*EB176+(1-EXP(-LN(2)/25))/(LN(2)/25)*Calculateur!DW177*Calculateur!DY177*VLOOKUP('Données projet'!$B$14,Paramètres!$A$1:$I$88,3,0)*0.475*44/12</f>
        <v>0</v>
      </c>
      <c r="EC177" s="23">
        <f>EXP(-LN(2)/2)*EC176+(1-EXP(-LN(2)/2))/(LN(2)/2)*DW177*DZ177*VLOOKUP('Données projet'!$B$14,Paramètres!$A$1:$I$88,3,0)*0.475*44/12</f>
        <v>0</v>
      </c>
      <c r="ED177" s="24">
        <f t="shared" si="178"/>
        <v>34.69243002196653</v>
      </c>
      <c r="EE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4.5474735088646412E-13</v>
      </c>
      <c r="EK177" s="18">
        <f>EJ177*VLOOKUP('Données projet'!$B$15,Paramètres!$A$1:$I$88,3,0)*VLOOKUP('Données projet'!$B$15,Paramètres!$A$1:$I$88,5,0)</f>
        <v>3.9017322706058626E-13</v>
      </c>
      <c r="EL177" s="14">
        <f t="shared" si="179"/>
        <v>5.0025007393608908E-12</v>
      </c>
      <c r="EM177" s="22">
        <f t="shared" si="180"/>
        <v>9.3922404915174053E-12</v>
      </c>
      <c r="EN177" s="59">
        <f t="shared" si="128"/>
        <v>293.33333333334269</v>
      </c>
      <c r="EO177" s="59">
        <f ca="1">AVERAGE(OFFSET($EN$3,0,0,'Données projet'!$E$15+1,1))-AVERAGE(OFFSET($H$3,0,0,'Données projet'!$E$15+1,1))</f>
        <v>462.99360395552145</v>
      </c>
      <c r="EP177" s="59">
        <f t="shared" si="154"/>
        <v>153.03880717786046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projet'!$B$15,Paramètres!$A$1:$I$88,3,0)*0.475*44/12</f>
        <v>60.387276709941517</v>
      </c>
      <c r="EW177" s="23">
        <f>EXP(-LN(2)/25)*EW176+(1-EXP(-LN(2)/25))/(LN(2)/25)*Calculateur!ER177*Calculateur!ET177*VLOOKUP('Données projet'!$B$15,Paramètres!$A$1:$I$88,3,0)*0.475*44/12</f>
        <v>0</v>
      </c>
      <c r="EX177" s="23">
        <f>EXP(-LN(2)/2)*EX176+(1-EXP(-LN(2)/2))/(LN(2)/2)*ER177*EU177*VLOOKUP('Données projet'!$B$15,Paramètres!$A$1:$I$88,3,0)*0.475*44/12</f>
        <v>0</v>
      </c>
      <c r="EY177" s="24">
        <f t="shared" si="181"/>
        <v>60.387276709941517</v>
      </c>
      <c r="EZ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2.2737367544323206E-13</v>
      </c>
      <c r="FF177" s="18">
        <f>FE177*VLOOKUP('Données projet'!$B$16,Paramètres!$A$1:$I$88,3,0)*VLOOKUP('Données projet'!$B$16,Paramètres!$A$1:$I$88,5,0)</f>
        <v>1.9863364286720756E-13</v>
      </c>
      <c r="FG177" s="14">
        <f t="shared" si="182"/>
        <v>2.7549360720371426E-12</v>
      </c>
      <c r="FH177" s="22">
        <f t="shared" si="183"/>
        <v>5.144133920125077E-12</v>
      </c>
      <c r="FI177" s="59">
        <f t="shared" si="131"/>
        <v>293.33333333333843</v>
      </c>
      <c r="FJ177" s="59">
        <f ca="1">AVERAGE(OFFSET($FI$3,0,0,'Données projet'!$E$16+1,1))-AVERAGE(OFFSET($H$3,0,0,'Données projet'!$E$16+1,1))</f>
        <v>427.76895185088944</v>
      </c>
      <c r="FK177" s="59">
        <f t="shared" si="156"/>
        <v>308.32543361559135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projet'!$B$16,Paramètres!$A$1:$I$88,3,0)*0.475*44/12</f>
        <v>49.040646102558497</v>
      </c>
      <c r="FR177" s="23">
        <f>EXP(-LN(2)/25)*FR176+(1-EXP(-LN(2)/25))/(LN(2)/25)*Calculateur!FM177*Calculateur!FO177*VLOOKUP('Données projet'!$B$16,Paramètres!$A$1:$I$88,3,0)*0.475*44/12</f>
        <v>0</v>
      </c>
      <c r="FS177" s="23">
        <f>EXP(-LN(2)/2)*FS176+(1-EXP(-LN(2)/2))/(LN(2)/2)*FM177*FP177*VLOOKUP('Données projet'!$B$16,Paramètres!$A$1:$I$88,3,0)*0.475*44/12</f>
        <v>0</v>
      </c>
      <c r="FT177" s="24">
        <f t="shared" si="184"/>
        <v>49.040646102558497</v>
      </c>
      <c r="FU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333.00000000000006</v>
      </c>
      <c r="GA177" s="18">
        <f>FZ177*VLOOKUP('Données projet'!$B$17,Paramètres!$A$1:$I$88,3,0)*VLOOKUP('Données projet'!$B$17,Paramètres!$A$1:$I$88,5,0)</f>
        <v>207.79200000000006</v>
      </c>
      <c r="GB177" s="14">
        <f t="shared" si="185"/>
        <v>51.452785725007907</v>
      </c>
      <c r="GC177" s="22">
        <f t="shared" si="186"/>
        <v>451.5180018043888</v>
      </c>
      <c r="GD177" s="59">
        <f t="shared" si="134"/>
        <v>744.85133513772212</v>
      </c>
      <c r="GE177" s="59">
        <f ca="1">AVERAGE(OFFSET($GD$3,0,0,'Données projet'!$E$17+1,1))-AVERAGE(OFFSET($H$3,0,0,'Données projet'!$E$17+1,1))</f>
        <v>247.85542034088905</v>
      </c>
      <c r="GF177" s="59">
        <f t="shared" si="158"/>
        <v>299.52241743660352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projet'!$B$17,Paramètres!$A$1:$I$88,3,0)*0.475*44/12</f>
        <v>3.8860513094088249</v>
      </c>
      <c r="GM177" s="23">
        <f>EXP(-LN(2)/25)*GM176+(1-EXP(-LN(2)/25))/(LN(2)/25)*Calculateur!GH177*Calculateur!GJ177*VLOOKUP('Données projet'!$B$17,Paramètres!$A$1:$I$88,3,0)*0.475*44/12</f>
        <v>1.612083189426341</v>
      </c>
      <c r="GN177" s="23">
        <f>EXP(-LN(2)/2)*GN176+(1-EXP(-LN(2)/2))/(LN(2)/2)*GH177*GK177*VLOOKUP('Données projet'!$B$17,Paramètres!$A$1:$I$88,3,0)*0.475*44/12</f>
        <v>2.9699927389960336E-16</v>
      </c>
      <c r="GO177" s="23">
        <f t="shared" si="187"/>
        <v>5.4981344988351655</v>
      </c>
      <c r="GP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3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6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projet'!$B$9,Paramètres!$A$1:$I$88,3,0)*VLOOKUP('Données projet'!$B$9,Paramètres!$A$1:$I$88,5,0)</f>
        <v>-2.0572770154103635E-13</v>
      </c>
      <c r="P178" s="14" t="e">
        <f t="shared" si="141"/>
        <v>#NUM!</v>
      </c>
      <c r="Q178" s="22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247.57967230773539</v>
      </c>
      <c r="T178" s="59">
        <f t="shared" si="142"/>
        <v>156.58857589533295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94.346225226203984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94.346225226203984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-3.4106051316484809E-13</v>
      </c>
      <c r="AJ178" s="14">
        <f>AI178*VLOOKUP('Données projet'!$B$10,Paramètres!$A$1:$I$88,3,0)*VLOOKUP('Données projet'!$B$10,Paramètres!$A$1:$I$88,5,0)</f>
        <v>-2.7134774427395314E-13</v>
      </c>
      <c r="AK178" s="14" t="e">
        <f t="shared" si="164"/>
        <v>#NUM!</v>
      </c>
      <c r="AL178" s="22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504.15006129790828</v>
      </c>
      <c r="AO178" s="59">
        <f t="shared" si="144"/>
        <v>374.39334457402742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54.681419029635904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54.681419029635904</v>
      </c>
      <c r="AY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-3.4106051316484809E-13</v>
      </c>
      <c r="BE178" s="14">
        <f>BD178*VLOOKUP('Données projet'!$B$11,Paramètres!$A$1:$I$88,3,0)*VLOOKUP('Données projet'!$B$11,Paramètres!$A$1:$I$88,5,0)</f>
        <v>-2.7134774427395314E-13</v>
      </c>
      <c r="BF178" s="14" t="e">
        <f t="shared" si="167"/>
        <v>#NUM!</v>
      </c>
      <c r="BG178" s="22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504.15006129790828</v>
      </c>
      <c r="BJ178" s="59">
        <f t="shared" si="146"/>
        <v>374.39334457402742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54.681419029635904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54.681419029635904</v>
      </c>
      <c r="BT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-3.4106051316484809E-13</v>
      </c>
      <c r="BZ178" s="14">
        <f>BY178*VLOOKUP('Données projet'!$B$12,Paramètres!$A$1:$I$88,3,0)*VLOOKUP('Données projet'!$B$12,Paramètres!$A$1:$I$88,5,0)</f>
        <v>-2.2878339223098009E-13</v>
      </c>
      <c r="CA178" s="14" t="e">
        <f t="shared" si="170"/>
        <v>#NUM!</v>
      </c>
      <c r="CB178" s="22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387.15063677712425</v>
      </c>
      <c r="CE178" s="59">
        <f t="shared" si="148"/>
        <v>313.19155394370705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36.052860587300358</v>
      </c>
      <c r="CL178" s="23">
        <f>EXP(-LN(2)/25)*CL177+(1-EXP(-LN(2)/25))/(LN(2)/25)*Calculateur!CG178*Calculateur!CI178*VLOOKUP('Données projet'!$B$12,Paramètres!$A$1:$I$88,3,0)*0.475*44/12</f>
        <v>0</v>
      </c>
      <c r="CM178" s="23">
        <f>EXP(-LN(2)/2)*CM177+(1-EXP(-LN(2)/2))/(LN(2)/2)*CG178*CJ178*VLOOKUP('Données projet'!$B$12,Paramètres!$A$1:$I$88,3,0)*0.475*44/12</f>
        <v>0</v>
      </c>
      <c r="CN178" s="24">
        <f t="shared" si="172"/>
        <v>36.052860587300358</v>
      </c>
      <c r="CO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398.99999999999977</v>
      </c>
      <c r="CU178" s="18">
        <f>CT178*VLOOKUP('Données projet'!$B$13,Paramètres!$A$1:$I$88,3,0)*VLOOKUP('Données projet'!$B$13,Paramètres!$A$1:$I$88,5,0)</f>
        <v>385.91279999999978</v>
      </c>
      <c r="CV178" s="14">
        <f t="shared" si="173"/>
        <v>88.914769596782989</v>
      </c>
      <c r="CW178" s="22">
        <f t="shared" si="174"/>
        <v>826.9913503810634</v>
      </c>
      <c r="CX178" s="59">
        <f t="shared" si="122"/>
        <v>1120.3246837143968</v>
      </c>
      <c r="CY178" s="59">
        <f ca="1">AVERAGE(OFFSET($CX$3,0,0,'Données projet'!$E$13+1,1))-AVERAGE(OFFSET($H$3,0,0,'Données projet'!$E$13+1,1))</f>
        <v>306.00894145276209</v>
      </c>
      <c r="CZ178" s="59">
        <f t="shared" si="150"/>
        <v>168.74705421228828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43.897809824655212</v>
      </c>
      <c r="DG178" s="23">
        <f>EXP(-LN(2)/25)*DG177+(1-EXP(-LN(2)/25))/(LN(2)/25)*Calculateur!DB178*Calculateur!DD178*VLOOKUP('Données projet'!$B$13,Paramètres!$A$1:$I$88,3,0)*0.475*44/12</f>
        <v>0</v>
      </c>
      <c r="DH178" s="23">
        <f>EXP(-LN(2)/2)*DH177+(1-EXP(-LN(2)/2))/(LN(2)/2)*DB178*DE178*VLOOKUP('Données projet'!$B$13,Paramètres!$A$1:$I$88,3,0)*0.475*44/12</f>
        <v>0</v>
      </c>
      <c r="DI178" s="24">
        <f t="shared" si="175"/>
        <v>43.897809824655212</v>
      </c>
      <c r="DJ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-3.4106051316484809E-13</v>
      </c>
      <c r="DP178" s="18">
        <f>DO178*VLOOKUP('Données projet'!$B$14,Paramètres!$A$1:$I$88,3,0)*VLOOKUP('Données projet'!$B$14,Paramètres!$A$1:$I$88,5,0)</f>
        <v>-2.6602720026858149E-13</v>
      </c>
      <c r="DQ178" s="14" t="e">
        <f t="shared" si="176"/>
        <v>#NUM!</v>
      </c>
      <c r="DR178" s="22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458.14328535055694</v>
      </c>
      <c r="DU178" s="59">
        <f t="shared" si="152"/>
        <v>366.75500153675739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projet'!$B$14,Paramètres!$A$1:$I$88,3,0)*0.475*44/12</f>
        <v>34.012132629528672</v>
      </c>
      <c r="EB178" s="23">
        <f>EXP(-LN(2)/25)*EB177+(1-EXP(-LN(2)/25))/(LN(2)/25)*Calculateur!DW178*Calculateur!DY178*VLOOKUP('Données projet'!$B$14,Paramètres!$A$1:$I$88,3,0)*0.475*44/12</f>
        <v>0</v>
      </c>
      <c r="EC178" s="23">
        <f>EXP(-LN(2)/2)*EC177+(1-EXP(-LN(2)/2))/(LN(2)/2)*DW178*DZ178*VLOOKUP('Données projet'!$B$14,Paramètres!$A$1:$I$88,3,0)*0.475*44/12</f>
        <v>0</v>
      </c>
      <c r="ED178" s="24">
        <f t="shared" si="178"/>
        <v>34.012132629528672</v>
      </c>
      <c r="EE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4.5474735088646412E-13</v>
      </c>
      <c r="EK178" s="18">
        <f>EJ178*VLOOKUP('Données projet'!$B$15,Paramètres!$A$1:$I$88,3,0)*VLOOKUP('Données projet'!$B$15,Paramètres!$A$1:$I$88,5,0)</f>
        <v>3.9017322706058626E-13</v>
      </c>
      <c r="EL178" s="14">
        <f t="shared" si="179"/>
        <v>5.0025007393608908E-12</v>
      </c>
      <c r="EM178" s="22">
        <f t="shared" si="180"/>
        <v>9.3922404915174053E-12</v>
      </c>
      <c r="EN178" s="59">
        <f t="shared" si="128"/>
        <v>293.33333333334269</v>
      </c>
      <c r="EO178" s="59">
        <f ca="1">AVERAGE(OFFSET($EN$3,0,0,'Données projet'!$E$15+1,1))-AVERAGE(OFFSET($H$3,0,0,'Données projet'!$E$15+1,1))</f>
        <v>462.99360395552145</v>
      </c>
      <c r="EP178" s="59">
        <f t="shared" si="154"/>
        <v>153.03880717786046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projet'!$B$15,Paramètres!$A$1:$I$88,3,0)*0.475*44/12</f>
        <v>59.203119046261442</v>
      </c>
      <c r="EW178" s="23">
        <f>EXP(-LN(2)/25)*EW177+(1-EXP(-LN(2)/25))/(LN(2)/25)*Calculateur!ER178*Calculateur!ET178*VLOOKUP('Données projet'!$B$15,Paramètres!$A$1:$I$88,3,0)*0.475*44/12</f>
        <v>0</v>
      </c>
      <c r="EX178" s="23">
        <f>EXP(-LN(2)/2)*EX177+(1-EXP(-LN(2)/2))/(LN(2)/2)*ER178*EU178*VLOOKUP('Données projet'!$B$15,Paramètres!$A$1:$I$88,3,0)*0.475*44/12</f>
        <v>0</v>
      </c>
      <c r="EY178" s="24">
        <f t="shared" si="181"/>
        <v>59.203119046261442</v>
      </c>
      <c r="EZ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2.2737367544323206E-13</v>
      </c>
      <c r="FF178" s="18">
        <f>FE178*VLOOKUP('Données projet'!$B$16,Paramètres!$A$1:$I$88,3,0)*VLOOKUP('Données projet'!$B$16,Paramètres!$A$1:$I$88,5,0)</f>
        <v>1.9863364286720756E-13</v>
      </c>
      <c r="FG178" s="14">
        <f t="shared" si="182"/>
        <v>2.7549360720371426E-12</v>
      </c>
      <c r="FH178" s="22">
        <f t="shared" si="183"/>
        <v>5.144133920125077E-12</v>
      </c>
      <c r="FI178" s="59">
        <f t="shared" si="131"/>
        <v>293.33333333333843</v>
      </c>
      <c r="FJ178" s="59">
        <f ca="1">AVERAGE(OFFSET($FI$3,0,0,'Données projet'!$E$16+1,1))-AVERAGE(OFFSET($H$3,0,0,'Données projet'!$E$16+1,1))</f>
        <v>427.76895185088944</v>
      </c>
      <c r="FK178" s="59">
        <f t="shared" si="156"/>
        <v>308.32543361559135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projet'!$B$16,Paramètres!$A$1:$I$88,3,0)*0.475*44/12</f>
        <v>48.078988944327897</v>
      </c>
      <c r="FR178" s="23">
        <f>EXP(-LN(2)/25)*FR177+(1-EXP(-LN(2)/25))/(LN(2)/25)*Calculateur!FM178*Calculateur!FO178*VLOOKUP('Données projet'!$B$16,Paramètres!$A$1:$I$88,3,0)*0.475*44/12</f>
        <v>0</v>
      </c>
      <c r="FS178" s="23">
        <f>EXP(-LN(2)/2)*FS177+(1-EXP(-LN(2)/2))/(LN(2)/2)*FM178*FP178*VLOOKUP('Données projet'!$B$16,Paramètres!$A$1:$I$88,3,0)*0.475*44/12</f>
        <v>0</v>
      </c>
      <c r="FT178" s="24">
        <f t="shared" si="184"/>
        <v>48.078988944327897</v>
      </c>
      <c r="FU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333.00000000000006</v>
      </c>
      <c r="GA178" s="18">
        <f>FZ178*VLOOKUP('Données projet'!$B$17,Paramètres!$A$1:$I$88,3,0)*VLOOKUP('Données projet'!$B$17,Paramètres!$A$1:$I$88,5,0)</f>
        <v>207.79200000000006</v>
      </c>
      <c r="GB178" s="14">
        <f t="shared" si="185"/>
        <v>51.452785725007907</v>
      </c>
      <c r="GC178" s="22">
        <f t="shared" si="186"/>
        <v>451.5180018043888</v>
      </c>
      <c r="GD178" s="59">
        <f t="shared" si="134"/>
        <v>744.85133513772212</v>
      </c>
      <c r="GE178" s="59">
        <f ca="1">AVERAGE(OFFSET($GD$3,0,0,'Données projet'!$E$17+1,1))-AVERAGE(OFFSET($H$3,0,0,'Données projet'!$E$17+1,1))</f>
        <v>247.85542034088905</v>
      </c>
      <c r="GF178" s="59">
        <f t="shared" si="158"/>
        <v>299.52241743660352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projet'!$B$17,Paramètres!$A$1:$I$88,3,0)*0.475*44/12</f>
        <v>3.8098482134885732</v>
      </c>
      <c r="GM178" s="23">
        <f>EXP(-LN(2)/25)*GM177+(1-EXP(-LN(2)/25))/(LN(2)/25)*Calculateur!GH178*Calculateur!GJ178*VLOOKUP('Données projet'!$B$17,Paramètres!$A$1:$I$88,3,0)*0.475*44/12</f>
        <v>1.5680006898357073</v>
      </c>
      <c r="GN178" s="23">
        <f>EXP(-LN(2)/2)*GN177+(1-EXP(-LN(2)/2))/(LN(2)/2)*GH178*GK178*VLOOKUP('Données projet'!$B$17,Paramètres!$A$1:$I$88,3,0)*0.475*44/12</f>
        <v>2.1001020058189033E-16</v>
      </c>
      <c r="GO178" s="23">
        <f t="shared" si="187"/>
        <v>5.3778489033242804</v>
      </c>
      <c r="GP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3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6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projet'!$B$9,Paramètres!$A$1:$I$88,3,0)*VLOOKUP('Données projet'!$B$9,Paramètres!$A$1:$I$88,5,0)</f>
        <v>-2.0572770154103635E-13</v>
      </c>
      <c r="P179" s="14" t="e">
        <f t="shared" si="141"/>
        <v>#NUM!</v>
      </c>
      <c r="Q179" s="22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247.57967230773539</v>
      </c>
      <c r="T179" s="59">
        <f t="shared" si="142"/>
        <v>156.58857589533295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92.496153295033366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92.496153295033366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-3.4106051316484809E-13</v>
      </c>
      <c r="AJ179" s="14">
        <f>AI179*VLOOKUP('Données projet'!$B$10,Paramètres!$A$1:$I$88,3,0)*VLOOKUP('Données projet'!$B$10,Paramètres!$A$1:$I$88,5,0)</f>
        <v>-2.7134774427395314E-13</v>
      </c>
      <c r="AK179" s="14" t="e">
        <f t="shared" si="164"/>
        <v>#NUM!</v>
      </c>
      <c r="AL179" s="22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504.15006129790828</v>
      </c>
      <c r="AO179" s="59">
        <f t="shared" si="144"/>
        <v>374.39334457402742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53.609149754837077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53.609149754837077</v>
      </c>
      <c r="AY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-3.4106051316484809E-13</v>
      </c>
      <c r="BE179" s="14">
        <f>BD179*VLOOKUP('Données projet'!$B$11,Paramètres!$A$1:$I$88,3,0)*VLOOKUP('Données projet'!$B$11,Paramètres!$A$1:$I$88,5,0)</f>
        <v>-2.7134774427395314E-13</v>
      </c>
      <c r="BF179" s="14" t="e">
        <f t="shared" si="167"/>
        <v>#NUM!</v>
      </c>
      <c r="BG179" s="22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504.15006129790828</v>
      </c>
      <c r="BJ179" s="59">
        <f t="shared" si="146"/>
        <v>374.39334457402742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53.609149754837077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53.609149754837077</v>
      </c>
      <c r="BT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-3.4106051316484809E-13</v>
      </c>
      <c r="BZ179" s="14">
        <f>BY179*VLOOKUP('Données projet'!$B$12,Paramètres!$A$1:$I$88,3,0)*VLOOKUP('Données projet'!$B$12,Paramètres!$A$1:$I$88,5,0)</f>
        <v>-2.2878339223098009E-13</v>
      </c>
      <c r="CA179" s="14" t="e">
        <f t="shared" si="170"/>
        <v>#NUM!</v>
      </c>
      <c r="CB179" s="22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387.15063677712425</v>
      </c>
      <c r="CE179" s="59">
        <f t="shared" si="148"/>
        <v>313.19155394370705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35.34588598125702</v>
      </c>
      <c r="CL179" s="23">
        <f>EXP(-LN(2)/25)*CL178+(1-EXP(-LN(2)/25))/(LN(2)/25)*Calculateur!CG179*Calculateur!CI179*VLOOKUP('Données projet'!$B$12,Paramètres!$A$1:$I$88,3,0)*0.475*44/12</f>
        <v>0</v>
      </c>
      <c r="CM179" s="23">
        <f>EXP(-LN(2)/2)*CM178+(1-EXP(-LN(2)/2))/(LN(2)/2)*CG179*CJ179*VLOOKUP('Données projet'!$B$12,Paramètres!$A$1:$I$88,3,0)*0.475*44/12</f>
        <v>0</v>
      </c>
      <c r="CN179" s="24">
        <f t="shared" si="172"/>
        <v>35.34588598125702</v>
      </c>
      <c r="CO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398.99999999999977</v>
      </c>
      <c r="CU179" s="18">
        <f>CT179*VLOOKUP('Données projet'!$B$13,Paramètres!$A$1:$I$88,3,0)*VLOOKUP('Données projet'!$B$13,Paramètres!$A$1:$I$88,5,0)</f>
        <v>385.91279999999978</v>
      </c>
      <c r="CV179" s="14">
        <f t="shared" si="173"/>
        <v>88.914769596782989</v>
      </c>
      <c r="CW179" s="22">
        <f t="shared" si="174"/>
        <v>826.9913503810634</v>
      </c>
      <c r="CX179" s="59">
        <f t="shared" si="122"/>
        <v>1120.3246837143968</v>
      </c>
      <c r="CY179" s="59">
        <f ca="1">AVERAGE(OFFSET($CX$3,0,0,'Données projet'!$E$13+1,1))-AVERAGE(OFFSET($H$3,0,0,'Données projet'!$E$13+1,1))</f>
        <v>306.00894145276209</v>
      </c>
      <c r="CZ179" s="59">
        <f t="shared" si="150"/>
        <v>168.74705421228828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43.037000549013904</v>
      </c>
      <c r="DG179" s="23">
        <f>EXP(-LN(2)/25)*DG178+(1-EXP(-LN(2)/25))/(LN(2)/25)*Calculateur!DB179*Calculateur!DD179*VLOOKUP('Données projet'!$B$13,Paramètres!$A$1:$I$88,3,0)*0.475*44/12</f>
        <v>0</v>
      </c>
      <c r="DH179" s="23">
        <f>EXP(-LN(2)/2)*DH178+(1-EXP(-LN(2)/2))/(LN(2)/2)*DB179*DE179*VLOOKUP('Données projet'!$B$13,Paramètres!$A$1:$I$88,3,0)*0.475*44/12</f>
        <v>0</v>
      </c>
      <c r="DI179" s="24">
        <f t="shared" si="175"/>
        <v>43.037000549013904</v>
      </c>
      <c r="DJ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-3.4106051316484809E-13</v>
      </c>
      <c r="DP179" s="18">
        <f>DO179*VLOOKUP('Données projet'!$B$14,Paramètres!$A$1:$I$88,3,0)*VLOOKUP('Données projet'!$B$14,Paramètres!$A$1:$I$88,5,0)</f>
        <v>-2.6602720026858149E-13</v>
      </c>
      <c r="DQ179" s="14" t="e">
        <f t="shared" si="176"/>
        <v>#NUM!</v>
      </c>
      <c r="DR179" s="22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458.14328535055694</v>
      </c>
      <c r="DU179" s="59">
        <f t="shared" si="152"/>
        <v>366.75500153675739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projet'!$B$14,Paramètres!$A$1:$I$88,3,0)*0.475*44/12</f>
        <v>33.345175454016086</v>
      </c>
      <c r="EB179" s="23">
        <f>EXP(-LN(2)/25)*EB178+(1-EXP(-LN(2)/25))/(LN(2)/25)*Calculateur!DW179*Calculateur!DY179*VLOOKUP('Données projet'!$B$14,Paramètres!$A$1:$I$88,3,0)*0.475*44/12</f>
        <v>0</v>
      </c>
      <c r="EC179" s="23">
        <f>EXP(-LN(2)/2)*EC178+(1-EXP(-LN(2)/2))/(LN(2)/2)*DW179*DZ179*VLOOKUP('Données projet'!$B$14,Paramètres!$A$1:$I$88,3,0)*0.475*44/12</f>
        <v>0</v>
      </c>
      <c r="ED179" s="24">
        <f t="shared" si="178"/>
        <v>33.345175454016086</v>
      </c>
      <c r="EE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4.5474735088646412E-13</v>
      </c>
      <c r="EK179" s="18">
        <f>EJ179*VLOOKUP('Données projet'!$B$15,Paramètres!$A$1:$I$88,3,0)*VLOOKUP('Données projet'!$B$15,Paramètres!$A$1:$I$88,5,0)</f>
        <v>3.9017322706058626E-13</v>
      </c>
      <c r="EL179" s="14">
        <f t="shared" si="179"/>
        <v>5.0025007393608908E-12</v>
      </c>
      <c r="EM179" s="22">
        <f t="shared" si="180"/>
        <v>9.3922404915174053E-12</v>
      </c>
      <c r="EN179" s="59">
        <f t="shared" si="128"/>
        <v>293.33333333334269</v>
      </c>
      <c r="EO179" s="59">
        <f ca="1">AVERAGE(OFFSET($EN$3,0,0,'Données projet'!$E$15+1,1))-AVERAGE(OFFSET($H$3,0,0,'Données projet'!$E$15+1,1))</f>
        <v>462.99360395552145</v>
      </c>
      <c r="EP179" s="59">
        <f t="shared" si="154"/>
        <v>153.03880717786046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projet'!$B$15,Paramètres!$A$1:$I$88,3,0)*0.475*44/12</f>
        <v>58.042181992101277</v>
      </c>
      <c r="EW179" s="23">
        <f>EXP(-LN(2)/25)*EW178+(1-EXP(-LN(2)/25))/(LN(2)/25)*Calculateur!ER179*Calculateur!ET179*VLOOKUP('Données projet'!$B$15,Paramètres!$A$1:$I$88,3,0)*0.475*44/12</f>
        <v>0</v>
      </c>
      <c r="EX179" s="23">
        <f>EXP(-LN(2)/2)*EX178+(1-EXP(-LN(2)/2))/(LN(2)/2)*ER179*EU179*VLOOKUP('Données projet'!$B$15,Paramètres!$A$1:$I$88,3,0)*0.475*44/12</f>
        <v>0</v>
      </c>
      <c r="EY179" s="24">
        <f t="shared" si="181"/>
        <v>58.042181992101277</v>
      </c>
      <c r="EZ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2.2737367544323206E-13</v>
      </c>
      <c r="FF179" s="18">
        <f>FE179*VLOOKUP('Données projet'!$B$16,Paramètres!$A$1:$I$88,3,0)*VLOOKUP('Données projet'!$B$16,Paramètres!$A$1:$I$88,5,0)</f>
        <v>1.9863364286720756E-13</v>
      </c>
      <c r="FG179" s="14">
        <f t="shared" si="182"/>
        <v>2.7549360720371426E-12</v>
      </c>
      <c r="FH179" s="22">
        <f t="shared" si="183"/>
        <v>5.144133920125077E-12</v>
      </c>
      <c r="FI179" s="59">
        <f t="shared" si="131"/>
        <v>293.33333333333843</v>
      </c>
      <c r="FJ179" s="59">
        <f ca="1">AVERAGE(OFFSET($FI$3,0,0,'Données projet'!$E$16+1,1))-AVERAGE(OFFSET($H$3,0,0,'Données projet'!$E$16+1,1))</f>
        <v>427.76895185088944</v>
      </c>
      <c r="FK179" s="59">
        <f t="shared" si="156"/>
        <v>308.32543361559135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projet'!$B$16,Paramètres!$A$1:$I$88,3,0)*0.475*44/12</f>
        <v>47.13618929641725</v>
      </c>
      <c r="FR179" s="23">
        <f>EXP(-LN(2)/25)*FR178+(1-EXP(-LN(2)/25))/(LN(2)/25)*Calculateur!FM179*Calculateur!FO179*VLOOKUP('Données projet'!$B$16,Paramètres!$A$1:$I$88,3,0)*0.475*44/12</f>
        <v>0</v>
      </c>
      <c r="FS179" s="23">
        <f>EXP(-LN(2)/2)*FS178+(1-EXP(-LN(2)/2))/(LN(2)/2)*FM179*FP179*VLOOKUP('Données projet'!$B$16,Paramètres!$A$1:$I$88,3,0)*0.475*44/12</f>
        <v>0</v>
      </c>
      <c r="FT179" s="24">
        <f t="shared" si="184"/>
        <v>47.13618929641725</v>
      </c>
      <c r="FU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333.00000000000006</v>
      </c>
      <c r="GA179" s="18">
        <f>FZ179*VLOOKUP('Données projet'!$B$17,Paramètres!$A$1:$I$88,3,0)*VLOOKUP('Données projet'!$B$17,Paramètres!$A$1:$I$88,5,0)</f>
        <v>207.79200000000006</v>
      </c>
      <c r="GB179" s="14">
        <f t="shared" si="185"/>
        <v>51.452785725007907</v>
      </c>
      <c r="GC179" s="22">
        <f t="shared" si="186"/>
        <v>451.5180018043888</v>
      </c>
      <c r="GD179" s="59">
        <f t="shared" si="134"/>
        <v>744.85133513772212</v>
      </c>
      <c r="GE179" s="59">
        <f ca="1">AVERAGE(OFFSET($GD$3,0,0,'Données projet'!$E$17+1,1))-AVERAGE(OFFSET($H$3,0,0,'Données projet'!$E$17+1,1))</f>
        <v>247.85542034088905</v>
      </c>
      <c r="GF179" s="59">
        <f t="shared" si="158"/>
        <v>299.52241743660352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projet'!$B$17,Paramètres!$A$1:$I$88,3,0)*0.475*44/12</f>
        <v>3.7351394138000185</v>
      </c>
      <c r="GM179" s="23">
        <f>EXP(-LN(2)/25)*GM178+(1-EXP(-LN(2)/25))/(LN(2)/25)*Calculateur!GH179*Calculateur!GJ179*VLOOKUP('Données projet'!$B$17,Paramètres!$A$1:$I$88,3,0)*0.475*44/12</f>
        <v>1.5251236285145773</v>
      </c>
      <c r="GN179" s="23">
        <f>EXP(-LN(2)/2)*GN178+(1-EXP(-LN(2)/2))/(LN(2)/2)*GH179*GK179*VLOOKUP('Données projet'!$B$17,Paramètres!$A$1:$I$88,3,0)*0.475*44/12</f>
        <v>1.4849963694980168E-16</v>
      </c>
      <c r="GO179" s="23">
        <f t="shared" si="187"/>
        <v>5.2602630423145955</v>
      </c>
      <c r="GP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3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6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projet'!$B$9,Paramètres!$A$1:$I$88,3,0)*VLOOKUP('Données projet'!$B$9,Paramètres!$A$1:$I$88,5,0)</f>
        <v>-2.0572770154103635E-13</v>
      </c>
      <c r="P180" s="14" t="e">
        <f t="shared" si="141"/>
        <v>#NUM!</v>
      </c>
      <c r="Q180" s="22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247.57967230773539</v>
      </c>
      <c r="T180" s="59">
        <f t="shared" si="142"/>
        <v>156.58857589533295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90.682360146000548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90.682360146000548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-3.4106051316484809E-13</v>
      </c>
      <c r="AJ180" s="14">
        <f>AI180*VLOOKUP('Données projet'!$B$10,Paramètres!$A$1:$I$88,3,0)*VLOOKUP('Données projet'!$B$10,Paramètres!$A$1:$I$88,5,0)</f>
        <v>-2.7134774427395314E-13</v>
      </c>
      <c r="AK180" s="14" t="e">
        <f t="shared" si="164"/>
        <v>#NUM!</v>
      </c>
      <c r="AL180" s="22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504.15006129790828</v>
      </c>
      <c r="AO180" s="59">
        <f t="shared" si="144"/>
        <v>374.39334457402742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52.557907026497375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52.557907026497375</v>
      </c>
      <c r="AY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-3.4106051316484809E-13</v>
      </c>
      <c r="BE180" s="14">
        <f>BD180*VLOOKUP('Données projet'!$B$11,Paramètres!$A$1:$I$88,3,0)*VLOOKUP('Données projet'!$B$11,Paramètres!$A$1:$I$88,5,0)</f>
        <v>-2.7134774427395314E-13</v>
      </c>
      <c r="BF180" s="14" t="e">
        <f t="shared" si="167"/>
        <v>#NUM!</v>
      </c>
      <c r="BG180" s="22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504.15006129790828</v>
      </c>
      <c r="BJ180" s="59">
        <f t="shared" si="146"/>
        <v>374.39334457402742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52.557907026497375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52.557907026497375</v>
      </c>
      <c r="BT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-3.4106051316484809E-13</v>
      </c>
      <c r="BZ180" s="14">
        <f>BY180*VLOOKUP('Données projet'!$B$12,Paramètres!$A$1:$I$88,3,0)*VLOOKUP('Données projet'!$B$12,Paramètres!$A$1:$I$88,5,0)</f>
        <v>-2.2878339223098009E-13</v>
      </c>
      <c r="CA180" s="14" t="e">
        <f t="shared" si="170"/>
        <v>#NUM!</v>
      </c>
      <c r="CB180" s="22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387.15063677712425</v>
      </c>
      <c r="CE180" s="59">
        <f t="shared" si="148"/>
        <v>313.19155394370705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34.652774716026258</v>
      </c>
      <c r="CL180" s="23">
        <f>EXP(-LN(2)/25)*CL179+(1-EXP(-LN(2)/25))/(LN(2)/25)*Calculateur!CG180*Calculateur!CI180*VLOOKUP('Données projet'!$B$12,Paramètres!$A$1:$I$88,3,0)*0.475*44/12</f>
        <v>0</v>
      </c>
      <c r="CM180" s="23">
        <f>EXP(-LN(2)/2)*CM179+(1-EXP(-LN(2)/2))/(LN(2)/2)*CG180*CJ180*VLOOKUP('Données projet'!$B$12,Paramètres!$A$1:$I$88,3,0)*0.475*44/12</f>
        <v>0</v>
      </c>
      <c r="CN180" s="24">
        <f t="shared" si="172"/>
        <v>34.652774716026258</v>
      </c>
      <c r="CO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398.99999999999977</v>
      </c>
      <c r="CU180" s="18">
        <f>CT180*VLOOKUP('Données projet'!$B$13,Paramètres!$A$1:$I$88,3,0)*VLOOKUP('Données projet'!$B$13,Paramètres!$A$1:$I$88,5,0)</f>
        <v>385.91279999999978</v>
      </c>
      <c r="CV180" s="14">
        <f t="shared" si="173"/>
        <v>88.914769596782989</v>
      </c>
      <c r="CW180" s="22">
        <f t="shared" si="174"/>
        <v>826.9913503810634</v>
      </c>
      <c r="CX180" s="59">
        <f t="shared" si="122"/>
        <v>1120.3246837143968</v>
      </c>
      <c r="CY180" s="59">
        <f ca="1">AVERAGE(OFFSET($CX$3,0,0,'Données projet'!$E$13+1,1))-AVERAGE(OFFSET($H$3,0,0,'Données projet'!$E$13+1,1))</f>
        <v>306.00894145276209</v>
      </c>
      <c r="CZ180" s="59">
        <f t="shared" si="150"/>
        <v>168.74705421228828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42.193071218226109</v>
      </c>
      <c r="DG180" s="23">
        <f>EXP(-LN(2)/25)*DG179+(1-EXP(-LN(2)/25))/(LN(2)/25)*Calculateur!DB180*Calculateur!DD180*VLOOKUP('Données projet'!$B$13,Paramètres!$A$1:$I$88,3,0)*0.475*44/12</f>
        <v>0</v>
      </c>
      <c r="DH180" s="23">
        <f>EXP(-LN(2)/2)*DH179+(1-EXP(-LN(2)/2))/(LN(2)/2)*DB180*DE180*VLOOKUP('Données projet'!$B$13,Paramètres!$A$1:$I$88,3,0)*0.475*44/12</f>
        <v>0</v>
      </c>
      <c r="DI180" s="24">
        <f t="shared" si="175"/>
        <v>42.193071218226109</v>
      </c>
      <c r="DJ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-3.4106051316484809E-13</v>
      </c>
      <c r="DP180" s="18">
        <f>DO180*VLOOKUP('Données projet'!$B$14,Paramètres!$A$1:$I$88,3,0)*VLOOKUP('Données projet'!$B$14,Paramètres!$A$1:$I$88,5,0)</f>
        <v>-2.6602720026858149E-13</v>
      </c>
      <c r="DQ180" s="14" t="e">
        <f t="shared" si="176"/>
        <v>#NUM!</v>
      </c>
      <c r="DR180" s="22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458.14328535055694</v>
      </c>
      <c r="DU180" s="59">
        <f t="shared" si="152"/>
        <v>366.75500153675739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projet'!$B$14,Paramètres!$A$1:$I$88,3,0)*0.475*44/12</f>
        <v>32.691296901911592</v>
      </c>
      <c r="EB180" s="23">
        <f>EXP(-LN(2)/25)*EB179+(1-EXP(-LN(2)/25))/(LN(2)/25)*Calculateur!DW180*Calculateur!DY180*VLOOKUP('Données projet'!$B$14,Paramètres!$A$1:$I$88,3,0)*0.475*44/12</f>
        <v>0</v>
      </c>
      <c r="EC180" s="23">
        <f>EXP(-LN(2)/2)*EC179+(1-EXP(-LN(2)/2))/(LN(2)/2)*DW180*DZ180*VLOOKUP('Données projet'!$B$14,Paramètres!$A$1:$I$88,3,0)*0.475*44/12</f>
        <v>0</v>
      </c>
      <c r="ED180" s="24">
        <f t="shared" si="178"/>
        <v>32.691296901911592</v>
      </c>
      <c r="EE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4.5474735088646412E-13</v>
      </c>
      <c r="EK180" s="18">
        <f>EJ180*VLOOKUP('Données projet'!$B$15,Paramètres!$A$1:$I$88,3,0)*VLOOKUP('Données projet'!$B$15,Paramètres!$A$1:$I$88,5,0)</f>
        <v>3.9017322706058626E-13</v>
      </c>
      <c r="EL180" s="14">
        <f t="shared" si="179"/>
        <v>5.0025007393608908E-12</v>
      </c>
      <c r="EM180" s="22">
        <f t="shared" si="180"/>
        <v>9.3922404915174053E-12</v>
      </c>
      <c r="EN180" s="59">
        <f t="shared" si="128"/>
        <v>293.33333333334269</v>
      </c>
      <c r="EO180" s="59">
        <f ca="1">AVERAGE(OFFSET($EN$3,0,0,'Données projet'!$E$15+1,1))-AVERAGE(OFFSET($H$3,0,0,'Données projet'!$E$15+1,1))</f>
        <v>462.99360395552145</v>
      </c>
      <c r="EP180" s="59">
        <f t="shared" si="154"/>
        <v>153.03880717786046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projet'!$B$15,Paramètres!$A$1:$I$88,3,0)*0.475*44/12</f>
        <v>56.904010205471508</v>
      </c>
      <c r="EW180" s="23">
        <f>EXP(-LN(2)/25)*EW179+(1-EXP(-LN(2)/25))/(LN(2)/25)*Calculateur!ER180*Calculateur!ET180*VLOOKUP('Données projet'!$B$15,Paramètres!$A$1:$I$88,3,0)*0.475*44/12</f>
        <v>0</v>
      </c>
      <c r="EX180" s="23">
        <f>EXP(-LN(2)/2)*EX179+(1-EXP(-LN(2)/2))/(LN(2)/2)*ER180*EU180*VLOOKUP('Données projet'!$B$15,Paramètres!$A$1:$I$88,3,0)*0.475*44/12</f>
        <v>0</v>
      </c>
      <c r="EY180" s="24">
        <f t="shared" si="181"/>
        <v>56.904010205471508</v>
      </c>
      <c r="EZ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2.2737367544323206E-13</v>
      </c>
      <c r="FF180" s="18">
        <f>FE180*VLOOKUP('Données projet'!$B$16,Paramètres!$A$1:$I$88,3,0)*VLOOKUP('Données projet'!$B$16,Paramètres!$A$1:$I$88,5,0)</f>
        <v>1.9863364286720756E-13</v>
      </c>
      <c r="FG180" s="14">
        <f t="shared" si="182"/>
        <v>2.7549360720371426E-12</v>
      </c>
      <c r="FH180" s="22">
        <f t="shared" si="183"/>
        <v>5.144133920125077E-12</v>
      </c>
      <c r="FI180" s="59">
        <f t="shared" si="131"/>
        <v>293.33333333333843</v>
      </c>
      <c r="FJ180" s="59">
        <f ca="1">AVERAGE(OFFSET($FI$3,0,0,'Données projet'!$E$16+1,1))-AVERAGE(OFFSET($H$3,0,0,'Données projet'!$E$16+1,1))</f>
        <v>427.76895185088944</v>
      </c>
      <c r="FK180" s="59">
        <f t="shared" si="156"/>
        <v>308.32543361559135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projet'!$B$16,Paramètres!$A$1:$I$88,3,0)*0.475*44/12</f>
        <v>46.211877374551129</v>
      </c>
      <c r="FR180" s="23">
        <f>EXP(-LN(2)/25)*FR179+(1-EXP(-LN(2)/25))/(LN(2)/25)*Calculateur!FM180*Calculateur!FO180*VLOOKUP('Données projet'!$B$16,Paramètres!$A$1:$I$88,3,0)*0.475*44/12</f>
        <v>0</v>
      </c>
      <c r="FS180" s="23">
        <f>EXP(-LN(2)/2)*FS179+(1-EXP(-LN(2)/2))/(LN(2)/2)*FM180*FP180*VLOOKUP('Données projet'!$B$16,Paramètres!$A$1:$I$88,3,0)*0.475*44/12</f>
        <v>0</v>
      </c>
      <c r="FT180" s="24">
        <f t="shared" si="184"/>
        <v>46.211877374551129</v>
      </c>
      <c r="FU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333.00000000000006</v>
      </c>
      <c r="GA180" s="18">
        <f>FZ180*VLOOKUP('Données projet'!$B$17,Paramètres!$A$1:$I$88,3,0)*VLOOKUP('Données projet'!$B$17,Paramètres!$A$1:$I$88,5,0)</f>
        <v>207.79200000000006</v>
      </c>
      <c r="GB180" s="14">
        <f t="shared" si="185"/>
        <v>51.452785725007907</v>
      </c>
      <c r="GC180" s="22">
        <f t="shared" si="186"/>
        <v>451.5180018043888</v>
      </c>
      <c r="GD180" s="59">
        <f t="shared" si="134"/>
        <v>744.85133513772212</v>
      </c>
      <c r="GE180" s="59">
        <f ca="1">AVERAGE(OFFSET($GD$3,0,0,'Données projet'!$E$17+1,1))-AVERAGE(OFFSET($H$3,0,0,'Données projet'!$E$17+1,1))</f>
        <v>247.85542034088905</v>
      </c>
      <c r="GF180" s="59">
        <f t="shared" si="158"/>
        <v>299.52241743660352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projet'!$B$17,Paramètres!$A$1:$I$88,3,0)*0.475*44/12</f>
        <v>3.6618956081054881</v>
      </c>
      <c r="GM180" s="23">
        <f>EXP(-LN(2)/25)*GM179+(1-EXP(-LN(2)/25))/(LN(2)/25)*Calculateur!GH180*Calculateur!GJ180*VLOOKUP('Données projet'!$B$17,Paramètres!$A$1:$I$88,3,0)*0.475*44/12</f>
        <v>1.4834190426900802</v>
      </c>
      <c r="GN180" s="23">
        <f>EXP(-LN(2)/2)*GN179+(1-EXP(-LN(2)/2))/(LN(2)/2)*GH180*GK180*VLOOKUP('Données projet'!$B$17,Paramètres!$A$1:$I$88,3,0)*0.475*44/12</f>
        <v>1.0500510029094516E-16</v>
      </c>
      <c r="GO180" s="23">
        <f t="shared" si="187"/>
        <v>5.1453146507955685</v>
      </c>
      <c r="GP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3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6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projet'!$B$9,Paramètres!$A$1:$I$88,3,0)*VLOOKUP('Données projet'!$B$9,Paramètres!$A$1:$I$88,5,0)</f>
        <v>-2.0572770154103635E-13</v>
      </c>
      <c r="P181" s="14" t="e">
        <f t="shared" si="141"/>
        <v>#NUM!</v>
      </c>
      <c r="Q181" s="22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247.57967230773539</v>
      </c>
      <c r="T181" s="59">
        <f t="shared" si="142"/>
        <v>156.58857589533295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88.904134374315674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88.904134374315674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-3.4106051316484809E-13</v>
      </c>
      <c r="AJ181" s="14">
        <f>AI181*VLOOKUP('Données projet'!$B$10,Paramètres!$A$1:$I$88,3,0)*VLOOKUP('Données projet'!$B$10,Paramètres!$A$1:$I$88,5,0)</f>
        <v>-2.7134774427395314E-13</v>
      </c>
      <c r="AK181" s="14" t="e">
        <f t="shared" si="164"/>
        <v>#NUM!</v>
      </c>
      <c r="AL181" s="22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504.15006129790828</v>
      </c>
      <c r="AO181" s="59">
        <f t="shared" si="144"/>
        <v>374.39334457402742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51.527278526865665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51.527278526865665</v>
      </c>
      <c r="AY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-3.4106051316484809E-13</v>
      </c>
      <c r="BE181" s="14">
        <f>BD181*VLOOKUP('Données projet'!$B$11,Paramètres!$A$1:$I$88,3,0)*VLOOKUP('Données projet'!$B$11,Paramètres!$A$1:$I$88,5,0)</f>
        <v>-2.7134774427395314E-13</v>
      </c>
      <c r="BF181" s="14" t="e">
        <f t="shared" si="167"/>
        <v>#NUM!</v>
      </c>
      <c r="BG181" s="22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504.15006129790828</v>
      </c>
      <c r="BJ181" s="59">
        <f t="shared" si="146"/>
        <v>374.39334457402742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51.527278526865665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51.527278526865665</v>
      </c>
      <c r="BT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-3.4106051316484809E-13</v>
      </c>
      <c r="BZ181" s="14">
        <f>BY181*VLOOKUP('Données projet'!$B$12,Paramètres!$A$1:$I$88,3,0)*VLOOKUP('Données projet'!$B$12,Paramètres!$A$1:$I$88,5,0)</f>
        <v>-2.2878339223098009E-13</v>
      </c>
      <c r="CA181" s="14" t="e">
        <f t="shared" si="170"/>
        <v>#NUM!</v>
      </c>
      <c r="CB181" s="22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387.15063677712425</v>
      </c>
      <c r="CE181" s="59">
        <f t="shared" si="148"/>
        <v>313.19155394370705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33.973254939950543</v>
      </c>
      <c r="CL181" s="23">
        <f>EXP(-LN(2)/25)*CL180+(1-EXP(-LN(2)/25))/(LN(2)/25)*Calculateur!CG181*Calculateur!CI181*VLOOKUP('Données projet'!$B$12,Paramètres!$A$1:$I$88,3,0)*0.475*44/12</f>
        <v>0</v>
      </c>
      <c r="CM181" s="23">
        <f>EXP(-LN(2)/2)*CM180+(1-EXP(-LN(2)/2))/(LN(2)/2)*CG181*CJ181*VLOOKUP('Données projet'!$B$12,Paramètres!$A$1:$I$88,3,0)*0.475*44/12</f>
        <v>0</v>
      </c>
      <c r="CN181" s="24">
        <f t="shared" si="172"/>
        <v>33.973254939950543</v>
      </c>
      <c r="CO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398.99999999999977</v>
      </c>
      <c r="CU181" s="18">
        <f>CT181*VLOOKUP('Données projet'!$B$13,Paramètres!$A$1:$I$88,3,0)*VLOOKUP('Données projet'!$B$13,Paramètres!$A$1:$I$88,5,0)</f>
        <v>385.91279999999978</v>
      </c>
      <c r="CV181" s="14">
        <f t="shared" si="173"/>
        <v>88.914769596782989</v>
      </c>
      <c r="CW181" s="22">
        <f t="shared" si="174"/>
        <v>826.9913503810634</v>
      </c>
      <c r="CX181" s="59">
        <f t="shared" si="122"/>
        <v>1120.3246837143968</v>
      </c>
      <c r="CY181" s="59">
        <f ca="1">AVERAGE(OFFSET($CX$3,0,0,'Données projet'!$E$13+1,1))-AVERAGE(OFFSET($H$3,0,0,'Données projet'!$E$13+1,1))</f>
        <v>306.00894145276209</v>
      </c>
      <c r="CZ181" s="59">
        <f t="shared" si="150"/>
        <v>168.74705421228828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41.365690826868992</v>
      </c>
      <c r="DG181" s="23">
        <f>EXP(-LN(2)/25)*DG180+(1-EXP(-LN(2)/25))/(LN(2)/25)*Calculateur!DB181*Calculateur!DD181*VLOOKUP('Données projet'!$B$13,Paramètres!$A$1:$I$88,3,0)*0.475*44/12</f>
        <v>0</v>
      </c>
      <c r="DH181" s="23">
        <f>EXP(-LN(2)/2)*DH180+(1-EXP(-LN(2)/2))/(LN(2)/2)*DB181*DE181*VLOOKUP('Données projet'!$B$13,Paramètres!$A$1:$I$88,3,0)*0.475*44/12</f>
        <v>0</v>
      </c>
      <c r="DI181" s="24">
        <f t="shared" si="175"/>
        <v>41.365690826868992</v>
      </c>
      <c r="DJ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-3.4106051316484809E-13</v>
      </c>
      <c r="DP181" s="18">
        <f>DO181*VLOOKUP('Données projet'!$B$14,Paramètres!$A$1:$I$88,3,0)*VLOOKUP('Données projet'!$B$14,Paramètres!$A$1:$I$88,5,0)</f>
        <v>-2.6602720026858149E-13</v>
      </c>
      <c r="DQ181" s="14" t="e">
        <f t="shared" si="176"/>
        <v>#NUM!</v>
      </c>
      <c r="DR181" s="22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458.14328535055694</v>
      </c>
      <c r="DU181" s="59">
        <f t="shared" si="152"/>
        <v>366.75500153675739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projet'!$B$14,Paramètres!$A$1:$I$88,3,0)*0.475*44/12</f>
        <v>32.050240509387329</v>
      </c>
      <c r="EB181" s="23">
        <f>EXP(-LN(2)/25)*EB180+(1-EXP(-LN(2)/25))/(LN(2)/25)*Calculateur!DW181*Calculateur!DY181*VLOOKUP('Données projet'!$B$14,Paramètres!$A$1:$I$88,3,0)*0.475*44/12</f>
        <v>0</v>
      </c>
      <c r="EC181" s="23">
        <f>EXP(-LN(2)/2)*EC180+(1-EXP(-LN(2)/2))/(LN(2)/2)*DW181*DZ181*VLOOKUP('Données projet'!$B$14,Paramètres!$A$1:$I$88,3,0)*0.475*44/12</f>
        <v>0</v>
      </c>
      <c r="ED181" s="24">
        <f t="shared" si="178"/>
        <v>32.050240509387329</v>
      </c>
      <c r="EE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4.5474735088646412E-13</v>
      </c>
      <c r="EK181" s="18">
        <f>EJ181*VLOOKUP('Données projet'!$B$15,Paramètres!$A$1:$I$88,3,0)*VLOOKUP('Données projet'!$B$15,Paramètres!$A$1:$I$88,5,0)</f>
        <v>3.9017322706058626E-13</v>
      </c>
      <c r="EL181" s="14">
        <f t="shared" si="179"/>
        <v>5.0025007393608908E-12</v>
      </c>
      <c r="EM181" s="22">
        <f t="shared" si="180"/>
        <v>9.3922404915174053E-12</v>
      </c>
      <c r="EN181" s="59">
        <f t="shared" si="128"/>
        <v>293.33333333334269</v>
      </c>
      <c r="EO181" s="59">
        <f ca="1">AVERAGE(OFFSET($EN$3,0,0,'Données projet'!$E$15+1,1))-AVERAGE(OFFSET($H$3,0,0,'Données projet'!$E$15+1,1))</f>
        <v>462.99360395552145</v>
      </c>
      <c r="EP181" s="59">
        <f t="shared" si="154"/>
        <v>153.03880717786046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projet'!$B$15,Paramètres!$A$1:$I$88,3,0)*0.475*44/12</f>
        <v>55.788157273361307</v>
      </c>
      <c r="EW181" s="23">
        <f>EXP(-LN(2)/25)*EW180+(1-EXP(-LN(2)/25))/(LN(2)/25)*Calculateur!ER181*Calculateur!ET181*VLOOKUP('Données projet'!$B$15,Paramètres!$A$1:$I$88,3,0)*0.475*44/12</f>
        <v>0</v>
      </c>
      <c r="EX181" s="23">
        <f>EXP(-LN(2)/2)*EX180+(1-EXP(-LN(2)/2))/(LN(2)/2)*ER181*EU181*VLOOKUP('Données projet'!$B$15,Paramètres!$A$1:$I$88,3,0)*0.475*44/12</f>
        <v>0</v>
      </c>
      <c r="EY181" s="24">
        <f t="shared" si="181"/>
        <v>55.788157273361307</v>
      </c>
      <c r="EZ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2.2737367544323206E-13</v>
      </c>
      <c r="FF181" s="18">
        <f>FE181*VLOOKUP('Données projet'!$B$16,Paramètres!$A$1:$I$88,3,0)*VLOOKUP('Données projet'!$B$16,Paramètres!$A$1:$I$88,5,0)</f>
        <v>1.9863364286720756E-13</v>
      </c>
      <c r="FG181" s="14">
        <f t="shared" si="182"/>
        <v>2.7549360720371426E-12</v>
      </c>
      <c r="FH181" s="22">
        <f t="shared" si="183"/>
        <v>5.144133920125077E-12</v>
      </c>
      <c r="FI181" s="59">
        <f t="shared" si="131"/>
        <v>293.33333333333843</v>
      </c>
      <c r="FJ181" s="59">
        <f ca="1">AVERAGE(OFFSET($FI$3,0,0,'Données projet'!$E$16+1,1))-AVERAGE(OFFSET($H$3,0,0,'Données projet'!$E$16+1,1))</f>
        <v>427.76895185088944</v>
      </c>
      <c r="FK181" s="59">
        <f t="shared" si="156"/>
        <v>308.32543361559135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projet'!$B$16,Paramètres!$A$1:$I$88,3,0)*0.475*44/12</f>
        <v>45.305690645698199</v>
      </c>
      <c r="FR181" s="23">
        <f>EXP(-LN(2)/25)*FR180+(1-EXP(-LN(2)/25))/(LN(2)/25)*Calculateur!FM181*Calculateur!FO181*VLOOKUP('Données projet'!$B$16,Paramètres!$A$1:$I$88,3,0)*0.475*44/12</f>
        <v>0</v>
      </c>
      <c r="FS181" s="23">
        <f>EXP(-LN(2)/2)*FS180+(1-EXP(-LN(2)/2))/(LN(2)/2)*FM181*FP181*VLOOKUP('Données projet'!$B$16,Paramètres!$A$1:$I$88,3,0)*0.475*44/12</f>
        <v>0</v>
      </c>
      <c r="FT181" s="24">
        <f t="shared" si="184"/>
        <v>45.305690645698199</v>
      </c>
      <c r="FU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333.00000000000006</v>
      </c>
      <c r="GA181" s="18">
        <f>FZ181*VLOOKUP('Données projet'!$B$17,Paramètres!$A$1:$I$88,3,0)*VLOOKUP('Données projet'!$B$17,Paramètres!$A$1:$I$88,5,0)</f>
        <v>207.79200000000006</v>
      </c>
      <c r="GB181" s="14">
        <f t="shared" si="185"/>
        <v>51.452785725007907</v>
      </c>
      <c r="GC181" s="22">
        <f t="shared" si="186"/>
        <v>451.5180018043888</v>
      </c>
      <c r="GD181" s="59">
        <f t="shared" si="134"/>
        <v>744.85133513772212</v>
      </c>
      <c r="GE181" s="59">
        <f ca="1">AVERAGE(OFFSET($GD$3,0,0,'Données projet'!$E$17+1,1))-AVERAGE(OFFSET($H$3,0,0,'Données projet'!$E$17+1,1))</f>
        <v>247.85542034088905</v>
      </c>
      <c r="GF181" s="59">
        <f t="shared" si="158"/>
        <v>299.52241743660352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projet'!$B$17,Paramètres!$A$1:$I$88,3,0)*0.475*44/12</f>
        <v>3.5900880687663173</v>
      </c>
      <c r="GM181" s="23">
        <f>EXP(-LN(2)/25)*GM180+(1-EXP(-LN(2)/25))/(LN(2)/25)*Calculateur!GH181*Calculateur!GJ181*VLOOKUP('Données projet'!$B$17,Paramètres!$A$1:$I$88,3,0)*0.475*44/12</f>
        <v>1.4428548709581028</v>
      </c>
      <c r="GN181" s="23">
        <f>EXP(-LN(2)/2)*GN180+(1-EXP(-LN(2)/2))/(LN(2)/2)*GH181*GK181*VLOOKUP('Données projet'!$B$17,Paramètres!$A$1:$I$88,3,0)*0.475*44/12</f>
        <v>7.4249818474900839E-17</v>
      </c>
      <c r="GO181" s="23">
        <f t="shared" si="187"/>
        <v>5.0329429397244203</v>
      </c>
      <c r="GP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3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6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projet'!$B$9,Paramètres!$A$1:$I$88,3,0)*VLOOKUP('Données projet'!$B$9,Paramètres!$A$1:$I$88,5,0)</f>
        <v>-2.0572770154103635E-13</v>
      </c>
      <c r="P182" s="14" t="e">
        <f t="shared" si="141"/>
        <v>#NUM!</v>
      </c>
      <c r="Q182" s="22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247.57967230773539</v>
      </c>
      <c r="T182" s="59">
        <f t="shared" si="142"/>
        <v>156.58857589533295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87.160778525402918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87.160778525402918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-3.4106051316484809E-13</v>
      </c>
      <c r="AJ182" s="14">
        <f>AI182*VLOOKUP('Données projet'!$B$10,Paramètres!$A$1:$I$88,3,0)*VLOOKUP('Données projet'!$B$10,Paramètres!$A$1:$I$88,5,0)</f>
        <v>-2.7134774427395314E-13</v>
      </c>
      <c r="AK182" s="14" t="e">
        <f t="shared" si="164"/>
        <v>#NUM!</v>
      </c>
      <c r="AL182" s="22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504.15006129790828</v>
      </c>
      <c r="AO182" s="59">
        <f t="shared" si="144"/>
        <v>374.39334457402742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50.516860023490423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50.516860023490423</v>
      </c>
      <c r="AY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-3.4106051316484809E-13</v>
      </c>
      <c r="BE182" s="14">
        <f>BD182*VLOOKUP('Données projet'!$B$11,Paramètres!$A$1:$I$88,3,0)*VLOOKUP('Données projet'!$B$11,Paramètres!$A$1:$I$88,5,0)</f>
        <v>-2.7134774427395314E-13</v>
      </c>
      <c r="BF182" s="14" t="e">
        <f t="shared" si="167"/>
        <v>#NUM!</v>
      </c>
      <c r="BG182" s="22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504.15006129790828</v>
      </c>
      <c r="BJ182" s="59">
        <f t="shared" si="146"/>
        <v>374.39334457402742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50.516860023490423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50.516860023490423</v>
      </c>
      <c r="BT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-3.4106051316484809E-13</v>
      </c>
      <c r="BZ182" s="14">
        <f>BY182*VLOOKUP('Données projet'!$B$12,Paramètres!$A$1:$I$88,3,0)*VLOOKUP('Données projet'!$B$12,Paramètres!$A$1:$I$88,5,0)</f>
        <v>-2.2878339223098009E-13</v>
      </c>
      <c r="CA182" s="14" t="e">
        <f t="shared" si="170"/>
        <v>#NUM!</v>
      </c>
      <c r="CB182" s="22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387.15063677712425</v>
      </c>
      <c r="CE182" s="59">
        <f t="shared" si="148"/>
        <v>313.19155394370705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33.307060132217536</v>
      </c>
      <c r="CL182" s="23">
        <f>EXP(-LN(2)/25)*CL181+(1-EXP(-LN(2)/25))/(LN(2)/25)*Calculateur!CG182*Calculateur!CI182*VLOOKUP('Données projet'!$B$12,Paramètres!$A$1:$I$88,3,0)*0.475*44/12</f>
        <v>0</v>
      </c>
      <c r="CM182" s="23">
        <f>EXP(-LN(2)/2)*CM181+(1-EXP(-LN(2)/2))/(LN(2)/2)*CG182*CJ182*VLOOKUP('Données projet'!$B$12,Paramètres!$A$1:$I$88,3,0)*0.475*44/12</f>
        <v>0</v>
      </c>
      <c r="CN182" s="24">
        <f t="shared" si="172"/>
        <v>33.307060132217536</v>
      </c>
      <c r="CO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398.99999999999977</v>
      </c>
      <c r="CU182" s="18">
        <f>CT182*VLOOKUP('Données projet'!$B$13,Paramètres!$A$1:$I$88,3,0)*VLOOKUP('Données projet'!$B$13,Paramètres!$A$1:$I$88,5,0)</f>
        <v>385.91279999999978</v>
      </c>
      <c r="CV182" s="14">
        <f t="shared" si="173"/>
        <v>88.914769596782989</v>
      </c>
      <c r="CW182" s="22">
        <f t="shared" si="174"/>
        <v>826.9913503810634</v>
      </c>
      <c r="CX182" s="59">
        <f t="shared" si="122"/>
        <v>1120.3246837143968</v>
      </c>
      <c r="CY182" s="59">
        <f ca="1">AVERAGE(OFFSET($CX$3,0,0,'Données projet'!$E$13+1,1))-AVERAGE(OFFSET($H$3,0,0,'Données projet'!$E$13+1,1))</f>
        <v>306.00894145276209</v>
      </c>
      <c r="CZ182" s="59">
        <f t="shared" si="150"/>
        <v>168.74705421228828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40.554534860334179</v>
      </c>
      <c r="DG182" s="23">
        <f>EXP(-LN(2)/25)*DG181+(1-EXP(-LN(2)/25))/(LN(2)/25)*Calculateur!DB182*Calculateur!DD182*VLOOKUP('Données projet'!$B$13,Paramètres!$A$1:$I$88,3,0)*0.475*44/12</f>
        <v>0</v>
      </c>
      <c r="DH182" s="23">
        <f>EXP(-LN(2)/2)*DH181+(1-EXP(-LN(2)/2))/(LN(2)/2)*DB182*DE182*VLOOKUP('Données projet'!$B$13,Paramètres!$A$1:$I$88,3,0)*0.475*44/12</f>
        <v>0</v>
      </c>
      <c r="DI182" s="24">
        <f t="shared" si="175"/>
        <v>40.554534860334179</v>
      </c>
      <c r="DJ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-3.4106051316484809E-13</v>
      </c>
      <c r="DP182" s="18">
        <f>DO182*VLOOKUP('Données projet'!$B$14,Paramètres!$A$1:$I$88,3,0)*VLOOKUP('Données projet'!$B$14,Paramètres!$A$1:$I$88,5,0)</f>
        <v>-2.6602720026858149E-13</v>
      </c>
      <c r="DQ182" s="14" t="e">
        <f t="shared" si="176"/>
        <v>#NUM!</v>
      </c>
      <c r="DR182" s="22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458.14328535055694</v>
      </c>
      <c r="DU182" s="59">
        <f t="shared" si="152"/>
        <v>366.75500153675739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projet'!$B$14,Paramètres!$A$1:$I$88,3,0)*0.475*44/12</f>
        <v>31.42175484171468</v>
      </c>
      <c r="EB182" s="23">
        <f>EXP(-LN(2)/25)*EB181+(1-EXP(-LN(2)/25))/(LN(2)/25)*Calculateur!DW182*Calculateur!DY182*VLOOKUP('Données projet'!$B$14,Paramètres!$A$1:$I$88,3,0)*0.475*44/12</f>
        <v>0</v>
      </c>
      <c r="EC182" s="23">
        <f>EXP(-LN(2)/2)*EC181+(1-EXP(-LN(2)/2))/(LN(2)/2)*DW182*DZ182*VLOOKUP('Données projet'!$B$14,Paramètres!$A$1:$I$88,3,0)*0.475*44/12</f>
        <v>0</v>
      </c>
      <c r="ED182" s="24">
        <f t="shared" si="178"/>
        <v>31.42175484171468</v>
      </c>
      <c r="EE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4.5474735088646412E-13</v>
      </c>
      <c r="EK182" s="18">
        <f>EJ182*VLOOKUP('Données projet'!$B$15,Paramètres!$A$1:$I$88,3,0)*VLOOKUP('Données projet'!$B$15,Paramètres!$A$1:$I$88,5,0)</f>
        <v>3.9017322706058626E-13</v>
      </c>
      <c r="EL182" s="14">
        <f t="shared" si="179"/>
        <v>5.0025007393608908E-12</v>
      </c>
      <c r="EM182" s="22">
        <f t="shared" si="180"/>
        <v>9.3922404915174053E-12</v>
      </c>
      <c r="EN182" s="59">
        <f t="shared" si="128"/>
        <v>293.33333333334269</v>
      </c>
      <c r="EO182" s="59">
        <f ca="1">AVERAGE(OFFSET($EN$3,0,0,'Données projet'!$E$15+1,1))-AVERAGE(OFFSET($H$3,0,0,'Données projet'!$E$15+1,1))</f>
        <v>462.99360395552145</v>
      </c>
      <c r="EP182" s="59">
        <f t="shared" si="154"/>
        <v>153.03880717786046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projet'!$B$15,Paramètres!$A$1:$I$88,3,0)*0.475*44/12</f>
        <v>54.6941855366467</v>
      </c>
      <c r="EW182" s="23">
        <f>EXP(-LN(2)/25)*EW181+(1-EXP(-LN(2)/25))/(LN(2)/25)*Calculateur!ER182*Calculateur!ET182*VLOOKUP('Données projet'!$B$15,Paramètres!$A$1:$I$88,3,0)*0.475*44/12</f>
        <v>0</v>
      </c>
      <c r="EX182" s="23">
        <f>EXP(-LN(2)/2)*EX181+(1-EXP(-LN(2)/2))/(LN(2)/2)*ER182*EU182*VLOOKUP('Données projet'!$B$15,Paramètres!$A$1:$I$88,3,0)*0.475*44/12</f>
        <v>0</v>
      </c>
      <c r="EY182" s="24">
        <f t="shared" si="181"/>
        <v>54.6941855366467</v>
      </c>
      <c r="EZ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2.2737367544323206E-13</v>
      </c>
      <c r="FF182" s="18">
        <f>FE182*VLOOKUP('Données projet'!$B$16,Paramètres!$A$1:$I$88,3,0)*VLOOKUP('Données projet'!$B$16,Paramètres!$A$1:$I$88,5,0)</f>
        <v>1.9863364286720756E-13</v>
      </c>
      <c r="FG182" s="14">
        <f t="shared" si="182"/>
        <v>2.7549360720371426E-12</v>
      </c>
      <c r="FH182" s="22">
        <f t="shared" si="183"/>
        <v>5.144133920125077E-12</v>
      </c>
      <c r="FI182" s="59">
        <f t="shared" si="131"/>
        <v>293.33333333333843</v>
      </c>
      <c r="FJ182" s="59">
        <f ca="1">AVERAGE(OFFSET($FI$3,0,0,'Données projet'!$E$16+1,1))-AVERAGE(OFFSET($H$3,0,0,'Données projet'!$E$16+1,1))</f>
        <v>427.76895185088944</v>
      </c>
      <c r="FK182" s="59">
        <f t="shared" si="156"/>
        <v>308.32543361559135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projet'!$B$16,Paramètres!$A$1:$I$88,3,0)*0.475*44/12</f>
        <v>44.417273685878747</v>
      </c>
      <c r="FR182" s="23">
        <f>EXP(-LN(2)/25)*FR181+(1-EXP(-LN(2)/25))/(LN(2)/25)*Calculateur!FM182*Calculateur!FO182*VLOOKUP('Données projet'!$B$16,Paramètres!$A$1:$I$88,3,0)*0.475*44/12</f>
        <v>0</v>
      </c>
      <c r="FS182" s="23">
        <f>EXP(-LN(2)/2)*FS181+(1-EXP(-LN(2)/2))/(LN(2)/2)*FM182*FP182*VLOOKUP('Données projet'!$B$16,Paramètres!$A$1:$I$88,3,0)*0.475*44/12</f>
        <v>0</v>
      </c>
      <c r="FT182" s="24">
        <f t="shared" si="184"/>
        <v>44.417273685878747</v>
      </c>
      <c r="FU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333.00000000000006</v>
      </c>
      <c r="GA182" s="18">
        <f>FZ182*VLOOKUP('Données projet'!$B$17,Paramètres!$A$1:$I$88,3,0)*VLOOKUP('Données projet'!$B$17,Paramètres!$A$1:$I$88,5,0)</f>
        <v>207.79200000000006</v>
      </c>
      <c r="GB182" s="14">
        <f t="shared" si="185"/>
        <v>51.452785725007907</v>
      </c>
      <c r="GC182" s="22">
        <f t="shared" si="186"/>
        <v>451.5180018043888</v>
      </c>
      <c r="GD182" s="59">
        <f t="shared" si="134"/>
        <v>744.85133513772212</v>
      </c>
      <c r="GE182" s="59">
        <f ca="1">AVERAGE(OFFSET($GD$3,0,0,'Données projet'!$E$17+1,1))-AVERAGE(OFFSET($H$3,0,0,'Données projet'!$E$17+1,1))</f>
        <v>247.85542034088905</v>
      </c>
      <c r="GF182" s="59">
        <f t="shared" si="158"/>
        <v>299.52241743660352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projet'!$B$17,Paramètres!$A$1:$I$88,3,0)*0.475*44/12</f>
        <v>3.5196886314753133</v>
      </c>
      <c r="GM182" s="23">
        <f>EXP(-LN(2)/25)*GM181+(1-EXP(-LN(2)/25))/(LN(2)/25)*Calculateur!GH182*Calculateur!GJ182*VLOOKUP('Données projet'!$B$17,Paramètres!$A$1:$I$88,3,0)*0.475*44/12</f>
        <v>1.4033999286353136</v>
      </c>
      <c r="GN182" s="23">
        <f>EXP(-LN(2)/2)*GN181+(1-EXP(-LN(2)/2))/(LN(2)/2)*GH182*GK182*VLOOKUP('Données projet'!$B$17,Paramètres!$A$1:$I$88,3,0)*0.475*44/12</f>
        <v>5.2502550145472582E-17</v>
      </c>
      <c r="GO182" s="23">
        <f t="shared" si="187"/>
        <v>4.9230885601106271</v>
      </c>
      <c r="GP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3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6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projet'!$B$9,Paramètres!$A$1:$I$88,3,0)*VLOOKUP('Données projet'!$B$9,Paramètres!$A$1:$I$88,5,0)</f>
        <v>-2.0572770154103635E-13</v>
      </c>
      <c r="P183" s="14" t="e">
        <f t="shared" si="141"/>
        <v>#NUM!</v>
      </c>
      <c r="Q183" s="22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247.57967230773539</v>
      </c>
      <c r="T183" s="59">
        <f t="shared" si="142"/>
        <v>156.58857589533295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85.451608821345275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85.451608821345275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-3.4106051316484809E-13</v>
      </c>
      <c r="AJ183" s="14">
        <f>AI183*VLOOKUP('Données projet'!$B$10,Paramètres!$A$1:$I$88,3,0)*VLOOKUP('Données projet'!$B$10,Paramètres!$A$1:$I$88,5,0)</f>
        <v>-2.7134774427395314E-13</v>
      </c>
      <c r="AK183" s="14" t="e">
        <f t="shared" si="164"/>
        <v>#NUM!</v>
      </c>
      <c r="AL183" s="22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504.15006129790828</v>
      </c>
      <c r="AO183" s="59">
        <f t="shared" si="144"/>
        <v>374.39334457402742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49.526255210671934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49.526255210671934</v>
      </c>
      <c r="AY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-3.4106051316484809E-13</v>
      </c>
      <c r="BE183" s="14">
        <f>BD183*VLOOKUP('Données projet'!$B$11,Paramètres!$A$1:$I$88,3,0)*VLOOKUP('Données projet'!$B$11,Paramètres!$A$1:$I$88,5,0)</f>
        <v>-2.7134774427395314E-13</v>
      </c>
      <c r="BF183" s="14" t="e">
        <f t="shared" si="167"/>
        <v>#NUM!</v>
      </c>
      <c r="BG183" s="22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504.15006129790828</v>
      </c>
      <c r="BJ183" s="59">
        <f t="shared" si="146"/>
        <v>374.39334457402742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49.526255210671934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49.526255210671934</v>
      </c>
      <c r="BT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-3.4106051316484809E-13</v>
      </c>
      <c r="BZ183" s="14">
        <f>BY183*VLOOKUP('Données projet'!$B$12,Paramètres!$A$1:$I$88,3,0)*VLOOKUP('Données projet'!$B$12,Paramètres!$A$1:$I$88,5,0)</f>
        <v>-2.2878339223098009E-13</v>
      </c>
      <c r="CA183" s="14" t="e">
        <f t="shared" si="170"/>
        <v>#NUM!</v>
      </c>
      <c r="CB183" s="22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387.15063677712425</v>
      </c>
      <c r="CE183" s="59">
        <f t="shared" si="148"/>
        <v>313.19155394370705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32.653928998325462</v>
      </c>
      <c r="CL183" s="23">
        <f>EXP(-LN(2)/25)*CL182+(1-EXP(-LN(2)/25))/(LN(2)/25)*Calculateur!CG183*Calculateur!CI183*VLOOKUP('Données projet'!$B$12,Paramètres!$A$1:$I$88,3,0)*0.475*44/12</f>
        <v>0</v>
      </c>
      <c r="CM183" s="23">
        <f>EXP(-LN(2)/2)*CM182+(1-EXP(-LN(2)/2))/(LN(2)/2)*CG183*CJ183*VLOOKUP('Données projet'!$B$12,Paramètres!$A$1:$I$88,3,0)*0.475*44/12</f>
        <v>0</v>
      </c>
      <c r="CN183" s="24">
        <f t="shared" si="172"/>
        <v>32.653928998325462</v>
      </c>
      <c r="CO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>
        <f>VLOOKUP(A183,'Données projet'!$A$139:$I$159,2,0)</f>
        <v>399</v>
      </c>
      <c r="CR183" s="13">
        <f>VLOOKUP(A183,'Données projet'!$A$139:$I$159,9,0)</f>
        <v>0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398.99999999999977</v>
      </c>
      <c r="CU183" s="18">
        <f>CT183*VLOOKUP('Données projet'!$B$13,Paramètres!$A$1:$I$88,3,0)*VLOOKUP('Données projet'!$B$13,Paramètres!$A$1:$I$88,5,0)</f>
        <v>385.91279999999978</v>
      </c>
      <c r="CV183" s="14">
        <f t="shared" si="173"/>
        <v>88.914769596782989</v>
      </c>
      <c r="CW183" s="22">
        <f t="shared" si="174"/>
        <v>826.9913503810634</v>
      </c>
      <c r="CX183" s="59">
        <f t="shared" si="122"/>
        <v>1120.3246837143968</v>
      </c>
      <c r="CY183" s="59">
        <f ca="1">AVERAGE(OFFSET($CX$3,0,0,'Données projet'!$E$13+1,1))-AVERAGE(OFFSET($H$3,0,0,'Données projet'!$E$13+1,1))</f>
        <v>306.00894145276209</v>
      </c>
      <c r="CZ183" s="59">
        <f t="shared" si="150"/>
        <v>168.74705421228828</v>
      </c>
      <c r="DA183" s="16">
        <f>IF(ISNA(VLOOKUP(A183,'Données projet'!$A$139:$I$159,3,0)),0,VLOOKUP(A183,'Données projet'!$A$139:$I$159,3,0))</f>
        <v>15</v>
      </c>
      <c r="DB183" s="16">
        <f>IF(ISNA(VLOOKUP(A183,'Données projet'!$A$139:$I$159,4,0)),0,VLOOKUP(A183,'Données projet'!$A$139:$I$159,4,0))</f>
        <v>399</v>
      </c>
      <c r="DC183" s="17">
        <f>IF(ISNA(VLOOKUP(A183,'Données projet'!$A$139:$I$159,5,0)),0%,VLOOKUP(A183,'Données projet'!$A$139:$I$159,5,0)*VLOOKUP('Données projet'!$B$13,Paramètres!$A$1:$I$88,7,0))</f>
        <v>0.34400000000000003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186.5149034695693</v>
      </c>
      <c r="DG183" s="23">
        <f>EXP(-LN(2)/25)*DG182+(1-EXP(-LN(2)/25))/(LN(2)/25)*Calculateur!DB183*Calculateur!DD183*VLOOKUP('Données projet'!$B$13,Paramètres!$A$1:$I$88,3,0)*0.475*44/12</f>
        <v>0</v>
      </c>
      <c r="DH183" s="23">
        <f>EXP(-LN(2)/2)*DH182+(1-EXP(-LN(2)/2))/(LN(2)/2)*DB183*DE183*VLOOKUP('Données projet'!$B$13,Paramètres!$A$1:$I$88,3,0)*0.475*44/12</f>
        <v>0</v>
      </c>
      <c r="DI183" s="24">
        <f t="shared" si="175"/>
        <v>186.5149034695693</v>
      </c>
      <c r="DJ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-3.4106051316484809E-13</v>
      </c>
      <c r="DP183" s="18">
        <f>DO183*VLOOKUP('Données projet'!$B$14,Paramètres!$A$1:$I$88,3,0)*VLOOKUP('Données projet'!$B$14,Paramètres!$A$1:$I$88,5,0)</f>
        <v>-2.6602720026858149E-13</v>
      </c>
      <c r="DQ183" s="14" t="e">
        <f t="shared" si="176"/>
        <v>#NUM!</v>
      </c>
      <c r="DR183" s="22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458.14328535055694</v>
      </c>
      <c r="DU183" s="59">
        <f t="shared" si="152"/>
        <v>366.75500153675739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projet'!$B$14,Paramètres!$A$1:$I$88,3,0)*0.475*44/12</f>
        <v>30.805593394646685</v>
      </c>
      <c r="EB183" s="23">
        <f>EXP(-LN(2)/25)*EB182+(1-EXP(-LN(2)/25))/(LN(2)/25)*Calculateur!DW183*Calculateur!DY183*VLOOKUP('Données projet'!$B$14,Paramètres!$A$1:$I$88,3,0)*0.475*44/12</f>
        <v>0</v>
      </c>
      <c r="EC183" s="23">
        <f>EXP(-LN(2)/2)*EC182+(1-EXP(-LN(2)/2))/(LN(2)/2)*DW183*DZ183*VLOOKUP('Données projet'!$B$14,Paramètres!$A$1:$I$88,3,0)*0.475*44/12</f>
        <v>0</v>
      </c>
      <c r="ED183" s="24">
        <f t="shared" si="178"/>
        <v>30.805593394646685</v>
      </c>
      <c r="EE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4.5474735088646412E-13</v>
      </c>
      <c r="EK183" s="18">
        <f>EJ183*VLOOKUP('Données projet'!$B$15,Paramètres!$A$1:$I$88,3,0)*VLOOKUP('Données projet'!$B$15,Paramètres!$A$1:$I$88,5,0)</f>
        <v>3.9017322706058626E-13</v>
      </c>
      <c r="EL183" s="14">
        <f t="shared" si="179"/>
        <v>5.0025007393608908E-12</v>
      </c>
      <c r="EM183" s="22">
        <f t="shared" si="180"/>
        <v>9.3922404915174053E-12</v>
      </c>
      <c r="EN183" s="59">
        <f t="shared" si="128"/>
        <v>293.33333333334269</v>
      </c>
      <c r="EO183" s="59">
        <f ca="1">AVERAGE(OFFSET($EN$3,0,0,'Données projet'!$E$15+1,1))-AVERAGE(OFFSET($H$3,0,0,'Données projet'!$E$15+1,1))</f>
        <v>462.99360395552145</v>
      </c>
      <c r="EP183" s="59">
        <f t="shared" si="154"/>
        <v>153.03880717786046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projet'!$B$15,Paramètres!$A$1:$I$88,3,0)*0.475*44/12</f>
        <v>53.621665918432193</v>
      </c>
      <c r="EW183" s="23">
        <f>EXP(-LN(2)/25)*EW182+(1-EXP(-LN(2)/25))/(LN(2)/25)*Calculateur!ER183*Calculateur!ET183*VLOOKUP('Données projet'!$B$15,Paramètres!$A$1:$I$88,3,0)*0.475*44/12</f>
        <v>0</v>
      </c>
      <c r="EX183" s="23">
        <f>EXP(-LN(2)/2)*EX182+(1-EXP(-LN(2)/2))/(LN(2)/2)*ER183*EU183*VLOOKUP('Données projet'!$B$15,Paramètres!$A$1:$I$88,3,0)*0.475*44/12</f>
        <v>0</v>
      </c>
      <c r="EY183" s="24">
        <f t="shared" si="181"/>
        <v>53.621665918432193</v>
      </c>
      <c r="EZ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2.2737367544323206E-13</v>
      </c>
      <c r="FF183" s="18">
        <f>FE183*VLOOKUP('Données projet'!$B$16,Paramètres!$A$1:$I$88,3,0)*VLOOKUP('Données projet'!$B$16,Paramètres!$A$1:$I$88,5,0)</f>
        <v>1.9863364286720756E-13</v>
      </c>
      <c r="FG183" s="14">
        <f t="shared" si="182"/>
        <v>2.7549360720371426E-12</v>
      </c>
      <c r="FH183" s="22">
        <f t="shared" si="183"/>
        <v>5.144133920125077E-12</v>
      </c>
      <c r="FI183" s="59">
        <f t="shared" si="131"/>
        <v>293.33333333333843</v>
      </c>
      <c r="FJ183" s="59">
        <f ca="1">AVERAGE(OFFSET($FI$3,0,0,'Données projet'!$E$16+1,1))-AVERAGE(OFFSET($H$3,0,0,'Données projet'!$E$16+1,1))</f>
        <v>427.76895185088944</v>
      </c>
      <c r="FK183" s="59">
        <f t="shared" si="156"/>
        <v>308.32543361559135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projet'!$B$16,Paramètres!$A$1:$I$88,3,0)*0.475*44/12</f>
        <v>43.546278040760512</v>
      </c>
      <c r="FR183" s="23">
        <f>EXP(-LN(2)/25)*FR182+(1-EXP(-LN(2)/25))/(LN(2)/25)*Calculateur!FM183*Calculateur!FO183*VLOOKUP('Données projet'!$B$16,Paramètres!$A$1:$I$88,3,0)*0.475*44/12</f>
        <v>0</v>
      </c>
      <c r="FS183" s="23">
        <f>EXP(-LN(2)/2)*FS182+(1-EXP(-LN(2)/2))/(LN(2)/2)*FM183*FP183*VLOOKUP('Données projet'!$B$16,Paramètres!$A$1:$I$88,3,0)*0.475*44/12</f>
        <v>0</v>
      </c>
      <c r="FT183" s="24">
        <f t="shared" si="184"/>
        <v>43.546278040760512</v>
      </c>
      <c r="FU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333.00000000000006</v>
      </c>
      <c r="GA183" s="18">
        <f>FZ183*VLOOKUP('Données projet'!$B$17,Paramètres!$A$1:$I$88,3,0)*VLOOKUP('Données projet'!$B$17,Paramètres!$A$1:$I$88,5,0)</f>
        <v>207.79200000000006</v>
      </c>
      <c r="GB183" s="14">
        <f t="shared" si="185"/>
        <v>51.452785725007907</v>
      </c>
      <c r="GC183" s="22">
        <f t="shared" si="186"/>
        <v>451.5180018043888</v>
      </c>
      <c r="GD183" s="59">
        <f t="shared" si="134"/>
        <v>744.85133513772212</v>
      </c>
      <c r="GE183" s="59">
        <f ca="1">AVERAGE(OFFSET($GD$3,0,0,'Données projet'!$E$17+1,1))-AVERAGE(OFFSET($H$3,0,0,'Données projet'!$E$17+1,1))</f>
        <v>247.85542034088905</v>
      </c>
      <c r="GF183" s="59">
        <f t="shared" si="158"/>
        <v>299.52241743660352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projet'!$B$17,Paramètres!$A$1:$I$88,3,0)*0.475*44/12</f>
        <v>3.450669684210169</v>
      </c>
      <c r="GM183" s="23">
        <f>EXP(-LN(2)/25)*GM182+(1-EXP(-LN(2)/25))/(LN(2)/25)*Calculateur!GH183*Calculateur!GJ183*VLOOKUP('Données projet'!$B$17,Paramètres!$A$1:$I$88,3,0)*0.475*44/12</f>
        <v>1.3650238837851862</v>
      </c>
      <c r="GN183" s="23">
        <f>EXP(-LN(2)/2)*GN182+(1-EXP(-LN(2)/2))/(LN(2)/2)*GH183*GK183*VLOOKUP('Données projet'!$B$17,Paramètres!$A$1:$I$88,3,0)*0.475*44/12</f>
        <v>3.7124909237450419E-17</v>
      </c>
      <c r="GO183" s="23">
        <f t="shared" si="187"/>
        <v>4.8156935679953552</v>
      </c>
      <c r="GP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3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6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projet'!$B$9,Paramètres!$A$1:$I$88,3,0)*VLOOKUP('Données projet'!$B$9,Paramètres!$A$1:$I$88,5,0)</f>
        <v>-2.0572770154103635E-13</v>
      </c>
      <c r="P184" s="14" t="e">
        <f t="shared" si="141"/>
        <v>#NUM!</v>
      </c>
      <c r="Q184" s="22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247.57967230773539</v>
      </c>
      <c r="T184" s="59">
        <f t="shared" si="142"/>
        <v>156.58857589533295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83.775954892693619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83.775954892693619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-3.4106051316484809E-13</v>
      </c>
      <c r="AJ184" s="14">
        <f>AI184*VLOOKUP('Données projet'!$B$10,Paramètres!$A$1:$I$88,3,0)*VLOOKUP('Données projet'!$B$10,Paramètres!$A$1:$I$88,5,0)</f>
        <v>-2.7134774427395314E-13</v>
      </c>
      <c r="AK184" s="14" t="e">
        <f t="shared" si="164"/>
        <v>#NUM!</v>
      </c>
      <c r="AL184" s="22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504.15006129790828</v>
      </c>
      <c r="AO184" s="59">
        <f t="shared" si="144"/>
        <v>374.39334457402742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48.555075554023539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48.555075554023539</v>
      </c>
      <c r="AY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-3.4106051316484809E-13</v>
      </c>
      <c r="BE184" s="14">
        <f>BD184*VLOOKUP('Données projet'!$B$11,Paramètres!$A$1:$I$88,3,0)*VLOOKUP('Données projet'!$B$11,Paramètres!$A$1:$I$88,5,0)</f>
        <v>-2.7134774427395314E-13</v>
      </c>
      <c r="BF184" s="14" t="e">
        <f t="shared" si="167"/>
        <v>#NUM!</v>
      </c>
      <c r="BG184" s="22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504.15006129790828</v>
      </c>
      <c r="BJ184" s="59">
        <f t="shared" si="146"/>
        <v>374.39334457402742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48.555075554023539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48.555075554023539</v>
      </c>
      <c r="BT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-3.4106051316484809E-13</v>
      </c>
      <c r="BZ184" s="14">
        <f>BY184*VLOOKUP('Données projet'!$B$12,Paramètres!$A$1:$I$88,3,0)*VLOOKUP('Données projet'!$B$12,Paramètres!$A$1:$I$88,5,0)</f>
        <v>-2.2878339223098009E-13</v>
      </c>
      <c r="CA184" s="14" t="e">
        <f t="shared" si="170"/>
        <v>#NUM!</v>
      </c>
      <c r="CB184" s="22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387.15063677712425</v>
      </c>
      <c r="CE184" s="59">
        <f t="shared" si="148"/>
        <v>313.19155394370705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32.013605367598352</v>
      </c>
      <c r="CL184" s="23">
        <f>EXP(-LN(2)/25)*CL183+(1-EXP(-LN(2)/25))/(LN(2)/25)*Calculateur!CG184*Calculateur!CI184*VLOOKUP('Données projet'!$B$12,Paramètres!$A$1:$I$88,3,0)*0.475*44/12</f>
        <v>0</v>
      </c>
      <c r="CM184" s="23">
        <f>EXP(-LN(2)/2)*CM183+(1-EXP(-LN(2)/2))/(LN(2)/2)*CG184*CJ184*VLOOKUP('Données projet'!$B$12,Paramètres!$A$1:$I$88,3,0)*0.475*44/12</f>
        <v>0</v>
      </c>
      <c r="CN184" s="24">
        <f t="shared" si="172"/>
        <v>32.013605367598352</v>
      </c>
      <c r="CO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-2.2737367544323206E-13</v>
      </c>
      <c r="CU184" s="18">
        <f>CT184*VLOOKUP('Données projet'!$B$13,Paramètres!$A$1:$I$88,3,0)*VLOOKUP('Données projet'!$B$13,Paramètres!$A$1:$I$88,5,0)</f>
        <v>-2.1991581888869406E-13</v>
      </c>
      <c r="CV184" s="14" t="e">
        <f t="shared" si="173"/>
        <v>#NUM!</v>
      </c>
      <c r="CW184" s="22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306.00894145276209</v>
      </c>
      <c r="CZ184" s="59">
        <f t="shared" si="150"/>
        <v>168.74705421228828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182.85745997538902</v>
      </c>
      <c r="DG184" s="23">
        <f>EXP(-LN(2)/25)*DG183+(1-EXP(-LN(2)/25))/(LN(2)/25)*Calculateur!DB184*Calculateur!DD184*VLOOKUP('Données projet'!$B$13,Paramètres!$A$1:$I$88,3,0)*0.475*44/12</f>
        <v>0</v>
      </c>
      <c r="DH184" s="23">
        <f>EXP(-LN(2)/2)*DH183+(1-EXP(-LN(2)/2))/(LN(2)/2)*DB184*DE184*VLOOKUP('Données projet'!$B$13,Paramètres!$A$1:$I$88,3,0)*0.475*44/12</f>
        <v>0</v>
      </c>
      <c r="DI184" s="24">
        <f t="shared" si="175"/>
        <v>182.85745997538902</v>
      </c>
      <c r="DJ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-3.4106051316484809E-13</v>
      </c>
      <c r="DP184" s="18">
        <f>DO184*VLOOKUP('Données projet'!$B$14,Paramètres!$A$1:$I$88,3,0)*VLOOKUP('Données projet'!$B$14,Paramètres!$A$1:$I$88,5,0)</f>
        <v>-2.6602720026858149E-13</v>
      </c>
      <c r="DQ184" s="14" t="e">
        <f t="shared" si="176"/>
        <v>#NUM!</v>
      </c>
      <c r="DR184" s="22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458.14328535055694</v>
      </c>
      <c r="DU184" s="59">
        <f t="shared" si="152"/>
        <v>366.75500153675739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projet'!$B$14,Paramètres!$A$1:$I$88,3,0)*0.475*44/12</f>
        <v>30.201514497734319</v>
      </c>
      <c r="EB184" s="23">
        <f>EXP(-LN(2)/25)*EB183+(1-EXP(-LN(2)/25))/(LN(2)/25)*Calculateur!DW184*Calculateur!DY184*VLOOKUP('Données projet'!$B$14,Paramètres!$A$1:$I$88,3,0)*0.475*44/12</f>
        <v>0</v>
      </c>
      <c r="EC184" s="23">
        <f>EXP(-LN(2)/2)*EC183+(1-EXP(-LN(2)/2))/(LN(2)/2)*DW184*DZ184*VLOOKUP('Données projet'!$B$14,Paramètres!$A$1:$I$88,3,0)*0.475*44/12</f>
        <v>0</v>
      </c>
      <c r="ED184" s="24">
        <f t="shared" si="178"/>
        <v>30.201514497734319</v>
      </c>
      <c r="EE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4.5474735088646412E-13</v>
      </c>
      <c r="EK184" s="18">
        <f>EJ184*VLOOKUP('Données projet'!$B$15,Paramètres!$A$1:$I$88,3,0)*VLOOKUP('Données projet'!$B$15,Paramètres!$A$1:$I$88,5,0)</f>
        <v>3.9017322706058626E-13</v>
      </c>
      <c r="EL184" s="14">
        <f t="shared" si="179"/>
        <v>5.0025007393608908E-12</v>
      </c>
      <c r="EM184" s="22">
        <f t="shared" si="180"/>
        <v>9.3922404915174053E-12</v>
      </c>
      <c r="EN184" s="59">
        <f t="shared" si="128"/>
        <v>293.33333333334269</v>
      </c>
      <c r="EO184" s="59">
        <f ca="1">AVERAGE(OFFSET($EN$3,0,0,'Données projet'!$E$15+1,1))-AVERAGE(OFFSET($H$3,0,0,'Données projet'!$E$15+1,1))</f>
        <v>462.99360395552145</v>
      </c>
      <c r="EP184" s="59">
        <f t="shared" si="154"/>
        <v>153.03880717786046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projet'!$B$15,Paramètres!$A$1:$I$88,3,0)*0.475*44/12</f>
        <v>52.5701777557585</v>
      </c>
      <c r="EW184" s="23">
        <f>EXP(-LN(2)/25)*EW183+(1-EXP(-LN(2)/25))/(LN(2)/25)*Calculateur!ER184*Calculateur!ET184*VLOOKUP('Données projet'!$B$15,Paramètres!$A$1:$I$88,3,0)*0.475*44/12</f>
        <v>0</v>
      </c>
      <c r="EX184" s="23">
        <f>EXP(-LN(2)/2)*EX183+(1-EXP(-LN(2)/2))/(LN(2)/2)*ER184*EU184*VLOOKUP('Données projet'!$B$15,Paramètres!$A$1:$I$88,3,0)*0.475*44/12</f>
        <v>0</v>
      </c>
      <c r="EY184" s="24">
        <f t="shared" si="181"/>
        <v>52.5701777557585</v>
      </c>
      <c r="EZ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2.2737367544323206E-13</v>
      </c>
      <c r="FF184" s="18">
        <f>FE184*VLOOKUP('Données projet'!$B$16,Paramètres!$A$1:$I$88,3,0)*VLOOKUP('Données projet'!$B$16,Paramètres!$A$1:$I$88,5,0)</f>
        <v>1.9863364286720756E-13</v>
      </c>
      <c r="FG184" s="14">
        <f t="shared" si="182"/>
        <v>2.7549360720371426E-12</v>
      </c>
      <c r="FH184" s="22">
        <f t="shared" si="183"/>
        <v>5.144133920125077E-12</v>
      </c>
      <c r="FI184" s="59">
        <f t="shared" si="131"/>
        <v>293.33333333333843</v>
      </c>
      <c r="FJ184" s="59">
        <f ca="1">AVERAGE(OFFSET($FI$3,0,0,'Données projet'!$E$16+1,1))-AVERAGE(OFFSET($H$3,0,0,'Données projet'!$E$16+1,1))</f>
        <v>427.76895185088944</v>
      </c>
      <c r="FK184" s="59">
        <f t="shared" si="156"/>
        <v>308.32543361559135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projet'!$B$16,Paramètres!$A$1:$I$88,3,0)*0.475*44/12</f>
        <v>42.692362088988162</v>
      </c>
      <c r="FR184" s="23">
        <f>EXP(-LN(2)/25)*FR183+(1-EXP(-LN(2)/25))/(LN(2)/25)*Calculateur!FM184*Calculateur!FO184*VLOOKUP('Données projet'!$B$16,Paramètres!$A$1:$I$88,3,0)*0.475*44/12</f>
        <v>0</v>
      </c>
      <c r="FS184" s="23">
        <f>EXP(-LN(2)/2)*FS183+(1-EXP(-LN(2)/2))/(LN(2)/2)*FM184*FP184*VLOOKUP('Données projet'!$B$16,Paramètres!$A$1:$I$88,3,0)*0.475*44/12</f>
        <v>0</v>
      </c>
      <c r="FT184" s="24">
        <f t="shared" si="184"/>
        <v>42.692362088988162</v>
      </c>
      <c r="FU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333.00000000000006</v>
      </c>
      <c r="GA184" s="18">
        <f>FZ184*VLOOKUP('Données projet'!$B$17,Paramètres!$A$1:$I$88,3,0)*VLOOKUP('Données projet'!$B$17,Paramètres!$A$1:$I$88,5,0)</f>
        <v>207.79200000000006</v>
      </c>
      <c r="GB184" s="14">
        <f t="shared" si="185"/>
        <v>51.452785725007907</v>
      </c>
      <c r="GC184" s="22">
        <f t="shared" si="186"/>
        <v>451.5180018043888</v>
      </c>
      <c r="GD184" s="59">
        <f t="shared" si="134"/>
        <v>744.85133513772212</v>
      </c>
      <c r="GE184" s="59">
        <f ca="1">AVERAGE(OFFSET($GD$3,0,0,'Données projet'!$E$17+1,1))-AVERAGE(OFFSET($H$3,0,0,'Données projet'!$E$17+1,1))</f>
        <v>247.85542034088905</v>
      </c>
      <c r="GF184" s="59">
        <f t="shared" si="158"/>
        <v>299.52241743660352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projet'!$B$17,Paramètres!$A$1:$I$88,3,0)*0.475*44/12</f>
        <v>3.3830041564034929</v>
      </c>
      <c r="GM184" s="23">
        <f>EXP(-LN(2)/25)*GM183+(1-EXP(-LN(2)/25))/(LN(2)/25)*Calculateur!GH184*Calculateur!GJ184*VLOOKUP('Données projet'!$B$17,Paramètres!$A$1:$I$88,3,0)*0.475*44/12</f>
        <v>1.327697233899594</v>
      </c>
      <c r="GN184" s="23">
        <f>EXP(-LN(2)/2)*GN183+(1-EXP(-LN(2)/2))/(LN(2)/2)*GH184*GK184*VLOOKUP('Données projet'!$B$17,Paramètres!$A$1:$I$88,3,0)*0.475*44/12</f>
        <v>2.6251275072736291E-17</v>
      </c>
      <c r="GO184" s="23">
        <f t="shared" si="187"/>
        <v>4.710701390303087</v>
      </c>
      <c r="GP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3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6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projet'!$B$9,Paramètres!$A$1:$I$88,3,0)*VLOOKUP('Données projet'!$B$9,Paramètres!$A$1:$I$88,5,0)</f>
        <v>-2.0572770154103635E-13</v>
      </c>
      <c r="P185" s="14" t="e">
        <f t="shared" si="141"/>
        <v>#NUM!</v>
      </c>
      <c r="Q185" s="22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247.57967230773539</v>
      </c>
      <c r="T185" s="59">
        <f t="shared" si="142"/>
        <v>156.58857589533295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82.133159515534842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82.133159515534842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-3.4106051316484809E-13</v>
      </c>
      <c r="AJ185" s="14">
        <f>AI185*VLOOKUP('Données projet'!$B$10,Paramètres!$A$1:$I$88,3,0)*VLOOKUP('Données projet'!$B$10,Paramètres!$A$1:$I$88,5,0)</f>
        <v>-2.7134774427395314E-13</v>
      </c>
      <c r="AK185" s="14" t="e">
        <f t="shared" si="164"/>
        <v>#NUM!</v>
      </c>
      <c r="AL185" s="22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504.15006129790828</v>
      </c>
      <c r="AO185" s="59">
        <f t="shared" si="144"/>
        <v>374.39334457402742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47.602940138080918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47.602940138080918</v>
      </c>
      <c r="AY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-3.4106051316484809E-13</v>
      </c>
      <c r="BE185" s="14">
        <f>BD185*VLOOKUP('Données projet'!$B$11,Paramètres!$A$1:$I$88,3,0)*VLOOKUP('Données projet'!$B$11,Paramètres!$A$1:$I$88,5,0)</f>
        <v>-2.7134774427395314E-13</v>
      </c>
      <c r="BF185" s="14" t="e">
        <f t="shared" si="167"/>
        <v>#NUM!</v>
      </c>
      <c r="BG185" s="22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504.15006129790828</v>
      </c>
      <c r="BJ185" s="59">
        <f t="shared" si="146"/>
        <v>374.39334457402742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47.602940138080918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47.602940138080918</v>
      </c>
      <c r="BT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-3.4106051316484809E-13</v>
      </c>
      <c r="BZ185" s="14">
        <f>BY185*VLOOKUP('Données projet'!$B$12,Paramètres!$A$1:$I$88,3,0)*VLOOKUP('Données projet'!$B$12,Paramètres!$A$1:$I$88,5,0)</f>
        <v>-2.2878339223098009E-13</v>
      </c>
      <c r="CA185" s="14" t="e">
        <f t="shared" si="170"/>
        <v>#NUM!</v>
      </c>
      <c r="CB185" s="22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387.15063677712425</v>
      </c>
      <c r="CE185" s="59">
        <f t="shared" si="148"/>
        <v>313.19155394370705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31.385838092710955</v>
      </c>
      <c r="CL185" s="23">
        <f>EXP(-LN(2)/25)*CL184+(1-EXP(-LN(2)/25))/(LN(2)/25)*Calculateur!CG185*Calculateur!CI185*VLOOKUP('Données projet'!$B$12,Paramètres!$A$1:$I$88,3,0)*0.475*44/12</f>
        <v>0</v>
      </c>
      <c r="CM185" s="23">
        <f>EXP(-LN(2)/2)*CM184+(1-EXP(-LN(2)/2))/(LN(2)/2)*CG185*CJ185*VLOOKUP('Données projet'!$B$12,Paramètres!$A$1:$I$88,3,0)*0.475*44/12</f>
        <v>0</v>
      </c>
      <c r="CN185" s="24">
        <f t="shared" si="172"/>
        <v>31.385838092710955</v>
      </c>
      <c r="CO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-2.2737367544323206E-13</v>
      </c>
      <c r="CU185" s="18">
        <f>CT185*VLOOKUP('Données projet'!$B$13,Paramètres!$A$1:$I$88,3,0)*VLOOKUP('Données projet'!$B$13,Paramètres!$A$1:$I$88,5,0)</f>
        <v>-2.1991581888869406E-13</v>
      </c>
      <c r="CV185" s="14" t="e">
        <f t="shared" si="173"/>
        <v>#NUM!</v>
      </c>
      <c r="CW185" s="22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306.00894145276209</v>
      </c>
      <c r="CZ185" s="59">
        <f t="shared" si="150"/>
        <v>168.74705421228828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179.27173671730935</v>
      </c>
      <c r="DG185" s="23">
        <f>EXP(-LN(2)/25)*DG184+(1-EXP(-LN(2)/25))/(LN(2)/25)*Calculateur!DB185*Calculateur!DD185*VLOOKUP('Données projet'!$B$13,Paramètres!$A$1:$I$88,3,0)*0.475*44/12</f>
        <v>0</v>
      </c>
      <c r="DH185" s="23">
        <f>EXP(-LN(2)/2)*DH184+(1-EXP(-LN(2)/2))/(LN(2)/2)*DB185*DE185*VLOOKUP('Données projet'!$B$13,Paramètres!$A$1:$I$88,3,0)*0.475*44/12</f>
        <v>0</v>
      </c>
      <c r="DI185" s="24">
        <f t="shared" si="175"/>
        <v>179.27173671730935</v>
      </c>
      <c r="DJ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-3.4106051316484809E-13</v>
      </c>
      <c r="DP185" s="18">
        <f>DO185*VLOOKUP('Données projet'!$B$14,Paramètres!$A$1:$I$88,3,0)*VLOOKUP('Données projet'!$B$14,Paramètres!$A$1:$I$88,5,0)</f>
        <v>-2.6602720026858149E-13</v>
      </c>
      <c r="DQ185" s="14" t="e">
        <f t="shared" si="176"/>
        <v>#NUM!</v>
      </c>
      <c r="DR185" s="22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458.14328535055694</v>
      </c>
      <c r="DU185" s="59">
        <f t="shared" si="152"/>
        <v>366.75500153675739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projet'!$B$14,Paramètres!$A$1:$I$88,3,0)*0.475*44/12</f>
        <v>29.609281219538659</v>
      </c>
      <c r="EB185" s="23">
        <f>EXP(-LN(2)/25)*EB184+(1-EXP(-LN(2)/25))/(LN(2)/25)*Calculateur!DW185*Calculateur!DY185*VLOOKUP('Données projet'!$B$14,Paramètres!$A$1:$I$88,3,0)*0.475*44/12</f>
        <v>0</v>
      </c>
      <c r="EC185" s="23">
        <f>EXP(-LN(2)/2)*EC184+(1-EXP(-LN(2)/2))/(LN(2)/2)*DW185*DZ185*VLOOKUP('Données projet'!$B$14,Paramètres!$A$1:$I$88,3,0)*0.475*44/12</f>
        <v>0</v>
      </c>
      <c r="ED185" s="24">
        <f t="shared" si="178"/>
        <v>29.609281219538659</v>
      </c>
      <c r="EE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4.5474735088646412E-13</v>
      </c>
      <c r="EK185" s="18">
        <f>EJ185*VLOOKUP('Données projet'!$B$15,Paramètres!$A$1:$I$88,3,0)*VLOOKUP('Données projet'!$B$15,Paramètres!$A$1:$I$88,5,0)</f>
        <v>3.9017322706058626E-13</v>
      </c>
      <c r="EL185" s="14">
        <f t="shared" si="179"/>
        <v>5.0025007393608908E-12</v>
      </c>
      <c r="EM185" s="22">
        <f t="shared" si="180"/>
        <v>9.3922404915174053E-12</v>
      </c>
      <c r="EN185" s="59">
        <f t="shared" si="128"/>
        <v>293.33333333334269</v>
      </c>
      <c r="EO185" s="59">
        <f ca="1">AVERAGE(OFFSET($EN$3,0,0,'Données projet'!$E$15+1,1))-AVERAGE(OFFSET($H$3,0,0,'Données projet'!$E$15+1,1))</f>
        <v>462.99360395552145</v>
      </c>
      <c r="EP185" s="59">
        <f t="shared" si="154"/>
        <v>153.03880717786046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projet'!$B$15,Paramètres!$A$1:$I$88,3,0)*0.475*44/12</f>
        <v>51.539308634610386</v>
      </c>
      <c r="EW185" s="23">
        <f>EXP(-LN(2)/25)*EW184+(1-EXP(-LN(2)/25))/(LN(2)/25)*Calculateur!ER185*Calculateur!ET185*VLOOKUP('Données projet'!$B$15,Paramètres!$A$1:$I$88,3,0)*0.475*44/12</f>
        <v>0</v>
      </c>
      <c r="EX185" s="23">
        <f>EXP(-LN(2)/2)*EX184+(1-EXP(-LN(2)/2))/(LN(2)/2)*ER185*EU185*VLOOKUP('Données projet'!$B$15,Paramètres!$A$1:$I$88,3,0)*0.475*44/12</f>
        <v>0</v>
      </c>
      <c r="EY185" s="24">
        <f t="shared" si="181"/>
        <v>51.539308634610386</v>
      </c>
      <c r="EZ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2.2737367544323206E-13</v>
      </c>
      <c r="FF185" s="18">
        <f>FE185*VLOOKUP('Données projet'!$B$16,Paramètres!$A$1:$I$88,3,0)*VLOOKUP('Données projet'!$B$16,Paramètres!$A$1:$I$88,5,0)</f>
        <v>1.9863364286720756E-13</v>
      </c>
      <c r="FG185" s="14">
        <f t="shared" si="182"/>
        <v>2.7549360720371426E-12</v>
      </c>
      <c r="FH185" s="22">
        <f t="shared" si="183"/>
        <v>5.144133920125077E-12</v>
      </c>
      <c r="FI185" s="59">
        <f t="shared" si="131"/>
        <v>293.33333333333843</v>
      </c>
      <c r="FJ185" s="59">
        <f ca="1">AVERAGE(OFFSET($FI$3,0,0,'Données projet'!$E$16+1,1))-AVERAGE(OFFSET($H$3,0,0,'Données projet'!$E$16+1,1))</f>
        <v>427.76895185088944</v>
      </c>
      <c r="FK185" s="59">
        <f t="shared" si="156"/>
        <v>308.32543361559135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projet'!$B$16,Paramètres!$A$1:$I$88,3,0)*0.475*44/12</f>
        <v>41.855190908192768</v>
      </c>
      <c r="FR185" s="23">
        <f>EXP(-LN(2)/25)*FR184+(1-EXP(-LN(2)/25))/(LN(2)/25)*Calculateur!FM185*Calculateur!FO185*VLOOKUP('Données projet'!$B$16,Paramètres!$A$1:$I$88,3,0)*0.475*44/12</f>
        <v>0</v>
      </c>
      <c r="FS185" s="23">
        <f>EXP(-LN(2)/2)*FS184+(1-EXP(-LN(2)/2))/(LN(2)/2)*FM185*FP185*VLOOKUP('Données projet'!$B$16,Paramètres!$A$1:$I$88,3,0)*0.475*44/12</f>
        <v>0</v>
      </c>
      <c r="FT185" s="24">
        <f t="shared" si="184"/>
        <v>41.855190908192768</v>
      </c>
      <c r="FU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333.00000000000006</v>
      </c>
      <c r="GA185" s="18">
        <f>FZ185*VLOOKUP('Données projet'!$B$17,Paramètres!$A$1:$I$88,3,0)*VLOOKUP('Données projet'!$B$17,Paramètres!$A$1:$I$88,5,0)</f>
        <v>207.79200000000006</v>
      </c>
      <c r="GB185" s="14">
        <f t="shared" si="185"/>
        <v>51.452785725007907</v>
      </c>
      <c r="GC185" s="22">
        <f t="shared" si="186"/>
        <v>451.5180018043888</v>
      </c>
      <c r="GD185" s="59">
        <f t="shared" si="134"/>
        <v>744.85133513772212</v>
      </c>
      <c r="GE185" s="59">
        <f ca="1">AVERAGE(OFFSET($GD$3,0,0,'Données projet'!$E$17+1,1))-AVERAGE(OFFSET($H$3,0,0,'Données projet'!$E$17+1,1))</f>
        <v>247.85542034088905</v>
      </c>
      <c r="GF185" s="59">
        <f t="shared" si="158"/>
        <v>299.52241743660352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projet'!$B$17,Paramètres!$A$1:$I$88,3,0)*0.475*44/12</f>
        <v>3.316665508325209</v>
      </c>
      <c r="GM185" s="23">
        <f>EXP(-LN(2)/25)*GM184+(1-EXP(-LN(2)/25))/(LN(2)/25)*Calculateur!GH185*Calculateur!GJ185*VLOOKUP('Données projet'!$B$17,Paramètres!$A$1:$I$88,3,0)*0.475*44/12</f>
        <v>1.2913912832180465</v>
      </c>
      <c r="GN185" s="23">
        <f>EXP(-LN(2)/2)*GN184+(1-EXP(-LN(2)/2))/(LN(2)/2)*GH185*GK185*VLOOKUP('Données projet'!$B$17,Paramètres!$A$1:$I$88,3,0)*0.475*44/12</f>
        <v>1.856245461872521E-17</v>
      </c>
      <c r="GO185" s="23">
        <f t="shared" si="187"/>
        <v>4.6080567915432553</v>
      </c>
      <c r="GP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3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6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projet'!$B$9,Paramètres!$A$1:$I$88,3,0)*VLOOKUP('Données projet'!$B$9,Paramètres!$A$1:$I$88,5,0)</f>
        <v>-2.0572770154103635E-13</v>
      </c>
      <c r="P186" s="14" t="e">
        <f t="shared" si="141"/>
        <v>#NUM!</v>
      </c>
      <c r="Q186" s="22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247.57967230773539</v>
      </c>
      <c r="T186" s="59">
        <f t="shared" si="142"/>
        <v>156.58857589533295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80.522578353715915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80.522578353715915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-3.4106051316484809E-13</v>
      </c>
      <c r="AJ186" s="14">
        <f>AI186*VLOOKUP('Données projet'!$B$10,Paramètres!$A$1:$I$88,3,0)*VLOOKUP('Données projet'!$B$10,Paramètres!$A$1:$I$88,5,0)</f>
        <v>-2.7134774427395314E-13</v>
      </c>
      <c r="AK186" s="14" t="e">
        <f t="shared" si="164"/>
        <v>#NUM!</v>
      </c>
      <c r="AL186" s="22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504.15006129790828</v>
      </c>
      <c r="AO186" s="59">
        <f t="shared" si="144"/>
        <v>374.39334457402742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46.669475516899674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46.669475516899674</v>
      </c>
      <c r="AY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-3.4106051316484809E-13</v>
      </c>
      <c r="BE186" s="14">
        <f>BD186*VLOOKUP('Données projet'!$B$11,Paramètres!$A$1:$I$88,3,0)*VLOOKUP('Données projet'!$B$11,Paramètres!$A$1:$I$88,5,0)</f>
        <v>-2.7134774427395314E-13</v>
      </c>
      <c r="BF186" s="14" t="e">
        <f t="shared" si="167"/>
        <v>#NUM!</v>
      </c>
      <c r="BG186" s="22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504.15006129790828</v>
      </c>
      <c r="BJ186" s="59">
        <f t="shared" si="146"/>
        <v>374.39334457402742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46.669475516899674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46.669475516899674</v>
      </c>
      <c r="BT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-3.4106051316484809E-13</v>
      </c>
      <c r="BZ186" s="14">
        <f>BY186*VLOOKUP('Données projet'!$B$12,Paramètres!$A$1:$I$88,3,0)*VLOOKUP('Données projet'!$B$12,Paramètres!$A$1:$I$88,5,0)</f>
        <v>-2.2878339223098009E-13</v>
      </c>
      <c r="CA186" s="14" t="e">
        <f t="shared" si="170"/>
        <v>#NUM!</v>
      </c>
      <c r="CB186" s="22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387.15063677712425</v>
      </c>
      <c r="CE186" s="59">
        <f t="shared" si="148"/>
        <v>313.19155394370705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30.770380951183871</v>
      </c>
      <c r="CL186" s="23">
        <f>EXP(-LN(2)/25)*CL185+(1-EXP(-LN(2)/25))/(LN(2)/25)*Calculateur!CG186*Calculateur!CI186*VLOOKUP('Données projet'!$B$12,Paramètres!$A$1:$I$88,3,0)*0.475*44/12</f>
        <v>0</v>
      </c>
      <c r="CM186" s="23">
        <f>EXP(-LN(2)/2)*CM185+(1-EXP(-LN(2)/2))/(LN(2)/2)*CG186*CJ186*VLOOKUP('Données projet'!$B$12,Paramètres!$A$1:$I$88,3,0)*0.475*44/12</f>
        <v>0</v>
      </c>
      <c r="CN186" s="24">
        <f t="shared" si="172"/>
        <v>30.770380951183871</v>
      </c>
      <c r="CO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-2.2737367544323206E-13</v>
      </c>
      <c r="CU186" s="18">
        <f>CT186*VLOOKUP('Données projet'!$B$13,Paramètres!$A$1:$I$88,3,0)*VLOOKUP('Données projet'!$B$13,Paramètres!$A$1:$I$88,5,0)</f>
        <v>-2.1991581888869406E-13</v>
      </c>
      <c r="CV186" s="14" t="e">
        <f t="shared" si="173"/>
        <v>#NUM!</v>
      </c>
      <c r="CW186" s="22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306.00894145276209</v>
      </c>
      <c r="CZ186" s="59">
        <f t="shared" si="150"/>
        <v>168.74705421228828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175.75632730524541</v>
      </c>
      <c r="DG186" s="23">
        <f>EXP(-LN(2)/25)*DG185+(1-EXP(-LN(2)/25))/(LN(2)/25)*Calculateur!DB186*Calculateur!DD186*VLOOKUP('Données projet'!$B$13,Paramètres!$A$1:$I$88,3,0)*0.475*44/12</f>
        <v>0</v>
      </c>
      <c r="DH186" s="23">
        <f>EXP(-LN(2)/2)*DH185+(1-EXP(-LN(2)/2))/(LN(2)/2)*DB186*DE186*VLOOKUP('Données projet'!$B$13,Paramètres!$A$1:$I$88,3,0)*0.475*44/12</f>
        <v>0</v>
      </c>
      <c r="DI186" s="24">
        <f t="shared" si="175"/>
        <v>175.75632730524541</v>
      </c>
      <c r="DJ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-3.4106051316484809E-13</v>
      </c>
      <c r="DP186" s="18">
        <f>DO186*VLOOKUP('Données projet'!$B$14,Paramètres!$A$1:$I$88,3,0)*VLOOKUP('Données projet'!$B$14,Paramètres!$A$1:$I$88,5,0)</f>
        <v>-2.6602720026858149E-13</v>
      </c>
      <c r="DQ186" s="14" t="e">
        <f t="shared" si="176"/>
        <v>#NUM!</v>
      </c>
      <c r="DR186" s="22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458.14328535055694</v>
      </c>
      <c r="DU186" s="59">
        <f t="shared" si="152"/>
        <v>366.75500153675739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projet'!$B$14,Paramètres!$A$1:$I$88,3,0)*0.475*44/12</f>
        <v>29.028661274701786</v>
      </c>
      <c r="EB186" s="23">
        <f>EXP(-LN(2)/25)*EB185+(1-EXP(-LN(2)/25))/(LN(2)/25)*Calculateur!DW186*Calculateur!DY186*VLOOKUP('Données projet'!$B$14,Paramètres!$A$1:$I$88,3,0)*0.475*44/12</f>
        <v>0</v>
      </c>
      <c r="EC186" s="23">
        <f>EXP(-LN(2)/2)*EC185+(1-EXP(-LN(2)/2))/(LN(2)/2)*DW186*DZ186*VLOOKUP('Données projet'!$B$14,Paramètres!$A$1:$I$88,3,0)*0.475*44/12</f>
        <v>0</v>
      </c>
      <c r="ED186" s="24">
        <f t="shared" si="178"/>
        <v>29.028661274701786</v>
      </c>
      <c r="EE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4.5474735088646412E-13</v>
      </c>
      <c r="EK186" s="18">
        <f>EJ186*VLOOKUP('Données projet'!$B$15,Paramètres!$A$1:$I$88,3,0)*VLOOKUP('Données projet'!$B$15,Paramètres!$A$1:$I$88,5,0)</f>
        <v>3.9017322706058626E-13</v>
      </c>
      <c r="EL186" s="14">
        <f t="shared" si="179"/>
        <v>5.0025007393608908E-12</v>
      </c>
      <c r="EM186" s="22">
        <f t="shared" si="180"/>
        <v>9.3922404915174053E-12</v>
      </c>
      <c r="EN186" s="59">
        <f t="shared" si="128"/>
        <v>293.33333333334269</v>
      </c>
      <c r="EO186" s="59">
        <f ca="1">AVERAGE(OFFSET($EN$3,0,0,'Données projet'!$E$15+1,1))-AVERAGE(OFFSET($H$3,0,0,'Données projet'!$E$15+1,1))</f>
        <v>462.99360395552145</v>
      </c>
      <c r="EP186" s="59">
        <f t="shared" si="154"/>
        <v>153.03880717786046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projet'!$B$15,Paramètres!$A$1:$I$88,3,0)*0.475*44/12</f>
        <v>50.528654228159908</v>
      </c>
      <c r="EW186" s="23">
        <f>EXP(-LN(2)/25)*EW185+(1-EXP(-LN(2)/25))/(LN(2)/25)*Calculateur!ER186*Calculateur!ET186*VLOOKUP('Données projet'!$B$15,Paramètres!$A$1:$I$88,3,0)*0.475*44/12</f>
        <v>0</v>
      </c>
      <c r="EX186" s="23">
        <f>EXP(-LN(2)/2)*EX185+(1-EXP(-LN(2)/2))/(LN(2)/2)*ER186*EU186*VLOOKUP('Données projet'!$B$15,Paramètres!$A$1:$I$88,3,0)*0.475*44/12</f>
        <v>0</v>
      </c>
      <c r="EY186" s="24">
        <f t="shared" si="181"/>
        <v>50.528654228159908</v>
      </c>
      <c r="EZ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2.2737367544323206E-13</v>
      </c>
      <c r="FF186" s="18">
        <f>FE186*VLOOKUP('Données projet'!$B$16,Paramètres!$A$1:$I$88,3,0)*VLOOKUP('Données projet'!$B$16,Paramètres!$A$1:$I$88,5,0)</f>
        <v>1.9863364286720756E-13</v>
      </c>
      <c r="FG186" s="14">
        <f t="shared" si="182"/>
        <v>2.7549360720371426E-12</v>
      </c>
      <c r="FH186" s="22">
        <f t="shared" si="183"/>
        <v>5.144133920125077E-12</v>
      </c>
      <c r="FI186" s="59">
        <f t="shared" si="131"/>
        <v>293.33333333333843</v>
      </c>
      <c r="FJ186" s="59">
        <f ca="1">AVERAGE(OFFSET($FI$3,0,0,'Données projet'!$E$16+1,1))-AVERAGE(OFFSET($H$3,0,0,'Données projet'!$E$16+1,1))</f>
        <v>427.76895185088944</v>
      </c>
      <c r="FK186" s="59">
        <f t="shared" si="156"/>
        <v>308.32543361559135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projet'!$B$16,Paramètres!$A$1:$I$88,3,0)*0.475*44/12</f>
        <v>41.034436143628767</v>
      </c>
      <c r="FR186" s="23">
        <f>EXP(-LN(2)/25)*FR185+(1-EXP(-LN(2)/25))/(LN(2)/25)*Calculateur!FM186*Calculateur!FO186*VLOOKUP('Données projet'!$B$16,Paramètres!$A$1:$I$88,3,0)*0.475*44/12</f>
        <v>0</v>
      </c>
      <c r="FS186" s="23">
        <f>EXP(-LN(2)/2)*FS185+(1-EXP(-LN(2)/2))/(LN(2)/2)*FM186*FP186*VLOOKUP('Données projet'!$B$16,Paramètres!$A$1:$I$88,3,0)*0.475*44/12</f>
        <v>0</v>
      </c>
      <c r="FT186" s="24">
        <f t="shared" si="184"/>
        <v>41.034436143628767</v>
      </c>
      <c r="FU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333.00000000000006</v>
      </c>
      <c r="GA186" s="18">
        <f>FZ186*VLOOKUP('Données projet'!$B$17,Paramètres!$A$1:$I$88,3,0)*VLOOKUP('Données projet'!$B$17,Paramètres!$A$1:$I$88,5,0)</f>
        <v>207.79200000000006</v>
      </c>
      <c r="GB186" s="14">
        <f t="shared" si="185"/>
        <v>51.452785725007907</v>
      </c>
      <c r="GC186" s="22">
        <f t="shared" si="186"/>
        <v>451.5180018043888</v>
      </c>
      <c r="GD186" s="59">
        <f t="shared" si="134"/>
        <v>744.85133513772212</v>
      </c>
      <c r="GE186" s="59">
        <f ca="1">AVERAGE(OFFSET($GD$3,0,0,'Données projet'!$E$17+1,1))-AVERAGE(OFFSET($H$3,0,0,'Données projet'!$E$17+1,1))</f>
        <v>247.85542034088905</v>
      </c>
      <c r="GF186" s="59">
        <f t="shared" si="158"/>
        <v>299.52241743660352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projet'!$B$17,Paramètres!$A$1:$I$88,3,0)*0.475*44/12</f>
        <v>3.2516277206731603</v>
      </c>
      <c r="GM186" s="23">
        <f>EXP(-LN(2)/25)*GM185+(1-EXP(-LN(2)/25))/(LN(2)/25)*Calculateur!GH186*Calculateur!GJ186*VLOOKUP('Données projet'!$B$17,Paramètres!$A$1:$I$88,3,0)*0.475*44/12</f>
        <v>1.256078120667133</v>
      </c>
      <c r="GN186" s="23">
        <f>EXP(-LN(2)/2)*GN185+(1-EXP(-LN(2)/2))/(LN(2)/2)*GH186*GK186*VLOOKUP('Données projet'!$B$17,Paramètres!$A$1:$I$88,3,0)*0.475*44/12</f>
        <v>1.3125637536368145E-17</v>
      </c>
      <c r="GO186" s="23">
        <f t="shared" si="187"/>
        <v>4.5077058413402931</v>
      </c>
      <c r="GP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3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6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projet'!$B$9,Paramètres!$A$1:$I$88,3,0)*VLOOKUP('Données projet'!$B$9,Paramètres!$A$1:$I$88,5,0)</f>
        <v>-2.0572770154103635E-13</v>
      </c>
      <c r="P187" s="14" t="e">
        <f t="shared" si="141"/>
        <v>#NUM!</v>
      </c>
      <c r="Q187" s="22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247.57967230773539</v>
      </c>
      <c r="T187" s="59">
        <f t="shared" si="142"/>
        <v>156.58857589533295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78.943579706122748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78.943579706122748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-3.4106051316484809E-13</v>
      </c>
      <c r="AJ187" s="14">
        <f>AI187*VLOOKUP('Données projet'!$B$10,Paramètres!$A$1:$I$88,3,0)*VLOOKUP('Données projet'!$B$10,Paramètres!$A$1:$I$88,5,0)</f>
        <v>-2.7134774427395314E-13</v>
      </c>
      <c r="AK187" s="14" t="e">
        <f t="shared" si="164"/>
        <v>#NUM!</v>
      </c>
      <c r="AL187" s="22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504.15006129790828</v>
      </c>
      <c r="AO187" s="59">
        <f t="shared" si="144"/>
        <v>374.39334457402742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45.754315567582594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45.754315567582594</v>
      </c>
      <c r="AY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-3.4106051316484809E-13</v>
      </c>
      <c r="BE187" s="14">
        <f>BD187*VLOOKUP('Données projet'!$B$11,Paramètres!$A$1:$I$88,3,0)*VLOOKUP('Données projet'!$B$11,Paramètres!$A$1:$I$88,5,0)</f>
        <v>-2.7134774427395314E-13</v>
      </c>
      <c r="BF187" s="14" t="e">
        <f t="shared" si="167"/>
        <v>#NUM!</v>
      </c>
      <c r="BG187" s="22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504.15006129790828</v>
      </c>
      <c r="BJ187" s="59">
        <f t="shared" si="146"/>
        <v>374.39334457402742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45.754315567582594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45.754315567582594</v>
      </c>
      <c r="BT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-3.4106051316484809E-13</v>
      </c>
      <c r="BZ187" s="14">
        <f>BY187*VLOOKUP('Données projet'!$B$12,Paramètres!$A$1:$I$88,3,0)*VLOOKUP('Données projet'!$B$12,Paramètres!$A$1:$I$88,5,0)</f>
        <v>-2.2878339223098009E-13</v>
      </c>
      <c r="CA187" s="14" t="e">
        <f t="shared" si="170"/>
        <v>#NUM!</v>
      </c>
      <c r="CB187" s="22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387.15063677712425</v>
      </c>
      <c r="CE187" s="59">
        <f t="shared" si="148"/>
        <v>313.19155394370705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30.166992548810342</v>
      </c>
      <c r="CL187" s="23">
        <f>EXP(-LN(2)/25)*CL186+(1-EXP(-LN(2)/25))/(LN(2)/25)*Calculateur!CG187*Calculateur!CI187*VLOOKUP('Données projet'!$B$12,Paramètres!$A$1:$I$88,3,0)*0.475*44/12</f>
        <v>0</v>
      </c>
      <c r="CM187" s="23">
        <f>EXP(-LN(2)/2)*CM186+(1-EXP(-LN(2)/2))/(LN(2)/2)*CG187*CJ187*VLOOKUP('Données projet'!$B$12,Paramètres!$A$1:$I$88,3,0)*0.475*44/12</f>
        <v>0</v>
      </c>
      <c r="CN187" s="24">
        <f t="shared" si="172"/>
        <v>30.166992548810342</v>
      </c>
      <c r="CO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-2.2737367544323206E-13</v>
      </c>
      <c r="CU187" s="18">
        <f>CT187*VLOOKUP('Données projet'!$B$13,Paramètres!$A$1:$I$88,3,0)*VLOOKUP('Données projet'!$B$13,Paramètres!$A$1:$I$88,5,0)</f>
        <v>-2.1991581888869406E-13</v>
      </c>
      <c r="CV187" s="14" t="e">
        <f t="shared" si="173"/>
        <v>#NUM!</v>
      </c>
      <c r="CW187" s="22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306.00894145276209</v>
      </c>
      <c r="CZ187" s="59">
        <f t="shared" si="150"/>
        <v>168.74705421228828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172.30985292756401</v>
      </c>
      <c r="DG187" s="23">
        <f>EXP(-LN(2)/25)*DG186+(1-EXP(-LN(2)/25))/(LN(2)/25)*Calculateur!DB187*Calculateur!DD187*VLOOKUP('Données projet'!$B$13,Paramètres!$A$1:$I$88,3,0)*0.475*44/12</f>
        <v>0</v>
      </c>
      <c r="DH187" s="23">
        <f>EXP(-LN(2)/2)*DH186+(1-EXP(-LN(2)/2))/(LN(2)/2)*DB187*DE187*VLOOKUP('Données projet'!$B$13,Paramètres!$A$1:$I$88,3,0)*0.475*44/12</f>
        <v>0</v>
      </c>
      <c r="DI187" s="24">
        <f t="shared" si="175"/>
        <v>172.30985292756401</v>
      </c>
      <c r="DJ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-3.4106051316484809E-13</v>
      </c>
      <c r="DP187" s="18">
        <f>DO187*VLOOKUP('Données projet'!$B$14,Paramètres!$A$1:$I$88,3,0)*VLOOKUP('Données projet'!$B$14,Paramètres!$A$1:$I$88,5,0)</f>
        <v>-2.6602720026858149E-13</v>
      </c>
      <c r="DQ187" s="14" t="e">
        <f t="shared" si="176"/>
        <v>#NUM!</v>
      </c>
      <c r="DR187" s="22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458.14328535055694</v>
      </c>
      <c r="DU187" s="59">
        <f t="shared" si="152"/>
        <v>366.75500153675739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projet'!$B$14,Paramètres!$A$1:$I$88,3,0)*0.475*44/12</f>
        <v>28.459426932839964</v>
      </c>
      <c r="EB187" s="23">
        <f>EXP(-LN(2)/25)*EB186+(1-EXP(-LN(2)/25))/(LN(2)/25)*Calculateur!DW187*Calculateur!DY187*VLOOKUP('Données projet'!$B$14,Paramètres!$A$1:$I$88,3,0)*0.475*44/12</f>
        <v>0</v>
      </c>
      <c r="EC187" s="23">
        <f>EXP(-LN(2)/2)*EC186+(1-EXP(-LN(2)/2))/(LN(2)/2)*DW187*DZ187*VLOOKUP('Données projet'!$B$14,Paramètres!$A$1:$I$88,3,0)*0.475*44/12</f>
        <v>0</v>
      </c>
      <c r="ED187" s="24">
        <f t="shared" si="178"/>
        <v>28.459426932839964</v>
      </c>
      <c r="EE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4.5474735088646412E-13</v>
      </c>
      <c r="EK187" s="18">
        <f>EJ187*VLOOKUP('Données projet'!$B$15,Paramètres!$A$1:$I$88,3,0)*VLOOKUP('Données projet'!$B$15,Paramètres!$A$1:$I$88,5,0)</f>
        <v>3.9017322706058626E-13</v>
      </c>
      <c r="EL187" s="14">
        <f t="shared" si="179"/>
        <v>5.0025007393608908E-12</v>
      </c>
      <c r="EM187" s="22">
        <f t="shared" si="180"/>
        <v>9.3922404915174053E-12</v>
      </c>
      <c r="EN187" s="59">
        <f t="shared" si="128"/>
        <v>293.33333333334269</v>
      </c>
      <c r="EO187" s="59">
        <f ca="1">AVERAGE(OFFSET($EN$3,0,0,'Données projet'!$E$15+1,1))-AVERAGE(OFFSET($H$3,0,0,'Données projet'!$E$15+1,1))</f>
        <v>462.99360395552145</v>
      </c>
      <c r="EP187" s="59">
        <f t="shared" si="154"/>
        <v>153.03880717786046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projet'!$B$15,Paramètres!$A$1:$I$88,3,0)*0.475*44/12</f>
        <v>49.537818138181606</v>
      </c>
      <c r="EW187" s="23">
        <f>EXP(-LN(2)/25)*EW186+(1-EXP(-LN(2)/25))/(LN(2)/25)*Calculateur!ER187*Calculateur!ET187*VLOOKUP('Données projet'!$B$15,Paramètres!$A$1:$I$88,3,0)*0.475*44/12</f>
        <v>0</v>
      </c>
      <c r="EX187" s="23">
        <f>EXP(-LN(2)/2)*EX186+(1-EXP(-LN(2)/2))/(LN(2)/2)*ER187*EU187*VLOOKUP('Données projet'!$B$15,Paramètres!$A$1:$I$88,3,0)*0.475*44/12</f>
        <v>0</v>
      </c>
      <c r="EY187" s="24">
        <f t="shared" si="181"/>
        <v>49.537818138181606</v>
      </c>
      <c r="EZ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2.2737367544323206E-13</v>
      </c>
      <c r="FF187" s="18">
        <f>FE187*VLOOKUP('Données projet'!$B$16,Paramètres!$A$1:$I$88,3,0)*VLOOKUP('Données projet'!$B$16,Paramètres!$A$1:$I$88,5,0)</f>
        <v>1.9863364286720756E-13</v>
      </c>
      <c r="FG187" s="14">
        <f t="shared" si="182"/>
        <v>2.7549360720371426E-12</v>
      </c>
      <c r="FH187" s="22">
        <f t="shared" si="183"/>
        <v>5.144133920125077E-12</v>
      </c>
      <c r="FI187" s="59">
        <f t="shared" si="131"/>
        <v>293.33333333333843</v>
      </c>
      <c r="FJ187" s="59">
        <f ca="1">AVERAGE(OFFSET($FI$3,0,0,'Données projet'!$E$16+1,1))-AVERAGE(OFFSET($H$3,0,0,'Données projet'!$E$16+1,1))</f>
        <v>427.76895185088944</v>
      </c>
      <c r="FK187" s="59">
        <f t="shared" si="156"/>
        <v>308.32543361559135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projet'!$B$16,Paramètres!$A$1:$I$88,3,0)*0.475*44/12</f>
        <v>40.229775879386892</v>
      </c>
      <c r="FR187" s="23">
        <f>EXP(-LN(2)/25)*FR186+(1-EXP(-LN(2)/25))/(LN(2)/25)*Calculateur!FM187*Calculateur!FO187*VLOOKUP('Données projet'!$B$16,Paramètres!$A$1:$I$88,3,0)*0.475*44/12</f>
        <v>0</v>
      </c>
      <c r="FS187" s="23">
        <f>EXP(-LN(2)/2)*FS186+(1-EXP(-LN(2)/2))/(LN(2)/2)*FM187*FP187*VLOOKUP('Données projet'!$B$16,Paramètres!$A$1:$I$88,3,0)*0.475*44/12</f>
        <v>0</v>
      </c>
      <c r="FT187" s="24">
        <f t="shared" si="184"/>
        <v>40.229775879386892</v>
      </c>
      <c r="FU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333.00000000000006</v>
      </c>
      <c r="GA187" s="18">
        <f>FZ187*VLOOKUP('Données projet'!$B$17,Paramètres!$A$1:$I$88,3,0)*VLOOKUP('Données projet'!$B$17,Paramètres!$A$1:$I$88,5,0)</f>
        <v>207.79200000000006</v>
      </c>
      <c r="GB187" s="14">
        <f t="shared" si="185"/>
        <v>51.452785725007907</v>
      </c>
      <c r="GC187" s="22">
        <f t="shared" si="186"/>
        <v>451.5180018043888</v>
      </c>
      <c r="GD187" s="59">
        <f t="shared" si="134"/>
        <v>744.85133513772212</v>
      </c>
      <c r="GE187" s="59">
        <f ca="1">AVERAGE(OFFSET($GD$3,0,0,'Données projet'!$E$17+1,1))-AVERAGE(OFFSET($H$3,0,0,'Données projet'!$E$17+1,1))</f>
        <v>247.85542034088905</v>
      </c>
      <c r="GF187" s="59">
        <f t="shared" si="158"/>
        <v>299.52241743660352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projet'!$B$17,Paramètres!$A$1:$I$88,3,0)*0.475*44/12</f>
        <v>3.187865284367835</v>
      </c>
      <c r="GM187" s="23">
        <f>EXP(-LN(2)/25)*GM186+(1-EXP(-LN(2)/25))/(LN(2)/25)*Calculateur!GH187*Calculateur!GJ187*VLOOKUP('Données projet'!$B$17,Paramètres!$A$1:$I$88,3,0)*0.475*44/12</f>
        <v>1.2217305984032127</v>
      </c>
      <c r="GN187" s="23">
        <f>EXP(-LN(2)/2)*GN186+(1-EXP(-LN(2)/2))/(LN(2)/2)*GH187*GK187*VLOOKUP('Données projet'!$B$17,Paramètres!$A$1:$I$88,3,0)*0.475*44/12</f>
        <v>9.2812273093626049E-18</v>
      </c>
      <c r="GO187" s="23">
        <f t="shared" si="187"/>
        <v>4.4095958827710477</v>
      </c>
      <c r="GP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3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6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projet'!$B$9,Paramètres!$A$1:$I$88,3,0)*VLOOKUP('Données projet'!$B$9,Paramètres!$A$1:$I$88,5,0)</f>
        <v>-2.0572770154103635E-13</v>
      </c>
      <c r="P188" s="14" t="e">
        <f t="shared" si="141"/>
        <v>#NUM!</v>
      </c>
      <c r="Q188" s="22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247.57967230773539</v>
      </c>
      <c r="T188" s="59">
        <f t="shared" si="142"/>
        <v>156.58857589533295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77.395544258914796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77.395544258914796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-3.4106051316484809E-13</v>
      </c>
      <c r="AJ188" s="14">
        <f>AI188*VLOOKUP('Données projet'!$B$10,Paramètres!$A$1:$I$88,3,0)*VLOOKUP('Données projet'!$B$10,Paramètres!$A$1:$I$88,5,0)</f>
        <v>-2.7134774427395314E-13</v>
      </c>
      <c r="AK188" s="14" t="e">
        <f t="shared" si="164"/>
        <v>#NUM!</v>
      </c>
      <c r="AL188" s="22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504.15006129790828</v>
      </c>
      <c r="AO188" s="59">
        <f t="shared" si="144"/>
        <v>374.39334457402742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44.857101346679173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44.857101346679173</v>
      </c>
      <c r="AY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-3.4106051316484809E-13</v>
      </c>
      <c r="BE188" s="14">
        <f>BD188*VLOOKUP('Données projet'!$B$11,Paramètres!$A$1:$I$88,3,0)*VLOOKUP('Données projet'!$B$11,Paramètres!$A$1:$I$88,5,0)</f>
        <v>-2.7134774427395314E-13</v>
      </c>
      <c r="BF188" s="14" t="e">
        <f t="shared" si="167"/>
        <v>#NUM!</v>
      </c>
      <c r="BG188" s="22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504.15006129790828</v>
      </c>
      <c r="BJ188" s="59">
        <f t="shared" si="146"/>
        <v>374.39334457402742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44.857101346679173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44.857101346679173</v>
      </c>
      <c r="BT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-3.4106051316484809E-13</v>
      </c>
      <c r="BZ188" s="14">
        <f>BY188*VLOOKUP('Données projet'!$B$12,Paramètres!$A$1:$I$88,3,0)*VLOOKUP('Données projet'!$B$12,Paramètres!$A$1:$I$88,5,0)</f>
        <v>-2.2878339223098009E-13</v>
      </c>
      <c r="CA188" s="14" t="e">
        <f t="shared" si="170"/>
        <v>#NUM!</v>
      </c>
      <c r="CB188" s="22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387.15063677712425</v>
      </c>
      <c r="CE188" s="59">
        <f t="shared" si="148"/>
        <v>313.19155394370705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29.575436224976773</v>
      </c>
      <c r="CL188" s="23">
        <f>EXP(-LN(2)/25)*CL187+(1-EXP(-LN(2)/25))/(LN(2)/25)*Calculateur!CG188*Calculateur!CI188*VLOOKUP('Données projet'!$B$12,Paramètres!$A$1:$I$88,3,0)*0.475*44/12</f>
        <v>0</v>
      </c>
      <c r="CM188" s="23">
        <f>EXP(-LN(2)/2)*CM187+(1-EXP(-LN(2)/2))/(LN(2)/2)*CG188*CJ188*VLOOKUP('Données projet'!$B$12,Paramètres!$A$1:$I$88,3,0)*0.475*44/12</f>
        <v>0</v>
      </c>
      <c r="CN188" s="24">
        <f t="shared" si="172"/>
        <v>29.575436224976773</v>
      </c>
      <c r="CO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-2.2737367544323206E-13</v>
      </c>
      <c r="CU188" s="18">
        <f>CT188*VLOOKUP('Données projet'!$B$13,Paramètres!$A$1:$I$88,3,0)*VLOOKUP('Données projet'!$B$13,Paramètres!$A$1:$I$88,5,0)</f>
        <v>-2.1991581888869406E-13</v>
      </c>
      <c r="CV188" s="14" t="e">
        <f t="shared" si="173"/>
        <v>#NUM!</v>
      </c>
      <c r="CW188" s="22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306.00894145276209</v>
      </c>
      <c r="CZ188" s="59">
        <f t="shared" si="150"/>
        <v>168.74705421228828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168.93096181028713</v>
      </c>
      <c r="DG188" s="23">
        <f>EXP(-LN(2)/25)*DG187+(1-EXP(-LN(2)/25))/(LN(2)/25)*Calculateur!DB188*Calculateur!DD188*VLOOKUP('Données projet'!$B$13,Paramètres!$A$1:$I$88,3,0)*0.475*44/12</f>
        <v>0</v>
      </c>
      <c r="DH188" s="23">
        <f>EXP(-LN(2)/2)*DH187+(1-EXP(-LN(2)/2))/(LN(2)/2)*DB188*DE188*VLOOKUP('Données projet'!$B$13,Paramètres!$A$1:$I$88,3,0)*0.475*44/12</f>
        <v>0</v>
      </c>
      <c r="DI188" s="24">
        <f t="shared" si="175"/>
        <v>168.93096181028713</v>
      </c>
      <c r="DJ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-3.4106051316484809E-13</v>
      </c>
      <c r="DP188" s="18">
        <f>DO188*VLOOKUP('Données projet'!$B$14,Paramètres!$A$1:$I$88,3,0)*VLOOKUP('Données projet'!$B$14,Paramètres!$A$1:$I$88,5,0)</f>
        <v>-2.6602720026858149E-13</v>
      </c>
      <c r="DQ188" s="14" t="e">
        <f t="shared" si="176"/>
        <v>#NUM!</v>
      </c>
      <c r="DR188" s="22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458.14328535055694</v>
      </c>
      <c r="DU188" s="59">
        <f t="shared" si="152"/>
        <v>366.75500153675739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projet'!$B$14,Paramètres!$A$1:$I$88,3,0)*0.475*44/12</f>
        <v>27.901354929223388</v>
      </c>
      <c r="EB188" s="23">
        <f>EXP(-LN(2)/25)*EB187+(1-EXP(-LN(2)/25))/(LN(2)/25)*Calculateur!DW188*Calculateur!DY188*VLOOKUP('Données projet'!$B$14,Paramètres!$A$1:$I$88,3,0)*0.475*44/12</f>
        <v>0</v>
      </c>
      <c r="EC188" s="23">
        <f>EXP(-LN(2)/2)*EC187+(1-EXP(-LN(2)/2))/(LN(2)/2)*DW188*DZ188*VLOOKUP('Données projet'!$B$14,Paramètres!$A$1:$I$88,3,0)*0.475*44/12</f>
        <v>0</v>
      </c>
      <c r="ED188" s="24">
        <f t="shared" si="178"/>
        <v>27.901354929223388</v>
      </c>
      <c r="EE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4.5474735088646412E-13</v>
      </c>
      <c r="EK188" s="18">
        <f>EJ188*VLOOKUP('Données projet'!$B$15,Paramètres!$A$1:$I$88,3,0)*VLOOKUP('Données projet'!$B$15,Paramètres!$A$1:$I$88,5,0)</f>
        <v>3.9017322706058626E-13</v>
      </c>
      <c r="EL188" s="14">
        <f t="shared" si="179"/>
        <v>5.0025007393608908E-12</v>
      </c>
      <c r="EM188" s="22">
        <f t="shared" si="180"/>
        <v>9.3922404915174053E-12</v>
      </c>
      <c r="EN188" s="59">
        <f t="shared" si="128"/>
        <v>293.33333333334269</v>
      </c>
      <c r="EO188" s="59">
        <f ca="1">AVERAGE(OFFSET($EN$3,0,0,'Données projet'!$E$15+1,1))-AVERAGE(OFFSET($H$3,0,0,'Données projet'!$E$15+1,1))</f>
        <v>462.99360395552145</v>
      </c>
      <c r="EP188" s="59">
        <f t="shared" si="154"/>
        <v>153.03880717786046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projet'!$B$15,Paramètres!$A$1:$I$88,3,0)*0.475*44/12</f>
        <v>48.56641173957744</v>
      </c>
      <c r="EW188" s="23">
        <f>EXP(-LN(2)/25)*EW187+(1-EXP(-LN(2)/25))/(LN(2)/25)*Calculateur!ER188*Calculateur!ET188*VLOOKUP('Données projet'!$B$15,Paramètres!$A$1:$I$88,3,0)*0.475*44/12</f>
        <v>0</v>
      </c>
      <c r="EX188" s="23">
        <f>EXP(-LN(2)/2)*EX187+(1-EXP(-LN(2)/2))/(LN(2)/2)*ER188*EU188*VLOOKUP('Données projet'!$B$15,Paramètres!$A$1:$I$88,3,0)*0.475*44/12</f>
        <v>0</v>
      </c>
      <c r="EY188" s="24">
        <f t="shared" si="181"/>
        <v>48.56641173957744</v>
      </c>
      <c r="EZ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2.2737367544323206E-13</v>
      </c>
      <c r="FF188" s="18">
        <f>FE188*VLOOKUP('Données projet'!$B$16,Paramètres!$A$1:$I$88,3,0)*VLOOKUP('Données projet'!$B$16,Paramètres!$A$1:$I$88,5,0)</f>
        <v>1.9863364286720756E-13</v>
      </c>
      <c r="FG188" s="14">
        <f t="shared" si="182"/>
        <v>2.7549360720371426E-12</v>
      </c>
      <c r="FH188" s="22">
        <f t="shared" si="183"/>
        <v>5.144133920125077E-12</v>
      </c>
      <c r="FI188" s="59">
        <f t="shared" si="131"/>
        <v>293.33333333333843</v>
      </c>
      <c r="FJ188" s="59">
        <f ca="1">AVERAGE(OFFSET($FI$3,0,0,'Données projet'!$E$16+1,1))-AVERAGE(OFFSET($H$3,0,0,'Données projet'!$E$16+1,1))</f>
        <v>427.76895185088944</v>
      </c>
      <c r="FK188" s="59">
        <f t="shared" si="156"/>
        <v>308.32543361559135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projet'!$B$16,Paramètres!$A$1:$I$88,3,0)*0.475*44/12</f>
        <v>39.440894512132502</v>
      </c>
      <c r="FR188" s="23">
        <f>EXP(-LN(2)/25)*FR187+(1-EXP(-LN(2)/25))/(LN(2)/25)*Calculateur!FM188*Calculateur!FO188*VLOOKUP('Données projet'!$B$16,Paramètres!$A$1:$I$88,3,0)*0.475*44/12</f>
        <v>0</v>
      </c>
      <c r="FS188" s="23">
        <f>EXP(-LN(2)/2)*FS187+(1-EXP(-LN(2)/2))/(LN(2)/2)*FM188*FP188*VLOOKUP('Données projet'!$B$16,Paramètres!$A$1:$I$88,3,0)*0.475*44/12</f>
        <v>0</v>
      </c>
      <c r="FT188" s="24">
        <f t="shared" si="184"/>
        <v>39.440894512132502</v>
      </c>
      <c r="FU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333.00000000000006</v>
      </c>
      <c r="GA188" s="18">
        <f>FZ188*VLOOKUP('Données projet'!$B$17,Paramètres!$A$1:$I$88,3,0)*VLOOKUP('Données projet'!$B$17,Paramètres!$A$1:$I$88,5,0)</f>
        <v>207.79200000000006</v>
      </c>
      <c r="GB188" s="14">
        <f t="shared" si="185"/>
        <v>51.452785725007907</v>
      </c>
      <c r="GC188" s="22">
        <f t="shared" si="186"/>
        <v>451.5180018043888</v>
      </c>
      <c r="GD188" s="59">
        <f t="shared" si="134"/>
        <v>744.85133513772212</v>
      </c>
      <c r="GE188" s="59">
        <f ca="1">AVERAGE(OFFSET($GD$3,0,0,'Données projet'!$E$17+1,1))-AVERAGE(OFFSET($H$3,0,0,'Données projet'!$E$17+1,1))</f>
        <v>247.85542034088905</v>
      </c>
      <c r="GF188" s="59">
        <f t="shared" si="158"/>
        <v>299.52241743660352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projet'!$B$17,Paramètres!$A$1:$I$88,3,0)*0.475*44/12</f>
        <v>3.1253531905472109</v>
      </c>
      <c r="GM188" s="23">
        <f>EXP(-LN(2)/25)*GM187+(1-EXP(-LN(2)/25))/(LN(2)/25)*Calculateur!GH188*Calculateur!GJ188*VLOOKUP('Données projet'!$B$17,Paramètres!$A$1:$I$88,3,0)*0.475*44/12</f>
        <v>1.188322310941857</v>
      </c>
      <c r="GN188" s="23">
        <f>EXP(-LN(2)/2)*GN187+(1-EXP(-LN(2)/2))/(LN(2)/2)*GH188*GK188*VLOOKUP('Données projet'!$B$17,Paramètres!$A$1:$I$88,3,0)*0.475*44/12</f>
        <v>6.5628187681840727E-18</v>
      </c>
      <c r="GO188" s="23">
        <f t="shared" si="187"/>
        <v>4.313675501489068</v>
      </c>
      <c r="GP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3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6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projet'!$B$9,Paramètres!$A$1:$I$88,3,0)*VLOOKUP('Données projet'!$B$9,Paramètres!$A$1:$I$88,5,0)</f>
        <v>-2.0572770154103635E-13</v>
      </c>
      <c r="P189" s="14" t="e">
        <f t="shared" si="141"/>
        <v>#NUM!</v>
      </c>
      <c r="Q189" s="22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247.57967230773539</v>
      </c>
      <c r="T189" s="59">
        <f t="shared" si="142"/>
        <v>156.58857589533295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75.877864842618209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75.877864842618209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-3.4106051316484809E-13</v>
      </c>
      <c r="AJ189" s="14">
        <f>AI189*VLOOKUP('Données projet'!$B$10,Paramètres!$A$1:$I$88,3,0)*VLOOKUP('Données projet'!$B$10,Paramètres!$A$1:$I$88,5,0)</f>
        <v>-2.7134774427395314E-13</v>
      </c>
      <c r="AK189" s="14" t="e">
        <f t="shared" si="164"/>
        <v>#NUM!</v>
      </c>
      <c r="AL189" s="22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504.15006129790828</v>
      </c>
      <c r="AO189" s="59">
        <f t="shared" si="144"/>
        <v>374.39334457402742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43.977480949401027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43.977480949401027</v>
      </c>
      <c r="AY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-3.4106051316484809E-13</v>
      </c>
      <c r="BE189" s="14">
        <f>BD189*VLOOKUP('Données projet'!$B$11,Paramètres!$A$1:$I$88,3,0)*VLOOKUP('Données projet'!$B$11,Paramètres!$A$1:$I$88,5,0)</f>
        <v>-2.7134774427395314E-13</v>
      </c>
      <c r="BF189" s="14" t="e">
        <f t="shared" si="167"/>
        <v>#NUM!</v>
      </c>
      <c r="BG189" s="22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504.15006129790828</v>
      </c>
      <c r="BJ189" s="59">
        <f t="shared" si="146"/>
        <v>374.39334457402742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43.977480949401027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43.977480949401027</v>
      </c>
      <c r="BT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-3.4106051316484809E-13</v>
      </c>
      <c r="BZ189" s="14">
        <f>BY189*VLOOKUP('Données projet'!$B$12,Paramètres!$A$1:$I$88,3,0)*VLOOKUP('Données projet'!$B$12,Paramètres!$A$1:$I$88,5,0)</f>
        <v>-2.2878339223098009E-13</v>
      </c>
      <c r="CA189" s="14" t="e">
        <f t="shared" si="170"/>
        <v>#NUM!</v>
      </c>
      <c r="CB189" s="22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387.15063677712425</v>
      </c>
      <c r="CE189" s="59">
        <f t="shared" si="148"/>
        <v>313.19155394370705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28.995479959839848</v>
      </c>
      <c r="CL189" s="23">
        <f>EXP(-LN(2)/25)*CL188+(1-EXP(-LN(2)/25))/(LN(2)/25)*Calculateur!CG189*Calculateur!CI189*VLOOKUP('Données projet'!$B$12,Paramètres!$A$1:$I$88,3,0)*0.475*44/12</f>
        <v>0</v>
      </c>
      <c r="CM189" s="23">
        <f>EXP(-LN(2)/2)*CM188+(1-EXP(-LN(2)/2))/(LN(2)/2)*CG189*CJ189*VLOOKUP('Données projet'!$B$12,Paramètres!$A$1:$I$88,3,0)*0.475*44/12</f>
        <v>0</v>
      </c>
      <c r="CN189" s="24">
        <f t="shared" si="172"/>
        <v>28.995479959839848</v>
      </c>
      <c r="CO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-2.2737367544323206E-13</v>
      </c>
      <c r="CU189" s="18">
        <f>CT189*VLOOKUP('Données projet'!$B$13,Paramètres!$A$1:$I$88,3,0)*VLOOKUP('Données projet'!$B$13,Paramètres!$A$1:$I$88,5,0)</f>
        <v>-2.1991581888869406E-13</v>
      </c>
      <c r="CV189" s="14" t="e">
        <f t="shared" si="173"/>
        <v>#NUM!</v>
      </c>
      <c r="CW189" s="22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306.00894145276209</v>
      </c>
      <c r="CZ189" s="59">
        <f t="shared" si="150"/>
        <v>168.74705421228828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165.61832868689999</v>
      </c>
      <c r="DG189" s="23">
        <f>EXP(-LN(2)/25)*DG188+(1-EXP(-LN(2)/25))/(LN(2)/25)*Calculateur!DB189*Calculateur!DD189*VLOOKUP('Données projet'!$B$13,Paramètres!$A$1:$I$88,3,0)*0.475*44/12</f>
        <v>0</v>
      </c>
      <c r="DH189" s="23">
        <f>EXP(-LN(2)/2)*DH188+(1-EXP(-LN(2)/2))/(LN(2)/2)*DB189*DE189*VLOOKUP('Données projet'!$B$13,Paramètres!$A$1:$I$88,3,0)*0.475*44/12</f>
        <v>0</v>
      </c>
      <c r="DI189" s="24">
        <f t="shared" si="175"/>
        <v>165.61832868689999</v>
      </c>
      <c r="DJ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-3.4106051316484809E-13</v>
      </c>
      <c r="DP189" s="18">
        <f>DO189*VLOOKUP('Données projet'!$B$14,Paramètres!$A$1:$I$88,3,0)*VLOOKUP('Données projet'!$B$14,Paramètres!$A$1:$I$88,5,0)</f>
        <v>-2.6602720026858149E-13</v>
      </c>
      <c r="DQ189" s="14" t="e">
        <f t="shared" si="176"/>
        <v>#NUM!</v>
      </c>
      <c r="DR189" s="22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458.14328535055694</v>
      </c>
      <c r="DU189" s="59">
        <f t="shared" si="152"/>
        <v>366.75500153675739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projet'!$B$14,Paramètres!$A$1:$I$88,3,0)*0.475*44/12</f>
        <v>27.354226377207421</v>
      </c>
      <c r="EB189" s="23">
        <f>EXP(-LN(2)/25)*EB188+(1-EXP(-LN(2)/25))/(LN(2)/25)*Calculateur!DW189*Calculateur!DY189*VLOOKUP('Données projet'!$B$14,Paramètres!$A$1:$I$88,3,0)*0.475*44/12</f>
        <v>0</v>
      </c>
      <c r="EC189" s="23">
        <f>EXP(-LN(2)/2)*EC188+(1-EXP(-LN(2)/2))/(LN(2)/2)*DW189*DZ189*VLOOKUP('Données projet'!$B$14,Paramètres!$A$1:$I$88,3,0)*0.475*44/12</f>
        <v>0</v>
      </c>
      <c r="ED189" s="24">
        <f t="shared" si="178"/>
        <v>27.354226377207421</v>
      </c>
      <c r="EE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4.5474735088646412E-13</v>
      </c>
      <c r="EK189" s="18">
        <f>EJ189*VLOOKUP('Données projet'!$B$15,Paramètres!$A$1:$I$88,3,0)*VLOOKUP('Données projet'!$B$15,Paramètres!$A$1:$I$88,5,0)</f>
        <v>3.9017322706058626E-13</v>
      </c>
      <c r="EL189" s="14">
        <f t="shared" si="179"/>
        <v>5.0025007393608908E-12</v>
      </c>
      <c r="EM189" s="22">
        <f t="shared" si="180"/>
        <v>9.3922404915174053E-12</v>
      </c>
      <c r="EN189" s="59">
        <f t="shared" si="128"/>
        <v>293.33333333334269</v>
      </c>
      <c r="EO189" s="59">
        <f ca="1">AVERAGE(OFFSET($EN$3,0,0,'Données projet'!$E$15+1,1))-AVERAGE(OFFSET($H$3,0,0,'Données projet'!$E$15+1,1))</f>
        <v>462.99360395552145</v>
      </c>
      <c r="EP189" s="59">
        <f t="shared" si="154"/>
        <v>153.03880717786046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projet'!$B$15,Paramètres!$A$1:$I$88,3,0)*0.475*44/12</f>
        <v>47.614054027950502</v>
      </c>
      <c r="EW189" s="23">
        <f>EXP(-LN(2)/25)*EW188+(1-EXP(-LN(2)/25))/(LN(2)/25)*Calculateur!ER189*Calculateur!ET189*VLOOKUP('Données projet'!$B$15,Paramètres!$A$1:$I$88,3,0)*0.475*44/12</f>
        <v>0</v>
      </c>
      <c r="EX189" s="23">
        <f>EXP(-LN(2)/2)*EX188+(1-EXP(-LN(2)/2))/(LN(2)/2)*ER189*EU189*VLOOKUP('Données projet'!$B$15,Paramètres!$A$1:$I$88,3,0)*0.475*44/12</f>
        <v>0</v>
      </c>
      <c r="EY189" s="24">
        <f t="shared" si="181"/>
        <v>47.614054027950502</v>
      </c>
      <c r="EZ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2.2737367544323206E-13</v>
      </c>
      <c r="FF189" s="18">
        <f>FE189*VLOOKUP('Données projet'!$B$16,Paramètres!$A$1:$I$88,3,0)*VLOOKUP('Données projet'!$B$16,Paramètres!$A$1:$I$88,5,0)</f>
        <v>1.9863364286720756E-13</v>
      </c>
      <c r="FG189" s="14">
        <f t="shared" si="182"/>
        <v>2.7549360720371426E-12</v>
      </c>
      <c r="FH189" s="22">
        <f t="shared" si="183"/>
        <v>5.144133920125077E-12</v>
      </c>
      <c r="FI189" s="59">
        <f t="shared" si="131"/>
        <v>293.33333333333843</v>
      </c>
      <c r="FJ189" s="59">
        <f ca="1">AVERAGE(OFFSET($FI$3,0,0,'Données projet'!$E$16+1,1))-AVERAGE(OFFSET($H$3,0,0,'Données projet'!$E$16+1,1))</f>
        <v>427.76895185088944</v>
      </c>
      <c r="FK189" s="59">
        <f t="shared" si="156"/>
        <v>308.32543361559135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projet'!$B$16,Paramètres!$A$1:$I$88,3,0)*0.475*44/12</f>
        <v>38.667482627319849</v>
      </c>
      <c r="FR189" s="23">
        <f>EXP(-LN(2)/25)*FR188+(1-EXP(-LN(2)/25))/(LN(2)/25)*Calculateur!FM189*Calculateur!FO189*VLOOKUP('Données projet'!$B$16,Paramètres!$A$1:$I$88,3,0)*0.475*44/12</f>
        <v>0</v>
      </c>
      <c r="FS189" s="23">
        <f>EXP(-LN(2)/2)*FS188+(1-EXP(-LN(2)/2))/(LN(2)/2)*FM189*FP189*VLOOKUP('Données projet'!$B$16,Paramètres!$A$1:$I$88,3,0)*0.475*44/12</f>
        <v>0</v>
      </c>
      <c r="FT189" s="24">
        <f t="shared" si="184"/>
        <v>38.667482627319849</v>
      </c>
      <c r="FU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333.00000000000006</v>
      </c>
      <c r="GA189" s="18">
        <f>FZ189*VLOOKUP('Données projet'!$B$17,Paramètres!$A$1:$I$88,3,0)*VLOOKUP('Données projet'!$B$17,Paramètres!$A$1:$I$88,5,0)</f>
        <v>207.79200000000006</v>
      </c>
      <c r="GB189" s="14">
        <f t="shared" si="185"/>
        <v>51.452785725007907</v>
      </c>
      <c r="GC189" s="22">
        <f t="shared" si="186"/>
        <v>451.5180018043888</v>
      </c>
      <c r="GD189" s="59">
        <f t="shared" si="134"/>
        <v>744.85133513772212</v>
      </c>
      <c r="GE189" s="59">
        <f ca="1">AVERAGE(OFFSET($GD$3,0,0,'Données projet'!$E$17+1,1))-AVERAGE(OFFSET($H$3,0,0,'Données projet'!$E$17+1,1))</f>
        <v>247.85542034088905</v>
      </c>
      <c r="GF189" s="59">
        <f t="shared" si="158"/>
        <v>299.52241743660352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projet'!$B$17,Paramètres!$A$1:$I$88,3,0)*0.475*44/12</f>
        <v>3.0640669207577971</v>
      </c>
      <c r="GM189" s="23">
        <f>EXP(-LN(2)/25)*GM188+(1-EXP(-LN(2)/25))/(LN(2)/25)*Calculateur!GH189*Calculateur!GJ189*VLOOKUP('Données projet'!$B$17,Paramètres!$A$1:$I$88,3,0)*0.475*44/12</f>
        <v>1.1558275748579976</v>
      </c>
      <c r="GN189" s="23">
        <f>EXP(-LN(2)/2)*GN188+(1-EXP(-LN(2)/2))/(LN(2)/2)*GH189*GK189*VLOOKUP('Données projet'!$B$17,Paramètres!$A$1:$I$88,3,0)*0.475*44/12</f>
        <v>4.6406136546813024E-18</v>
      </c>
      <c r="GO189" s="23">
        <f t="shared" si="187"/>
        <v>4.2198944956157947</v>
      </c>
      <c r="GP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3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6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projet'!$B$9,Paramètres!$A$1:$I$88,3,0)*VLOOKUP('Données projet'!$B$9,Paramètres!$A$1:$I$88,5,0)</f>
        <v>-2.0572770154103635E-13</v>
      </c>
      <c r="P190" s="14" t="e">
        <f t="shared" si="141"/>
        <v>#NUM!</v>
      </c>
      <c r="Q190" s="22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247.57967230773539</v>
      </c>
      <c r="T190" s="59">
        <f t="shared" si="142"/>
        <v>156.58857589533295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74.389946193982155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74.389946193982155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-3.4106051316484809E-13</v>
      </c>
      <c r="AJ190" s="14">
        <f>AI190*VLOOKUP('Données projet'!$B$10,Paramètres!$A$1:$I$88,3,0)*VLOOKUP('Données projet'!$B$10,Paramètres!$A$1:$I$88,5,0)</f>
        <v>-2.7134774427395314E-13</v>
      </c>
      <c r="AK190" s="14" t="e">
        <f t="shared" si="164"/>
        <v>#NUM!</v>
      </c>
      <c r="AL190" s="22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504.15006129790828</v>
      </c>
      <c r="AO190" s="59">
        <f t="shared" si="144"/>
        <v>374.39334457402742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43.115109371598038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43.115109371598038</v>
      </c>
      <c r="AY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-3.4106051316484809E-13</v>
      </c>
      <c r="BE190" s="14">
        <f>BD190*VLOOKUP('Données projet'!$B$11,Paramètres!$A$1:$I$88,3,0)*VLOOKUP('Données projet'!$B$11,Paramètres!$A$1:$I$88,5,0)</f>
        <v>-2.7134774427395314E-13</v>
      </c>
      <c r="BF190" s="14" t="e">
        <f t="shared" si="167"/>
        <v>#NUM!</v>
      </c>
      <c r="BG190" s="22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504.15006129790828</v>
      </c>
      <c r="BJ190" s="59">
        <f t="shared" si="146"/>
        <v>374.39334457402742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43.115109371598038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43.115109371598038</v>
      </c>
      <c r="BT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-3.4106051316484809E-13</v>
      </c>
      <c r="BZ190" s="14">
        <f>BY190*VLOOKUP('Données projet'!$B$12,Paramètres!$A$1:$I$88,3,0)*VLOOKUP('Données projet'!$B$12,Paramètres!$A$1:$I$88,5,0)</f>
        <v>-2.2878339223098009E-13</v>
      </c>
      <c r="CA190" s="14" t="e">
        <f t="shared" si="170"/>
        <v>#NUM!</v>
      </c>
      <c r="CB190" s="22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387.15063677712425</v>
      </c>
      <c r="CE190" s="59">
        <f t="shared" si="148"/>
        <v>313.19155394370705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28.426896283323867</v>
      </c>
      <c r="CL190" s="23">
        <f>EXP(-LN(2)/25)*CL189+(1-EXP(-LN(2)/25))/(LN(2)/25)*Calculateur!CG190*Calculateur!CI190*VLOOKUP('Données projet'!$B$12,Paramètres!$A$1:$I$88,3,0)*0.475*44/12</f>
        <v>0</v>
      </c>
      <c r="CM190" s="23">
        <f>EXP(-LN(2)/2)*CM189+(1-EXP(-LN(2)/2))/(LN(2)/2)*CG190*CJ190*VLOOKUP('Données projet'!$B$12,Paramètres!$A$1:$I$88,3,0)*0.475*44/12</f>
        <v>0</v>
      </c>
      <c r="CN190" s="24">
        <f t="shared" si="172"/>
        <v>28.426896283323867</v>
      </c>
      <c r="CO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-2.2737367544323206E-13</v>
      </c>
      <c r="CU190" s="18">
        <f>CT190*VLOOKUP('Données projet'!$B$13,Paramètres!$A$1:$I$88,3,0)*VLOOKUP('Données projet'!$B$13,Paramètres!$A$1:$I$88,5,0)</f>
        <v>-2.1991581888869406E-13</v>
      </c>
      <c r="CV190" s="14" t="e">
        <f t="shared" si="173"/>
        <v>#NUM!</v>
      </c>
      <c r="CW190" s="22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306.00894145276209</v>
      </c>
      <c r="CZ190" s="59">
        <f t="shared" si="150"/>
        <v>168.74705421228828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162.37065427855575</v>
      </c>
      <c r="DG190" s="23">
        <f>EXP(-LN(2)/25)*DG189+(1-EXP(-LN(2)/25))/(LN(2)/25)*Calculateur!DB190*Calculateur!DD190*VLOOKUP('Données projet'!$B$13,Paramètres!$A$1:$I$88,3,0)*0.475*44/12</f>
        <v>0</v>
      </c>
      <c r="DH190" s="23">
        <f>EXP(-LN(2)/2)*DH189+(1-EXP(-LN(2)/2))/(LN(2)/2)*DB190*DE190*VLOOKUP('Données projet'!$B$13,Paramètres!$A$1:$I$88,3,0)*0.475*44/12</f>
        <v>0</v>
      </c>
      <c r="DI190" s="24">
        <f t="shared" si="175"/>
        <v>162.37065427855575</v>
      </c>
      <c r="DJ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-3.4106051316484809E-13</v>
      </c>
      <c r="DP190" s="18">
        <f>DO190*VLOOKUP('Données projet'!$B$14,Paramètres!$A$1:$I$88,3,0)*VLOOKUP('Données projet'!$B$14,Paramètres!$A$1:$I$88,5,0)</f>
        <v>-2.6602720026858149E-13</v>
      </c>
      <c r="DQ190" s="14" t="e">
        <f t="shared" si="176"/>
        <v>#NUM!</v>
      </c>
      <c r="DR190" s="22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458.14328535055694</v>
      </c>
      <c r="DU190" s="59">
        <f t="shared" si="152"/>
        <v>366.75500153675739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projet'!$B$14,Paramètres!$A$1:$I$88,3,0)*0.475*44/12</f>
        <v>26.817826682381025</v>
      </c>
      <c r="EB190" s="23">
        <f>EXP(-LN(2)/25)*EB189+(1-EXP(-LN(2)/25))/(LN(2)/25)*Calculateur!DW190*Calculateur!DY190*VLOOKUP('Données projet'!$B$14,Paramètres!$A$1:$I$88,3,0)*0.475*44/12</f>
        <v>0</v>
      </c>
      <c r="EC190" s="23">
        <f>EXP(-LN(2)/2)*EC189+(1-EXP(-LN(2)/2))/(LN(2)/2)*DW190*DZ190*VLOOKUP('Données projet'!$B$14,Paramètres!$A$1:$I$88,3,0)*0.475*44/12</f>
        <v>0</v>
      </c>
      <c r="ED190" s="24">
        <f t="shared" si="178"/>
        <v>26.817826682381025</v>
      </c>
      <c r="EE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4.5474735088646412E-13</v>
      </c>
      <c r="EK190" s="18">
        <f>EJ190*VLOOKUP('Données projet'!$B$15,Paramètres!$A$1:$I$88,3,0)*VLOOKUP('Données projet'!$B$15,Paramètres!$A$1:$I$88,5,0)</f>
        <v>3.9017322706058626E-13</v>
      </c>
      <c r="EL190" s="14">
        <f t="shared" si="179"/>
        <v>5.0025007393608908E-12</v>
      </c>
      <c r="EM190" s="22">
        <f t="shared" si="180"/>
        <v>9.3922404915174053E-12</v>
      </c>
      <c r="EN190" s="59">
        <f t="shared" si="128"/>
        <v>293.33333333334269</v>
      </c>
      <c r="EO190" s="59">
        <f ca="1">AVERAGE(OFFSET($EN$3,0,0,'Données projet'!$E$15+1,1))-AVERAGE(OFFSET($H$3,0,0,'Données projet'!$E$15+1,1))</f>
        <v>462.99360395552145</v>
      </c>
      <c r="EP190" s="59">
        <f t="shared" si="154"/>
        <v>153.03880717786046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projet'!$B$15,Paramètres!$A$1:$I$88,3,0)*0.475*44/12</f>
        <v>46.680371470167721</v>
      </c>
      <c r="EW190" s="23">
        <f>EXP(-LN(2)/25)*EW189+(1-EXP(-LN(2)/25))/(LN(2)/25)*Calculateur!ER190*Calculateur!ET190*VLOOKUP('Données projet'!$B$15,Paramètres!$A$1:$I$88,3,0)*0.475*44/12</f>
        <v>0</v>
      </c>
      <c r="EX190" s="23">
        <f>EXP(-LN(2)/2)*EX189+(1-EXP(-LN(2)/2))/(LN(2)/2)*ER190*EU190*VLOOKUP('Données projet'!$B$15,Paramètres!$A$1:$I$88,3,0)*0.475*44/12</f>
        <v>0</v>
      </c>
      <c r="EY190" s="24">
        <f t="shared" si="181"/>
        <v>46.680371470167721</v>
      </c>
      <c r="EZ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2.2737367544323206E-13</v>
      </c>
      <c r="FF190" s="18">
        <f>FE190*VLOOKUP('Données projet'!$B$16,Paramètres!$A$1:$I$88,3,0)*VLOOKUP('Données projet'!$B$16,Paramètres!$A$1:$I$88,5,0)</f>
        <v>1.9863364286720756E-13</v>
      </c>
      <c r="FG190" s="14">
        <f t="shared" si="182"/>
        <v>2.7549360720371426E-12</v>
      </c>
      <c r="FH190" s="22">
        <f t="shared" si="183"/>
        <v>5.144133920125077E-12</v>
      </c>
      <c r="FI190" s="59">
        <f t="shared" si="131"/>
        <v>293.33333333333843</v>
      </c>
      <c r="FJ190" s="59">
        <f ca="1">AVERAGE(OFFSET($FI$3,0,0,'Données projet'!$E$16+1,1))-AVERAGE(OFFSET($H$3,0,0,'Données projet'!$E$16+1,1))</f>
        <v>427.76895185088944</v>
      </c>
      <c r="FK190" s="59">
        <f t="shared" si="156"/>
        <v>308.32543361559135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projet'!$B$16,Paramètres!$A$1:$I$88,3,0)*0.475*44/12</f>
        <v>37.909236877833699</v>
      </c>
      <c r="FR190" s="23">
        <f>EXP(-LN(2)/25)*FR189+(1-EXP(-LN(2)/25))/(LN(2)/25)*Calculateur!FM190*Calculateur!FO190*VLOOKUP('Données projet'!$B$16,Paramètres!$A$1:$I$88,3,0)*0.475*44/12</f>
        <v>0</v>
      </c>
      <c r="FS190" s="23">
        <f>EXP(-LN(2)/2)*FS189+(1-EXP(-LN(2)/2))/(LN(2)/2)*FM190*FP190*VLOOKUP('Données projet'!$B$16,Paramètres!$A$1:$I$88,3,0)*0.475*44/12</f>
        <v>0</v>
      </c>
      <c r="FT190" s="24">
        <f t="shared" si="184"/>
        <v>37.909236877833699</v>
      </c>
      <c r="FU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333.00000000000006</v>
      </c>
      <c r="GA190" s="18">
        <f>FZ190*VLOOKUP('Données projet'!$B$17,Paramètres!$A$1:$I$88,3,0)*VLOOKUP('Données projet'!$B$17,Paramètres!$A$1:$I$88,5,0)</f>
        <v>207.79200000000006</v>
      </c>
      <c r="GB190" s="14">
        <f t="shared" si="185"/>
        <v>51.452785725007907</v>
      </c>
      <c r="GC190" s="22">
        <f t="shared" si="186"/>
        <v>451.5180018043888</v>
      </c>
      <c r="GD190" s="59">
        <f t="shared" si="134"/>
        <v>744.85133513772212</v>
      </c>
      <c r="GE190" s="59">
        <f ca="1">AVERAGE(OFFSET($GD$3,0,0,'Données projet'!$E$17+1,1))-AVERAGE(OFFSET($H$3,0,0,'Données projet'!$E$17+1,1))</f>
        <v>247.85542034088905</v>
      </c>
      <c r="GF190" s="59">
        <f t="shared" si="158"/>
        <v>299.52241743660352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projet'!$B$17,Paramètres!$A$1:$I$88,3,0)*0.475*44/12</f>
        <v>3.0039824373380202</v>
      </c>
      <c r="GM190" s="23">
        <f>EXP(-LN(2)/25)*GM189+(1-EXP(-LN(2)/25))/(LN(2)/25)*Calculateur!GH190*Calculateur!GJ190*VLOOKUP('Données projet'!$B$17,Paramètres!$A$1:$I$88,3,0)*0.475*44/12</f>
        <v>1.1242214090411751</v>
      </c>
      <c r="GN190" s="23">
        <f>EXP(-LN(2)/2)*GN189+(1-EXP(-LN(2)/2))/(LN(2)/2)*GH190*GK190*VLOOKUP('Données projet'!$B$17,Paramètres!$A$1:$I$88,3,0)*0.475*44/12</f>
        <v>3.2814093840920364E-18</v>
      </c>
      <c r="GO190" s="23">
        <f t="shared" si="187"/>
        <v>4.1282038463791952</v>
      </c>
      <c r="GP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3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6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projet'!$B$9,Paramètres!$A$1:$I$88,3,0)*VLOOKUP('Données projet'!$B$9,Paramètres!$A$1:$I$88,5,0)</f>
        <v>-2.0572770154103635E-13</v>
      </c>
      <c r="P191" s="14" t="e">
        <f t="shared" si="141"/>
        <v>#NUM!</v>
      </c>
      <c r="Q191" s="22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247.57967230773539</v>
      </c>
      <c r="T191" s="59">
        <f t="shared" si="142"/>
        <v>156.58857589533295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72.9312047225051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72.9312047225051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-3.4106051316484809E-13</v>
      </c>
      <c r="AJ191" s="14">
        <f>AI191*VLOOKUP('Données projet'!$B$10,Paramètres!$A$1:$I$88,3,0)*VLOOKUP('Données projet'!$B$10,Paramètres!$A$1:$I$88,5,0)</f>
        <v>-2.7134774427395314E-13</v>
      </c>
      <c r="AK191" s="14" t="e">
        <f t="shared" si="164"/>
        <v>#NUM!</v>
      </c>
      <c r="AL191" s="22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504.15006129790828</v>
      </c>
      <c r="AO191" s="59">
        <f t="shared" si="144"/>
        <v>374.39334457402742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42.26964837444104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42.26964837444104</v>
      </c>
      <c r="AY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-3.4106051316484809E-13</v>
      </c>
      <c r="BE191" s="14">
        <f>BD191*VLOOKUP('Données projet'!$B$11,Paramètres!$A$1:$I$88,3,0)*VLOOKUP('Données projet'!$B$11,Paramètres!$A$1:$I$88,5,0)</f>
        <v>-2.7134774427395314E-13</v>
      </c>
      <c r="BF191" s="14" t="e">
        <f t="shared" si="167"/>
        <v>#NUM!</v>
      </c>
      <c r="BG191" s="22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504.15006129790828</v>
      </c>
      <c r="BJ191" s="59">
        <f t="shared" si="146"/>
        <v>374.39334457402742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42.26964837444104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42.26964837444104</v>
      </c>
      <c r="BT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-3.4106051316484809E-13</v>
      </c>
      <c r="BZ191" s="14">
        <f>BY191*VLOOKUP('Données projet'!$B$12,Paramètres!$A$1:$I$88,3,0)*VLOOKUP('Données projet'!$B$12,Paramètres!$A$1:$I$88,5,0)</f>
        <v>-2.2878339223098009E-13</v>
      </c>
      <c r="CA191" s="14" t="e">
        <f t="shared" si="170"/>
        <v>#NUM!</v>
      </c>
      <c r="CB191" s="22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387.15063677712425</v>
      </c>
      <c r="CE191" s="59">
        <f t="shared" si="148"/>
        <v>313.19155394370705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27.869462185902563</v>
      </c>
      <c r="CL191" s="23">
        <f>EXP(-LN(2)/25)*CL190+(1-EXP(-LN(2)/25))/(LN(2)/25)*Calculateur!CG191*Calculateur!CI191*VLOOKUP('Données projet'!$B$12,Paramètres!$A$1:$I$88,3,0)*0.475*44/12</f>
        <v>0</v>
      </c>
      <c r="CM191" s="23">
        <f>EXP(-LN(2)/2)*CM190+(1-EXP(-LN(2)/2))/(LN(2)/2)*CG191*CJ191*VLOOKUP('Données projet'!$B$12,Paramètres!$A$1:$I$88,3,0)*0.475*44/12</f>
        <v>0</v>
      </c>
      <c r="CN191" s="24">
        <f t="shared" si="172"/>
        <v>27.869462185902563</v>
      </c>
      <c r="CO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-2.2737367544323206E-13</v>
      </c>
      <c r="CU191" s="18">
        <f>CT191*VLOOKUP('Données projet'!$B$13,Paramètres!$A$1:$I$88,3,0)*VLOOKUP('Données projet'!$B$13,Paramètres!$A$1:$I$88,5,0)</f>
        <v>-2.1991581888869406E-13</v>
      </c>
      <c r="CV191" s="14" t="e">
        <f t="shared" si="173"/>
        <v>#NUM!</v>
      </c>
      <c r="CW191" s="22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306.00894145276209</v>
      </c>
      <c r="CZ191" s="59">
        <f t="shared" si="150"/>
        <v>168.74705421228828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159.18666478447335</v>
      </c>
      <c r="DG191" s="23">
        <f>EXP(-LN(2)/25)*DG190+(1-EXP(-LN(2)/25))/(LN(2)/25)*Calculateur!DB191*Calculateur!DD191*VLOOKUP('Données projet'!$B$13,Paramètres!$A$1:$I$88,3,0)*0.475*44/12</f>
        <v>0</v>
      </c>
      <c r="DH191" s="23">
        <f>EXP(-LN(2)/2)*DH190+(1-EXP(-LN(2)/2))/(LN(2)/2)*DB191*DE191*VLOOKUP('Données projet'!$B$13,Paramètres!$A$1:$I$88,3,0)*0.475*44/12</f>
        <v>0</v>
      </c>
      <c r="DI191" s="24">
        <f t="shared" si="175"/>
        <v>159.18666478447335</v>
      </c>
      <c r="DJ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-3.4106051316484809E-13</v>
      </c>
      <c r="DP191" s="18">
        <f>DO191*VLOOKUP('Données projet'!$B$14,Paramètres!$A$1:$I$88,3,0)*VLOOKUP('Données projet'!$B$14,Paramètres!$A$1:$I$88,5,0)</f>
        <v>-2.6602720026858149E-13</v>
      </c>
      <c r="DQ191" s="14" t="e">
        <f t="shared" si="176"/>
        <v>#NUM!</v>
      </c>
      <c r="DR191" s="22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458.14328535055694</v>
      </c>
      <c r="DU191" s="59">
        <f t="shared" si="152"/>
        <v>366.75500153675739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projet'!$B$14,Paramètres!$A$1:$I$88,3,0)*0.475*44/12</f>
        <v>26.291945458398665</v>
      </c>
      <c r="EB191" s="23">
        <f>EXP(-LN(2)/25)*EB190+(1-EXP(-LN(2)/25))/(LN(2)/25)*Calculateur!DW191*Calculateur!DY191*VLOOKUP('Données projet'!$B$14,Paramètres!$A$1:$I$88,3,0)*0.475*44/12</f>
        <v>0</v>
      </c>
      <c r="EC191" s="23">
        <f>EXP(-LN(2)/2)*EC190+(1-EXP(-LN(2)/2))/(LN(2)/2)*DW191*DZ191*VLOOKUP('Données projet'!$B$14,Paramètres!$A$1:$I$88,3,0)*0.475*44/12</f>
        <v>0</v>
      </c>
      <c r="ED191" s="24">
        <f t="shared" si="178"/>
        <v>26.291945458398665</v>
      </c>
      <c r="EE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4.5474735088646412E-13</v>
      </c>
      <c r="EK191" s="18">
        <f>EJ191*VLOOKUP('Données projet'!$B$15,Paramètres!$A$1:$I$88,3,0)*VLOOKUP('Données projet'!$B$15,Paramètres!$A$1:$I$88,5,0)</f>
        <v>3.9017322706058626E-13</v>
      </c>
      <c r="EL191" s="14">
        <f t="shared" si="179"/>
        <v>5.0025007393608908E-12</v>
      </c>
      <c r="EM191" s="22">
        <f t="shared" si="180"/>
        <v>9.3922404915174053E-12</v>
      </c>
      <c r="EN191" s="59">
        <f t="shared" si="128"/>
        <v>293.33333333334269</v>
      </c>
      <c r="EO191" s="59">
        <f ca="1">AVERAGE(OFFSET($EN$3,0,0,'Données projet'!$E$15+1,1))-AVERAGE(OFFSET($H$3,0,0,'Données projet'!$E$15+1,1))</f>
        <v>462.99360395552145</v>
      </c>
      <c r="EP191" s="59">
        <f t="shared" si="154"/>
        <v>153.03880717786046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projet'!$B$15,Paramètres!$A$1:$I$88,3,0)*0.475*44/12</f>
        <v>45.764997857852933</v>
      </c>
      <c r="EW191" s="23">
        <f>EXP(-LN(2)/25)*EW190+(1-EXP(-LN(2)/25))/(LN(2)/25)*Calculateur!ER191*Calculateur!ET191*VLOOKUP('Données projet'!$B$15,Paramètres!$A$1:$I$88,3,0)*0.475*44/12</f>
        <v>0</v>
      </c>
      <c r="EX191" s="23">
        <f>EXP(-LN(2)/2)*EX190+(1-EXP(-LN(2)/2))/(LN(2)/2)*ER191*EU191*VLOOKUP('Données projet'!$B$15,Paramètres!$A$1:$I$88,3,0)*0.475*44/12</f>
        <v>0</v>
      </c>
      <c r="EY191" s="24">
        <f t="shared" si="181"/>
        <v>45.764997857852933</v>
      </c>
      <c r="EZ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2.2737367544323206E-13</v>
      </c>
      <c r="FF191" s="18">
        <f>FE191*VLOOKUP('Données projet'!$B$16,Paramètres!$A$1:$I$88,3,0)*VLOOKUP('Données projet'!$B$16,Paramètres!$A$1:$I$88,5,0)</f>
        <v>1.9863364286720756E-13</v>
      </c>
      <c r="FG191" s="14">
        <f t="shared" si="182"/>
        <v>2.7549360720371426E-12</v>
      </c>
      <c r="FH191" s="22">
        <f t="shared" si="183"/>
        <v>5.144133920125077E-12</v>
      </c>
      <c r="FI191" s="59">
        <f t="shared" si="131"/>
        <v>293.33333333333843</v>
      </c>
      <c r="FJ191" s="59">
        <f ca="1">AVERAGE(OFFSET($FI$3,0,0,'Données projet'!$E$16+1,1))-AVERAGE(OFFSET($H$3,0,0,'Données projet'!$E$16+1,1))</f>
        <v>427.76895185088944</v>
      </c>
      <c r="FK191" s="59">
        <f t="shared" si="156"/>
        <v>308.32543361559135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projet'!$B$16,Paramètres!$A$1:$I$88,3,0)*0.475*44/12</f>
        <v>37.165859865010731</v>
      </c>
      <c r="FR191" s="23">
        <f>EXP(-LN(2)/25)*FR190+(1-EXP(-LN(2)/25))/(LN(2)/25)*Calculateur!FM191*Calculateur!FO191*VLOOKUP('Données projet'!$B$16,Paramètres!$A$1:$I$88,3,0)*0.475*44/12</f>
        <v>0</v>
      </c>
      <c r="FS191" s="23">
        <f>EXP(-LN(2)/2)*FS190+(1-EXP(-LN(2)/2))/(LN(2)/2)*FM191*FP191*VLOOKUP('Données projet'!$B$16,Paramètres!$A$1:$I$88,3,0)*0.475*44/12</f>
        <v>0</v>
      </c>
      <c r="FT191" s="24">
        <f t="shared" si="184"/>
        <v>37.165859865010731</v>
      </c>
      <c r="FU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333.00000000000006</v>
      </c>
      <c r="GA191" s="18">
        <f>FZ191*VLOOKUP('Données projet'!$B$17,Paramètres!$A$1:$I$88,3,0)*VLOOKUP('Données projet'!$B$17,Paramètres!$A$1:$I$88,5,0)</f>
        <v>207.79200000000006</v>
      </c>
      <c r="GB191" s="14">
        <f t="shared" si="185"/>
        <v>51.452785725007907</v>
      </c>
      <c r="GC191" s="22">
        <f t="shared" si="186"/>
        <v>451.5180018043888</v>
      </c>
      <c r="GD191" s="59">
        <f t="shared" si="134"/>
        <v>744.85133513772212</v>
      </c>
      <c r="GE191" s="59">
        <f ca="1">AVERAGE(OFFSET($GD$3,0,0,'Données projet'!$E$17+1,1))-AVERAGE(OFFSET($H$3,0,0,'Données projet'!$E$17+1,1))</f>
        <v>247.85542034088905</v>
      </c>
      <c r="GF191" s="59">
        <f t="shared" si="158"/>
        <v>299.52241743660352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projet'!$B$17,Paramètres!$A$1:$I$88,3,0)*0.475*44/12</f>
        <v>2.9450761739901887</v>
      </c>
      <c r="GM191" s="23">
        <f>EXP(-LN(2)/25)*GM190+(1-EXP(-LN(2)/25))/(LN(2)/25)*Calculateur!GH191*Calculateur!GJ191*VLOOKUP('Données projet'!$B$17,Paramètres!$A$1:$I$88,3,0)*0.475*44/12</f>
        <v>1.0934795154907098</v>
      </c>
      <c r="GN191" s="23">
        <f>EXP(-LN(2)/2)*GN190+(1-EXP(-LN(2)/2))/(LN(2)/2)*GH191*GK191*VLOOKUP('Données projet'!$B$17,Paramètres!$A$1:$I$88,3,0)*0.475*44/12</f>
        <v>2.3203068273406512E-18</v>
      </c>
      <c r="GO191" s="23">
        <f t="shared" si="187"/>
        <v>4.0385556894808987</v>
      </c>
      <c r="GP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3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6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projet'!$B$9,Paramètres!$A$1:$I$88,3,0)*VLOOKUP('Données projet'!$B$9,Paramètres!$A$1:$I$88,5,0)</f>
        <v>-2.0572770154103635E-13</v>
      </c>
      <c r="P192" s="14" t="e">
        <f t="shared" si="141"/>
        <v>#NUM!</v>
      </c>
      <c r="Q192" s="22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247.57967230773539</v>
      </c>
      <c r="T192" s="59">
        <f t="shared" si="142"/>
        <v>156.58857589533295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71.501068281539261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71.501068281539261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-3.4106051316484809E-13</v>
      </c>
      <c r="AJ192" s="14">
        <f>AI192*VLOOKUP('Données projet'!$B$10,Paramètres!$A$1:$I$88,3,0)*VLOOKUP('Données projet'!$B$10,Paramètres!$A$1:$I$88,5,0)</f>
        <v>-2.7134774427395314E-13</v>
      </c>
      <c r="AK192" s="14" t="e">
        <f t="shared" si="164"/>
        <v>#NUM!</v>
      </c>
      <c r="AL192" s="22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504.15006129790828</v>
      </c>
      <c r="AO192" s="59">
        <f t="shared" si="144"/>
        <v>374.39334457402742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41.440766351758008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41.440766351758008</v>
      </c>
      <c r="AY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-3.4106051316484809E-13</v>
      </c>
      <c r="BE192" s="14">
        <f>BD192*VLOOKUP('Données projet'!$B$11,Paramètres!$A$1:$I$88,3,0)*VLOOKUP('Données projet'!$B$11,Paramètres!$A$1:$I$88,5,0)</f>
        <v>-2.7134774427395314E-13</v>
      </c>
      <c r="BF192" s="14" t="e">
        <f t="shared" si="167"/>
        <v>#NUM!</v>
      </c>
      <c r="BG192" s="22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504.15006129790828</v>
      </c>
      <c r="BJ192" s="59">
        <f t="shared" si="146"/>
        <v>374.39334457402742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41.440766351758008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41.440766351758008</v>
      </c>
      <c r="BT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-3.4106051316484809E-13</v>
      </c>
      <c r="BZ192" s="14">
        <f>BY192*VLOOKUP('Données projet'!$B$12,Paramètres!$A$1:$I$88,3,0)*VLOOKUP('Données projet'!$B$12,Paramètres!$A$1:$I$88,5,0)</f>
        <v>-2.2878339223098009E-13</v>
      </c>
      <c r="CA192" s="14" t="e">
        <f t="shared" si="170"/>
        <v>#NUM!</v>
      </c>
      <c r="CB192" s="22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387.15063677712425</v>
      </c>
      <c r="CE192" s="59">
        <f t="shared" si="148"/>
        <v>313.19155394370705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27.322959031130466</v>
      </c>
      <c r="CL192" s="23">
        <f>EXP(-LN(2)/25)*CL191+(1-EXP(-LN(2)/25))/(LN(2)/25)*Calculateur!CG192*Calculateur!CI192*VLOOKUP('Données projet'!$B$12,Paramètres!$A$1:$I$88,3,0)*0.475*44/12</f>
        <v>0</v>
      </c>
      <c r="CM192" s="23">
        <f>EXP(-LN(2)/2)*CM191+(1-EXP(-LN(2)/2))/(LN(2)/2)*CG192*CJ192*VLOOKUP('Données projet'!$B$12,Paramètres!$A$1:$I$88,3,0)*0.475*44/12</f>
        <v>0</v>
      </c>
      <c r="CN192" s="24">
        <f t="shared" si="172"/>
        <v>27.322959031130466</v>
      </c>
      <c r="CO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-2.2737367544323206E-13</v>
      </c>
      <c r="CU192" s="18">
        <f>CT192*VLOOKUP('Données projet'!$B$13,Paramètres!$A$1:$I$88,3,0)*VLOOKUP('Données projet'!$B$13,Paramètres!$A$1:$I$88,5,0)</f>
        <v>-2.1991581888869406E-13</v>
      </c>
      <c r="CV192" s="14" t="e">
        <f t="shared" si="173"/>
        <v>#NUM!</v>
      </c>
      <c r="CW192" s="22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306.00894145276209</v>
      </c>
      <c r="CZ192" s="59">
        <f t="shared" si="150"/>
        <v>168.74705421228828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156.06511138232807</v>
      </c>
      <c r="DG192" s="23">
        <f>EXP(-LN(2)/25)*DG191+(1-EXP(-LN(2)/25))/(LN(2)/25)*Calculateur!DB192*Calculateur!DD192*VLOOKUP('Données projet'!$B$13,Paramètres!$A$1:$I$88,3,0)*0.475*44/12</f>
        <v>0</v>
      </c>
      <c r="DH192" s="23">
        <f>EXP(-LN(2)/2)*DH191+(1-EXP(-LN(2)/2))/(LN(2)/2)*DB192*DE192*VLOOKUP('Données projet'!$B$13,Paramètres!$A$1:$I$88,3,0)*0.475*44/12</f>
        <v>0</v>
      </c>
      <c r="DI192" s="24">
        <f t="shared" si="175"/>
        <v>156.06511138232807</v>
      </c>
      <c r="DJ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-3.4106051316484809E-13</v>
      </c>
      <c r="DP192" s="18">
        <f>DO192*VLOOKUP('Données projet'!$B$14,Paramètres!$A$1:$I$88,3,0)*VLOOKUP('Données projet'!$B$14,Paramètres!$A$1:$I$88,5,0)</f>
        <v>-2.6602720026858149E-13</v>
      </c>
      <c r="DQ192" s="14" t="e">
        <f t="shared" si="176"/>
        <v>#NUM!</v>
      </c>
      <c r="DR192" s="22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458.14328535055694</v>
      </c>
      <c r="DU192" s="59">
        <f t="shared" si="152"/>
        <v>366.75500153675739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projet'!$B$14,Paramètres!$A$1:$I$88,3,0)*0.475*44/12</f>
        <v>25.776376444462723</v>
      </c>
      <c r="EB192" s="23">
        <f>EXP(-LN(2)/25)*EB191+(1-EXP(-LN(2)/25))/(LN(2)/25)*Calculateur!DW192*Calculateur!DY192*VLOOKUP('Données projet'!$B$14,Paramètres!$A$1:$I$88,3,0)*0.475*44/12</f>
        <v>0</v>
      </c>
      <c r="EC192" s="23">
        <f>EXP(-LN(2)/2)*EC191+(1-EXP(-LN(2)/2))/(LN(2)/2)*DW192*DZ192*VLOOKUP('Données projet'!$B$14,Paramètres!$A$1:$I$88,3,0)*0.475*44/12</f>
        <v>0</v>
      </c>
      <c r="ED192" s="24">
        <f t="shared" si="178"/>
        <v>25.776376444462723</v>
      </c>
      <c r="EE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4.5474735088646412E-13</v>
      </c>
      <c r="EK192" s="18">
        <f>EJ192*VLOOKUP('Données projet'!$B$15,Paramètres!$A$1:$I$88,3,0)*VLOOKUP('Données projet'!$B$15,Paramètres!$A$1:$I$88,5,0)</f>
        <v>3.9017322706058626E-13</v>
      </c>
      <c r="EL192" s="14">
        <f t="shared" si="179"/>
        <v>5.0025007393608908E-12</v>
      </c>
      <c r="EM192" s="22">
        <f t="shared" si="180"/>
        <v>9.3922404915174053E-12</v>
      </c>
      <c r="EN192" s="59">
        <f t="shared" si="128"/>
        <v>293.33333333334269</v>
      </c>
      <c r="EO192" s="59">
        <f ca="1">AVERAGE(OFFSET($EN$3,0,0,'Données projet'!$E$15+1,1))-AVERAGE(OFFSET($H$3,0,0,'Données projet'!$E$15+1,1))</f>
        <v>462.99360395552145</v>
      </c>
      <c r="EP192" s="59">
        <f t="shared" si="154"/>
        <v>153.03880717786046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projet'!$B$15,Paramètres!$A$1:$I$88,3,0)*0.475*44/12</f>
        <v>44.867574163752863</v>
      </c>
      <c r="EW192" s="23">
        <f>EXP(-LN(2)/25)*EW191+(1-EXP(-LN(2)/25))/(LN(2)/25)*Calculateur!ER192*Calculateur!ET192*VLOOKUP('Données projet'!$B$15,Paramètres!$A$1:$I$88,3,0)*0.475*44/12</f>
        <v>0</v>
      </c>
      <c r="EX192" s="23">
        <f>EXP(-LN(2)/2)*EX191+(1-EXP(-LN(2)/2))/(LN(2)/2)*ER192*EU192*VLOOKUP('Données projet'!$B$15,Paramètres!$A$1:$I$88,3,0)*0.475*44/12</f>
        <v>0</v>
      </c>
      <c r="EY192" s="24">
        <f t="shared" si="181"/>
        <v>44.867574163752863</v>
      </c>
      <c r="EZ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2.2737367544323206E-13</v>
      </c>
      <c r="FF192" s="18">
        <f>FE192*VLOOKUP('Données projet'!$B$16,Paramètres!$A$1:$I$88,3,0)*VLOOKUP('Données projet'!$B$16,Paramètres!$A$1:$I$88,5,0)</f>
        <v>1.9863364286720756E-13</v>
      </c>
      <c r="FG192" s="14">
        <f t="shared" si="182"/>
        <v>2.7549360720371426E-12</v>
      </c>
      <c r="FH192" s="22">
        <f t="shared" si="183"/>
        <v>5.144133920125077E-12</v>
      </c>
      <c r="FI192" s="59">
        <f t="shared" si="131"/>
        <v>293.33333333333843</v>
      </c>
      <c r="FJ192" s="59">
        <f ca="1">AVERAGE(OFFSET($FI$3,0,0,'Données projet'!$E$16+1,1))-AVERAGE(OFFSET($H$3,0,0,'Données projet'!$E$16+1,1))</f>
        <v>427.76895185088944</v>
      </c>
      <c r="FK192" s="59">
        <f t="shared" si="156"/>
        <v>308.32543361559135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projet'!$B$16,Paramètres!$A$1:$I$88,3,0)*0.475*44/12</f>
        <v>36.437060021994014</v>
      </c>
      <c r="FR192" s="23">
        <f>EXP(-LN(2)/25)*FR191+(1-EXP(-LN(2)/25))/(LN(2)/25)*Calculateur!FM192*Calculateur!FO192*VLOOKUP('Données projet'!$B$16,Paramètres!$A$1:$I$88,3,0)*0.475*44/12</f>
        <v>0</v>
      </c>
      <c r="FS192" s="23">
        <f>EXP(-LN(2)/2)*FS191+(1-EXP(-LN(2)/2))/(LN(2)/2)*FM192*FP192*VLOOKUP('Données projet'!$B$16,Paramètres!$A$1:$I$88,3,0)*0.475*44/12</f>
        <v>0</v>
      </c>
      <c r="FT192" s="24">
        <f t="shared" si="184"/>
        <v>36.437060021994014</v>
      </c>
      <c r="FU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333.00000000000006</v>
      </c>
      <c r="GA192" s="18">
        <f>FZ192*VLOOKUP('Données projet'!$B$17,Paramètres!$A$1:$I$88,3,0)*VLOOKUP('Données projet'!$B$17,Paramètres!$A$1:$I$88,5,0)</f>
        <v>207.79200000000006</v>
      </c>
      <c r="GB192" s="14">
        <f t="shared" si="185"/>
        <v>51.452785725007907</v>
      </c>
      <c r="GC192" s="22">
        <f t="shared" si="186"/>
        <v>451.5180018043888</v>
      </c>
      <c r="GD192" s="59">
        <f t="shared" si="134"/>
        <v>744.85133513772212</v>
      </c>
      <c r="GE192" s="59">
        <f ca="1">AVERAGE(OFFSET($GD$3,0,0,'Données projet'!$E$17+1,1))-AVERAGE(OFFSET($H$3,0,0,'Données projet'!$E$17+1,1))</f>
        <v>247.85542034088905</v>
      </c>
      <c r="GF192" s="59">
        <f t="shared" si="158"/>
        <v>299.52241743660352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projet'!$B$17,Paramètres!$A$1:$I$88,3,0)*0.475*44/12</f>
        <v>2.8873250265373356</v>
      </c>
      <c r="GM192" s="23">
        <f>EXP(-LN(2)/25)*GM191+(1-EXP(-LN(2)/25))/(LN(2)/25)*Calculateur!GH192*Calculateur!GJ192*VLOOKUP('Données projet'!$B$17,Paramètres!$A$1:$I$88,3,0)*0.475*44/12</f>
        <v>1.0635782606360278</v>
      </c>
      <c r="GN192" s="23">
        <f>EXP(-LN(2)/2)*GN191+(1-EXP(-LN(2)/2))/(LN(2)/2)*GH192*GK192*VLOOKUP('Données projet'!$B$17,Paramètres!$A$1:$I$88,3,0)*0.475*44/12</f>
        <v>1.6407046920460182E-18</v>
      </c>
      <c r="GO192" s="23">
        <f t="shared" si="187"/>
        <v>3.9509032871733636</v>
      </c>
      <c r="GP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3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6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projet'!$B$9,Paramètres!$A$1:$I$88,3,0)*VLOOKUP('Données projet'!$B$9,Paramètres!$A$1:$I$88,5,0)</f>
        <v>-2.0572770154103635E-13</v>
      </c>
      <c r="P193" s="14" t="e">
        <f t="shared" si="141"/>
        <v>#NUM!</v>
      </c>
      <c r="Q193" s="22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247.57967230773539</v>
      </c>
      <c r="T193" s="59">
        <f t="shared" si="142"/>
        <v>156.58857589533295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70.098975943883659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70.098975943883659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-3.4106051316484809E-13</v>
      </c>
      <c r="AJ193" s="14">
        <f>AI193*VLOOKUP('Données projet'!$B$10,Paramètres!$A$1:$I$88,3,0)*VLOOKUP('Données projet'!$B$10,Paramètres!$A$1:$I$88,5,0)</f>
        <v>-2.7134774427395314E-13</v>
      </c>
      <c r="AK193" s="14" t="e">
        <f t="shared" si="164"/>
        <v>#NUM!</v>
      </c>
      <c r="AL193" s="22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504.15006129790828</v>
      </c>
      <c r="AO193" s="59">
        <f t="shared" si="144"/>
        <v>374.39334457402742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40.628138199971673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40.628138199971673</v>
      </c>
      <c r="AY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-3.4106051316484809E-13</v>
      </c>
      <c r="BE193" s="14">
        <f>BD193*VLOOKUP('Données projet'!$B$11,Paramètres!$A$1:$I$88,3,0)*VLOOKUP('Données projet'!$B$11,Paramètres!$A$1:$I$88,5,0)</f>
        <v>-2.7134774427395314E-13</v>
      </c>
      <c r="BF193" s="14" t="e">
        <f t="shared" si="167"/>
        <v>#NUM!</v>
      </c>
      <c r="BG193" s="22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504.15006129790828</v>
      </c>
      <c r="BJ193" s="59">
        <f t="shared" si="146"/>
        <v>374.39334457402742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40.628138199971673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40.628138199971673</v>
      </c>
      <c r="BT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-3.4106051316484809E-13</v>
      </c>
      <c r="BZ193" s="14">
        <f>BY193*VLOOKUP('Données projet'!$B$12,Paramètres!$A$1:$I$88,3,0)*VLOOKUP('Données projet'!$B$12,Paramètres!$A$1:$I$88,5,0)</f>
        <v>-2.2878339223098009E-13</v>
      </c>
      <c r="CA193" s="14" t="e">
        <f t="shared" si="170"/>
        <v>#NUM!</v>
      </c>
      <c r="CB193" s="22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387.15063677712425</v>
      </c>
      <c r="CE193" s="59">
        <f t="shared" si="148"/>
        <v>313.19155394370705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26.787172469889438</v>
      </c>
      <c r="CL193" s="23">
        <f>EXP(-LN(2)/25)*CL192+(1-EXP(-LN(2)/25))/(LN(2)/25)*Calculateur!CG193*Calculateur!CI193*VLOOKUP('Données projet'!$B$12,Paramètres!$A$1:$I$88,3,0)*0.475*44/12</f>
        <v>0</v>
      </c>
      <c r="CM193" s="23">
        <f>EXP(-LN(2)/2)*CM192+(1-EXP(-LN(2)/2))/(LN(2)/2)*CG193*CJ193*VLOOKUP('Données projet'!$B$12,Paramètres!$A$1:$I$88,3,0)*0.475*44/12</f>
        <v>0</v>
      </c>
      <c r="CN193" s="24">
        <f t="shared" si="172"/>
        <v>26.787172469889438</v>
      </c>
      <c r="CO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-2.2737367544323206E-13</v>
      </c>
      <c r="CU193" s="18">
        <f>CT193*VLOOKUP('Données projet'!$B$13,Paramètres!$A$1:$I$88,3,0)*VLOOKUP('Données projet'!$B$13,Paramètres!$A$1:$I$88,5,0)</f>
        <v>-2.1991581888869406E-13</v>
      </c>
      <c r="CV193" s="14" t="e">
        <f t="shared" si="173"/>
        <v>#NUM!</v>
      </c>
      <c r="CW193" s="22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306.00894145276209</v>
      </c>
      <c r="CZ193" s="59">
        <f t="shared" si="150"/>
        <v>168.74705421228828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153.00476973843931</v>
      </c>
      <c r="DG193" s="23">
        <f>EXP(-LN(2)/25)*DG192+(1-EXP(-LN(2)/25))/(LN(2)/25)*Calculateur!DB193*Calculateur!DD193*VLOOKUP('Données projet'!$B$13,Paramètres!$A$1:$I$88,3,0)*0.475*44/12</f>
        <v>0</v>
      </c>
      <c r="DH193" s="23">
        <f>EXP(-LN(2)/2)*DH192+(1-EXP(-LN(2)/2))/(LN(2)/2)*DB193*DE193*VLOOKUP('Données projet'!$B$13,Paramètres!$A$1:$I$88,3,0)*0.475*44/12</f>
        <v>0</v>
      </c>
      <c r="DI193" s="24">
        <f t="shared" si="175"/>
        <v>153.00476973843931</v>
      </c>
      <c r="DJ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-3.4106051316484809E-13</v>
      </c>
      <c r="DP193" s="18">
        <f>DO193*VLOOKUP('Données projet'!$B$14,Paramètres!$A$1:$I$88,3,0)*VLOOKUP('Données projet'!$B$14,Paramètres!$A$1:$I$88,5,0)</f>
        <v>-2.6602720026858149E-13</v>
      </c>
      <c r="DQ193" s="14" t="e">
        <f t="shared" si="176"/>
        <v>#NUM!</v>
      </c>
      <c r="DR193" s="22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458.14328535055694</v>
      </c>
      <c r="DU193" s="59">
        <f t="shared" si="152"/>
        <v>366.75500153675739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projet'!$B$14,Paramètres!$A$1:$I$88,3,0)*0.475*44/12</f>
        <v>25.270917424424017</v>
      </c>
      <c r="EB193" s="23">
        <f>EXP(-LN(2)/25)*EB192+(1-EXP(-LN(2)/25))/(LN(2)/25)*Calculateur!DW193*Calculateur!DY193*VLOOKUP('Données projet'!$B$14,Paramètres!$A$1:$I$88,3,0)*0.475*44/12</f>
        <v>0</v>
      </c>
      <c r="EC193" s="23">
        <f>EXP(-LN(2)/2)*EC192+(1-EXP(-LN(2)/2))/(LN(2)/2)*DW193*DZ193*VLOOKUP('Données projet'!$B$14,Paramètres!$A$1:$I$88,3,0)*0.475*44/12</f>
        <v>0</v>
      </c>
      <c r="ED193" s="24">
        <f t="shared" si="178"/>
        <v>25.270917424424017</v>
      </c>
      <c r="EE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4.5474735088646412E-13</v>
      </c>
      <c r="EK193" s="18">
        <f>EJ193*VLOOKUP('Données projet'!$B$15,Paramètres!$A$1:$I$88,3,0)*VLOOKUP('Données projet'!$B$15,Paramètres!$A$1:$I$88,5,0)</f>
        <v>3.9017322706058626E-13</v>
      </c>
      <c r="EL193" s="14">
        <f t="shared" si="179"/>
        <v>5.0025007393608908E-12</v>
      </c>
      <c r="EM193" s="22">
        <f t="shared" si="180"/>
        <v>9.3922404915174053E-12</v>
      </c>
      <c r="EN193" s="59">
        <f t="shared" si="128"/>
        <v>293.33333333334269</v>
      </c>
      <c r="EO193" s="59">
        <f ca="1">AVERAGE(OFFSET($EN$3,0,0,'Données projet'!$E$15+1,1))-AVERAGE(OFFSET($H$3,0,0,'Données projet'!$E$15+1,1))</f>
        <v>462.99360395552145</v>
      </c>
      <c r="EP193" s="59">
        <f t="shared" si="154"/>
        <v>153.03880717786046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projet'!$B$15,Paramètres!$A$1:$I$88,3,0)*0.475*44/12</f>
        <v>43.987748400919692</v>
      </c>
      <c r="EW193" s="23">
        <f>EXP(-LN(2)/25)*EW192+(1-EXP(-LN(2)/25))/(LN(2)/25)*Calculateur!ER193*Calculateur!ET193*VLOOKUP('Données projet'!$B$15,Paramètres!$A$1:$I$88,3,0)*0.475*44/12</f>
        <v>0</v>
      </c>
      <c r="EX193" s="23">
        <f>EXP(-LN(2)/2)*EX192+(1-EXP(-LN(2)/2))/(LN(2)/2)*ER193*EU193*VLOOKUP('Données projet'!$B$15,Paramètres!$A$1:$I$88,3,0)*0.475*44/12</f>
        <v>0</v>
      </c>
      <c r="EY193" s="24">
        <f t="shared" si="181"/>
        <v>43.987748400919692</v>
      </c>
      <c r="EZ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2.2737367544323206E-13</v>
      </c>
      <c r="FF193" s="18">
        <f>FE193*VLOOKUP('Données projet'!$B$16,Paramètres!$A$1:$I$88,3,0)*VLOOKUP('Données projet'!$B$16,Paramètres!$A$1:$I$88,5,0)</f>
        <v>1.9863364286720756E-13</v>
      </c>
      <c r="FG193" s="14">
        <f t="shared" si="182"/>
        <v>2.7549360720371426E-12</v>
      </c>
      <c r="FH193" s="22">
        <f t="shared" si="183"/>
        <v>5.144133920125077E-12</v>
      </c>
      <c r="FI193" s="59">
        <f t="shared" si="131"/>
        <v>293.33333333333843</v>
      </c>
      <c r="FJ193" s="59">
        <f ca="1">AVERAGE(OFFSET($FI$3,0,0,'Données projet'!$E$16+1,1))-AVERAGE(OFFSET($H$3,0,0,'Données projet'!$E$16+1,1))</f>
        <v>427.76895185088944</v>
      </c>
      <c r="FK193" s="59">
        <f t="shared" si="156"/>
        <v>308.32543361559135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projet'!$B$16,Paramètres!$A$1:$I$88,3,0)*0.475*44/12</f>
        <v>35.722551499374845</v>
      </c>
      <c r="FR193" s="23">
        <f>EXP(-LN(2)/25)*FR192+(1-EXP(-LN(2)/25))/(LN(2)/25)*Calculateur!FM193*Calculateur!FO193*VLOOKUP('Données projet'!$B$16,Paramètres!$A$1:$I$88,3,0)*0.475*44/12</f>
        <v>0</v>
      </c>
      <c r="FS193" s="23">
        <f>EXP(-LN(2)/2)*FS192+(1-EXP(-LN(2)/2))/(LN(2)/2)*FM193*FP193*VLOOKUP('Données projet'!$B$16,Paramètres!$A$1:$I$88,3,0)*0.475*44/12</f>
        <v>0</v>
      </c>
      <c r="FT193" s="24">
        <f t="shared" si="184"/>
        <v>35.722551499374845</v>
      </c>
      <c r="FU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333.00000000000006</v>
      </c>
      <c r="GA193" s="18">
        <f>FZ193*VLOOKUP('Données projet'!$B$17,Paramètres!$A$1:$I$88,3,0)*VLOOKUP('Données projet'!$B$17,Paramètres!$A$1:$I$88,5,0)</f>
        <v>207.79200000000006</v>
      </c>
      <c r="GB193" s="14">
        <f t="shared" si="185"/>
        <v>51.452785725007907</v>
      </c>
      <c r="GC193" s="22">
        <f t="shared" si="186"/>
        <v>451.5180018043888</v>
      </c>
      <c r="GD193" s="59">
        <f t="shared" si="134"/>
        <v>744.85133513772212</v>
      </c>
      <c r="GE193" s="59">
        <f ca="1">AVERAGE(OFFSET($GD$3,0,0,'Données projet'!$E$17+1,1))-AVERAGE(OFFSET($H$3,0,0,'Données projet'!$E$17+1,1))</f>
        <v>247.85542034088905</v>
      </c>
      <c r="GF193" s="59">
        <f t="shared" si="158"/>
        <v>299.52241743660352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projet'!$B$17,Paramètres!$A$1:$I$88,3,0)*0.475*44/12</f>
        <v>2.8307063438613111</v>
      </c>
      <c r="GM193" s="23">
        <f>EXP(-LN(2)/25)*GM192+(1-EXP(-LN(2)/25))/(LN(2)/25)*Calculateur!GH193*Calculateur!GJ193*VLOOKUP('Données projet'!$B$17,Paramètres!$A$1:$I$88,3,0)*0.475*44/12</f>
        <v>1.0344946571677858</v>
      </c>
      <c r="GN193" s="23">
        <f>EXP(-LN(2)/2)*GN192+(1-EXP(-LN(2)/2))/(LN(2)/2)*GH193*GK193*VLOOKUP('Données projet'!$B$17,Paramètres!$A$1:$I$88,3,0)*0.475*44/12</f>
        <v>1.1601534136703256E-18</v>
      </c>
      <c r="GO193" s="23">
        <f t="shared" si="187"/>
        <v>3.8652010010290967</v>
      </c>
      <c r="GP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3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6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projet'!$B$9,Paramètres!$A$1:$I$88,3,0)*VLOOKUP('Données projet'!$B$9,Paramètres!$A$1:$I$88,5,0)</f>
        <v>-2.0572770154103635E-13</v>
      </c>
      <c r="P194" s="14" t="e">
        <f t="shared" si="141"/>
        <v>#NUM!</v>
      </c>
      <c r="Q194" s="22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247.57967230773539</v>
      </c>
      <c r="T194" s="59">
        <f t="shared" si="142"/>
        <v>156.58857589533295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68.724377781777605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68.724377781777605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-3.4106051316484809E-13</v>
      </c>
      <c r="AJ194" s="14">
        <f>AI194*VLOOKUP('Données projet'!$B$10,Paramètres!$A$1:$I$88,3,0)*VLOOKUP('Données projet'!$B$10,Paramètres!$A$1:$I$88,5,0)</f>
        <v>-2.7134774427395314E-13</v>
      </c>
      <c r="AK194" s="14" t="e">
        <f t="shared" si="164"/>
        <v>#NUM!</v>
      </c>
      <c r="AL194" s="22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504.15006129790828</v>
      </c>
      <c r="AO194" s="59">
        <f t="shared" si="144"/>
        <v>374.39334457402742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39.831445190587637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39.831445190587637</v>
      </c>
      <c r="AY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-3.4106051316484809E-13</v>
      </c>
      <c r="BE194" s="14">
        <f>BD194*VLOOKUP('Données projet'!$B$11,Paramètres!$A$1:$I$88,3,0)*VLOOKUP('Données projet'!$B$11,Paramètres!$A$1:$I$88,5,0)</f>
        <v>-2.7134774427395314E-13</v>
      </c>
      <c r="BF194" s="14" t="e">
        <f t="shared" si="167"/>
        <v>#NUM!</v>
      </c>
      <c r="BG194" s="22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504.15006129790828</v>
      </c>
      <c r="BJ194" s="59">
        <f t="shared" si="146"/>
        <v>374.39334457402742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39.831445190587637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39.831445190587637</v>
      </c>
      <c r="BT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-3.4106051316484809E-13</v>
      </c>
      <c r="BZ194" s="14">
        <f>BY194*VLOOKUP('Données projet'!$B$12,Paramètres!$A$1:$I$88,3,0)*VLOOKUP('Données projet'!$B$12,Paramètres!$A$1:$I$88,5,0)</f>
        <v>-2.2878339223098009E-13</v>
      </c>
      <c r="CA194" s="14" t="e">
        <f t="shared" si="170"/>
        <v>#NUM!</v>
      </c>
      <c r="CB194" s="22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387.15063677712425</v>
      </c>
      <c r="CE194" s="59">
        <f t="shared" si="148"/>
        <v>313.19155394370705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26.261892356316814</v>
      </c>
      <c r="CL194" s="23">
        <f>EXP(-LN(2)/25)*CL193+(1-EXP(-LN(2)/25))/(LN(2)/25)*Calculateur!CG194*Calculateur!CI194*VLOOKUP('Données projet'!$B$12,Paramètres!$A$1:$I$88,3,0)*0.475*44/12</f>
        <v>0</v>
      </c>
      <c r="CM194" s="23">
        <f>EXP(-LN(2)/2)*CM193+(1-EXP(-LN(2)/2))/(LN(2)/2)*CG194*CJ194*VLOOKUP('Données projet'!$B$12,Paramètres!$A$1:$I$88,3,0)*0.475*44/12</f>
        <v>0</v>
      </c>
      <c r="CN194" s="24">
        <f t="shared" si="172"/>
        <v>26.261892356316814</v>
      </c>
      <c r="CO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-2.2737367544323206E-13</v>
      </c>
      <c r="CU194" s="18">
        <f>CT194*VLOOKUP('Données projet'!$B$13,Paramètres!$A$1:$I$88,3,0)*VLOOKUP('Données projet'!$B$13,Paramètres!$A$1:$I$88,5,0)</f>
        <v>-2.1991581888869406E-13</v>
      </c>
      <c r="CV194" s="14" t="e">
        <f t="shared" si="173"/>
        <v>#NUM!</v>
      </c>
      <c r="CW194" s="22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306.00894145276209</v>
      </c>
      <c r="CZ194" s="59">
        <f t="shared" si="150"/>
        <v>168.74705421228828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150.00443952756311</v>
      </c>
      <c r="DG194" s="23">
        <f>EXP(-LN(2)/25)*DG193+(1-EXP(-LN(2)/25))/(LN(2)/25)*Calculateur!DB194*Calculateur!DD194*VLOOKUP('Données projet'!$B$13,Paramètres!$A$1:$I$88,3,0)*0.475*44/12</f>
        <v>0</v>
      </c>
      <c r="DH194" s="23">
        <f>EXP(-LN(2)/2)*DH193+(1-EXP(-LN(2)/2))/(LN(2)/2)*DB194*DE194*VLOOKUP('Données projet'!$B$13,Paramètres!$A$1:$I$88,3,0)*0.475*44/12</f>
        <v>0</v>
      </c>
      <c r="DI194" s="24">
        <f t="shared" si="175"/>
        <v>150.00443952756311</v>
      </c>
      <c r="DJ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-3.4106051316484809E-13</v>
      </c>
      <c r="DP194" s="18">
        <f>DO194*VLOOKUP('Données projet'!$B$14,Paramètres!$A$1:$I$88,3,0)*VLOOKUP('Données projet'!$B$14,Paramètres!$A$1:$I$88,5,0)</f>
        <v>-2.6602720026858149E-13</v>
      </c>
      <c r="DQ194" s="14" t="e">
        <f t="shared" si="176"/>
        <v>#NUM!</v>
      </c>
      <c r="DR194" s="22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458.14328535055694</v>
      </c>
      <c r="DU194" s="59">
        <f t="shared" si="152"/>
        <v>366.75500153675739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projet'!$B$14,Paramètres!$A$1:$I$88,3,0)*0.475*44/12</f>
        <v>24.77537014746871</v>
      </c>
      <c r="EB194" s="23">
        <f>EXP(-LN(2)/25)*EB193+(1-EXP(-LN(2)/25))/(LN(2)/25)*Calculateur!DW194*Calculateur!DY194*VLOOKUP('Données projet'!$B$14,Paramètres!$A$1:$I$88,3,0)*0.475*44/12</f>
        <v>0</v>
      </c>
      <c r="EC194" s="23">
        <f>EXP(-LN(2)/2)*EC193+(1-EXP(-LN(2)/2))/(LN(2)/2)*DW194*DZ194*VLOOKUP('Données projet'!$B$14,Paramètres!$A$1:$I$88,3,0)*0.475*44/12</f>
        <v>0</v>
      </c>
      <c r="ED194" s="24">
        <f t="shared" si="178"/>
        <v>24.77537014746871</v>
      </c>
      <c r="EE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4.5474735088646412E-13</v>
      </c>
      <c r="EK194" s="18">
        <f>EJ194*VLOOKUP('Données projet'!$B$15,Paramètres!$A$1:$I$88,3,0)*VLOOKUP('Données projet'!$B$15,Paramètres!$A$1:$I$88,5,0)</f>
        <v>3.9017322706058626E-13</v>
      </c>
      <c r="EL194" s="14">
        <f t="shared" si="179"/>
        <v>5.0025007393608908E-12</v>
      </c>
      <c r="EM194" s="22">
        <f t="shared" si="180"/>
        <v>9.3922404915174053E-12</v>
      </c>
      <c r="EN194" s="59">
        <f t="shared" si="128"/>
        <v>293.33333333334269</v>
      </c>
      <c r="EO194" s="59">
        <f ca="1">AVERAGE(OFFSET($EN$3,0,0,'Données projet'!$E$15+1,1))-AVERAGE(OFFSET($H$3,0,0,'Données projet'!$E$15+1,1))</f>
        <v>462.99360395552145</v>
      </c>
      <c r="EP194" s="59">
        <f t="shared" si="154"/>
        <v>153.03880717786046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projet'!$B$15,Paramètres!$A$1:$I$88,3,0)*0.475*44/12</f>
        <v>43.125175484654953</v>
      </c>
      <c r="EW194" s="23">
        <f>EXP(-LN(2)/25)*EW193+(1-EXP(-LN(2)/25))/(LN(2)/25)*Calculateur!ER194*Calculateur!ET194*VLOOKUP('Données projet'!$B$15,Paramètres!$A$1:$I$88,3,0)*0.475*44/12</f>
        <v>0</v>
      </c>
      <c r="EX194" s="23">
        <f>EXP(-LN(2)/2)*EX193+(1-EXP(-LN(2)/2))/(LN(2)/2)*ER194*EU194*VLOOKUP('Données projet'!$B$15,Paramètres!$A$1:$I$88,3,0)*0.475*44/12</f>
        <v>0</v>
      </c>
      <c r="EY194" s="24">
        <f t="shared" si="181"/>
        <v>43.125175484654953</v>
      </c>
      <c r="EZ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2.2737367544323206E-13</v>
      </c>
      <c r="FF194" s="18">
        <f>FE194*VLOOKUP('Données projet'!$B$16,Paramètres!$A$1:$I$88,3,0)*VLOOKUP('Données projet'!$B$16,Paramètres!$A$1:$I$88,5,0)</f>
        <v>1.9863364286720756E-13</v>
      </c>
      <c r="FG194" s="14">
        <f t="shared" si="182"/>
        <v>2.7549360720371426E-12</v>
      </c>
      <c r="FH194" s="22">
        <f t="shared" si="183"/>
        <v>5.144133920125077E-12</v>
      </c>
      <c r="FI194" s="59">
        <f t="shared" si="131"/>
        <v>293.33333333333843</v>
      </c>
      <c r="FJ194" s="59">
        <f ca="1">AVERAGE(OFFSET($FI$3,0,0,'Données projet'!$E$16+1,1))-AVERAGE(OFFSET($H$3,0,0,'Données projet'!$E$16+1,1))</f>
        <v>427.76895185088944</v>
      </c>
      <c r="FK194" s="59">
        <f t="shared" si="156"/>
        <v>308.32543361559135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projet'!$B$16,Paramètres!$A$1:$I$88,3,0)*0.475*44/12</f>
        <v>35.022054053077071</v>
      </c>
      <c r="FR194" s="23">
        <f>EXP(-LN(2)/25)*FR193+(1-EXP(-LN(2)/25))/(LN(2)/25)*Calculateur!FM194*Calculateur!FO194*VLOOKUP('Données projet'!$B$16,Paramètres!$A$1:$I$88,3,0)*0.475*44/12</f>
        <v>0</v>
      </c>
      <c r="FS194" s="23">
        <f>EXP(-LN(2)/2)*FS193+(1-EXP(-LN(2)/2))/(LN(2)/2)*FM194*FP194*VLOOKUP('Données projet'!$B$16,Paramètres!$A$1:$I$88,3,0)*0.475*44/12</f>
        <v>0</v>
      </c>
      <c r="FT194" s="24">
        <f t="shared" si="184"/>
        <v>35.022054053077071</v>
      </c>
      <c r="FU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333.00000000000006</v>
      </c>
      <c r="GA194" s="18">
        <f>FZ194*VLOOKUP('Données projet'!$B$17,Paramètres!$A$1:$I$88,3,0)*VLOOKUP('Données projet'!$B$17,Paramètres!$A$1:$I$88,5,0)</f>
        <v>207.79200000000006</v>
      </c>
      <c r="GB194" s="14">
        <f t="shared" si="185"/>
        <v>51.452785725007907</v>
      </c>
      <c r="GC194" s="22">
        <f t="shared" si="186"/>
        <v>451.5180018043888</v>
      </c>
      <c r="GD194" s="59">
        <f t="shared" si="134"/>
        <v>744.85133513772212</v>
      </c>
      <c r="GE194" s="59">
        <f ca="1">AVERAGE(OFFSET($GD$3,0,0,'Données projet'!$E$17+1,1))-AVERAGE(OFFSET($H$3,0,0,'Données projet'!$E$17+1,1))</f>
        <v>247.85542034088905</v>
      </c>
      <c r="GF194" s="59">
        <f t="shared" si="158"/>
        <v>299.52241743660352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projet'!$B$17,Paramètres!$A$1:$I$88,3,0)*0.475*44/12</f>
        <v>2.7751979190185767</v>
      </c>
      <c r="GM194" s="23">
        <f>EXP(-LN(2)/25)*GM193+(1-EXP(-LN(2)/25))/(LN(2)/25)*Calculateur!GH194*Calculateur!GJ194*VLOOKUP('Données projet'!$B$17,Paramètres!$A$1:$I$88,3,0)*0.475*44/12</f>
        <v>1.0062063463658231</v>
      </c>
      <c r="GN194" s="23">
        <f>EXP(-LN(2)/2)*GN193+(1-EXP(-LN(2)/2))/(LN(2)/2)*GH194*GK194*VLOOKUP('Données projet'!$B$17,Paramètres!$A$1:$I$88,3,0)*0.475*44/12</f>
        <v>8.2035234602300909E-19</v>
      </c>
      <c r="GO194" s="23">
        <f t="shared" si="187"/>
        <v>3.7814042653844</v>
      </c>
      <c r="GP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3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6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projet'!$B$9,Paramètres!$A$1:$I$88,3,0)*VLOOKUP('Données projet'!$B$9,Paramètres!$A$1:$I$88,5,0)</f>
        <v>-2.0572770154103635E-13</v>
      </c>
      <c r="P195" s="14" t="e">
        <f t="shared" si="141"/>
        <v>#NUM!</v>
      </c>
      <c r="Q195" s="22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247.57967230773539</v>
      </c>
      <c r="T195" s="59">
        <f t="shared" si="142"/>
        <v>156.58857589533295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67.376734651208366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67.376734651208366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-3.4106051316484809E-13</v>
      </c>
      <c r="AJ195" s="14">
        <f>AI195*VLOOKUP('Données projet'!$B$10,Paramètres!$A$1:$I$88,3,0)*VLOOKUP('Données projet'!$B$10,Paramètres!$A$1:$I$88,5,0)</f>
        <v>-2.7134774427395314E-13</v>
      </c>
      <c r="AK195" s="14" t="e">
        <f t="shared" si="164"/>
        <v>#NUM!</v>
      </c>
      <c r="AL195" s="22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504.15006129790828</v>
      </c>
      <c r="AO195" s="59">
        <f t="shared" si="144"/>
        <v>374.39334457402742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39.050374845182866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39.050374845182866</v>
      </c>
      <c r="AY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-3.4106051316484809E-13</v>
      </c>
      <c r="BE195" s="14">
        <f>BD195*VLOOKUP('Données projet'!$B$11,Paramètres!$A$1:$I$88,3,0)*VLOOKUP('Données projet'!$B$11,Paramètres!$A$1:$I$88,5,0)</f>
        <v>-2.7134774427395314E-13</v>
      </c>
      <c r="BF195" s="14" t="e">
        <f t="shared" si="167"/>
        <v>#NUM!</v>
      </c>
      <c r="BG195" s="22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504.15006129790828</v>
      </c>
      <c r="BJ195" s="59">
        <f t="shared" si="146"/>
        <v>374.39334457402742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39.050374845182866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39.050374845182866</v>
      </c>
      <c r="BT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-3.4106051316484809E-13</v>
      </c>
      <c r="BZ195" s="14">
        <f>BY195*VLOOKUP('Données projet'!$B$12,Paramètres!$A$1:$I$88,3,0)*VLOOKUP('Données projet'!$B$12,Paramètres!$A$1:$I$88,5,0)</f>
        <v>-2.2878339223098009E-13</v>
      </c>
      <c r="CA195" s="14" t="e">
        <f t="shared" si="170"/>
        <v>#NUM!</v>
      </c>
      <c r="CB195" s="22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387.15063677712425</v>
      </c>
      <c r="CE195" s="59">
        <f t="shared" si="148"/>
        <v>313.19155394370705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25.746912665382116</v>
      </c>
      <c r="CL195" s="23">
        <f>EXP(-LN(2)/25)*CL194+(1-EXP(-LN(2)/25))/(LN(2)/25)*Calculateur!CG195*Calculateur!CI195*VLOOKUP('Données projet'!$B$12,Paramètres!$A$1:$I$88,3,0)*0.475*44/12</f>
        <v>0</v>
      </c>
      <c r="CM195" s="23">
        <f>EXP(-LN(2)/2)*CM194+(1-EXP(-LN(2)/2))/(LN(2)/2)*CG195*CJ195*VLOOKUP('Données projet'!$B$12,Paramètres!$A$1:$I$88,3,0)*0.475*44/12</f>
        <v>0</v>
      </c>
      <c r="CN195" s="24">
        <f t="shared" si="172"/>
        <v>25.746912665382116</v>
      </c>
      <c r="CO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-2.2737367544323206E-13</v>
      </c>
      <c r="CU195" s="18">
        <f>CT195*VLOOKUP('Données projet'!$B$13,Paramètres!$A$1:$I$88,3,0)*VLOOKUP('Données projet'!$B$13,Paramètres!$A$1:$I$88,5,0)</f>
        <v>-2.1991581888869406E-13</v>
      </c>
      <c r="CV195" s="14" t="e">
        <f t="shared" si="173"/>
        <v>#NUM!</v>
      </c>
      <c r="CW195" s="22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306.00894145276209</v>
      </c>
      <c r="CZ195" s="59">
        <f t="shared" si="150"/>
        <v>168.74705421228828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147.06294396210146</v>
      </c>
      <c r="DG195" s="23">
        <f>EXP(-LN(2)/25)*DG194+(1-EXP(-LN(2)/25))/(LN(2)/25)*Calculateur!DB195*Calculateur!DD195*VLOOKUP('Données projet'!$B$13,Paramètres!$A$1:$I$88,3,0)*0.475*44/12</f>
        <v>0</v>
      </c>
      <c r="DH195" s="23">
        <f>EXP(-LN(2)/2)*DH194+(1-EXP(-LN(2)/2))/(LN(2)/2)*DB195*DE195*VLOOKUP('Données projet'!$B$13,Paramètres!$A$1:$I$88,3,0)*0.475*44/12</f>
        <v>0</v>
      </c>
      <c r="DI195" s="24">
        <f t="shared" si="175"/>
        <v>147.06294396210146</v>
      </c>
      <c r="DJ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-3.4106051316484809E-13</v>
      </c>
      <c r="DP195" s="18">
        <f>DO195*VLOOKUP('Données projet'!$B$14,Paramètres!$A$1:$I$88,3,0)*VLOOKUP('Données projet'!$B$14,Paramètres!$A$1:$I$88,5,0)</f>
        <v>-2.6602720026858149E-13</v>
      </c>
      <c r="DQ195" s="14" t="e">
        <f t="shared" si="176"/>
        <v>#NUM!</v>
      </c>
      <c r="DR195" s="22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458.14328535055694</v>
      </c>
      <c r="DU195" s="59">
        <f t="shared" si="152"/>
        <v>366.75500153675739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projet'!$B$14,Paramètres!$A$1:$I$88,3,0)*0.475*44/12</f>
        <v>24.289540250360503</v>
      </c>
      <c r="EB195" s="23">
        <f>EXP(-LN(2)/25)*EB194+(1-EXP(-LN(2)/25))/(LN(2)/25)*Calculateur!DW195*Calculateur!DY195*VLOOKUP('Données projet'!$B$14,Paramètres!$A$1:$I$88,3,0)*0.475*44/12</f>
        <v>0</v>
      </c>
      <c r="EC195" s="23">
        <f>EXP(-LN(2)/2)*EC194+(1-EXP(-LN(2)/2))/(LN(2)/2)*DW195*DZ195*VLOOKUP('Données projet'!$B$14,Paramètres!$A$1:$I$88,3,0)*0.475*44/12</f>
        <v>0</v>
      </c>
      <c r="ED195" s="24">
        <f t="shared" si="178"/>
        <v>24.289540250360503</v>
      </c>
      <c r="EE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4.5474735088646412E-13</v>
      </c>
      <c r="EK195" s="18">
        <f>EJ195*VLOOKUP('Données projet'!$B$15,Paramètres!$A$1:$I$88,3,0)*VLOOKUP('Données projet'!$B$15,Paramètres!$A$1:$I$88,5,0)</f>
        <v>3.9017322706058626E-13</v>
      </c>
      <c r="EL195" s="14">
        <f t="shared" si="179"/>
        <v>5.0025007393608908E-12</v>
      </c>
      <c r="EM195" s="22">
        <f t="shared" si="180"/>
        <v>9.3922404915174053E-12</v>
      </c>
      <c r="EN195" s="59">
        <f t="shared" si="128"/>
        <v>293.33333333334269</v>
      </c>
      <c r="EO195" s="59">
        <f ca="1">AVERAGE(OFFSET($EN$3,0,0,'Données projet'!$E$15+1,1))-AVERAGE(OFFSET($H$3,0,0,'Données projet'!$E$15+1,1))</f>
        <v>462.99360395552145</v>
      </c>
      <c r="EP195" s="59">
        <f t="shared" si="154"/>
        <v>153.03880717786046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projet'!$B$15,Paramètres!$A$1:$I$88,3,0)*0.475*44/12</f>
        <v>42.279517097160635</v>
      </c>
      <c r="EW195" s="23">
        <f>EXP(-LN(2)/25)*EW194+(1-EXP(-LN(2)/25))/(LN(2)/25)*Calculateur!ER195*Calculateur!ET195*VLOOKUP('Données projet'!$B$15,Paramètres!$A$1:$I$88,3,0)*0.475*44/12</f>
        <v>0</v>
      </c>
      <c r="EX195" s="23">
        <f>EXP(-LN(2)/2)*EX194+(1-EXP(-LN(2)/2))/(LN(2)/2)*ER195*EU195*VLOOKUP('Données projet'!$B$15,Paramètres!$A$1:$I$88,3,0)*0.475*44/12</f>
        <v>0</v>
      </c>
      <c r="EY195" s="24">
        <f t="shared" si="181"/>
        <v>42.279517097160635</v>
      </c>
      <c r="EZ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2.2737367544323206E-13</v>
      </c>
      <c r="FF195" s="18">
        <f>FE195*VLOOKUP('Données projet'!$B$16,Paramètres!$A$1:$I$88,3,0)*VLOOKUP('Données projet'!$B$16,Paramètres!$A$1:$I$88,5,0)</f>
        <v>1.9863364286720756E-13</v>
      </c>
      <c r="FG195" s="14">
        <f t="shared" si="182"/>
        <v>2.7549360720371426E-12</v>
      </c>
      <c r="FH195" s="22">
        <f t="shared" si="183"/>
        <v>5.144133920125077E-12</v>
      </c>
      <c r="FI195" s="59">
        <f t="shared" si="131"/>
        <v>293.33333333333843</v>
      </c>
      <c r="FJ195" s="59">
        <f ca="1">AVERAGE(OFFSET($FI$3,0,0,'Données projet'!$E$16+1,1))-AVERAGE(OFFSET($H$3,0,0,'Données projet'!$E$16+1,1))</f>
        <v>427.76895185088944</v>
      </c>
      <c r="FK195" s="59">
        <f t="shared" si="156"/>
        <v>308.32543361559135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projet'!$B$16,Paramètres!$A$1:$I$88,3,0)*0.475*44/12</f>
        <v>34.335292934439941</v>
      </c>
      <c r="FR195" s="23">
        <f>EXP(-LN(2)/25)*FR194+(1-EXP(-LN(2)/25))/(LN(2)/25)*Calculateur!FM195*Calculateur!FO195*VLOOKUP('Données projet'!$B$16,Paramètres!$A$1:$I$88,3,0)*0.475*44/12</f>
        <v>0</v>
      </c>
      <c r="FS195" s="23">
        <f>EXP(-LN(2)/2)*FS194+(1-EXP(-LN(2)/2))/(LN(2)/2)*FM195*FP195*VLOOKUP('Données projet'!$B$16,Paramètres!$A$1:$I$88,3,0)*0.475*44/12</f>
        <v>0</v>
      </c>
      <c r="FT195" s="24">
        <f t="shared" si="184"/>
        <v>34.335292934439941</v>
      </c>
      <c r="FU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333.00000000000006</v>
      </c>
      <c r="GA195" s="18">
        <f>FZ195*VLOOKUP('Données projet'!$B$17,Paramètres!$A$1:$I$88,3,0)*VLOOKUP('Données projet'!$B$17,Paramètres!$A$1:$I$88,5,0)</f>
        <v>207.79200000000006</v>
      </c>
      <c r="GB195" s="14">
        <f t="shared" si="185"/>
        <v>51.452785725007907</v>
      </c>
      <c r="GC195" s="22">
        <f t="shared" si="186"/>
        <v>451.5180018043888</v>
      </c>
      <c r="GD195" s="59">
        <f t="shared" si="134"/>
        <v>744.85133513772212</v>
      </c>
      <c r="GE195" s="59">
        <f ca="1">AVERAGE(OFFSET($GD$3,0,0,'Données projet'!$E$17+1,1))-AVERAGE(OFFSET($H$3,0,0,'Données projet'!$E$17+1,1))</f>
        <v>247.85542034088905</v>
      </c>
      <c r="GF195" s="59">
        <f t="shared" si="158"/>
        <v>299.52241743660352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projet'!$B$17,Paramètres!$A$1:$I$88,3,0)*0.475*44/12</f>
        <v>2.7207779805302126</v>
      </c>
      <c r="GM195" s="23">
        <f>EXP(-LN(2)/25)*GM194+(1-EXP(-LN(2)/25))/(LN(2)/25)*Calculateur!GH195*Calculateur!GJ195*VLOOKUP('Données projet'!$B$17,Paramètres!$A$1:$I$88,3,0)*0.475*44/12</f>
        <v>0.97869158091035757</v>
      </c>
      <c r="GN195" s="23">
        <f>EXP(-LN(2)/2)*GN194+(1-EXP(-LN(2)/2))/(LN(2)/2)*GH195*GK195*VLOOKUP('Données projet'!$B$17,Paramètres!$A$1:$I$88,3,0)*0.475*44/12</f>
        <v>5.800767068351628E-19</v>
      </c>
      <c r="GO195" s="23">
        <f t="shared" si="187"/>
        <v>3.6994695614405702</v>
      </c>
      <c r="GP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3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6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projet'!$B$9,Paramètres!$A$1:$I$88,3,0)*VLOOKUP('Données projet'!$B$9,Paramètres!$A$1:$I$88,5,0)</f>
        <v>-2.0572770154103635E-13</v>
      </c>
      <c r="P196" s="14" t="e">
        <f t="shared" si="141"/>
        <v>#NUM!</v>
      </c>
      <c r="Q196" s="22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247.57967230773539</v>
      </c>
      <c r="T196" s="59">
        <f t="shared" si="142"/>
        <v>156.58857589533295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66.055517980448442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66.055517980448442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-3.4106051316484809E-13</v>
      </c>
      <c r="AJ196" s="14">
        <f>AI196*VLOOKUP('Données projet'!$B$10,Paramètres!$A$1:$I$88,3,0)*VLOOKUP('Données projet'!$B$10,Paramètres!$A$1:$I$88,5,0)</f>
        <v>-2.7134774427395314E-13</v>
      </c>
      <c r="AK196" s="14" t="e">
        <f t="shared" si="164"/>
        <v>#NUM!</v>
      </c>
      <c r="AL196" s="22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504.15006129790828</v>
      </c>
      <c r="AO196" s="59">
        <f t="shared" si="144"/>
        <v>374.39334457402742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38.284620812845617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38.284620812845617</v>
      </c>
      <c r="AY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-3.4106051316484809E-13</v>
      </c>
      <c r="BE196" s="14">
        <f>BD196*VLOOKUP('Données projet'!$B$11,Paramètres!$A$1:$I$88,3,0)*VLOOKUP('Données projet'!$B$11,Paramètres!$A$1:$I$88,5,0)</f>
        <v>-2.7134774427395314E-13</v>
      </c>
      <c r="BF196" s="14" t="e">
        <f t="shared" si="167"/>
        <v>#NUM!</v>
      </c>
      <c r="BG196" s="22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504.15006129790828</v>
      </c>
      <c r="BJ196" s="59">
        <f t="shared" si="146"/>
        <v>374.39334457402742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38.284620812845617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38.284620812845617</v>
      </c>
      <c r="BT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-3.4106051316484809E-13</v>
      </c>
      <c r="BZ196" s="14">
        <f>BY196*VLOOKUP('Données projet'!$B$12,Paramètres!$A$1:$I$88,3,0)*VLOOKUP('Données projet'!$B$12,Paramètres!$A$1:$I$88,5,0)</f>
        <v>-2.2878339223098009E-13</v>
      </c>
      <c r="CA196" s="14" t="e">
        <f t="shared" si="170"/>
        <v>#NUM!</v>
      </c>
      <c r="CB196" s="22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387.15063677712425</v>
      </c>
      <c r="CE196" s="59">
        <f t="shared" si="148"/>
        <v>313.19155394370705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25.242031412080049</v>
      </c>
      <c r="CL196" s="23">
        <f>EXP(-LN(2)/25)*CL195+(1-EXP(-LN(2)/25))/(LN(2)/25)*Calculateur!CG196*Calculateur!CI196*VLOOKUP('Données projet'!$B$12,Paramètres!$A$1:$I$88,3,0)*0.475*44/12</f>
        <v>0</v>
      </c>
      <c r="CM196" s="23">
        <f>EXP(-LN(2)/2)*CM195+(1-EXP(-LN(2)/2))/(LN(2)/2)*CG196*CJ196*VLOOKUP('Données projet'!$B$12,Paramètres!$A$1:$I$88,3,0)*0.475*44/12</f>
        <v>0</v>
      </c>
      <c r="CN196" s="24">
        <f t="shared" si="172"/>
        <v>25.242031412080049</v>
      </c>
      <c r="CO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-2.2737367544323206E-13</v>
      </c>
      <c r="CU196" s="18">
        <f>CT196*VLOOKUP('Données projet'!$B$13,Paramètres!$A$1:$I$88,3,0)*VLOOKUP('Données projet'!$B$13,Paramètres!$A$1:$I$88,5,0)</f>
        <v>-2.1991581888869406E-13</v>
      </c>
      <c r="CV196" s="14" t="e">
        <f t="shared" si="173"/>
        <v>#NUM!</v>
      </c>
      <c r="CW196" s="22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306.00894145276209</v>
      </c>
      <c r="CZ196" s="59">
        <f t="shared" si="150"/>
        <v>168.74705421228828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144.17912933054336</v>
      </c>
      <c r="DG196" s="23">
        <f>EXP(-LN(2)/25)*DG195+(1-EXP(-LN(2)/25))/(LN(2)/25)*Calculateur!DB196*Calculateur!DD196*VLOOKUP('Données projet'!$B$13,Paramètres!$A$1:$I$88,3,0)*0.475*44/12</f>
        <v>0</v>
      </c>
      <c r="DH196" s="23">
        <f>EXP(-LN(2)/2)*DH195+(1-EXP(-LN(2)/2))/(LN(2)/2)*DB196*DE196*VLOOKUP('Données projet'!$B$13,Paramètres!$A$1:$I$88,3,0)*0.475*44/12</f>
        <v>0</v>
      </c>
      <c r="DI196" s="24">
        <f t="shared" si="175"/>
        <v>144.17912933054336</v>
      </c>
      <c r="DJ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-3.4106051316484809E-13</v>
      </c>
      <c r="DP196" s="18">
        <f>DO196*VLOOKUP('Données projet'!$B$14,Paramètres!$A$1:$I$88,3,0)*VLOOKUP('Données projet'!$B$14,Paramètres!$A$1:$I$88,5,0)</f>
        <v>-2.6602720026858149E-13</v>
      </c>
      <c r="DQ196" s="14" t="e">
        <f t="shared" si="176"/>
        <v>#NUM!</v>
      </c>
      <c r="DR196" s="22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458.14328535055694</v>
      </c>
      <c r="DU196" s="59">
        <f t="shared" si="152"/>
        <v>366.75500153675739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projet'!$B$14,Paramètres!$A$1:$I$88,3,0)*0.475*44/12</f>
        <v>23.813237181207612</v>
      </c>
      <c r="EB196" s="23">
        <f>EXP(-LN(2)/25)*EB195+(1-EXP(-LN(2)/25))/(LN(2)/25)*Calculateur!DW196*Calculateur!DY196*VLOOKUP('Données projet'!$B$14,Paramètres!$A$1:$I$88,3,0)*0.475*44/12</f>
        <v>0</v>
      </c>
      <c r="EC196" s="23">
        <f>EXP(-LN(2)/2)*EC195+(1-EXP(-LN(2)/2))/(LN(2)/2)*DW196*DZ196*VLOOKUP('Données projet'!$B$14,Paramètres!$A$1:$I$88,3,0)*0.475*44/12</f>
        <v>0</v>
      </c>
      <c r="ED196" s="24">
        <f t="shared" si="178"/>
        <v>23.813237181207612</v>
      </c>
      <c r="EE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4.5474735088646412E-13</v>
      </c>
      <c r="EK196" s="18">
        <f>EJ196*VLOOKUP('Données projet'!$B$15,Paramètres!$A$1:$I$88,3,0)*VLOOKUP('Données projet'!$B$15,Paramètres!$A$1:$I$88,5,0)</f>
        <v>3.9017322706058626E-13</v>
      </c>
      <c r="EL196" s="14">
        <f t="shared" si="179"/>
        <v>5.0025007393608908E-12</v>
      </c>
      <c r="EM196" s="22">
        <f t="shared" si="180"/>
        <v>9.3922404915174053E-12</v>
      </c>
      <c r="EN196" s="59">
        <f t="shared" ref="EN196:EN203" si="198">EM196+(EE196+EF196)*44/12</f>
        <v>293.33333333334269</v>
      </c>
      <c r="EO196" s="59">
        <f ca="1">AVERAGE(OFFSET($EN$3,0,0,'Données projet'!$E$15+1,1))-AVERAGE(OFFSET($H$3,0,0,'Données projet'!$E$15+1,1))</f>
        <v>462.99360395552145</v>
      </c>
      <c r="EP196" s="59">
        <f t="shared" si="154"/>
        <v>153.03880717786046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projet'!$B$15,Paramètres!$A$1:$I$88,3,0)*0.475*44/12</f>
        <v>41.450441554844396</v>
      </c>
      <c r="EW196" s="23">
        <f>EXP(-LN(2)/25)*EW195+(1-EXP(-LN(2)/25))/(LN(2)/25)*Calculateur!ER196*Calculateur!ET196*VLOOKUP('Données projet'!$B$15,Paramètres!$A$1:$I$88,3,0)*0.475*44/12</f>
        <v>0</v>
      </c>
      <c r="EX196" s="23">
        <f>EXP(-LN(2)/2)*EX195+(1-EXP(-LN(2)/2))/(LN(2)/2)*ER196*EU196*VLOOKUP('Données projet'!$B$15,Paramètres!$A$1:$I$88,3,0)*0.475*44/12</f>
        <v>0</v>
      </c>
      <c r="EY196" s="24">
        <f t="shared" si="181"/>
        <v>41.450441554844396</v>
      </c>
      <c r="EZ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2.2737367544323206E-13</v>
      </c>
      <c r="FF196" s="18">
        <f>FE196*VLOOKUP('Données projet'!$B$16,Paramètres!$A$1:$I$88,3,0)*VLOOKUP('Données projet'!$B$16,Paramètres!$A$1:$I$88,5,0)</f>
        <v>1.9863364286720756E-13</v>
      </c>
      <c r="FG196" s="14">
        <f t="shared" si="182"/>
        <v>2.7549360720371426E-12</v>
      </c>
      <c r="FH196" s="22">
        <f t="shared" si="183"/>
        <v>5.144133920125077E-12</v>
      </c>
      <c r="FI196" s="59">
        <f t="shared" ref="FI196:FI203" si="199">FH196+(EZ196+FA196)*44/12</f>
        <v>293.33333333333843</v>
      </c>
      <c r="FJ196" s="59">
        <f ca="1">AVERAGE(OFFSET($FI$3,0,0,'Données projet'!$E$16+1,1))-AVERAGE(OFFSET($H$3,0,0,'Données projet'!$E$16+1,1))</f>
        <v>427.76895185088944</v>
      </c>
      <c r="FK196" s="59">
        <f t="shared" si="156"/>
        <v>308.32543361559135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projet'!$B$16,Paramètres!$A$1:$I$88,3,0)*0.475*44/12</f>
        <v>33.661998782456365</v>
      </c>
      <c r="FR196" s="23">
        <f>EXP(-LN(2)/25)*FR195+(1-EXP(-LN(2)/25))/(LN(2)/25)*Calculateur!FM196*Calculateur!FO196*VLOOKUP('Données projet'!$B$16,Paramètres!$A$1:$I$88,3,0)*0.475*44/12</f>
        <v>0</v>
      </c>
      <c r="FS196" s="23">
        <f>EXP(-LN(2)/2)*FS195+(1-EXP(-LN(2)/2))/(LN(2)/2)*FM196*FP196*VLOOKUP('Données projet'!$B$16,Paramètres!$A$1:$I$88,3,0)*0.475*44/12</f>
        <v>0</v>
      </c>
      <c r="FT196" s="24">
        <f t="shared" si="184"/>
        <v>33.661998782456365</v>
      </c>
      <c r="FU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333.00000000000006</v>
      </c>
      <c r="GA196" s="18">
        <f>FZ196*VLOOKUP('Données projet'!$B$17,Paramètres!$A$1:$I$88,3,0)*VLOOKUP('Données projet'!$B$17,Paramètres!$A$1:$I$88,5,0)</f>
        <v>207.79200000000006</v>
      </c>
      <c r="GB196" s="14">
        <f t="shared" si="185"/>
        <v>51.452785725007907</v>
      </c>
      <c r="GC196" s="22">
        <f t="shared" si="186"/>
        <v>451.5180018043888</v>
      </c>
      <c r="GD196" s="59">
        <f t="shared" ref="GD196:GD203" si="200">GC196+(FU196+FV196)*44/12</f>
        <v>744.85133513772212</v>
      </c>
      <c r="GE196" s="59">
        <f ca="1">AVERAGE(OFFSET($GD$3,0,0,'Données projet'!$E$17+1,1))-AVERAGE(OFFSET($H$3,0,0,'Données projet'!$E$17+1,1))</f>
        <v>247.85542034088905</v>
      </c>
      <c r="GF196" s="59">
        <f t="shared" si="158"/>
        <v>299.52241743660352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projet'!$B$17,Paramètres!$A$1:$I$88,3,0)*0.475*44/12</f>
        <v>2.6674251838427203</v>
      </c>
      <c r="GM196" s="23">
        <f>EXP(-LN(2)/25)*GM195+(1-EXP(-LN(2)/25))/(LN(2)/25)*Calculateur!GH196*Calculateur!GJ196*VLOOKUP('Données projet'!$B$17,Paramètres!$A$1:$I$88,3,0)*0.475*44/12</f>
        <v>0.95192920816321047</v>
      </c>
      <c r="GN196" s="23">
        <f>EXP(-LN(2)/2)*GN195+(1-EXP(-LN(2)/2))/(LN(2)/2)*GH196*GK196*VLOOKUP('Données projet'!$B$17,Paramètres!$A$1:$I$88,3,0)*0.475*44/12</f>
        <v>4.1017617301150455E-19</v>
      </c>
      <c r="GO196" s="23">
        <f t="shared" si="187"/>
        <v>3.6193543920059308</v>
      </c>
      <c r="GP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3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6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projet'!$B$9,Paramètres!$A$1:$I$88,3,0)*VLOOKUP('Données projet'!$B$9,Paramètres!$A$1:$I$88,5,0)</f>
        <v>-2.0572770154103635E-13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247.57967230773539</v>
      </c>
      <c r="T197" s="59">
        <f t="shared" ref="T197:T203" si="204">$T$3</f>
        <v>156.58857589533295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64.760209562739519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64.760209562739519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-3.4106051316484809E-13</v>
      </c>
      <c r="AJ197" s="14">
        <f>AI197*VLOOKUP('Données projet'!$B$10,Paramètres!$A$1:$I$88,3,0)*VLOOKUP('Données projet'!$B$10,Paramètres!$A$1:$I$88,5,0)</f>
        <v>-2.7134774427395314E-13</v>
      </c>
      <c r="AK197" s="14" t="e">
        <f t="shared" si="164"/>
        <v>#NUM!</v>
      </c>
      <c r="AL197" s="22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504.15006129790828</v>
      </c>
      <c r="AO197" s="59">
        <f t="shared" ref="AO197:AO203" si="205">$AO$3</f>
        <v>374.39334457402742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37.533882750018662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37.533882750018662</v>
      </c>
      <c r="AY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-3.4106051316484809E-13</v>
      </c>
      <c r="BE197" s="14">
        <f>BD197*VLOOKUP('Données projet'!$B$11,Paramètres!$A$1:$I$88,3,0)*VLOOKUP('Données projet'!$B$11,Paramètres!$A$1:$I$88,5,0)</f>
        <v>-2.7134774427395314E-13</v>
      </c>
      <c r="BF197" s="14" t="e">
        <f t="shared" si="167"/>
        <v>#NUM!</v>
      </c>
      <c r="BG197" s="22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504.15006129790828</v>
      </c>
      <c r="BJ197" s="59">
        <f t="shared" ref="BJ197:BJ203" si="206">$BJ$3</f>
        <v>374.39334457402742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37.533882750018662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37.533882750018662</v>
      </c>
      <c r="BT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-3.4106051316484809E-13</v>
      </c>
      <c r="BZ197" s="14">
        <f>BY197*VLOOKUP('Données projet'!$B$12,Paramètres!$A$1:$I$88,3,0)*VLOOKUP('Données projet'!$B$12,Paramètres!$A$1:$I$88,5,0)</f>
        <v>-2.2878339223098009E-13</v>
      </c>
      <c r="CA197" s="14" t="e">
        <f t="shared" si="170"/>
        <v>#NUM!</v>
      </c>
      <c r="CB197" s="22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387.15063677712425</v>
      </c>
      <c r="CE197" s="59">
        <f t="shared" ref="CE197:CE203" si="207">$CE$3</f>
        <v>313.19155394370705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24.747050572208082</v>
      </c>
      <c r="CL197" s="23">
        <f>EXP(-LN(2)/25)*CL196+(1-EXP(-LN(2)/25))/(LN(2)/25)*Calculateur!CG197*Calculateur!CI197*VLOOKUP('Données projet'!$B$12,Paramètres!$A$1:$I$88,3,0)*0.475*44/12</f>
        <v>0</v>
      </c>
      <c r="CM197" s="23">
        <f>EXP(-LN(2)/2)*CM196+(1-EXP(-LN(2)/2))/(LN(2)/2)*CG197*CJ197*VLOOKUP('Données projet'!$B$12,Paramètres!$A$1:$I$88,3,0)*0.475*44/12</f>
        <v>0</v>
      </c>
      <c r="CN197" s="24">
        <f t="shared" si="172"/>
        <v>24.747050572208082</v>
      </c>
      <c r="CO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-2.2737367544323206E-13</v>
      </c>
      <c r="CU197" s="18">
        <f>CT197*VLOOKUP('Données projet'!$B$13,Paramètres!$A$1:$I$88,3,0)*VLOOKUP('Données projet'!$B$13,Paramètres!$A$1:$I$88,5,0)</f>
        <v>-2.1991581888869406E-13</v>
      </c>
      <c r="CV197" s="14" t="e">
        <f t="shared" si="173"/>
        <v>#NUM!</v>
      </c>
      <c r="CW197" s="22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306.00894145276209</v>
      </c>
      <c r="CZ197" s="59">
        <f t="shared" ref="CZ197:CZ203" si="208">$CZ$3</f>
        <v>168.74705421228828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141.3518645449569</v>
      </c>
      <c r="DG197" s="23">
        <f>EXP(-LN(2)/25)*DG196+(1-EXP(-LN(2)/25))/(LN(2)/25)*Calculateur!DB197*Calculateur!DD197*VLOOKUP('Données projet'!$B$13,Paramètres!$A$1:$I$88,3,0)*0.475*44/12</f>
        <v>0</v>
      </c>
      <c r="DH197" s="23">
        <f>EXP(-LN(2)/2)*DH196+(1-EXP(-LN(2)/2))/(LN(2)/2)*DB197*DE197*VLOOKUP('Données projet'!$B$13,Paramètres!$A$1:$I$88,3,0)*0.475*44/12</f>
        <v>0</v>
      </c>
      <c r="DI197" s="24">
        <f t="shared" si="175"/>
        <v>141.3518645449569</v>
      </c>
      <c r="DJ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-3.4106051316484809E-13</v>
      </c>
      <c r="DP197" s="18">
        <f>DO197*VLOOKUP('Données projet'!$B$14,Paramètres!$A$1:$I$88,3,0)*VLOOKUP('Données projet'!$B$14,Paramètres!$A$1:$I$88,5,0)</f>
        <v>-2.6602720026858149E-13</v>
      </c>
      <c r="DQ197" s="14" t="e">
        <f t="shared" si="176"/>
        <v>#NUM!</v>
      </c>
      <c r="DR197" s="22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458.14328535055694</v>
      </c>
      <c r="DU197" s="59">
        <f t="shared" ref="DU197:DU203" si="209">$DU$3</f>
        <v>366.75500153675739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projet'!$B$14,Paramètres!$A$1:$I$88,3,0)*0.475*44/12</f>
        <v>23.346274124724623</v>
      </c>
      <c r="EB197" s="23">
        <f>EXP(-LN(2)/25)*EB196+(1-EXP(-LN(2)/25))/(LN(2)/25)*Calculateur!DW197*Calculateur!DY197*VLOOKUP('Données projet'!$B$14,Paramètres!$A$1:$I$88,3,0)*0.475*44/12</f>
        <v>0</v>
      </c>
      <c r="EC197" s="23">
        <f>EXP(-LN(2)/2)*EC196+(1-EXP(-LN(2)/2))/(LN(2)/2)*DW197*DZ197*VLOOKUP('Données projet'!$B$14,Paramètres!$A$1:$I$88,3,0)*0.475*44/12</f>
        <v>0</v>
      </c>
      <c r="ED197" s="24">
        <f t="shared" si="178"/>
        <v>23.346274124724623</v>
      </c>
      <c r="EE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4.5474735088646412E-13</v>
      </c>
      <c r="EK197" s="18">
        <f>EJ197*VLOOKUP('Données projet'!$B$15,Paramètres!$A$1:$I$88,3,0)*VLOOKUP('Données projet'!$B$15,Paramètres!$A$1:$I$88,5,0)</f>
        <v>3.9017322706058626E-13</v>
      </c>
      <c r="EL197" s="14">
        <f t="shared" si="179"/>
        <v>5.0025007393608908E-12</v>
      </c>
      <c r="EM197" s="22">
        <f t="shared" si="180"/>
        <v>9.3922404915174053E-12</v>
      </c>
      <c r="EN197" s="59">
        <f t="shared" si="198"/>
        <v>293.33333333334269</v>
      </c>
      <c r="EO197" s="59">
        <f ca="1">AVERAGE(OFFSET($EN$3,0,0,'Données projet'!$E$15+1,1))-AVERAGE(OFFSET($H$3,0,0,'Données projet'!$E$15+1,1))</f>
        <v>462.99360395552145</v>
      </c>
      <c r="EP197" s="59">
        <f t="shared" ref="EP197:EP203" si="210">$EP$3</f>
        <v>153.03880717786046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projet'!$B$15,Paramètres!$A$1:$I$88,3,0)*0.475*44/12</f>
        <v>40.637623678226831</v>
      </c>
      <c r="EW197" s="23">
        <f>EXP(-LN(2)/25)*EW196+(1-EXP(-LN(2)/25))/(LN(2)/25)*Calculateur!ER197*Calculateur!ET197*VLOOKUP('Données projet'!$B$15,Paramètres!$A$1:$I$88,3,0)*0.475*44/12</f>
        <v>0</v>
      </c>
      <c r="EX197" s="23">
        <f>EXP(-LN(2)/2)*EX196+(1-EXP(-LN(2)/2))/(LN(2)/2)*ER197*EU197*VLOOKUP('Données projet'!$B$15,Paramètres!$A$1:$I$88,3,0)*0.475*44/12</f>
        <v>0</v>
      </c>
      <c r="EY197" s="24">
        <f t="shared" si="181"/>
        <v>40.637623678226831</v>
      </c>
      <c r="EZ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2.2737367544323206E-13</v>
      </c>
      <c r="FF197" s="18">
        <f>FE197*VLOOKUP('Données projet'!$B$16,Paramètres!$A$1:$I$88,3,0)*VLOOKUP('Données projet'!$B$16,Paramètres!$A$1:$I$88,5,0)</f>
        <v>1.9863364286720756E-13</v>
      </c>
      <c r="FG197" s="14">
        <f t="shared" si="182"/>
        <v>2.7549360720371426E-12</v>
      </c>
      <c r="FH197" s="22">
        <f t="shared" si="183"/>
        <v>5.144133920125077E-12</v>
      </c>
      <c r="FI197" s="59">
        <f t="shared" si="199"/>
        <v>293.33333333333843</v>
      </c>
      <c r="FJ197" s="59">
        <f ca="1">AVERAGE(OFFSET($FI$3,0,0,'Données projet'!$E$16+1,1))-AVERAGE(OFFSET($H$3,0,0,'Données projet'!$E$16+1,1))</f>
        <v>427.76895185088944</v>
      </c>
      <c r="FK197" s="59">
        <f t="shared" ref="FK197:FK203" si="211">$FK$3</f>
        <v>308.32543361559135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projet'!$B$16,Paramètres!$A$1:$I$88,3,0)*0.475*44/12</f>
        <v>33.001907518124305</v>
      </c>
      <c r="FR197" s="23">
        <f>EXP(-LN(2)/25)*FR196+(1-EXP(-LN(2)/25))/(LN(2)/25)*Calculateur!FM197*Calculateur!FO197*VLOOKUP('Données projet'!$B$16,Paramètres!$A$1:$I$88,3,0)*0.475*44/12</f>
        <v>0</v>
      </c>
      <c r="FS197" s="23">
        <f>EXP(-LN(2)/2)*FS196+(1-EXP(-LN(2)/2))/(LN(2)/2)*FM197*FP197*VLOOKUP('Données projet'!$B$16,Paramètres!$A$1:$I$88,3,0)*0.475*44/12</f>
        <v>0</v>
      </c>
      <c r="FT197" s="24">
        <f t="shared" si="184"/>
        <v>33.001907518124305</v>
      </c>
      <c r="FU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333.00000000000006</v>
      </c>
      <c r="GA197" s="18">
        <f>FZ197*VLOOKUP('Données projet'!$B$17,Paramètres!$A$1:$I$88,3,0)*VLOOKUP('Données projet'!$B$17,Paramètres!$A$1:$I$88,5,0)</f>
        <v>207.79200000000006</v>
      </c>
      <c r="GB197" s="14">
        <f t="shared" si="185"/>
        <v>51.452785725007907</v>
      </c>
      <c r="GC197" s="22">
        <f t="shared" si="186"/>
        <v>451.5180018043888</v>
      </c>
      <c r="GD197" s="59">
        <f t="shared" si="200"/>
        <v>744.85133513772212</v>
      </c>
      <c r="GE197" s="59">
        <f ca="1">AVERAGE(OFFSET($GD$3,0,0,'Données projet'!$E$17+1,1))-AVERAGE(OFFSET($H$3,0,0,'Données projet'!$E$17+1,1))</f>
        <v>247.85542034088905</v>
      </c>
      <c r="GF197" s="59">
        <f t="shared" ref="GF197:GF203" si="212">$GF$3</f>
        <v>299.52241743660352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projet'!$B$17,Paramètres!$A$1:$I$88,3,0)*0.475*44/12</f>
        <v>2.6151186029562767</v>
      </c>
      <c r="GM197" s="23">
        <f>EXP(-LN(2)/25)*GM196+(1-EXP(-LN(2)/25))/(LN(2)/25)*Calculateur!GH197*Calculateur!GJ197*VLOOKUP('Données projet'!$B$17,Paramètres!$A$1:$I$88,3,0)*0.475*44/12</f>
        <v>0.92589865390620607</v>
      </c>
      <c r="GN197" s="23">
        <f>EXP(-LN(2)/2)*GN196+(1-EXP(-LN(2)/2))/(LN(2)/2)*GH197*GK197*VLOOKUP('Données projet'!$B$17,Paramètres!$A$1:$I$88,3,0)*0.475*44/12</f>
        <v>2.900383534175814E-19</v>
      </c>
      <c r="GO197" s="23">
        <f t="shared" si="187"/>
        <v>3.5410172568624829</v>
      </c>
      <c r="GP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3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6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projet'!$B$9,Paramètres!$A$1:$I$88,3,0)*VLOOKUP('Données projet'!$B$9,Paramètres!$A$1:$I$88,5,0)</f>
        <v>-2.0572770154103635E-13</v>
      </c>
      <c r="P198" s="14" t="e">
        <f t="shared" si="203"/>
        <v>#NUM!</v>
      </c>
      <c r="Q198" s="22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247.57967230773539</v>
      </c>
      <c r="T198" s="59">
        <f t="shared" si="204"/>
        <v>156.58857589533295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63.490301353041744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63.490301353041744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-3.4106051316484809E-13</v>
      </c>
      <c r="AJ198" s="14">
        <f>AI198*VLOOKUP('Données projet'!$B$10,Paramètres!$A$1:$I$88,3,0)*VLOOKUP('Données projet'!$B$10,Paramètres!$A$1:$I$88,5,0)</f>
        <v>-2.7134774427395314E-13</v>
      </c>
      <c r="AK198" s="14" t="e">
        <f t="shared" si="164"/>
        <v>#NUM!</v>
      </c>
      <c r="AL198" s="22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504.15006129790828</v>
      </c>
      <c r="AO198" s="59">
        <f t="shared" si="205"/>
        <v>374.39334457402742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36.797866202698735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36.797866202698735</v>
      </c>
      <c r="AY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-3.4106051316484809E-13</v>
      </c>
      <c r="BE198" s="14">
        <f>BD198*VLOOKUP('Données projet'!$B$11,Paramètres!$A$1:$I$88,3,0)*VLOOKUP('Données projet'!$B$11,Paramètres!$A$1:$I$88,5,0)</f>
        <v>-2.7134774427395314E-13</v>
      </c>
      <c r="BF198" s="14" t="e">
        <f t="shared" si="167"/>
        <v>#NUM!</v>
      </c>
      <c r="BG198" s="22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504.15006129790828</v>
      </c>
      <c r="BJ198" s="59">
        <f t="shared" si="206"/>
        <v>374.39334457402742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36.797866202698735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36.797866202698735</v>
      </c>
      <c r="BT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-3.4106051316484809E-13</v>
      </c>
      <c r="BZ198" s="14">
        <f>BY198*VLOOKUP('Données projet'!$B$12,Paramètres!$A$1:$I$88,3,0)*VLOOKUP('Données projet'!$B$12,Paramètres!$A$1:$I$88,5,0)</f>
        <v>-2.2878339223098009E-13</v>
      </c>
      <c r="CA198" s="14" t="e">
        <f t="shared" si="170"/>
        <v>#NUM!</v>
      </c>
      <c r="CB198" s="22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387.15063677712425</v>
      </c>
      <c r="CE198" s="59">
        <f t="shared" si="207"/>
        <v>313.19155394370705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24.261776004697502</v>
      </c>
      <c r="CL198" s="23">
        <f>EXP(-LN(2)/25)*CL197+(1-EXP(-LN(2)/25))/(LN(2)/25)*Calculateur!CG198*Calculateur!CI198*VLOOKUP('Données projet'!$B$12,Paramètres!$A$1:$I$88,3,0)*0.475*44/12</f>
        <v>0</v>
      </c>
      <c r="CM198" s="23">
        <f>EXP(-LN(2)/2)*CM197+(1-EXP(-LN(2)/2))/(LN(2)/2)*CG198*CJ198*VLOOKUP('Données projet'!$B$12,Paramètres!$A$1:$I$88,3,0)*0.475*44/12</f>
        <v>0</v>
      </c>
      <c r="CN198" s="24">
        <f t="shared" si="172"/>
        <v>24.261776004697502</v>
      </c>
      <c r="CO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-2.2737367544323206E-13</v>
      </c>
      <c r="CU198" s="18">
        <f>CT198*VLOOKUP('Données projet'!$B$13,Paramètres!$A$1:$I$88,3,0)*VLOOKUP('Données projet'!$B$13,Paramètres!$A$1:$I$88,5,0)</f>
        <v>-2.1991581888869406E-13</v>
      </c>
      <c r="CV198" s="14" t="e">
        <f t="shared" si="173"/>
        <v>#NUM!</v>
      </c>
      <c r="CW198" s="22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306.00894145276209</v>
      </c>
      <c r="CZ198" s="59">
        <f t="shared" si="208"/>
        <v>168.74705421228828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138.58004069735452</v>
      </c>
      <c r="DG198" s="23">
        <f>EXP(-LN(2)/25)*DG197+(1-EXP(-LN(2)/25))/(LN(2)/25)*Calculateur!DB198*Calculateur!DD198*VLOOKUP('Données projet'!$B$13,Paramètres!$A$1:$I$88,3,0)*0.475*44/12</f>
        <v>0</v>
      </c>
      <c r="DH198" s="23">
        <f>EXP(-LN(2)/2)*DH197+(1-EXP(-LN(2)/2))/(LN(2)/2)*DB198*DE198*VLOOKUP('Données projet'!$B$13,Paramètres!$A$1:$I$88,3,0)*0.475*44/12</f>
        <v>0</v>
      </c>
      <c r="DI198" s="24">
        <f t="shared" si="175"/>
        <v>138.58004069735452</v>
      </c>
      <c r="DJ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-3.4106051316484809E-13</v>
      </c>
      <c r="DP198" s="18">
        <f>DO198*VLOOKUP('Données projet'!$B$14,Paramètres!$A$1:$I$88,3,0)*VLOOKUP('Données projet'!$B$14,Paramètres!$A$1:$I$88,5,0)</f>
        <v>-2.6602720026858149E-13</v>
      </c>
      <c r="DQ198" s="14" t="e">
        <f t="shared" si="176"/>
        <v>#NUM!</v>
      </c>
      <c r="DR198" s="22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458.14328535055694</v>
      </c>
      <c r="DU198" s="59">
        <f t="shared" si="209"/>
        <v>366.75500153675739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projet'!$B$14,Paramètres!$A$1:$I$88,3,0)*0.475*44/12</f>
        <v>22.888467928959923</v>
      </c>
      <c r="EB198" s="23">
        <f>EXP(-LN(2)/25)*EB197+(1-EXP(-LN(2)/25))/(LN(2)/25)*Calculateur!DW198*Calculateur!DY198*VLOOKUP('Données projet'!$B$14,Paramètres!$A$1:$I$88,3,0)*0.475*44/12</f>
        <v>0</v>
      </c>
      <c r="EC198" s="23">
        <f>EXP(-LN(2)/2)*EC197+(1-EXP(-LN(2)/2))/(LN(2)/2)*DW198*DZ198*VLOOKUP('Données projet'!$B$14,Paramètres!$A$1:$I$88,3,0)*0.475*44/12</f>
        <v>0</v>
      </c>
      <c r="ED198" s="24">
        <f t="shared" si="178"/>
        <v>22.888467928959923</v>
      </c>
      <c r="EE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4.5474735088646412E-13</v>
      </c>
      <c r="EK198" s="18">
        <f>EJ198*VLOOKUP('Données projet'!$B$15,Paramètres!$A$1:$I$88,3,0)*VLOOKUP('Données projet'!$B$15,Paramètres!$A$1:$I$88,5,0)</f>
        <v>3.9017322706058626E-13</v>
      </c>
      <c r="EL198" s="14">
        <f t="shared" si="179"/>
        <v>5.0025007393608908E-12</v>
      </c>
      <c r="EM198" s="22">
        <f t="shared" si="180"/>
        <v>9.3922404915174053E-12</v>
      </c>
      <c r="EN198" s="59">
        <f t="shared" si="198"/>
        <v>293.33333333334269</v>
      </c>
      <c r="EO198" s="59">
        <f ca="1">AVERAGE(OFFSET($EN$3,0,0,'Données projet'!$E$15+1,1))-AVERAGE(OFFSET($H$3,0,0,'Données projet'!$E$15+1,1))</f>
        <v>462.99360395552145</v>
      </c>
      <c r="EP198" s="59">
        <f t="shared" si="210"/>
        <v>153.03880717786046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projet'!$B$15,Paramètres!$A$1:$I$88,3,0)*0.475*44/12</f>
        <v>39.840744664399786</v>
      </c>
      <c r="EW198" s="23">
        <f>EXP(-LN(2)/25)*EW197+(1-EXP(-LN(2)/25))/(LN(2)/25)*Calculateur!ER198*Calculateur!ET198*VLOOKUP('Données projet'!$B$15,Paramètres!$A$1:$I$88,3,0)*0.475*44/12</f>
        <v>0</v>
      </c>
      <c r="EX198" s="23">
        <f>EXP(-LN(2)/2)*EX197+(1-EXP(-LN(2)/2))/(LN(2)/2)*ER198*EU198*VLOOKUP('Données projet'!$B$15,Paramètres!$A$1:$I$88,3,0)*0.475*44/12</f>
        <v>0</v>
      </c>
      <c r="EY198" s="24">
        <f t="shared" si="181"/>
        <v>39.840744664399786</v>
      </c>
      <c r="EZ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2.2737367544323206E-13</v>
      </c>
      <c r="FF198" s="18">
        <f>FE198*VLOOKUP('Données projet'!$B$16,Paramètres!$A$1:$I$88,3,0)*VLOOKUP('Données projet'!$B$16,Paramètres!$A$1:$I$88,5,0)</f>
        <v>1.9863364286720756E-13</v>
      </c>
      <c r="FG198" s="14">
        <f t="shared" si="182"/>
        <v>2.7549360720371426E-12</v>
      </c>
      <c r="FH198" s="22">
        <f t="shared" si="183"/>
        <v>5.144133920125077E-12</v>
      </c>
      <c r="FI198" s="59">
        <f t="shared" si="199"/>
        <v>293.33333333333843</v>
      </c>
      <c r="FJ198" s="59">
        <f ca="1">AVERAGE(OFFSET($FI$3,0,0,'Données projet'!$E$16+1,1))-AVERAGE(OFFSET($H$3,0,0,'Données projet'!$E$16+1,1))</f>
        <v>427.76895185088944</v>
      </c>
      <c r="FK198" s="59">
        <f t="shared" si="211"/>
        <v>308.32543361559135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projet'!$B$16,Paramètres!$A$1:$I$88,3,0)*0.475*44/12</f>
        <v>32.354760240869879</v>
      </c>
      <c r="FR198" s="23">
        <f>EXP(-LN(2)/25)*FR197+(1-EXP(-LN(2)/25))/(LN(2)/25)*Calculateur!FM198*Calculateur!FO198*VLOOKUP('Données projet'!$B$16,Paramètres!$A$1:$I$88,3,0)*0.475*44/12</f>
        <v>0</v>
      </c>
      <c r="FS198" s="23">
        <f>EXP(-LN(2)/2)*FS197+(1-EXP(-LN(2)/2))/(LN(2)/2)*FM198*FP198*VLOOKUP('Données projet'!$B$16,Paramètres!$A$1:$I$88,3,0)*0.475*44/12</f>
        <v>0</v>
      </c>
      <c r="FT198" s="24">
        <f t="shared" si="184"/>
        <v>32.354760240869879</v>
      </c>
      <c r="FU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333.00000000000006</v>
      </c>
      <c r="GA198" s="18">
        <f>FZ198*VLOOKUP('Données projet'!$B$17,Paramètres!$A$1:$I$88,3,0)*VLOOKUP('Données projet'!$B$17,Paramètres!$A$1:$I$88,5,0)</f>
        <v>207.79200000000006</v>
      </c>
      <c r="GB198" s="14">
        <f t="shared" si="185"/>
        <v>51.452785725007907</v>
      </c>
      <c r="GC198" s="22">
        <f t="shared" si="186"/>
        <v>451.5180018043888</v>
      </c>
      <c r="GD198" s="59">
        <f t="shared" si="200"/>
        <v>744.85133513772212</v>
      </c>
      <c r="GE198" s="59">
        <f ca="1">AVERAGE(OFFSET($GD$3,0,0,'Données projet'!$E$17+1,1))-AVERAGE(OFFSET($H$3,0,0,'Données projet'!$E$17+1,1))</f>
        <v>247.85542034088905</v>
      </c>
      <c r="GF198" s="59">
        <f t="shared" si="212"/>
        <v>299.52241743660352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projet'!$B$17,Paramètres!$A$1:$I$88,3,0)*0.475*44/12</f>
        <v>2.5638377222171522</v>
      </c>
      <c r="GM198" s="23">
        <f>EXP(-LN(2)/25)*GM197+(1-EXP(-LN(2)/25))/(LN(2)/25)*Calculateur!GH198*Calculateur!GJ198*VLOOKUP('Données projet'!$B$17,Paramètres!$A$1:$I$88,3,0)*0.475*44/12</f>
        <v>0.9005799065242468</v>
      </c>
      <c r="GN198" s="23">
        <f>EXP(-LN(2)/2)*GN197+(1-EXP(-LN(2)/2))/(LN(2)/2)*GH198*GK198*VLOOKUP('Données projet'!$B$17,Paramètres!$A$1:$I$88,3,0)*0.475*44/12</f>
        <v>2.0508808650575227E-19</v>
      </c>
      <c r="GO198" s="23">
        <f t="shared" si="187"/>
        <v>3.464417628741399</v>
      </c>
      <c r="GP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3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6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projet'!$B$9,Paramètres!$A$1:$I$88,3,0)*VLOOKUP('Données projet'!$B$9,Paramètres!$A$1:$I$88,5,0)</f>
        <v>-2.0572770154103635E-13</v>
      </c>
      <c r="P199" s="14" t="e">
        <f t="shared" si="203"/>
        <v>#NUM!</v>
      </c>
      <c r="Q199" s="22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247.57967230773539</v>
      </c>
      <c r="T199" s="59">
        <f t="shared" si="204"/>
        <v>156.58857589533295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62.245295268768622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62.245295268768622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-3.4106051316484809E-13</v>
      </c>
      <c r="AJ199" s="14">
        <f>AI199*VLOOKUP('Données projet'!$B$10,Paramètres!$A$1:$I$88,3,0)*VLOOKUP('Données projet'!$B$10,Paramètres!$A$1:$I$88,5,0)</f>
        <v>-2.7134774427395314E-13</v>
      </c>
      <c r="AK199" s="14" t="e">
        <f t="shared" si="164"/>
        <v>#NUM!</v>
      </c>
      <c r="AL199" s="22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504.15006129790828</v>
      </c>
      <c r="AO199" s="59">
        <f t="shared" si="205"/>
        <v>374.39334457402742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36.076282490945985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36.076282490945985</v>
      </c>
      <c r="AY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-3.4106051316484809E-13</v>
      </c>
      <c r="BE199" s="14">
        <f>BD199*VLOOKUP('Données projet'!$B$11,Paramètres!$A$1:$I$88,3,0)*VLOOKUP('Données projet'!$B$11,Paramètres!$A$1:$I$88,5,0)</f>
        <v>-2.7134774427395314E-13</v>
      </c>
      <c r="BF199" s="14" t="e">
        <f t="shared" si="167"/>
        <v>#NUM!</v>
      </c>
      <c r="BG199" s="22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504.15006129790828</v>
      </c>
      <c r="BJ199" s="59">
        <f t="shared" si="206"/>
        <v>374.39334457402742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36.076282490945985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36.076282490945985</v>
      </c>
      <c r="BT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-3.4106051316484809E-13</v>
      </c>
      <c r="BZ199" s="14">
        <f>BY199*VLOOKUP('Données projet'!$B$12,Paramètres!$A$1:$I$88,3,0)*VLOOKUP('Données projet'!$B$12,Paramètres!$A$1:$I$88,5,0)</f>
        <v>-2.2878339223098009E-13</v>
      </c>
      <c r="CA199" s="14" t="e">
        <f t="shared" si="170"/>
        <v>#NUM!</v>
      </c>
      <c r="CB199" s="22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387.15063677712425</v>
      </c>
      <c r="CE199" s="59">
        <f t="shared" si="207"/>
        <v>313.19155394370705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23.786017375467544</v>
      </c>
      <c r="CL199" s="23">
        <f>EXP(-LN(2)/25)*CL198+(1-EXP(-LN(2)/25))/(LN(2)/25)*Calculateur!CG199*Calculateur!CI199*VLOOKUP('Données projet'!$B$12,Paramètres!$A$1:$I$88,3,0)*0.475*44/12</f>
        <v>0</v>
      </c>
      <c r="CM199" s="23">
        <f>EXP(-LN(2)/2)*CM198+(1-EXP(-LN(2)/2))/(LN(2)/2)*CG199*CJ199*VLOOKUP('Données projet'!$B$12,Paramètres!$A$1:$I$88,3,0)*0.475*44/12</f>
        <v>0</v>
      </c>
      <c r="CN199" s="24">
        <f t="shared" si="172"/>
        <v>23.786017375467544</v>
      </c>
      <c r="CO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-2.2737367544323206E-13</v>
      </c>
      <c r="CU199" s="18">
        <f>CT199*VLOOKUP('Données projet'!$B$13,Paramètres!$A$1:$I$88,3,0)*VLOOKUP('Données projet'!$B$13,Paramètres!$A$1:$I$88,5,0)</f>
        <v>-2.1991581888869406E-13</v>
      </c>
      <c r="CV199" s="14" t="e">
        <f t="shared" si="173"/>
        <v>#NUM!</v>
      </c>
      <c r="CW199" s="22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306.00894145276209</v>
      </c>
      <c r="CZ199" s="59">
        <f t="shared" si="208"/>
        <v>168.74705421228828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135.86257062475804</v>
      </c>
      <c r="DG199" s="23">
        <f>EXP(-LN(2)/25)*DG198+(1-EXP(-LN(2)/25))/(LN(2)/25)*Calculateur!DB199*Calculateur!DD199*VLOOKUP('Données projet'!$B$13,Paramètres!$A$1:$I$88,3,0)*0.475*44/12</f>
        <v>0</v>
      </c>
      <c r="DH199" s="23">
        <f>EXP(-LN(2)/2)*DH198+(1-EXP(-LN(2)/2))/(LN(2)/2)*DB199*DE199*VLOOKUP('Données projet'!$B$13,Paramètres!$A$1:$I$88,3,0)*0.475*44/12</f>
        <v>0</v>
      </c>
      <c r="DI199" s="24">
        <f t="shared" si="175"/>
        <v>135.86257062475804</v>
      </c>
      <c r="DJ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-3.4106051316484809E-13</v>
      </c>
      <c r="DP199" s="18">
        <f>DO199*VLOOKUP('Données projet'!$B$14,Paramètres!$A$1:$I$88,3,0)*VLOOKUP('Données projet'!$B$14,Paramètres!$A$1:$I$88,5,0)</f>
        <v>-2.6602720026858149E-13</v>
      </c>
      <c r="DQ199" s="14" t="e">
        <f t="shared" si="176"/>
        <v>#NUM!</v>
      </c>
      <c r="DR199" s="22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458.14328535055694</v>
      </c>
      <c r="DU199" s="59">
        <f t="shared" si="209"/>
        <v>366.75500153675739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projet'!$B$14,Paramètres!$A$1:$I$88,3,0)*0.475*44/12</f>
        <v>22.439639033459962</v>
      </c>
      <c r="EB199" s="23">
        <f>EXP(-LN(2)/25)*EB198+(1-EXP(-LN(2)/25))/(LN(2)/25)*Calculateur!DW199*Calculateur!DY199*VLOOKUP('Données projet'!$B$14,Paramètres!$A$1:$I$88,3,0)*0.475*44/12</f>
        <v>0</v>
      </c>
      <c r="EC199" s="23">
        <f>EXP(-LN(2)/2)*EC198+(1-EXP(-LN(2)/2))/(LN(2)/2)*DW199*DZ199*VLOOKUP('Données projet'!$B$14,Paramètres!$A$1:$I$88,3,0)*0.475*44/12</f>
        <v>0</v>
      </c>
      <c r="ED199" s="24">
        <f t="shared" si="178"/>
        <v>22.439639033459962</v>
      </c>
      <c r="EE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4.5474735088646412E-13</v>
      </c>
      <c r="EK199" s="18">
        <f>EJ199*VLOOKUP('Données projet'!$B$15,Paramètres!$A$1:$I$88,3,0)*VLOOKUP('Données projet'!$B$15,Paramètres!$A$1:$I$88,5,0)</f>
        <v>3.9017322706058626E-13</v>
      </c>
      <c r="EL199" s="14">
        <f t="shared" si="179"/>
        <v>5.0025007393608908E-12</v>
      </c>
      <c r="EM199" s="22">
        <f t="shared" si="180"/>
        <v>9.3922404915174053E-12</v>
      </c>
      <c r="EN199" s="59">
        <f t="shared" si="198"/>
        <v>293.33333333334269</v>
      </c>
      <c r="EO199" s="59">
        <f ca="1">AVERAGE(OFFSET($EN$3,0,0,'Données projet'!$E$15+1,1))-AVERAGE(OFFSET($H$3,0,0,'Données projet'!$E$15+1,1))</f>
        <v>462.99360395552145</v>
      </c>
      <c r="EP199" s="59">
        <f t="shared" si="210"/>
        <v>153.03880717786046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projet'!$B$15,Paramètres!$A$1:$I$88,3,0)*0.475*44/12</f>
        <v>39.059491961985678</v>
      </c>
      <c r="EW199" s="23">
        <f>EXP(-LN(2)/25)*EW198+(1-EXP(-LN(2)/25))/(LN(2)/25)*Calculateur!ER199*Calculateur!ET199*VLOOKUP('Données projet'!$B$15,Paramètres!$A$1:$I$88,3,0)*0.475*44/12</f>
        <v>0</v>
      </c>
      <c r="EX199" s="23">
        <f>EXP(-LN(2)/2)*EX198+(1-EXP(-LN(2)/2))/(LN(2)/2)*ER199*EU199*VLOOKUP('Données projet'!$B$15,Paramètres!$A$1:$I$88,3,0)*0.475*44/12</f>
        <v>0</v>
      </c>
      <c r="EY199" s="24">
        <f t="shared" si="181"/>
        <v>39.059491961985678</v>
      </c>
      <c r="EZ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2.2737367544323206E-13</v>
      </c>
      <c r="FF199" s="18">
        <f>FE199*VLOOKUP('Données projet'!$B$16,Paramètres!$A$1:$I$88,3,0)*VLOOKUP('Données projet'!$B$16,Paramètres!$A$1:$I$88,5,0)</f>
        <v>1.9863364286720756E-13</v>
      </c>
      <c r="FG199" s="14">
        <f t="shared" si="182"/>
        <v>2.7549360720371426E-12</v>
      </c>
      <c r="FH199" s="22">
        <f t="shared" si="183"/>
        <v>5.144133920125077E-12</v>
      </c>
      <c r="FI199" s="59">
        <f t="shared" si="199"/>
        <v>293.33333333333843</v>
      </c>
      <c r="FJ199" s="59">
        <f ca="1">AVERAGE(OFFSET($FI$3,0,0,'Données projet'!$E$16+1,1))-AVERAGE(OFFSET($H$3,0,0,'Données projet'!$E$16+1,1))</f>
        <v>427.76895185088944</v>
      </c>
      <c r="FK199" s="59">
        <f t="shared" si="211"/>
        <v>308.32543361559135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projet'!$B$16,Paramètres!$A$1:$I$88,3,0)*0.475*44/12</f>
        <v>31.720303127001554</v>
      </c>
      <c r="FR199" s="23">
        <f>EXP(-LN(2)/25)*FR198+(1-EXP(-LN(2)/25))/(LN(2)/25)*Calculateur!FM199*Calculateur!FO199*VLOOKUP('Données projet'!$B$16,Paramètres!$A$1:$I$88,3,0)*0.475*44/12</f>
        <v>0</v>
      </c>
      <c r="FS199" s="23">
        <f>EXP(-LN(2)/2)*FS198+(1-EXP(-LN(2)/2))/(LN(2)/2)*FM199*FP199*VLOOKUP('Données projet'!$B$16,Paramètres!$A$1:$I$88,3,0)*0.475*44/12</f>
        <v>0</v>
      </c>
      <c r="FT199" s="24">
        <f t="shared" si="184"/>
        <v>31.720303127001554</v>
      </c>
      <c r="FU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333.00000000000006</v>
      </c>
      <c r="GA199" s="18">
        <f>FZ199*VLOOKUP('Données projet'!$B$17,Paramètres!$A$1:$I$88,3,0)*VLOOKUP('Données projet'!$B$17,Paramètres!$A$1:$I$88,5,0)</f>
        <v>207.79200000000006</v>
      </c>
      <c r="GB199" s="14">
        <f t="shared" si="185"/>
        <v>51.452785725007907</v>
      </c>
      <c r="GC199" s="22">
        <f t="shared" si="186"/>
        <v>451.5180018043888</v>
      </c>
      <c r="GD199" s="59">
        <f t="shared" si="200"/>
        <v>744.85133513772212</v>
      </c>
      <c r="GE199" s="59">
        <f ca="1">AVERAGE(OFFSET($GD$3,0,0,'Données projet'!$E$17+1,1))-AVERAGE(OFFSET($H$3,0,0,'Données projet'!$E$17+1,1))</f>
        <v>247.85542034088905</v>
      </c>
      <c r="GF199" s="59">
        <f t="shared" si="212"/>
        <v>299.52241743660352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projet'!$B$17,Paramètres!$A$1:$I$88,3,0)*0.475*44/12</f>
        <v>2.5135624282710731</v>
      </c>
      <c r="GM199" s="23">
        <f>EXP(-LN(2)/25)*GM198+(1-EXP(-LN(2)/25))/(LN(2)/25)*Calculateur!GH199*Calculateur!GJ199*VLOOKUP('Données projet'!$B$17,Paramètres!$A$1:$I$88,3,0)*0.475*44/12</f>
        <v>0.87595350162090224</v>
      </c>
      <c r="GN199" s="23">
        <f>EXP(-LN(2)/2)*GN198+(1-EXP(-LN(2)/2))/(LN(2)/2)*GH199*GK199*VLOOKUP('Données projet'!$B$17,Paramètres!$A$1:$I$88,3,0)*0.475*44/12</f>
        <v>1.450191767087907E-19</v>
      </c>
      <c r="GO199" s="23">
        <f t="shared" si="187"/>
        <v>3.3895159298919753</v>
      </c>
      <c r="GP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3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6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projet'!$B$9,Paramètres!$A$1:$I$88,3,0)*VLOOKUP('Données projet'!$B$9,Paramètres!$A$1:$I$88,5,0)</f>
        <v>-2.0572770154103635E-13</v>
      </c>
      <c r="P200" s="14" t="e">
        <f t="shared" si="203"/>
        <v>#NUM!</v>
      </c>
      <c r="Q200" s="22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247.57967230773539</v>
      </c>
      <c r="T200" s="59">
        <f t="shared" si="204"/>
        <v>156.58857589533295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61.024702994429362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61.024702994429362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-3.4106051316484809E-13</v>
      </c>
      <c r="AJ200" s="14">
        <f>AI200*VLOOKUP('Données projet'!$B$10,Paramètres!$A$1:$I$88,3,0)*VLOOKUP('Données projet'!$B$10,Paramètres!$A$1:$I$88,5,0)</f>
        <v>-2.7134774427395314E-13</v>
      </c>
      <c r="AK200" s="14" t="e">
        <f t="shared" si="164"/>
        <v>#NUM!</v>
      </c>
      <c r="AL200" s="22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504.15006129790828</v>
      </c>
      <c r="AO200" s="59">
        <f t="shared" si="205"/>
        <v>374.39334457402742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35.3688485956581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35.3688485956581</v>
      </c>
      <c r="AY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-3.4106051316484809E-13</v>
      </c>
      <c r="BE200" s="14">
        <f>BD200*VLOOKUP('Données projet'!$B$11,Paramètres!$A$1:$I$88,3,0)*VLOOKUP('Données projet'!$B$11,Paramètres!$A$1:$I$88,5,0)</f>
        <v>-2.7134774427395314E-13</v>
      </c>
      <c r="BF200" s="14" t="e">
        <f t="shared" si="167"/>
        <v>#NUM!</v>
      </c>
      <c r="BG200" s="22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504.15006129790828</v>
      </c>
      <c r="BJ200" s="59">
        <f t="shared" si="206"/>
        <v>374.39334457402742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35.3688485956581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35.3688485956581</v>
      </c>
      <c r="BT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-3.4106051316484809E-13</v>
      </c>
      <c r="BZ200" s="14">
        <f>BY200*VLOOKUP('Données projet'!$B$12,Paramètres!$A$1:$I$88,3,0)*VLOOKUP('Données projet'!$B$12,Paramètres!$A$1:$I$88,5,0)</f>
        <v>-2.2878339223098009E-13</v>
      </c>
      <c r="CA200" s="14" t="e">
        <f t="shared" si="170"/>
        <v>#NUM!</v>
      </c>
      <c r="CB200" s="22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387.15063677712425</v>
      </c>
      <c r="CE200" s="59">
        <f t="shared" si="207"/>
        <v>313.19155394370705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23.319588082772675</v>
      </c>
      <c r="CL200" s="23">
        <f>EXP(-LN(2)/25)*CL199+(1-EXP(-LN(2)/25))/(LN(2)/25)*Calculateur!CG200*Calculateur!CI200*VLOOKUP('Données projet'!$B$12,Paramètres!$A$1:$I$88,3,0)*0.475*44/12</f>
        <v>0</v>
      </c>
      <c r="CM200" s="23">
        <f>EXP(-LN(2)/2)*CM199+(1-EXP(-LN(2)/2))/(LN(2)/2)*CG200*CJ200*VLOOKUP('Données projet'!$B$12,Paramètres!$A$1:$I$88,3,0)*0.475*44/12</f>
        <v>0</v>
      </c>
      <c r="CN200" s="24">
        <f t="shared" si="172"/>
        <v>23.319588082772675</v>
      </c>
      <c r="CO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-2.2737367544323206E-13</v>
      </c>
      <c r="CU200" s="18">
        <f>CT200*VLOOKUP('Données projet'!$B$13,Paramètres!$A$1:$I$88,3,0)*VLOOKUP('Données projet'!$B$13,Paramètres!$A$1:$I$88,5,0)</f>
        <v>-2.1991581888869406E-13</v>
      </c>
      <c r="CV200" s="14" t="e">
        <f t="shared" si="173"/>
        <v>#NUM!</v>
      </c>
      <c r="CW200" s="22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306.00894145276209</v>
      </c>
      <c r="CZ200" s="59">
        <f t="shared" si="208"/>
        <v>168.74705421228828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133.19838848279207</v>
      </c>
      <c r="DG200" s="23">
        <f>EXP(-LN(2)/25)*DG199+(1-EXP(-LN(2)/25))/(LN(2)/25)*Calculateur!DB200*Calculateur!DD200*VLOOKUP('Données projet'!$B$13,Paramètres!$A$1:$I$88,3,0)*0.475*44/12</f>
        <v>0</v>
      </c>
      <c r="DH200" s="23">
        <f>EXP(-LN(2)/2)*DH199+(1-EXP(-LN(2)/2))/(LN(2)/2)*DB200*DE200*VLOOKUP('Données projet'!$B$13,Paramètres!$A$1:$I$88,3,0)*0.475*44/12</f>
        <v>0</v>
      </c>
      <c r="DI200" s="24">
        <f t="shared" si="175"/>
        <v>133.19838848279207</v>
      </c>
      <c r="DJ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-3.4106051316484809E-13</v>
      </c>
      <c r="DP200" s="18">
        <f>DO200*VLOOKUP('Données projet'!$B$14,Paramètres!$A$1:$I$88,3,0)*VLOOKUP('Données projet'!$B$14,Paramètres!$A$1:$I$88,5,0)</f>
        <v>-2.6602720026858149E-13</v>
      </c>
      <c r="DQ200" s="14" t="e">
        <f t="shared" si="176"/>
        <v>#NUM!</v>
      </c>
      <c r="DR200" s="22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458.14328535055694</v>
      </c>
      <c r="DU200" s="59">
        <f t="shared" si="209"/>
        <v>366.75500153675739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projet'!$B$14,Paramètres!$A$1:$I$88,3,0)*0.475*44/12</f>
        <v>21.999611398842159</v>
      </c>
      <c r="EB200" s="23">
        <f>EXP(-LN(2)/25)*EB199+(1-EXP(-LN(2)/25))/(LN(2)/25)*Calculateur!DW200*Calculateur!DY200*VLOOKUP('Données projet'!$B$14,Paramètres!$A$1:$I$88,3,0)*0.475*44/12</f>
        <v>0</v>
      </c>
      <c r="EC200" s="23">
        <f>EXP(-LN(2)/2)*EC199+(1-EXP(-LN(2)/2))/(LN(2)/2)*DW200*DZ200*VLOOKUP('Données projet'!$B$14,Paramètres!$A$1:$I$88,3,0)*0.475*44/12</f>
        <v>0</v>
      </c>
      <c r="ED200" s="24">
        <f t="shared" si="178"/>
        <v>21.999611398842159</v>
      </c>
      <c r="EE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4.5474735088646412E-13</v>
      </c>
      <c r="EK200" s="18">
        <f>EJ200*VLOOKUP('Données projet'!$B$15,Paramètres!$A$1:$I$88,3,0)*VLOOKUP('Données projet'!$B$15,Paramètres!$A$1:$I$88,5,0)</f>
        <v>3.9017322706058626E-13</v>
      </c>
      <c r="EL200" s="14">
        <f t="shared" si="179"/>
        <v>5.0025007393608908E-12</v>
      </c>
      <c r="EM200" s="22">
        <f t="shared" si="180"/>
        <v>9.3922404915174053E-12</v>
      </c>
      <c r="EN200" s="59">
        <f t="shared" si="198"/>
        <v>293.33333333334269</v>
      </c>
      <c r="EO200" s="59">
        <f ca="1">AVERAGE(OFFSET($EN$3,0,0,'Données projet'!$E$15+1,1))-AVERAGE(OFFSET($H$3,0,0,'Données projet'!$E$15+1,1))</f>
        <v>462.99360395552145</v>
      </c>
      <c r="EP200" s="59">
        <f t="shared" si="210"/>
        <v>153.03880717786046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projet'!$B$15,Paramètres!$A$1:$I$88,3,0)*0.475*44/12</f>
        <v>38.293559148548816</v>
      </c>
      <c r="EW200" s="23">
        <f>EXP(-LN(2)/25)*EW199+(1-EXP(-LN(2)/25))/(LN(2)/25)*Calculateur!ER200*Calculateur!ET200*VLOOKUP('Données projet'!$B$15,Paramètres!$A$1:$I$88,3,0)*0.475*44/12</f>
        <v>0</v>
      </c>
      <c r="EX200" s="23">
        <f>EXP(-LN(2)/2)*EX199+(1-EXP(-LN(2)/2))/(LN(2)/2)*ER200*EU200*VLOOKUP('Données projet'!$B$15,Paramètres!$A$1:$I$88,3,0)*0.475*44/12</f>
        <v>0</v>
      </c>
      <c r="EY200" s="24">
        <f t="shared" si="181"/>
        <v>38.293559148548816</v>
      </c>
      <c r="EZ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2.2737367544323206E-13</v>
      </c>
      <c r="FF200" s="18">
        <f>FE200*VLOOKUP('Données projet'!$B$16,Paramètres!$A$1:$I$88,3,0)*VLOOKUP('Données projet'!$B$16,Paramètres!$A$1:$I$88,5,0)</f>
        <v>1.9863364286720756E-13</v>
      </c>
      <c r="FG200" s="14">
        <f t="shared" si="182"/>
        <v>2.7549360720371426E-12</v>
      </c>
      <c r="FH200" s="22">
        <f t="shared" si="183"/>
        <v>5.144133920125077E-12</v>
      </c>
      <c r="FI200" s="59">
        <f t="shared" si="199"/>
        <v>293.33333333333843</v>
      </c>
      <c r="FJ200" s="59">
        <f ca="1">AVERAGE(OFFSET($FI$3,0,0,'Données projet'!$E$16+1,1))-AVERAGE(OFFSET($H$3,0,0,'Données projet'!$E$16+1,1))</f>
        <v>427.76895185088944</v>
      </c>
      <c r="FK200" s="59">
        <f t="shared" si="211"/>
        <v>308.32543361559135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projet'!$B$16,Paramètres!$A$1:$I$88,3,0)*0.475*44/12</f>
        <v>31.098287330155557</v>
      </c>
      <c r="FR200" s="23">
        <f>EXP(-LN(2)/25)*FR199+(1-EXP(-LN(2)/25))/(LN(2)/25)*Calculateur!FM200*Calculateur!FO200*VLOOKUP('Données projet'!$B$16,Paramètres!$A$1:$I$88,3,0)*0.475*44/12</f>
        <v>0</v>
      </c>
      <c r="FS200" s="23">
        <f>EXP(-LN(2)/2)*FS199+(1-EXP(-LN(2)/2))/(LN(2)/2)*FM200*FP200*VLOOKUP('Données projet'!$B$16,Paramètres!$A$1:$I$88,3,0)*0.475*44/12</f>
        <v>0</v>
      </c>
      <c r="FT200" s="24">
        <f t="shared" si="184"/>
        <v>31.098287330155557</v>
      </c>
      <c r="FU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333.00000000000006</v>
      </c>
      <c r="GA200" s="18">
        <f>FZ200*VLOOKUP('Données projet'!$B$17,Paramètres!$A$1:$I$88,3,0)*VLOOKUP('Données projet'!$B$17,Paramètres!$A$1:$I$88,5,0)</f>
        <v>207.79200000000006</v>
      </c>
      <c r="GB200" s="14">
        <f t="shared" si="185"/>
        <v>51.452785725007907</v>
      </c>
      <c r="GC200" s="22">
        <f t="shared" si="186"/>
        <v>451.5180018043888</v>
      </c>
      <c r="GD200" s="59">
        <f t="shared" si="200"/>
        <v>744.85133513772212</v>
      </c>
      <c r="GE200" s="59">
        <f ca="1">AVERAGE(OFFSET($GD$3,0,0,'Données projet'!$E$17+1,1))-AVERAGE(OFFSET($H$3,0,0,'Données projet'!$E$17+1,1))</f>
        <v>247.85542034088905</v>
      </c>
      <c r="GF200" s="59">
        <f t="shared" si="212"/>
        <v>299.52241743660352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projet'!$B$17,Paramètres!$A$1:$I$88,3,0)*0.475*44/12</f>
        <v>2.4642730021743753</v>
      </c>
      <c r="GM200" s="23">
        <f>EXP(-LN(2)/25)*GM199+(1-EXP(-LN(2)/25))/(LN(2)/25)*Calculateur!GH200*Calculateur!GJ200*VLOOKUP('Données projet'!$B$17,Paramètres!$A$1:$I$88,3,0)*0.475*44/12</f>
        <v>0.852000507054686</v>
      </c>
      <c r="GN200" s="23">
        <f>EXP(-LN(2)/2)*GN199+(1-EXP(-LN(2)/2))/(LN(2)/2)*GH200*GK200*VLOOKUP('Données projet'!$B$17,Paramètres!$A$1:$I$88,3,0)*0.475*44/12</f>
        <v>1.0254404325287614E-19</v>
      </c>
      <c r="GO200" s="23">
        <f t="shared" si="187"/>
        <v>3.3162735092290614</v>
      </c>
      <c r="GP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3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6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projet'!$B$9,Paramètres!$A$1:$I$88,3,0)*VLOOKUP('Données projet'!$B$9,Paramètres!$A$1:$I$88,5,0)</f>
        <v>-2.0572770154103635E-13</v>
      </c>
      <c r="P201" s="14" t="e">
        <f t="shared" si="203"/>
        <v>#NUM!</v>
      </c>
      <c r="Q201" s="22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247.57967230773539</v>
      </c>
      <c r="T201" s="59">
        <f t="shared" si="204"/>
        <v>156.58857589533295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59.828045790102124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59.828045790102124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-3.4106051316484809E-13</v>
      </c>
      <c r="AJ201" s="14">
        <f>AI201*VLOOKUP('Données projet'!$B$10,Paramètres!$A$1:$I$88,3,0)*VLOOKUP('Données projet'!$B$10,Paramètres!$A$1:$I$88,5,0)</f>
        <v>-2.7134774427395314E-13</v>
      </c>
      <c r="AK201" s="14" t="e">
        <f t="shared" si="164"/>
        <v>#NUM!</v>
      </c>
      <c r="AL201" s="22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504.15006129790828</v>
      </c>
      <c r="AO201" s="59">
        <f t="shared" si="205"/>
        <v>374.39334457402742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34.675287047564744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34.675287047564744</v>
      </c>
      <c r="AY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-3.4106051316484809E-13</v>
      </c>
      <c r="BE201" s="14">
        <f>BD201*VLOOKUP('Données projet'!$B$11,Paramètres!$A$1:$I$88,3,0)*VLOOKUP('Données projet'!$B$11,Paramètres!$A$1:$I$88,5,0)</f>
        <v>-2.7134774427395314E-13</v>
      </c>
      <c r="BF201" s="14" t="e">
        <f t="shared" si="167"/>
        <v>#NUM!</v>
      </c>
      <c r="BG201" s="22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504.15006129790828</v>
      </c>
      <c r="BJ201" s="59">
        <f t="shared" si="206"/>
        <v>374.39334457402742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34.675287047564744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34.675287047564744</v>
      </c>
      <c r="BT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-3.4106051316484809E-13</v>
      </c>
      <c r="BZ201" s="14">
        <f>BY201*VLOOKUP('Données projet'!$B$12,Paramètres!$A$1:$I$88,3,0)*VLOOKUP('Données projet'!$B$12,Paramètres!$A$1:$I$88,5,0)</f>
        <v>-2.2878339223098009E-13</v>
      </c>
      <c r="CA201" s="14" t="e">
        <f t="shared" si="170"/>
        <v>#NUM!</v>
      </c>
      <c r="CB201" s="22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387.15063677712425</v>
      </c>
      <c r="CE201" s="59">
        <f t="shared" si="207"/>
        <v>313.19155394370705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22.862305184013774</v>
      </c>
      <c r="CL201" s="23">
        <f>EXP(-LN(2)/25)*CL200+(1-EXP(-LN(2)/25))/(LN(2)/25)*Calculateur!CG201*Calculateur!CI201*VLOOKUP('Données projet'!$B$12,Paramètres!$A$1:$I$88,3,0)*0.475*44/12</f>
        <v>0</v>
      </c>
      <c r="CM201" s="23">
        <f>EXP(-LN(2)/2)*CM200+(1-EXP(-LN(2)/2))/(LN(2)/2)*CG201*CJ201*VLOOKUP('Données projet'!$B$12,Paramètres!$A$1:$I$88,3,0)*0.475*44/12</f>
        <v>0</v>
      </c>
      <c r="CN201" s="24">
        <f t="shared" si="172"/>
        <v>22.862305184013774</v>
      </c>
      <c r="CO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-2.2737367544323206E-13</v>
      </c>
      <c r="CU201" s="18">
        <f>CT201*VLOOKUP('Données projet'!$B$13,Paramètres!$A$1:$I$88,3,0)*VLOOKUP('Données projet'!$B$13,Paramètres!$A$1:$I$88,5,0)</f>
        <v>-2.1991581888869406E-13</v>
      </c>
      <c r="CV201" s="14" t="e">
        <f t="shared" si="173"/>
        <v>#NUM!</v>
      </c>
      <c r="CW201" s="22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306.00894145276209</v>
      </c>
      <c r="CZ201" s="59">
        <f t="shared" si="208"/>
        <v>168.74705421228828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130.5864493276394</v>
      </c>
      <c r="DG201" s="23">
        <f>EXP(-LN(2)/25)*DG200+(1-EXP(-LN(2)/25))/(LN(2)/25)*Calculateur!DB201*Calculateur!DD201*VLOOKUP('Données projet'!$B$13,Paramètres!$A$1:$I$88,3,0)*0.475*44/12</f>
        <v>0</v>
      </c>
      <c r="DH201" s="23">
        <f>EXP(-LN(2)/2)*DH200+(1-EXP(-LN(2)/2))/(LN(2)/2)*DB201*DE201*VLOOKUP('Données projet'!$B$13,Paramètres!$A$1:$I$88,3,0)*0.475*44/12</f>
        <v>0</v>
      </c>
      <c r="DI201" s="24">
        <f t="shared" si="175"/>
        <v>130.5864493276394</v>
      </c>
      <c r="DJ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-3.4106051316484809E-13</v>
      </c>
      <c r="DP201" s="18">
        <f>DO201*VLOOKUP('Données projet'!$B$14,Paramètres!$A$1:$I$88,3,0)*VLOOKUP('Données projet'!$B$14,Paramètres!$A$1:$I$88,5,0)</f>
        <v>-2.6602720026858149E-13</v>
      </c>
      <c r="DQ201" s="14" t="e">
        <f t="shared" si="176"/>
        <v>#NUM!</v>
      </c>
      <c r="DR201" s="22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458.14328535055694</v>
      </c>
      <c r="DU201" s="59">
        <f t="shared" si="209"/>
        <v>366.75500153675739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projet'!$B$14,Paramètres!$A$1:$I$88,3,0)*0.475*44/12</f>
        <v>21.568212437748858</v>
      </c>
      <c r="EB201" s="23">
        <f>EXP(-LN(2)/25)*EB200+(1-EXP(-LN(2)/25))/(LN(2)/25)*Calculateur!DW201*Calculateur!DY201*VLOOKUP('Données projet'!$B$14,Paramètres!$A$1:$I$88,3,0)*0.475*44/12</f>
        <v>0</v>
      </c>
      <c r="EC201" s="23">
        <f>EXP(-LN(2)/2)*EC200+(1-EXP(-LN(2)/2))/(LN(2)/2)*DW201*DZ201*VLOOKUP('Données projet'!$B$14,Paramètres!$A$1:$I$88,3,0)*0.475*44/12</f>
        <v>0</v>
      </c>
      <c r="ED201" s="24">
        <f t="shared" si="178"/>
        <v>21.568212437748858</v>
      </c>
      <c r="EE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4.5474735088646412E-13</v>
      </c>
      <c r="EK201" s="18">
        <f>EJ201*VLOOKUP('Données projet'!$B$15,Paramètres!$A$1:$I$88,3,0)*VLOOKUP('Données projet'!$B$15,Paramètres!$A$1:$I$88,5,0)</f>
        <v>3.9017322706058626E-13</v>
      </c>
      <c r="EL201" s="14">
        <f t="shared" si="179"/>
        <v>5.0025007393608908E-12</v>
      </c>
      <c r="EM201" s="22">
        <f t="shared" si="180"/>
        <v>9.3922404915174053E-12</v>
      </c>
      <c r="EN201" s="59">
        <f t="shared" si="198"/>
        <v>293.33333333334269</v>
      </c>
      <c r="EO201" s="59">
        <f ca="1">AVERAGE(OFFSET($EN$3,0,0,'Données projet'!$E$15+1,1))-AVERAGE(OFFSET($H$3,0,0,'Données projet'!$E$15+1,1))</f>
        <v>462.99360395552145</v>
      </c>
      <c r="EP201" s="59">
        <f t="shared" si="210"/>
        <v>153.03880717786046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projet'!$B$15,Paramètres!$A$1:$I$88,3,0)*0.475*44/12</f>
        <v>37.542645810410562</v>
      </c>
      <c r="EW201" s="23">
        <f>EXP(-LN(2)/25)*EW200+(1-EXP(-LN(2)/25))/(LN(2)/25)*Calculateur!ER201*Calculateur!ET201*VLOOKUP('Données projet'!$B$15,Paramètres!$A$1:$I$88,3,0)*0.475*44/12</f>
        <v>0</v>
      </c>
      <c r="EX201" s="23">
        <f>EXP(-LN(2)/2)*EX200+(1-EXP(-LN(2)/2))/(LN(2)/2)*ER201*EU201*VLOOKUP('Données projet'!$B$15,Paramètres!$A$1:$I$88,3,0)*0.475*44/12</f>
        <v>0</v>
      </c>
      <c r="EY201" s="24">
        <f t="shared" si="181"/>
        <v>37.542645810410562</v>
      </c>
      <c r="EZ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2.2737367544323206E-13</v>
      </c>
      <c r="FF201" s="18">
        <f>FE201*VLOOKUP('Données projet'!$B$16,Paramètres!$A$1:$I$88,3,0)*VLOOKUP('Données projet'!$B$16,Paramètres!$A$1:$I$88,5,0)</f>
        <v>1.9863364286720756E-13</v>
      </c>
      <c r="FG201" s="14">
        <f t="shared" si="182"/>
        <v>2.7549360720371426E-12</v>
      </c>
      <c r="FH201" s="22">
        <f t="shared" si="183"/>
        <v>5.144133920125077E-12</v>
      </c>
      <c r="FI201" s="59">
        <f t="shared" si="199"/>
        <v>293.33333333333843</v>
      </c>
      <c r="FJ201" s="59">
        <f ca="1">AVERAGE(OFFSET($FI$3,0,0,'Données projet'!$E$16+1,1))-AVERAGE(OFFSET($H$3,0,0,'Données projet'!$E$16+1,1))</f>
        <v>427.76895185088944</v>
      </c>
      <c r="FK201" s="59">
        <f t="shared" si="211"/>
        <v>308.32543361559135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projet'!$B$16,Paramètres!$A$1:$I$88,3,0)*0.475*44/12</f>
        <v>30.488468883693535</v>
      </c>
      <c r="FR201" s="23">
        <f>EXP(-LN(2)/25)*FR200+(1-EXP(-LN(2)/25))/(LN(2)/25)*Calculateur!FM201*Calculateur!FO201*VLOOKUP('Données projet'!$B$16,Paramètres!$A$1:$I$88,3,0)*0.475*44/12</f>
        <v>0</v>
      </c>
      <c r="FS201" s="23">
        <f>EXP(-LN(2)/2)*FS200+(1-EXP(-LN(2)/2))/(LN(2)/2)*FM201*FP201*VLOOKUP('Données projet'!$B$16,Paramètres!$A$1:$I$88,3,0)*0.475*44/12</f>
        <v>0</v>
      </c>
      <c r="FT201" s="24">
        <f t="shared" si="184"/>
        <v>30.488468883693535</v>
      </c>
      <c r="FU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333.00000000000006</v>
      </c>
      <c r="GA201" s="18">
        <f>FZ201*VLOOKUP('Données projet'!$B$17,Paramètres!$A$1:$I$88,3,0)*VLOOKUP('Données projet'!$B$17,Paramètres!$A$1:$I$88,5,0)</f>
        <v>207.79200000000006</v>
      </c>
      <c r="GB201" s="14">
        <f t="shared" si="185"/>
        <v>51.452785725007907</v>
      </c>
      <c r="GC201" s="22">
        <f t="shared" si="186"/>
        <v>451.5180018043888</v>
      </c>
      <c r="GD201" s="59">
        <f t="shared" si="200"/>
        <v>744.85133513772212</v>
      </c>
      <c r="GE201" s="59">
        <f ca="1">AVERAGE(OFFSET($GD$3,0,0,'Données projet'!$E$17+1,1))-AVERAGE(OFFSET($H$3,0,0,'Données projet'!$E$17+1,1))</f>
        <v>247.85542034088905</v>
      </c>
      <c r="GF201" s="59">
        <f t="shared" si="212"/>
        <v>299.52241743660352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projet'!$B$17,Paramètres!$A$1:$I$88,3,0)*0.475*44/12</f>
        <v>2.4159501116598525</v>
      </c>
      <c r="GM201" s="23">
        <f>EXP(-LN(2)/25)*GM200+(1-EXP(-LN(2)/25))/(LN(2)/25)*Calculateur!GH201*Calculateur!GJ201*VLOOKUP('Données projet'!$B$17,Paramètres!$A$1:$I$88,3,0)*0.475*44/12</f>
        <v>0.8287025083845162</v>
      </c>
      <c r="GN201" s="23">
        <f>EXP(-LN(2)/2)*GN200+(1-EXP(-LN(2)/2))/(LN(2)/2)*GH201*GK201*VLOOKUP('Données projet'!$B$17,Paramètres!$A$1:$I$88,3,0)*0.475*44/12</f>
        <v>7.250958835439535E-20</v>
      </c>
      <c r="GO201" s="23">
        <f t="shared" si="187"/>
        <v>3.2446526200443686</v>
      </c>
      <c r="GP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3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6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projet'!$B$9,Paramètres!$A$1:$I$88,3,0)*VLOOKUP('Données projet'!$B$9,Paramètres!$A$1:$I$88,5,0)</f>
        <v>-2.0572770154103635E-13</v>
      </c>
      <c r="P202" s="14" t="e">
        <f t="shared" si="203"/>
        <v>#NUM!</v>
      </c>
      <c r="Q202" s="22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247.57967230773539</v>
      </c>
      <c r="T202" s="59">
        <f t="shared" si="204"/>
        <v>156.58857589533295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58.654854303662916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58.654854303662916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-3.4106051316484809E-13</v>
      </c>
      <c r="AJ202" s="14">
        <f>AI202*VLOOKUP('Données projet'!$B$10,Paramètres!$A$1:$I$88,3,0)*VLOOKUP('Données projet'!$B$10,Paramètres!$A$1:$I$88,5,0)</f>
        <v>-2.7134774427395314E-13</v>
      </c>
      <c r="AK202" s="14" t="e">
        <f t="shared" si="164"/>
        <v>#NUM!</v>
      </c>
      <c r="AL202" s="22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504.15006129790828</v>
      </c>
      <c r="AO202" s="59">
        <f t="shared" si="205"/>
        <v>374.39334457402742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33.995325818398726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33.995325818398726</v>
      </c>
      <c r="AY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-3.4106051316484809E-13</v>
      </c>
      <c r="BE202" s="14">
        <f>BD202*VLOOKUP('Données projet'!$B$11,Paramètres!$A$1:$I$88,3,0)*VLOOKUP('Données projet'!$B$11,Paramètres!$A$1:$I$88,5,0)</f>
        <v>-2.7134774427395314E-13</v>
      </c>
      <c r="BF202" s="14" t="e">
        <f t="shared" si="167"/>
        <v>#NUM!</v>
      </c>
      <c r="BG202" s="22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504.15006129790828</v>
      </c>
      <c r="BJ202" s="59">
        <f t="shared" si="206"/>
        <v>374.39334457402742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33.995325818398726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33.995325818398726</v>
      </c>
      <c r="BT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-3.4106051316484809E-13</v>
      </c>
      <c r="BZ202" s="14">
        <f>BY202*VLOOKUP('Données projet'!$B$12,Paramètres!$A$1:$I$88,3,0)*VLOOKUP('Données projet'!$B$12,Paramètres!$A$1:$I$88,5,0)</f>
        <v>-2.2878339223098009E-13</v>
      </c>
      <c r="CA202" s="14" t="e">
        <f t="shared" si="170"/>
        <v>#NUM!</v>
      </c>
      <c r="CB202" s="22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387.15063677712425</v>
      </c>
      <c r="CE202" s="59">
        <f t="shared" si="207"/>
        <v>313.19155394370705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22.413989323984509</v>
      </c>
      <c r="CL202" s="23">
        <f>EXP(-LN(2)/25)*CL201+(1-EXP(-LN(2)/25))/(LN(2)/25)*Calculateur!CG202*Calculateur!CI202*VLOOKUP('Données projet'!$B$12,Paramètres!$A$1:$I$88,3,0)*0.475*44/12</f>
        <v>0</v>
      </c>
      <c r="CM202" s="23">
        <f>EXP(-LN(2)/2)*CM201+(1-EXP(-LN(2)/2))/(LN(2)/2)*CG202*CJ202*VLOOKUP('Données projet'!$B$12,Paramètres!$A$1:$I$88,3,0)*0.475*44/12</f>
        <v>0</v>
      </c>
      <c r="CN202" s="24">
        <f t="shared" si="172"/>
        <v>22.413989323984509</v>
      </c>
      <c r="CO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-2.2737367544323206E-13</v>
      </c>
      <c r="CU202" s="18">
        <f>CT202*VLOOKUP('Données projet'!$B$13,Paramètres!$A$1:$I$88,3,0)*VLOOKUP('Données projet'!$B$13,Paramètres!$A$1:$I$88,5,0)</f>
        <v>-2.1991581888869406E-13</v>
      </c>
      <c r="CV202" s="14" t="e">
        <f t="shared" si="173"/>
        <v>#NUM!</v>
      </c>
      <c r="CW202" s="22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306.00894145276209</v>
      </c>
      <c r="CZ202" s="59">
        <f t="shared" si="208"/>
        <v>168.74705421228828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128.02572870619372</v>
      </c>
      <c r="DG202" s="23">
        <f>EXP(-LN(2)/25)*DG201+(1-EXP(-LN(2)/25))/(LN(2)/25)*Calculateur!DB202*Calculateur!DD202*VLOOKUP('Données projet'!$B$13,Paramètres!$A$1:$I$88,3,0)*0.475*44/12</f>
        <v>0</v>
      </c>
      <c r="DH202" s="23">
        <f>EXP(-LN(2)/2)*DH201+(1-EXP(-LN(2)/2))/(LN(2)/2)*DB202*DE202*VLOOKUP('Données projet'!$B$13,Paramètres!$A$1:$I$88,3,0)*0.475*44/12</f>
        <v>0</v>
      </c>
      <c r="DI202" s="24">
        <f t="shared" si="175"/>
        <v>128.02572870619372</v>
      </c>
      <c r="DJ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-3.4106051316484809E-13</v>
      </c>
      <c r="DP202" s="18">
        <f>DO202*VLOOKUP('Données projet'!$B$14,Paramètres!$A$1:$I$88,3,0)*VLOOKUP('Données projet'!$B$14,Paramètres!$A$1:$I$88,5,0)</f>
        <v>-2.6602720026858149E-13</v>
      </c>
      <c r="DQ202" s="14" t="e">
        <f t="shared" si="176"/>
        <v>#NUM!</v>
      </c>
      <c r="DR202" s="22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458.14328535055694</v>
      </c>
      <c r="DU202" s="59">
        <f t="shared" si="209"/>
        <v>366.75500153675739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projet'!$B$14,Paramètres!$A$1:$I$88,3,0)*0.475*44/12</f>
        <v>21.14527294715521</v>
      </c>
      <c r="EB202" s="23">
        <f>EXP(-LN(2)/25)*EB201+(1-EXP(-LN(2)/25))/(LN(2)/25)*Calculateur!DW202*Calculateur!DY202*VLOOKUP('Données projet'!$B$14,Paramètres!$A$1:$I$88,3,0)*0.475*44/12</f>
        <v>0</v>
      </c>
      <c r="EC202" s="23">
        <f>EXP(-LN(2)/2)*EC201+(1-EXP(-LN(2)/2))/(LN(2)/2)*DW202*DZ202*VLOOKUP('Données projet'!$B$14,Paramètres!$A$1:$I$88,3,0)*0.475*44/12</f>
        <v>0</v>
      </c>
      <c r="ED202" s="24">
        <f t="shared" si="178"/>
        <v>21.14527294715521</v>
      </c>
      <c r="EE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4.5474735088646412E-13</v>
      </c>
      <c r="EK202" s="18">
        <f>EJ202*VLOOKUP('Données projet'!$B$15,Paramètres!$A$1:$I$88,3,0)*VLOOKUP('Données projet'!$B$15,Paramètres!$A$1:$I$88,5,0)</f>
        <v>3.9017322706058626E-13</v>
      </c>
      <c r="EL202" s="14">
        <f t="shared" si="179"/>
        <v>5.0025007393608908E-12</v>
      </c>
      <c r="EM202" s="22">
        <f t="shared" si="180"/>
        <v>9.3922404915174053E-12</v>
      </c>
      <c r="EN202" s="59">
        <f t="shared" si="198"/>
        <v>293.33333333334269</v>
      </c>
      <c r="EO202" s="59">
        <f ca="1">AVERAGE(OFFSET($EN$3,0,0,'Données projet'!$E$15+1,1))-AVERAGE(OFFSET($H$3,0,0,'Données projet'!$E$15+1,1))</f>
        <v>462.99360395552145</v>
      </c>
      <c r="EP202" s="59">
        <f t="shared" si="210"/>
        <v>153.03880717786046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projet'!$B$15,Paramètres!$A$1:$I$88,3,0)*0.475*44/12</f>
        <v>36.806457424821289</v>
      </c>
      <c r="EW202" s="23">
        <f>EXP(-LN(2)/25)*EW201+(1-EXP(-LN(2)/25))/(LN(2)/25)*Calculateur!ER202*Calculateur!ET202*VLOOKUP('Données projet'!$B$15,Paramètres!$A$1:$I$88,3,0)*0.475*44/12</f>
        <v>0</v>
      </c>
      <c r="EX202" s="23">
        <f>EXP(-LN(2)/2)*EX201+(1-EXP(-LN(2)/2))/(LN(2)/2)*ER202*EU202*VLOOKUP('Données projet'!$B$15,Paramètres!$A$1:$I$88,3,0)*0.475*44/12</f>
        <v>0</v>
      </c>
      <c r="EY202" s="24">
        <f t="shared" si="181"/>
        <v>36.806457424821289</v>
      </c>
      <c r="EZ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2.2737367544323206E-13</v>
      </c>
      <c r="FF202" s="18">
        <f>FE202*VLOOKUP('Données projet'!$B$16,Paramètres!$A$1:$I$88,3,0)*VLOOKUP('Données projet'!$B$16,Paramètres!$A$1:$I$88,5,0)</f>
        <v>1.9863364286720756E-13</v>
      </c>
      <c r="FG202" s="14">
        <f t="shared" si="182"/>
        <v>2.7549360720371426E-12</v>
      </c>
      <c r="FH202" s="22">
        <f t="shared" si="183"/>
        <v>5.144133920125077E-12</v>
      </c>
      <c r="FI202" s="59">
        <f t="shared" si="199"/>
        <v>293.33333333333843</v>
      </c>
      <c r="FJ202" s="59">
        <f ca="1">AVERAGE(OFFSET($FI$3,0,0,'Données projet'!$E$16+1,1))-AVERAGE(OFFSET($H$3,0,0,'Données projet'!$E$16+1,1))</f>
        <v>427.76895185088944</v>
      </c>
      <c r="FK202" s="59">
        <f t="shared" si="211"/>
        <v>308.32543361559135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projet'!$B$16,Paramètres!$A$1:$I$88,3,0)*0.475*44/12</f>
        <v>29.890608605014108</v>
      </c>
      <c r="FR202" s="23">
        <f>EXP(-LN(2)/25)*FR201+(1-EXP(-LN(2)/25))/(LN(2)/25)*Calculateur!FM202*Calculateur!FO202*VLOOKUP('Données projet'!$B$16,Paramètres!$A$1:$I$88,3,0)*0.475*44/12</f>
        <v>0</v>
      </c>
      <c r="FS202" s="23">
        <f>EXP(-LN(2)/2)*FS201+(1-EXP(-LN(2)/2))/(LN(2)/2)*FM202*FP202*VLOOKUP('Données projet'!$B$16,Paramètres!$A$1:$I$88,3,0)*0.475*44/12</f>
        <v>0</v>
      </c>
      <c r="FT202" s="24">
        <f t="shared" si="184"/>
        <v>29.890608605014108</v>
      </c>
      <c r="FU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333.00000000000006</v>
      </c>
      <c r="GA202" s="18">
        <f>FZ202*VLOOKUP('Données projet'!$B$17,Paramètres!$A$1:$I$88,3,0)*VLOOKUP('Données projet'!$B$17,Paramètres!$A$1:$I$88,5,0)</f>
        <v>207.79200000000006</v>
      </c>
      <c r="GB202" s="14">
        <f t="shared" si="185"/>
        <v>51.452785725007907</v>
      </c>
      <c r="GC202" s="22">
        <f t="shared" si="186"/>
        <v>451.5180018043888</v>
      </c>
      <c r="GD202" s="59">
        <f t="shared" si="200"/>
        <v>744.85133513772212</v>
      </c>
      <c r="GE202" s="59">
        <f ca="1">AVERAGE(OFFSET($GD$3,0,0,'Données projet'!$E$17+1,1))-AVERAGE(OFFSET($H$3,0,0,'Données projet'!$E$17+1,1))</f>
        <v>247.85542034088905</v>
      </c>
      <c r="GF202" s="59">
        <f t="shared" si="212"/>
        <v>299.52241743660352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projet'!$B$17,Paramètres!$A$1:$I$88,3,0)*0.475*44/12</f>
        <v>2.3685748035542664</v>
      </c>
      <c r="GM202" s="23">
        <f>EXP(-LN(2)/25)*GM201+(1-EXP(-LN(2)/25))/(LN(2)/25)*Calculateur!GH202*Calculateur!GJ202*VLOOKUP('Données projet'!$B$17,Paramètres!$A$1:$I$88,3,0)*0.475*44/12</f>
        <v>0.80604159471317072</v>
      </c>
      <c r="GN202" s="23">
        <f>EXP(-LN(2)/2)*GN201+(1-EXP(-LN(2)/2))/(LN(2)/2)*GH202*GK202*VLOOKUP('Données projet'!$B$17,Paramètres!$A$1:$I$88,3,0)*0.475*44/12</f>
        <v>5.1272021626438068E-20</v>
      </c>
      <c r="GO202" s="23">
        <f t="shared" si="187"/>
        <v>3.1746163982674371</v>
      </c>
      <c r="GP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3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6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projet'!$B$9,Paramètres!$A$1:$I$88,3,0)*VLOOKUP('Données projet'!$B$9,Paramètres!$A$1:$I$88,5,0)</f>
        <v>-2.0572770154103635E-13</v>
      </c>
      <c r="P203" s="14" t="e">
        <f t="shared" si="203"/>
        <v>#NUM!</v>
      </c>
      <c r="Q203" s="22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247.57967230773539</v>
      </c>
      <c r="T203" s="59">
        <f t="shared" si="204"/>
        <v>156.58857589533295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57.504668386696629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57.504668386696629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-3.4106051316484809E-13</v>
      </c>
      <c r="AJ203" s="14">
        <f>AI203*VLOOKUP('Données projet'!$B$10,Paramètres!$A$1:$I$88,3,0)*VLOOKUP('Données projet'!$B$10,Paramètres!$A$1:$I$88,5,0)</f>
        <v>-2.7134774427395314E-13</v>
      </c>
      <c r="AK203" s="14" t="e">
        <f t="shared" si="164"/>
        <v>#NUM!</v>
      </c>
      <c r="AL203" s="22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504.15006129790828</v>
      </c>
      <c r="AO203" s="59">
        <f t="shared" si="205"/>
        <v>374.39334457402742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33.328698214201253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33.328698214201253</v>
      </c>
      <c r="AY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-3.4106051316484809E-13</v>
      </c>
      <c r="BE203" s="14">
        <f>BD203*VLOOKUP('Données projet'!$B$11,Paramètres!$A$1:$I$88,3,0)*VLOOKUP('Données projet'!$B$11,Paramètres!$A$1:$I$88,5,0)</f>
        <v>-2.7134774427395314E-13</v>
      </c>
      <c r="BF203" s="14" t="e">
        <f t="shared" si="167"/>
        <v>#NUM!</v>
      </c>
      <c r="BG203" s="22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504.15006129790828</v>
      </c>
      <c r="BJ203" s="59">
        <f t="shared" si="206"/>
        <v>374.39334457402742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33.328698214201253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33.328698214201253</v>
      </c>
      <c r="BT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-3.4106051316484809E-13</v>
      </c>
      <c r="BZ203" s="14">
        <f>BY203*VLOOKUP('Données projet'!$B$12,Paramètres!$A$1:$I$88,3,0)*VLOOKUP('Données projet'!$B$12,Paramètres!$A$1:$I$88,5,0)</f>
        <v>-2.2878339223098009E-13</v>
      </c>
      <c r="CA203" s="14" t="e">
        <f t="shared" si="170"/>
        <v>#NUM!</v>
      </c>
      <c r="CB203" s="22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387.15063677712425</v>
      </c>
      <c r="CE203" s="59">
        <f t="shared" si="207"/>
        <v>313.19155394370705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21.974464664524742</v>
      </c>
      <c r="CL203" s="23">
        <f>EXP(-LN(2)/25)*CL202+(1-EXP(-LN(2)/25))/(LN(2)/25)*Calculateur!CG203*Calculateur!CI203*VLOOKUP('Données projet'!$B$12,Paramètres!$A$1:$I$88,3,0)*0.475*44/12</f>
        <v>0</v>
      </c>
      <c r="CM203" s="23">
        <f>EXP(-LN(2)/2)*CM202+(1-EXP(-LN(2)/2))/(LN(2)/2)*CG203*CJ203*VLOOKUP('Données projet'!$B$12,Paramètres!$A$1:$I$88,3,0)*0.475*44/12</f>
        <v>0</v>
      </c>
      <c r="CN203" s="24">
        <f t="shared" si="172"/>
        <v>21.974464664524742</v>
      </c>
      <c r="CO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-2.2737367544323206E-13</v>
      </c>
      <c r="CU203" s="18">
        <f>CT203*VLOOKUP('Données projet'!$B$13,Paramètres!$A$1:$I$88,3,0)*VLOOKUP('Données projet'!$B$13,Paramètres!$A$1:$I$88,5,0)</f>
        <v>-2.1991581888869406E-13</v>
      </c>
      <c r="CV203" s="14" t="e">
        <f t="shared" si="173"/>
        <v>#NUM!</v>
      </c>
      <c r="CW203" s="22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306.00894145276209</v>
      </c>
      <c r="CZ203" s="59">
        <f t="shared" si="208"/>
        <v>168.74705421228828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125.51522225424922</v>
      </c>
      <c r="DG203" s="23">
        <f>EXP(-LN(2)/25)*DG202+(1-EXP(-LN(2)/25))/(LN(2)/25)*Calculateur!DB203*Calculateur!DD203*VLOOKUP('Données projet'!$B$13,Paramètres!$A$1:$I$88,3,0)*0.475*44/12</f>
        <v>0</v>
      </c>
      <c r="DH203" s="23">
        <f>EXP(-LN(2)/2)*DH202+(1-EXP(-LN(2)/2))/(LN(2)/2)*DB203*DE203*VLOOKUP('Données projet'!$B$13,Paramètres!$A$1:$I$88,3,0)*0.475*44/12</f>
        <v>0</v>
      </c>
      <c r="DI203" s="24">
        <f t="shared" si="175"/>
        <v>125.51522225424922</v>
      </c>
      <c r="DJ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-3.4106051316484809E-13</v>
      </c>
      <c r="DP203" s="18">
        <f>DO203*VLOOKUP('Données projet'!$B$14,Paramètres!$A$1:$I$88,3,0)*VLOOKUP('Données projet'!$B$14,Paramètres!$A$1:$I$88,5,0)</f>
        <v>-2.6602720026858149E-13</v>
      </c>
      <c r="DQ203" s="14" t="e">
        <f t="shared" si="176"/>
        <v>#NUM!</v>
      </c>
      <c r="DR203" s="22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458.14328535055694</v>
      </c>
      <c r="DU203" s="59">
        <f t="shared" si="209"/>
        <v>366.75500153675739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projet'!$B$14,Paramètres!$A$1:$I$88,3,0)*0.475*44/12</f>
        <v>20.730627042004485</v>
      </c>
      <c r="EB203" s="23">
        <f>EXP(-LN(2)/25)*EB202+(1-EXP(-LN(2)/25))/(LN(2)/25)*Calculateur!DW203*Calculateur!DY203*VLOOKUP('Données projet'!$B$14,Paramètres!$A$1:$I$88,3,0)*0.475*44/12</f>
        <v>0</v>
      </c>
      <c r="EC203" s="23">
        <f>EXP(-LN(2)/2)*EC202+(1-EXP(-LN(2)/2))/(LN(2)/2)*DW203*DZ203*VLOOKUP('Données projet'!$B$14,Paramètres!$A$1:$I$88,3,0)*0.475*44/12</f>
        <v>0</v>
      </c>
      <c r="ED203" s="24">
        <f t="shared" si="178"/>
        <v>20.730627042004485</v>
      </c>
      <c r="EE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4.5474735088646412E-13</v>
      </c>
      <c r="EK203" s="18">
        <f>EJ203*VLOOKUP('Données projet'!$B$15,Paramètres!$A$1:$I$88,3,0)*VLOOKUP('Données projet'!$B$15,Paramètres!$A$1:$I$88,5,0)</f>
        <v>3.9017322706058626E-13</v>
      </c>
      <c r="EL203" s="14">
        <f t="shared" si="179"/>
        <v>5.0025007393608908E-12</v>
      </c>
      <c r="EM203" s="22">
        <f t="shared" si="180"/>
        <v>9.3922404915174053E-12</v>
      </c>
      <c r="EN203" s="59">
        <f t="shared" si="198"/>
        <v>293.33333333334269</v>
      </c>
      <c r="EO203" s="59">
        <f ca="1">AVERAGE(OFFSET($EN$3,0,0,'Données projet'!$E$15+1,1))-AVERAGE(OFFSET($H$3,0,0,'Données projet'!$E$15+1,1))</f>
        <v>462.99360395552145</v>
      </c>
      <c r="EP203" s="59">
        <f t="shared" si="210"/>
        <v>153.03880717786046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projet'!$B$15,Paramètres!$A$1:$I$88,3,0)*0.475*44/12</f>
        <v>36.084705244442844</v>
      </c>
      <c r="EW203" s="23">
        <f>EXP(-LN(2)/25)*EW202+(1-EXP(-LN(2)/25))/(LN(2)/25)*Calculateur!ER203*Calculateur!ET203*VLOOKUP('Données projet'!$B$15,Paramètres!$A$1:$I$88,3,0)*0.475*44/12</f>
        <v>0</v>
      </c>
      <c r="EX203" s="23">
        <f>EXP(-LN(2)/2)*EX202+(1-EXP(-LN(2)/2))/(LN(2)/2)*ER203*EU203*VLOOKUP('Données projet'!$B$15,Paramètres!$A$1:$I$88,3,0)*0.475*44/12</f>
        <v>0</v>
      </c>
      <c r="EY203" s="24">
        <f t="shared" si="181"/>
        <v>36.084705244442844</v>
      </c>
      <c r="EZ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2.2737367544323206E-13</v>
      </c>
      <c r="FF203" s="18">
        <f>FE203*VLOOKUP('Données projet'!$B$16,Paramètres!$A$1:$I$88,3,0)*VLOOKUP('Données projet'!$B$16,Paramètres!$A$1:$I$88,5,0)</f>
        <v>1.9863364286720756E-13</v>
      </c>
      <c r="FG203" s="14">
        <f t="shared" si="182"/>
        <v>2.7549360720371426E-12</v>
      </c>
      <c r="FH203" s="22">
        <f t="shared" si="183"/>
        <v>5.144133920125077E-12</v>
      </c>
      <c r="FI203" s="59">
        <f t="shared" si="199"/>
        <v>293.33333333333843</v>
      </c>
      <c r="FJ203" s="59">
        <f ca="1">AVERAGE(OFFSET($FI$3,0,0,'Données projet'!$E$16+1,1))-AVERAGE(OFFSET($H$3,0,0,'Données projet'!$E$16+1,1))</f>
        <v>427.76895185088944</v>
      </c>
      <c r="FK203" s="59">
        <f t="shared" si="211"/>
        <v>308.32543361559135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projet'!$B$16,Paramètres!$A$1:$I$88,3,0)*0.475*44/12</f>
        <v>29.304472001740823</v>
      </c>
      <c r="FR203" s="23">
        <f>EXP(-LN(2)/25)*FR202+(1-EXP(-LN(2)/25))/(LN(2)/25)*Calculateur!FM203*Calculateur!FO203*VLOOKUP('Données projet'!$B$16,Paramètres!$A$1:$I$88,3,0)*0.475*44/12</f>
        <v>0</v>
      </c>
      <c r="FS203" s="23">
        <f>EXP(-LN(2)/2)*FS202+(1-EXP(-LN(2)/2))/(LN(2)/2)*FM203*FP203*VLOOKUP('Données projet'!$B$16,Paramètres!$A$1:$I$88,3,0)*0.475*44/12</f>
        <v>0</v>
      </c>
      <c r="FT203" s="24">
        <f t="shared" si="184"/>
        <v>29.304472001740823</v>
      </c>
      <c r="FU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333.00000000000006</v>
      </c>
      <c r="GA203" s="18">
        <f>FZ203*VLOOKUP('Données projet'!$B$17,Paramètres!$A$1:$I$88,3,0)*VLOOKUP('Données projet'!$B$17,Paramètres!$A$1:$I$88,5,0)</f>
        <v>207.79200000000006</v>
      </c>
      <c r="GB203" s="14">
        <f t="shared" si="185"/>
        <v>51.452785725007907</v>
      </c>
      <c r="GC203" s="22">
        <f t="shared" si="186"/>
        <v>451.5180018043888</v>
      </c>
      <c r="GD203" s="59">
        <f t="shared" si="200"/>
        <v>744.85133513772212</v>
      </c>
      <c r="GE203" s="59">
        <f ca="1">AVERAGE(OFFSET($GD$3,0,0,'Données projet'!$E$17+1,1))-AVERAGE(OFFSET($H$3,0,0,'Données projet'!$E$17+1,1))</f>
        <v>247.85542034088905</v>
      </c>
      <c r="GF203" s="59">
        <f t="shared" si="212"/>
        <v>299.52241743660352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projet'!$B$17,Paramètres!$A$1:$I$88,3,0)*0.475*44/12</f>
        <v>2.3221284963445465</v>
      </c>
      <c r="GM203" s="23">
        <f>EXP(-LN(2)/25)*GM202+(1-EXP(-LN(2)/25))/(LN(2)/25)*Calculateur!GH203*Calculateur!GJ203*VLOOKUP('Données projet'!$B$17,Paramètres!$A$1:$I$88,3,0)*0.475*44/12</f>
        <v>0.78400034491785386</v>
      </c>
      <c r="GN203" s="23">
        <f>EXP(-LN(2)/2)*GN202+(1-EXP(-LN(2)/2))/(LN(2)/2)*GH203*GK203*VLOOKUP('Données projet'!$B$17,Paramètres!$A$1:$I$88,3,0)*0.475*44/12</f>
        <v>3.6254794177197675E-20</v>
      </c>
      <c r="GO203" s="23">
        <f t="shared" si="187"/>
        <v>3.1061288412624002</v>
      </c>
      <c r="GP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79"/>
      <c r="C204" s="77"/>
      <c r="D204" s="78"/>
      <c r="E204" s="78"/>
      <c r="F204" s="78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7"/>
      <c r="I204" s="77"/>
      <c r="J204" s="77"/>
      <c r="K204" s="86" t="s">
        <v>294</v>
      </c>
      <c r="L204" s="80"/>
      <c r="M204" s="80"/>
      <c r="N204" s="80"/>
      <c r="O204" s="77"/>
      <c r="P204" s="77"/>
      <c r="Q204" s="78"/>
      <c r="R204" s="81"/>
      <c r="S204" s="81"/>
      <c r="T204" s="81"/>
      <c r="U204" s="80"/>
      <c r="V204" s="80"/>
      <c r="W204" s="82"/>
      <c r="X204" s="82"/>
      <c r="Y204" s="82"/>
      <c r="Z204" s="77"/>
      <c r="AA204" s="77"/>
      <c r="AB204" s="77"/>
      <c r="AC204" s="77"/>
      <c r="AD204" s="77"/>
      <c r="AE204" s="77"/>
      <c r="AF204" s="83" t="s">
        <v>294</v>
      </c>
      <c r="BA204" s="83" t="s">
        <v>294</v>
      </c>
      <c r="BV204" s="83" t="s">
        <v>294</v>
      </c>
      <c r="CQ204" s="83" t="s">
        <v>294</v>
      </c>
      <c r="DL204" s="83" t="s">
        <v>294</v>
      </c>
      <c r="EG204" s="83" t="s">
        <v>294</v>
      </c>
      <c r="FB204" s="83" t="s">
        <v>294</v>
      </c>
      <c r="FW204" s="83" t="s">
        <v>294</v>
      </c>
      <c r="GR204" s="83" t="s">
        <v>294</v>
      </c>
    </row>
    <row r="205" spans="1:218" ht="15" thickBot="1" x14ac:dyDescent="0.35">
      <c r="B205" s="79"/>
      <c r="C205" s="77"/>
      <c r="D205" s="78"/>
      <c r="E205" s="78"/>
      <c r="F205" s="78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7"/>
      <c r="I205" s="77"/>
      <c r="J205" s="77"/>
      <c r="K205" s="84">
        <f>EXP(LN('Données projet'!B36)/'Données projet'!A36)</f>
        <v>1.1220412478485406</v>
      </c>
      <c r="L205" s="80"/>
      <c r="M205" s="80"/>
      <c r="N205" s="80"/>
      <c r="O205" s="77"/>
      <c r="P205" s="77"/>
      <c r="Q205" s="78"/>
      <c r="R205" s="81"/>
      <c r="S205" s="81"/>
      <c r="T205" s="81"/>
      <c r="U205" s="80"/>
      <c r="V205" s="80"/>
      <c r="W205" s="82"/>
      <c r="X205" s="82"/>
      <c r="Y205" s="82"/>
      <c r="Z205" s="77"/>
      <c r="AA205" s="77"/>
      <c r="AB205" s="77"/>
      <c r="AC205" s="77"/>
      <c r="AD205" s="77"/>
      <c r="AE205" s="77"/>
      <c r="AF205" s="85">
        <f>EXP(LN('Données projet'!B62)/'Données projet'!A62)</f>
        <v>1.2869554452352225</v>
      </c>
      <c r="BA205" s="84">
        <f>EXP(LN('Données projet'!B88)/'Données projet'!A88)</f>
        <v>1.2869554452352225</v>
      </c>
      <c r="BV205" s="84">
        <f>EXP(LN('Données projet'!B114)/'Données projet'!A114)</f>
        <v>1.2869554452352225</v>
      </c>
      <c r="CQ205" s="84">
        <f>EXP(LN('Données projet'!B140)/'Données projet'!A140)</f>
        <v>1.1220412478485406</v>
      </c>
      <c r="DL205" s="84">
        <f>EXP(LN('Données projet'!B166)/'Données projet'!A166)</f>
        <v>1.2869554452352225</v>
      </c>
      <c r="EG205" s="84">
        <f>EXP(LN('Données projet'!B192)/'Données projet'!A192)</f>
        <v>1.1630974358429402</v>
      </c>
      <c r="FB205" s="84">
        <f>EXP(LN('Données projet'!B218)/'Données projet'!A218)</f>
        <v>1.2210553000675681</v>
      </c>
      <c r="FW205" s="84">
        <f>EXP(LN('Données projet'!B244)/'Données projet'!A244)</f>
        <v>1.4696360133599291</v>
      </c>
      <c r="GR205" s="84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E10" sqref="E10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5" t="s">
        <v>0</v>
      </c>
      <c r="B1" s="116" t="s">
        <v>106</v>
      </c>
      <c r="C1" s="117" t="s">
        <v>144</v>
      </c>
      <c r="D1" s="116" t="s">
        <v>100</v>
      </c>
      <c r="E1" s="117" t="s">
        <v>145</v>
      </c>
      <c r="F1" s="117" t="s">
        <v>100</v>
      </c>
      <c r="G1" s="117" t="s">
        <v>146</v>
      </c>
      <c r="H1" s="117" t="s">
        <v>100</v>
      </c>
      <c r="I1" s="118" t="s">
        <v>147</v>
      </c>
      <c r="J1" s="95"/>
      <c r="K1" s="95"/>
      <c r="L1" s="95"/>
      <c r="M1" s="95"/>
      <c r="N1" s="95"/>
    </row>
    <row r="2" spans="1:16" x14ac:dyDescent="0.3">
      <c r="A2" s="119" t="s">
        <v>1</v>
      </c>
      <c r="B2" s="120" t="s">
        <v>53</v>
      </c>
      <c r="C2" s="121">
        <v>0.62</v>
      </c>
      <c r="D2" s="121" t="s">
        <v>161</v>
      </c>
      <c r="E2" s="121">
        <v>1.56</v>
      </c>
      <c r="F2" s="121" t="s">
        <v>274</v>
      </c>
      <c r="G2" s="122">
        <v>0.43</v>
      </c>
      <c r="H2" s="123" t="s">
        <v>278</v>
      </c>
      <c r="I2" s="124">
        <v>0.25</v>
      </c>
      <c r="J2" s="95"/>
      <c r="K2" s="95"/>
      <c r="L2" s="95"/>
      <c r="M2" s="95"/>
      <c r="N2" s="95"/>
      <c r="O2" s="319" t="s">
        <v>238</v>
      </c>
      <c r="P2" s="125">
        <v>0</v>
      </c>
    </row>
    <row r="3" spans="1:16" ht="15" thickBot="1" x14ac:dyDescent="0.35">
      <c r="A3" s="126" t="s">
        <v>2</v>
      </c>
      <c r="B3" s="127" t="s">
        <v>54</v>
      </c>
      <c r="C3" s="128">
        <v>0.64</v>
      </c>
      <c r="D3" s="128" t="s">
        <v>161</v>
      </c>
      <c r="E3" s="128">
        <v>1.56</v>
      </c>
      <c r="F3" s="129" t="s">
        <v>274</v>
      </c>
      <c r="G3" s="130">
        <v>0.43</v>
      </c>
      <c r="H3" s="128" t="s">
        <v>278</v>
      </c>
      <c r="I3" s="131">
        <v>0.25</v>
      </c>
      <c r="J3" s="95"/>
      <c r="K3" s="95"/>
      <c r="L3" s="95"/>
      <c r="M3" s="95"/>
      <c r="N3" s="95"/>
      <c r="O3" s="320"/>
      <c r="P3" s="132">
        <v>0.2</v>
      </c>
    </row>
    <row r="4" spans="1:16" ht="15" thickBot="1" x14ac:dyDescent="0.35">
      <c r="A4" s="126" t="s">
        <v>98</v>
      </c>
      <c r="B4" s="127" t="s">
        <v>99</v>
      </c>
      <c r="C4" s="128">
        <v>0.42</v>
      </c>
      <c r="D4" s="128" t="s">
        <v>161</v>
      </c>
      <c r="E4" s="128">
        <v>1.56</v>
      </c>
      <c r="F4" s="129" t="s">
        <v>274</v>
      </c>
      <c r="G4" s="130">
        <v>0.43</v>
      </c>
      <c r="H4" s="128" t="s">
        <v>278</v>
      </c>
      <c r="I4" s="131">
        <v>0.25</v>
      </c>
      <c r="J4" s="95"/>
      <c r="K4" s="95"/>
      <c r="L4" s="95"/>
      <c r="M4" s="95"/>
      <c r="N4" s="95"/>
    </row>
    <row r="5" spans="1:16" x14ac:dyDescent="0.3">
      <c r="A5" s="126" t="s">
        <v>4</v>
      </c>
      <c r="B5" s="127" t="s">
        <v>55</v>
      </c>
      <c r="C5" s="128">
        <v>0.42</v>
      </c>
      <c r="D5" s="128" t="s">
        <v>161</v>
      </c>
      <c r="E5" s="128">
        <v>1.56</v>
      </c>
      <c r="F5" s="129" t="s">
        <v>274</v>
      </c>
      <c r="G5" s="130">
        <v>0.43</v>
      </c>
      <c r="H5" s="128" t="s">
        <v>278</v>
      </c>
      <c r="I5" s="131">
        <v>0.25</v>
      </c>
      <c r="J5" s="95"/>
      <c r="K5" s="95"/>
      <c r="L5" s="95"/>
      <c r="M5" s="95"/>
      <c r="N5" s="95"/>
      <c r="O5" s="319" t="s">
        <v>237</v>
      </c>
      <c r="P5" s="125">
        <v>0</v>
      </c>
    </row>
    <row r="6" spans="1:16" x14ac:dyDescent="0.3">
      <c r="A6" s="126" t="s">
        <v>3</v>
      </c>
      <c r="B6" s="127" t="s">
        <v>97</v>
      </c>
      <c r="C6" s="128">
        <v>0.42</v>
      </c>
      <c r="D6" s="128" t="s">
        <v>161</v>
      </c>
      <c r="E6" s="128">
        <v>1.56</v>
      </c>
      <c r="F6" s="129" t="s">
        <v>274</v>
      </c>
      <c r="G6" s="130">
        <v>0.43</v>
      </c>
      <c r="H6" s="128" t="s">
        <v>278</v>
      </c>
      <c r="I6" s="131">
        <v>0.25</v>
      </c>
      <c r="J6" s="95"/>
      <c r="K6" s="95"/>
      <c r="L6" s="95"/>
      <c r="M6" s="95"/>
      <c r="N6" s="95"/>
      <c r="O6" s="321"/>
      <c r="P6" s="133">
        <v>0.05</v>
      </c>
    </row>
    <row r="7" spans="1:16" x14ac:dyDescent="0.3">
      <c r="A7" s="126" t="s">
        <v>5</v>
      </c>
      <c r="B7" s="127" t="s">
        <v>56</v>
      </c>
      <c r="C7" s="128">
        <v>0.52</v>
      </c>
      <c r="D7" s="128" t="s">
        <v>161</v>
      </c>
      <c r="E7" s="128">
        <v>1.56</v>
      </c>
      <c r="F7" s="129" t="s">
        <v>274</v>
      </c>
      <c r="G7" s="130">
        <v>0.43</v>
      </c>
      <c r="H7" s="128" t="s">
        <v>278</v>
      </c>
      <c r="I7" s="131">
        <v>0.25</v>
      </c>
      <c r="J7" s="95"/>
      <c r="K7" s="95"/>
      <c r="L7" s="95"/>
      <c r="M7" s="95"/>
      <c r="N7" s="95"/>
      <c r="O7" s="321"/>
      <c r="P7" s="133">
        <v>0.1</v>
      </c>
    </row>
    <row r="8" spans="1:16" ht="15" thickBot="1" x14ac:dyDescent="0.35">
      <c r="A8" s="126" t="s">
        <v>164</v>
      </c>
      <c r="B8" s="127" t="s">
        <v>57</v>
      </c>
      <c r="C8" s="128">
        <v>0.36</v>
      </c>
      <c r="D8" s="128" t="s">
        <v>161</v>
      </c>
      <c r="E8" s="128">
        <v>1.3</v>
      </c>
      <c r="F8" s="129" t="s">
        <v>274</v>
      </c>
      <c r="G8" s="130">
        <v>0.55000000000000004</v>
      </c>
      <c r="H8" s="128" t="s">
        <v>153</v>
      </c>
      <c r="I8" s="131">
        <v>0.43</v>
      </c>
      <c r="J8" s="95"/>
      <c r="K8" s="95"/>
      <c r="L8" s="95"/>
      <c r="M8" s="95"/>
      <c r="N8" s="95"/>
      <c r="O8" s="320"/>
      <c r="P8" s="132">
        <v>0.15</v>
      </c>
    </row>
    <row r="9" spans="1:16" ht="15" thickBot="1" x14ac:dyDescent="0.35">
      <c r="A9" s="126" t="s">
        <v>6</v>
      </c>
      <c r="B9" s="127" t="s">
        <v>58</v>
      </c>
      <c r="C9" s="128">
        <v>0.61</v>
      </c>
      <c r="D9" s="128" t="s">
        <v>161</v>
      </c>
      <c r="E9" s="128">
        <v>1.56</v>
      </c>
      <c r="F9" s="129" t="s">
        <v>274</v>
      </c>
      <c r="G9" s="130">
        <v>0.43</v>
      </c>
      <c r="H9" s="128" t="s">
        <v>278</v>
      </c>
      <c r="I9" s="131">
        <v>0.25</v>
      </c>
      <c r="J9" s="95"/>
      <c r="K9" s="95"/>
      <c r="L9" s="95"/>
      <c r="M9" s="95"/>
      <c r="N9" s="95"/>
    </row>
    <row r="10" spans="1:16" x14ac:dyDescent="0.3">
      <c r="A10" s="126" t="s">
        <v>7</v>
      </c>
      <c r="B10" s="127" t="s">
        <v>59</v>
      </c>
      <c r="C10" s="128">
        <v>0.66</v>
      </c>
      <c r="D10" s="128" t="s">
        <v>161</v>
      </c>
      <c r="E10" s="128">
        <v>1.56</v>
      </c>
      <c r="F10" s="129" t="s">
        <v>274</v>
      </c>
      <c r="G10" s="130">
        <v>0.43</v>
      </c>
      <c r="H10" s="128" t="s">
        <v>278</v>
      </c>
      <c r="I10" s="131">
        <v>0.25</v>
      </c>
      <c r="J10" s="95"/>
      <c r="K10" s="95"/>
      <c r="L10" s="95"/>
      <c r="M10" s="95"/>
      <c r="N10" s="95"/>
      <c r="O10" s="319" t="s">
        <v>236</v>
      </c>
      <c r="P10" s="125">
        <v>0</v>
      </c>
    </row>
    <row r="11" spans="1:16" ht="15" thickBot="1" x14ac:dyDescent="0.35">
      <c r="A11" s="126" t="s">
        <v>8</v>
      </c>
      <c r="B11" s="127" t="s">
        <v>60</v>
      </c>
      <c r="C11" s="128">
        <v>0.47</v>
      </c>
      <c r="D11" s="128" t="s">
        <v>161</v>
      </c>
      <c r="E11" s="128">
        <v>1.56</v>
      </c>
      <c r="F11" s="129" t="s">
        <v>274</v>
      </c>
      <c r="G11" s="130">
        <v>0.43</v>
      </c>
      <c r="H11" s="128" t="s">
        <v>278</v>
      </c>
      <c r="I11" s="131">
        <v>0.25</v>
      </c>
      <c r="J11" s="95"/>
      <c r="K11" s="95"/>
      <c r="L11" s="95"/>
      <c r="M11" s="95"/>
      <c r="N11" s="95"/>
      <c r="O11" s="320"/>
      <c r="P11" s="132">
        <v>0.1</v>
      </c>
    </row>
    <row r="12" spans="1:16" x14ac:dyDescent="0.3">
      <c r="A12" s="126" t="s">
        <v>9</v>
      </c>
      <c r="B12" s="127" t="s">
        <v>61</v>
      </c>
      <c r="C12" s="128">
        <v>0.67</v>
      </c>
      <c r="D12" s="128" t="s">
        <v>161</v>
      </c>
      <c r="E12" s="128">
        <v>1.56</v>
      </c>
      <c r="F12" s="129" t="s">
        <v>274</v>
      </c>
      <c r="G12" s="130">
        <v>0.43</v>
      </c>
      <c r="H12" s="128" t="s">
        <v>152</v>
      </c>
      <c r="I12" s="131">
        <v>0.25</v>
      </c>
      <c r="J12" s="95"/>
      <c r="K12" s="95"/>
      <c r="L12" s="95"/>
      <c r="M12" s="95"/>
      <c r="N12" s="95"/>
    </row>
    <row r="13" spans="1:16" x14ac:dyDescent="0.3">
      <c r="A13" s="126" t="s">
        <v>10</v>
      </c>
      <c r="B13" s="127" t="s">
        <v>62</v>
      </c>
      <c r="C13" s="128">
        <v>0.7</v>
      </c>
      <c r="D13" s="128" t="s">
        <v>161</v>
      </c>
      <c r="E13" s="128">
        <v>1.56</v>
      </c>
      <c r="F13" s="129" t="s">
        <v>274</v>
      </c>
      <c r="G13" s="130">
        <v>0.43</v>
      </c>
      <c r="H13" s="128" t="s">
        <v>152</v>
      </c>
      <c r="I13" s="131">
        <v>0.25</v>
      </c>
      <c r="J13" s="95"/>
      <c r="K13" s="95"/>
      <c r="L13" s="95"/>
      <c r="M13" s="95"/>
      <c r="N13" s="95"/>
    </row>
    <row r="14" spans="1:16" x14ac:dyDescent="0.3">
      <c r="A14" s="126" t="s">
        <v>11</v>
      </c>
      <c r="B14" s="127" t="s">
        <v>63</v>
      </c>
      <c r="C14" s="128">
        <v>0.54</v>
      </c>
      <c r="D14" s="128" t="s">
        <v>161</v>
      </c>
      <c r="E14" s="128">
        <v>1.56</v>
      </c>
      <c r="F14" s="129" t="s">
        <v>274</v>
      </c>
      <c r="G14" s="130">
        <v>0.43</v>
      </c>
      <c r="H14" s="128" t="s">
        <v>152</v>
      </c>
      <c r="I14" s="131">
        <v>0.25</v>
      </c>
      <c r="J14" s="95"/>
      <c r="K14" s="95"/>
      <c r="L14" s="95"/>
      <c r="M14" s="95"/>
      <c r="N14" s="95"/>
    </row>
    <row r="15" spans="1:16" x14ac:dyDescent="0.3">
      <c r="A15" s="126" t="s">
        <v>12</v>
      </c>
      <c r="B15" s="127" t="s">
        <v>64</v>
      </c>
      <c r="C15" s="128">
        <v>0.65</v>
      </c>
      <c r="D15" s="128" t="s">
        <v>161</v>
      </c>
      <c r="E15" s="128">
        <v>1.56</v>
      </c>
      <c r="F15" s="129" t="s">
        <v>274</v>
      </c>
      <c r="G15" s="130">
        <v>0.43</v>
      </c>
      <c r="H15" s="128" t="s">
        <v>152</v>
      </c>
      <c r="I15" s="131">
        <v>0.25</v>
      </c>
      <c r="J15" s="95"/>
      <c r="K15" s="95"/>
      <c r="L15" s="95"/>
      <c r="M15" s="95"/>
      <c r="N15" s="95"/>
    </row>
    <row r="16" spans="1:16" x14ac:dyDescent="0.3">
      <c r="A16" s="126" t="s">
        <v>13</v>
      </c>
      <c r="B16" s="127" t="s">
        <v>65</v>
      </c>
      <c r="C16" s="128">
        <v>0.56000000000000005</v>
      </c>
      <c r="D16" s="128" t="s">
        <v>161</v>
      </c>
      <c r="E16" s="128">
        <v>1.56</v>
      </c>
      <c r="F16" s="129" t="s">
        <v>274</v>
      </c>
      <c r="G16" s="130">
        <v>0.43</v>
      </c>
      <c r="H16" s="128" t="s">
        <v>152</v>
      </c>
      <c r="I16" s="131">
        <v>0.25</v>
      </c>
      <c r="J16" s="95"/>
      <c r="K16" s="95"/>
      <c r="L16" s="95"/>
      <c r="M16" s="95"/>
      <c r="N16" s="95"/>
    </row>
    <row r="17" spans="1:14" x14ac:dyDescent="0.3">
      <c r="A17" s="126" t="s">
        <v>14</v>
      </c>
      <c r="B17" s="127" t="s">
        <v>66</v>
      </c>
      <c r="C17" s="128">
        <v>0.57999999999999996</v>
      </c>
      <c r="D17" s="128" t="s">
        <v>161</v>
      </c>
      <c r="E17" s="128">
        <v>1.56</v>
      </c>
      <c r="F17" s="129" t="s">
        <v>274</v>
      </c>
      <c r="G17" s="130">
        <v>0.43</v>
      </c>
      <c r="H17" s="128" t="s">
        <v>152</v>
      </c>
      <c r="I17" s="131">
        <v>0.25</v>
      </c>
      <c r="J17" s="95"/>
      <c r="K17" s="95"/>
      <c r="L17" s="95"/>
      <c r="M17" s="95"/>
      <c r="N17" s="95"/>
    </row>
    <row r="18" spans="1:14" x14ac:dyDescent="0.3">
      <c r="A18" s="126" t="s">
        <v>15</v>
      </c>
      <c r="B18" s="127" t="s">
        <v>67</v>
      </c>
      <c r="C18" s="128">
        <v>0.64</v>
      </c>
      <c r="D18" s="128" t="s">
        <v>161</v>
      </c>
      <c r="E18" s="128">
        <v>1.56</v>
      </c>
      <c r="F18" s="129" t="s">
        <v>274</v>
      </c>
      <c r="G18" s="130">
        <v>0.43</v>
      </c>
      <c r="H18" s="128" t="s">
        <v>152</v>
      </c>
      <c r="I18" s="131">
        <v>0.25</v>
      </c>
      <c r="J18" s="95"/>
      <c r="K18" s="95"/>
      <c r="L18" s="95"/>
      <c r="M18" s="95"/>
      <c r="N18" s="95"/>
    </row>
    <row r="19" spans="1:14" x14ac:dyDescent="0.3">
      <c r="A19" s="126" t="s">
        <v>16</v>
      </c>
      <c r="B19" s="127" t="s">
        <v>68</v>
      </c>
      <c r="C19" s="128">
        <v>0.73</v>
      </c>
      <c r="D19" s="128" t="s">
        <v>161</v>
      </c>
      <c r="E19" s="128">
        <v>1.56</v>
      </c>
      <c r="F19" s="129" t="s">
        <v>274</v>
      </c>
      <c r="G19" s="130">
        <v>0.43</v>
      </c>
      <c r="H19" s="128" t="s">
        <v>152</v>
      </c>
      <c r="I19" s="131">
        <v>0.25</v>
      </c>
      <c r="J19" s="95"/>
      <c r="K19" s="95"/>
      <c r="L19" s="95"/>
      <c r="M19" s="95"/>
      <c r="N19" s="95"/>
    </row>
    <row r="20" spans="1:14" x14ac:dyDescent="0.3">
      <c r="A20" s="126" t="s">
        <v>52</v>
      </c>
      <c r="B20" s="127" t="s">
        <v>69</v>
      </c>
      <c r="C20" s="128">
        <v>0.69</v>
      </c>
      <c r="D20" s="128" t="s">
        <v>131</v>
      </c>
      <c r="E20" s="128">
        <v>1.56</v>
      </c>
      <c r="F20" s="129" t="s">
        <v>274</v>
      </c>
      <c r="G20" s="130">
        <v>0.43</v>
      </c>
      <c r="H20" s="128" t="s">
        <v>282</v>
      </c>
      <c r="I20" s="131">
        <v>0.25</v>
      </c>
      <c r="J20" s="95"/>
      <c r="K20" s="95"/>
      <c r="L20" s="95"/>
      <c r="M20" s="95"/>
      <c r="N20" s="95"/>
    </row>
    <row r="21" spans="1:14" x14ac:dyDescent="0.3">
      <c r="A21" s="126" t="s">
        <v>154</v>
      </c>
      <c r="B21" s="127" t="s">
        <v>155</v>
      </c>
      <c r="C21" s="128">
        <v>0.36</v>
      </c>
      <c r="D21" s="128" t="s">
        <v>161</v>
      </c>
      <c r="E21" s="128">
        <v>1.3</v>
      </c>
      <c r="F21" s="129" t="s">
        <v>274</v>
      </c>
      <c r="G21" s="130">
        <v>0.55000000000000004</v>
      </c>
      <c r="H21" s="128" t="s">
        <v>153</v>
      </c>
      <c r="I21" s="131">
        <v>0.43</v>
      </c>
      <c r="J21" s="95"/>
      <c r="K21" s="95"/>
      <c r="L21" s="95"/>
      <c r="M21" s="95"/>
      <c r="N21" s="95"/>
    </row>
    <row r="22" spans="1:14" x14ac:dyDescent="0.3">
      <c r="A22" s="126" t="s">
        <v>17</v>
      </c>
      <c r="B22" s="127" t="s">
        <v>70</v>
      </c>
      <c r="C22" s="128">
        <v>0.4</v>
      </c>
      <c r="D22" s="128" t="s">
        <v>161</v>
      </c>
      <c r="E22" s="128">
        <v>1.3</v>
      </c>
      <c r="F22" s="129" t="s">
        <v>274</v>
      </c>
      <c r="G22" s="130">
        <v>0.55000000000000004</v>
      </c>
      <c r="H22" s="128" t="s">
        <v>153</v>
      </c>
      <c r="I22" s="131">
        <v>0.43</v>
      </c>
      <c r="J22" s="95"/>
      <c r="K22" s="95"/>
      <c r="L22" s="95"/>
      <c r="M22" s="95"/>
      <c r="N22" s="95"/>
    </row>
    <row r="23" spans="1:14" x14ac:dyDescent="0.3">
      <c r="A23" s="126" t="s">
        <v>18</v>
      </c>
      <c r="B23" s="127" t="s">
        <v>71</v>
      </c>
      <c r="C23" s="128">
        <v>0.43</v>
      </c>
      <c r="D23" s="128" t="s">
        <v>161</v>
      </c>
      <c r="E23" s="128">
        <v>1.3</v>
      </c>
      <c r="F23" s="129" t="s">
        <v>274</v>
      </c>
      <c r="G23" s="130">
        <v>0.55000000000000004</v>
      </c>
      <c r="H23" s="128" t="s">
        <v>153</v>
      </c>
      <c r="I23" s="131">
        <v>0.43</v>
      </c>
      <c r="J23" s="95"/>
      <c r="K23" s="95"/>
      <c r="L23" s="95"/>
      <c r="M23" s="95"/>
      <c r="N23" s="95"/>
    </row>
    <row r="24" spans="1:14" x14ac:dyDescent="0.3">
      <c r="A24" s="126" t="s">
        <v>19</v>
      </c>
      <c r="B24" s="127" t="s">
        <v>72</v>
      </c>
      <c r="C24" s="128">
        <v>0.37</v>
      </c>
      <c r="D24" s="128" t="s">
        <v>161</v>
      </c>
      <c r="E24" s="128">
        <v>1.3</v>
      </c>
      <c r="F24" s="129" t="s">
        <v>274</v>
      </c>
      <c r="G24" s="130">
        <v>0.55000000000000004</v>
      </c>
      <c r="H24" s="128" t="s">
        <v>152</v>
      </c>
      <c r="I24" s="131">
        <v>0.43</v>
      </c>
      <c r="J24" s="95"/>
      <c r="K24" s="95"/>
      <c r="L24" s="95"/>
      <c r="M24" s="95"/>
      <c r="N24" s="95"/>
    </row>
    <row r="25" spans="1:14" x14ac:dyDescent="0.3">
      <c r="A25" s="126" t="s">
        <v>20</v>
      </c>
      <c r="B25" s="127" t="s">
        <v>73</v>
      </c>
      <c r="C25" s="128">
        <v>0.36</v>
      </c>
      <c r="D25" s="128" t="s">
        <v>161</v>
      </c>
      <c r="E25" s="128">
        <v>1.3</v>
      </c>
      <c r="F25" s="129" t="s">
        <v>274</v>
      </c>
      <c r="G25" s="130">
        <v>0.55000000000000004</v>
      </c>
      <c r="H25" s="128" t="s">
        <v>152</v>
      </c>
      <c r="I25" s="131">
        <v>0.43</v>
      </c>
      <c r="J25" s="95"/>
      <c r="K25" s="95"/>
      <c r="L25" s="95"/>
      <c r="M25" s="95"/>
      <c r="N25" s="95"/>
    </row>
    <row r="26" spans="1:14" x14ac:dyDescent="0.3">
      <c r="A26" s="126" t="s">
        <v>21</v>
      </c>
      <c r="B26" s="127" t="s">
        <v>74</v>
      </c>
      <c r="C26" s="128">
        <v>0.56000000000000005</v>
      </c>
      <c r="D26" s="128" t="s">
        <v>161</v>
      </c>
      <c r="E26" s="128">
        <v>1.56</v>
      </c>
      <c r="F26" s="129" t="s">
        <v>274</v>
      </c>
      <c r="G26" s="130">
        <v>0.53</v>
      </c>
      <c r="H26" s="128" t="s">
        <v>275</v>
      </c>
      <c r="I26" s="131">
        <v>0.25</v>
      </c>
      <c r="J26" s="95"/>
      <c r="K26" s="95"/>
      <c r="L26" s="95"/>
      <c r="M26" s="95"/>
      <c r="N26" s="95"/>
    </row>
    <row r="27" spans="1:14" x14ac:dyDescent="0.3">
      <c r="A27" s="126" t="s">
        <v>22</v>
      </c>
      <c r="B27" s="127" t="s">
        <v>75</v>
      </c>
      <c r="C27" s="128">
        <v>0.51</v>
      </c>
      <c r="D27" s="128" t="s">
        <v>161</v>
      </c>
      <c r="E27" s="128">
        <v>1.56</v>
      </c>
      <c r="F27" s="129" t="s">
        <v>274</v>
      </c>
      <c r="G27" s="130">
        <v>0.53</v>
      </c>
      <c r="H27" s="128" t="s">
        <v>275</v>
      </c>
      <c r="I27" s="131">
        <v>0.25</v>
      </c>
      <c r="J27" s="95"/>
      <c r="K27" s="95"/>
      <c r="L27" s="95"/>
      <c r="M27" s="95"/>
      <c r="N27" s="95"/>
    </row>
    <row r="28" spans="1:14" x14ac:dyDescent="0.3">
      <c r="A28" s="126" t="s">
        <v>23</v>
      </c>
      <c r="B28" s="127" t="s">
        <v>76</v>
      </c>
      <c r="C28" s="128">
        <v>0.51</v>
      </c>
      <c r="D28" s="128" t="s">
        <v>161</v>
      </c>
      <c r="E28" s="128">
        <v>1.56</v>
      </c>
      <c r="F28" s="129" t="s">
        <v>274</v>
      </c>
      <c r="G28" s="130">
        <v>0.53</v>
      </c>
      <c r="H28" s="128" t="s">
        <v>275</v>
      </c>
      <c r="I28" s="131">
        <v>0.25</v>
      </c>
      <c r="J28" s="95"/>
      <c r="K28" s="95"/>
      <c r="L28" s="95"/>
      <c r="M28" s="95"/>
      <c r="N28" s="95"/>
    </row>
    <row r="29" spans="1:14" x14ac:dyDescent="0.3">
      <c r="A29" s="126" t="s">
        <v>24</v>
      </c>
      <c r="B29" s="127" t="s">
        <v>24</v>
      </c>
      <c r="C29" s="128">
        <v>0.56000000000000005</v>
      </c>
      <c r="D29" s="128" t="s">
        <v>161</v>
      </c>
      <c r="E29" s="128">
        <v>1.56</v>
      </c>
      <c r="F29" s="129" t="s">
        <v>274</v>
      </c>
      <c r="G29" s="130">
        <v>0.53</v>
      </c>
      <c r="H29" s="128" t="s">
        <v>275</v>
      </c>
      <c r="I29" s="131">
        <v>0.25</v>
      </c>
      <c r="J29" s="95"/>
      <c r="K29" s="95"/>
      <c r="L29" s="95"/>
      <c r="M29" s="95"/>
      <c r="N29" s="95"/>
    </row>
    <row r="30" spans="1:14" x14ac:dyDescent="0.3">
      <c r="A30" s="126" t="s">
        <v>25</v>
      </c>
      <c r="B30" s="127" t="s">
        <v>77</v>
      </c>
      <c r="C30" s="128">
        <v>0.55000000000000004</v>
      </c>
      <c r="D30" s="128" t="s">
        <v>161</v>
      </c>
      <c r="E30" s="128">
        <v>1.56</v>
      </c>
      <c r="F30" s="129" t="s">
        <v>274</v>
      </c>
      <c r="G30" s="130">
        <v>0.53</v>
      </c>
      <c r="H30" s="128" t="s">
        <v>152</v>
      </c>
      <c r="I30" s="131">
        <v>0.25</v>
      </c>
      <c r="J30" s="95"/>
      <c r="K30" s="95"/>
      <c r="L30" s="95"/>
      <c r="M30" s="95"/>
      <c r="N30" s="95"/>
    </row>
    <row r="31" spans="1:14" x14ac:dyDescent="0.3">
      <c r="A31" s="126" t="s">
        <v>26</v>
      </c>
      <c r="B31" s="127" t="s">
        <v>78</v>
      </c>
      <c r="C31" s="128">
        <v>0.56000000000000005</v>
      </c>
      <c r="D31" s="128" t="s">
        <v>161</v>
      </c>
      <c r="E31" s="128">
        <v>1.56</v>
      </c>
      <c r="F31" s="129" t="s">
        <v>274</v>
      </c>
      <c r="G31" s="130">
        <v>0.43</v>
      </c>
      <c r="H31" s="128" t="s">
        <v>278</v>
      </c>
      <c r="I31" s="131">
        <v>0.25</v>
      </c>
      <c r="J31" s="95"/>
      <c r="K31" s="95"/>
      <c r="L31" s="95"/>
      <c r="M31" s="95"/>
      <c r="N31" s="95"/>
    </row>
    <row r="32" spans="1:14" x14ac:dyDescent="0.3">
      <c r="A32" s="126" t="s">
        <v>27</v>
      </c>
      <c r="B32" s="127" t="s">
        <v>79</v>
      </c>
      <c r="C32" s="128">
        <v>0.48</v>
      </c>
      <c r="D32" s="128" t="s">
        <v>161</v>
      </c>
      <c r="E32" s="128">
        <v>1.3</v>
      </c>
      <c r="F32" s="129" t="s">
        <v>274</v>
      </c>
      <c r="G32" s="130">
        <v>0.6</v>
      </c>
      <c r="H32" s="128" t="s">
        <v>281</v>
      </c>
      <c r="I32" s="131">
        <v>0.43</v>
      </c>
      <c r="J32" s="95"/>
      <c r="K32" s="95"/>
      <c r="L32" s="95"/>
      <c r="M32" s="95"/>
      <c r="N32" s="95"/>
    </row>
    <row r="33" spans="1:14" x14ac:dyDescent="0.3">
      <c r="A33" s="126" t="s">
        <v>28</v>
      </c>
      <c r="B33" s="127" t="s">
        <v>80</v>
      </c>
      <c r="C33" s="128">
        <v>0.42</v>
      </c>
      <c r="D33" s="128" t="s">
        <v>161</v>
      </c>
      <c r="E33" s="128">
        <v>1.3</v>
      </c>
      <c r="F33" s="129" t="s">
        <v>274</v>
      </c>
      <c r="G33" s="130">
        <v>0.6</v>
      </c>
      <c r="H33" s="128" t="s">
        <v>281</v>
      </c>
      <c r="I33" s="131">
        <v>0.43</v>
      </c>
      <c r="J33" s="95"/>
      <c r="K33" s="95"/>
      <c r="L33" s="95"/>
      <c r="M33" s="95"/>
      <c r="N33" s="95"/>
    </row>
    <row r="34" spans="1:14" x14ac:dyDescent="0.3">
      <c r="A34" s="126" t="s">
        <v>81</v>
      </c>
      <c r="B34" s="127" t="s">
        <v>163</v>
      </c>
      <c r="C34" s="128">
        <v>0.42</v>
      </c>
      <c r="D34" s="128" t="s">
        <v>103</v>
      </c>
      <c r="E34" s="128">
        <v>1.3</v>
      </c>
      <c r="F34" s="129" t="s">
        <v>274</v>
      </c>
      <c r="G34" s="130">
        <v>0.6</v>
      </c>
      <c r="H34" s="127" t="s">
        <v>280</v>
      </c>
      <c r="I34" s="131">
        <v>0.43</v>
      </c>
      <c r="J34" s="95"/>
      <c r="K34" s="95"/>
      <c r="L34" s="95"/>
      <c r="M34" s="95"/>
      <c r="N34" s="95"/>
    </row>
    <row r="35" spans="1:14" x14ac:dyDescent="0.3">
      <c r="A35" s="126" t="s">
        <v>29</v>
      </c>
      <c r="B35" s="127" t="s">
        <v>82</v>
      </c>
      <c r="C35" s="128">
        <v>0.5</v>
      </c>
      <c r="D35" s="128" t="s">
        <v>161</v>
      </c>
      <c r="E35" s="128">
        <v>1.56</v>
      </c>
      <c r="F35" s="129" t="s">
        <v>274</v>
      </c>
      <c r="G35" s="130">
        <v>0.43</v>
      </c>
      <c r="H35" s="128" t="s">
        <v>278</v>
      </c>
      <c r="I35" s="131">
        <v>0.25</v>
      </c>
      <c r="J35" s="95"/>
      <c r="K35" s="95"/>
      <c r="L35" s="95"/>
      <c r="M35" s="95"/>
      <c r="N35" s="95"/>
    </row>
    <row r="36" spans="1:14" x14ac:dyDescent="0.3">
      <c r="A36" s="126" t="s">
        <v>102</v>
      </c>
      <c r="B36" s="127" t="s">
        <v>101</v>
      </c>
      <c r="C36" s="128">
        <v>0.55000000000000004</v>
      </c>
      <c r="D36" s="128" t="s">
        <v>161</v>
      </c>
      <c r="E36" s="128">
        <v>1.56</v>
      </c>
      <c r="F36" s="129" t="s">
        <v>274</v>
      </c>
      <c r="G36" s="130">
        <v>0.53</v>
      </c>
      <c r="H36" s="128" t="s">
        <v>275</v>
      </c>
      <c r="I36" s="131">
        <v>0.25</v>
      </c>
      <c r="J36" s="95"/>
      <c r="K36" s="95"/>
      <c r="L36" s="95"/>
      <c r="M36" s="95"/>
      <c r="N36" s="95"/>
    </row>
    <row r="37" spans="1:14" x14ac:dyDescent="0.3">
      <c r="A37" s="126" t="s">
        <v>30</v>
      </c>
      <c r="B37" s="127" t="s">
        <v>104</v>
      </c>
      <c r="C37" s="128">
        <v>0.52</v>
      </c>
      <c r="D37" s="128" t="s">
        <v>161</v>
      </c>
      <c r="E37" s="128">
        <v>1.56</v>
      </c>
      <c r="F37" s="129" t="s">
        <v>274</v>
      </c>
      <c r="G37" s="130">
        <v>0.53</v>
      </c>
      <c r="H37" s="128" t="s">
        <v>275</v>
      </c>
      <c r="I37" s="131">
        <v>0.25</v>
      </c>
      <c r="J37" s="95"/>
      <c r="K37" s="95"/>
      <c r="L37" s="95"/>
      <c r="M37" s="95"/>
      <c r="N37" s="95"/>
    </row>
    <row r="38" spans="1:14" x14ac:dyDescent="0.3">
      <c r="A38" s="126" t="s">
        <v>31</v>
      </c>
      <c r="B38" s="127" t="s">
        <v>105</v>
      </c>
      <c r="C38" s="128">
        <v>0.52</v>
      </c>
      <c r="D38" s="128" t="s">
        <v>161</v>
      </c>
      <c r="E38" s="128">
        <v>1.56</v>
      </c>
      <c r="F38" s="129" t="s">
        <v>274</v>
      </c>
      <c r="G38" s="130">
        <v>0.43</v>
      </c>
      <c r="H38" s="128" t="s">
        <v>278</v>
      </c>
      <c r="I38" s="131">
        <v>0.25</v>
      </c>
      <c r="J38" s="95"/>
      <c r="K38" s="95"/>
      <c r="L38" s="95"/>
      <c r="M38" s="95"/>
      <c r="N38" s="95"/>
    </row>
    <row r="39" spans="1:14" x14ac:dyDescent="0.3">
      <c r="A39" s="126" t="s">
        <v>107</v>
      </c>
      <c r="B39" s="127" t="s">
        <v>132</v>
      </c>
      <c r="C39" s="128">
        <v>0.313</v>
      </c>
      <c r="D39" s="128" t="s">
        <v>130</v>
      </c>
      <c r="E39" s="128">
        <v>1.56</v>
      </c>
      <c r="F39" s="129" t="s">
        <v>274</v>
      </c>
      <c r="G39" s="130">
        <v>0.6</v>
      </c>
      <c r="H39" s="128" t="s">
        <v>283</v>
      </c>
      <c r="I39" s="131">
        <v>1.03</v>
      </c>
      <c r="J39" s="95"/>
      <c r="K39" s="95"/>
      <c r="L39" s="95"/>
      <c r="M39" s="95"/>
      <c r="N39" s="95"/>
    </row>
    <row r="40" spans="1:14" x14ac:dyDescent="0.3">
      <c r="A40" s="126" t="s">
        <v>108</v>
      </c>
      <c r="B40" s="127" t="s">
        <v>132</v>
      </c>
      <c r="C40" s="128">
        <v>0.35199999999999998</v>
      </c>
      <c r="D40" s="128" t="s">
        <v>130</v>
      </c>
      <c r="E40" s="128">
        <v>1.56</v>
      </c>
      <c r="F40" s="129" t="s">
        <v>274</v>
      </c>
      <c r="G40" s="130">
        <v>0.6</v>
      </c>
      <c r="H40" s="128" t="s">
        <v>283</v>
      </c>
      <c r="I40" s="131">
        <v>1.03</v>
      </c>
      <c r="J40" s="95"/>
      <c r="K40" s="95"/>
      <c r="L40" s="95"/>
      <c r="M40" s="95"/>
      <c r="N40" s="95"/>
    </row>
    <row r="41" spans="1:14" x14ac:dyDescent="0.3">
      <c r="A41" s="126" t="s">
        <v>121</v>
      </c>
      <c r="B41" s="127" t="s">
        <v>132</v>
      </c>
      <c r="C41" s="128">
        <v>0.32200000000000001</v>
      </c>
      <c r="D41" s="128" t="s">
        <v>130</v>
      </c>
      <c r="E41" s="128">
        <v>1.56</v>
      </c>
      <c r="F41" s="129" t="s">
        <v>274</v>
      </c>
      <c r="G41" s="130">
        <v>0.6</v>
      </c>
      <c r="H41" s="128" t="s">
        <v>283</v>
      </c>
      <c r="I41" s="131">
        <v>1.03</v>
      </c>
      <c r="J41" s="95"/>
      <c r="K41" s="95"/>
      <c r="L41" s="95"/>
      <c r="M41" s="95"/>
      <c r="N41" s="95"/>
    </row>
    <row r="42" spans="1:14" x14ac:dyDescent="0.3">
      <c r="A42" s="126" t="s">
        <v>122</v>
      </c>
      <c r="B42" s="127" t="s">
        <v>132</v>
      </c>
      <c r="C42" s="128">
        <v>0.311</v>
      </c>
      <c r="D42" s="128" t="s">
        <v>130</v>
      </c>
      <c r="E42" s="128">
        <v>1.56</v>
      </c>
      <c r="F42" s="129" t="s">
        <v>274</v>
      </c>
      <c r="G42" s="130">
        <v>0.6</v>
      </c>
      <c r="H42" s="128" t="s">
        <v>283</v>
      </c>
      <c r="I42" s="131">
        <v>1.03</v>
      </c>
      <c r="J42" s="95"/>
      <c r="K42" s="95"/>
      <c r="L42" s="95"/>
      <c r="M42" s="95"/>
      <c r="N42" s="95"/>
    </row>
    <row r="43" spans="1:14" x14ac:dyDescent="0.3">
      <c r="A43" s="126" t="s">
        <v>109</v>
      </c>
      <c r="B43" s="127" t="s">
        <v>132</v>
      </c>
      <c r="C43" s="128">
        <v>0.33900000000000002</v>
      </c>
      <c r="D43" s="128" t="s">
        <v>130</v>
      </c>
      <c r="E43" s="128">
        <v>1.56</v>
      </c>
      <c r="F43" s="129" t="s">
        <v>274</v>
      </c>
      <c r="G43" s="130">
        <v>0.6</v>
      </c>
      <c r="H43" s="128" t="s">
        <v>283</v>
      </c>
      <c r="I43" s="131">
        <v>1.03</v>
      </c>
      <c r="J43" s="95"/>
      <c r="K43" s="95"/>
      <c r="L43" s="95"/>
      <c r="M43" s="95"/>
      <c r="N43" s="95"/>
    </row>
    <row r="44" spans="1:14" x14ac:dyDescent="0.3">
      <c r="A44" s="126" t="s">
        <v>123</v>
      </c>
      <c r="B44" s="127" t="s">
        <v>132</v>
      </c>
      <c r="C44" s="128">
        <v>0.33600000000000002</v>
      </c>
      <c r="D44" s="128" t="s">
        <v>130</v>
      </c>
      <c r="E44" s="128">
        <v>1.56</v>
      </c>
      <c r="F44" s="129" t="s">
        <v>274</v>
      </c>
      <c r="G44" s="130">
        <v>0.6</v>
      </c>
      <c r="H44" s="128" t="s">
        <v>283</v>
      </c>
      <c r="I44" s="131">
        <v>1.03</v>
      </c>
      <c r="J44" s="95"/>
      <c r="K44" s="95"/>
      <c r="L44" s="95"/>
      <c r="M44" s="95"/>
      <c r="N44" s="95"/>
    </row>
    <row r="45" spans="1:14" x14ac:dyDescent="0.3">
      <c r="A45" s="126" t="s">
        <v>110</v>
      </c>
      <c r="B45" s="127" t="s">
        <v>132</v>
      </c>
      <c r="C45" s="128">
        <v>0.32900000000000001</v>
      </c>
      <c r="D45" s="128" t="s">
        <v>130</v>
      </c>
      <c r="E45" s="128">
        <v>1.56</v>
      </c>
      <c r="F45" s="129" t="s">
        <v>274</v>
      </c>
      <c r="G45" s="130">
        <v>0.6</v>
      </c>
      <c r="H45" s="128" t="s">
        <v>283</v>
      </c>
      <c r="I45" s="131">
        <v>1.03</v>
      </c>
      <c r="J45" s="95"/>
      <c r="K45" s="95"/>
      <c r="L45" s="95"/>
      <c r="M45" s="95"/>
      <c r="N45" s="95"/>
    </row>
    <row r="46" spans="1:14" x14ac:dyDescent="0.3">
      <c r="A46" s="126" t="s">
        <v>124</v>
      </c>
      <c r="B46" s="127" t="s">
        <v>132</v>
      </c>
      <c r="C46" s="128">
        <v>0.34300000000000003</v>
      </c>
      <c r="D46" s="128" t="s">
        <v>130</v>
      </c>
      <c r="E46" s="128">
        <v>1.56</v>
      </c>
      <c r="F46" s="129" t="s">
        <v>274</v>
      </c>
      <c r="G46" s="130">
        <v>0.6</v>
      </c>
      <c r="H46" s="128" t="s">
        <v>283</v>
      </c>
      <c r="I46" s="131">
        <v>1.03</v>
      </c>
      <c r="J46" s="95"/>
      <c r="K46" s="95"/>
      <c r="L46" s="95"/>
      <c r="M46" s="95"/>
      <c r="N46" s="95"/>
    </row>
    <row r="47" spans="1:14" x14ac:dyDescent="0.3">
      <c r="A47" s="126" t="s">
        <v>125</v>
      </c>
      <c r="B47" s="127" t="s">
        <v>132</v>
      </c>
      <c r="C47" s="128">
        <v>0.32500000000000001</v>
      </c>
      <c r="D47" s="128" t="s">
        <v>130</v>
      </c>
      <c r="E47" s="128">
        <v>1.56</v>
      </c>
      <c r="F47" s="129" t="s">
        <v>274</v>
      </c>
      <c r="G47" s="130">
        <v>0.6</v>
      </c>
      <c r="H47" s="128" t="s">
        <v>283</v>
      </c>
      <c r="I47" s="131">
        <v>1.03</v>
      </c>
      <c r="J47" s="95"/>
      <c r="K47" s="95"/>
      <c r="L47" s="95"/>
      <c r="M47" s="95"/>
      <c r="N47" s="95"/>
    </row>
    <row r="48" spans="1:14" x14ac:dyDescent="0.3">
      <c r="A48" s="126" t="s">
        <v>126</v>
      </c>
      <c r="B48" s="127" t="s">
        <v>132</v>
      </c>
      <c r="C48" s="128">
        <v>0.32</v>
      </c>
      <c r="D48" s="128" t="s">
        <v>130</v>
      </c>
      <c r="E48" s="128">
        <v>1.56</v>
      </c>
      <c r="F48" s="129" t="s">
        <v>274</v>
      </c>
      <c r="G48" s="130">
        <v>0.6</v>
      </c>
      <c r="H48" s="128" t="s">
        <v>283</v>
      </c>
      <c r="I48" s="131">
        <v>1.03</v>
      </c>
      <c r="J48" s="95"/>
      <c r="K48" s="95"/>
      <c r="L48" s="95"/>
      <c r="M48" s="95"/>
      <c r="N48" s="95"/>
    </row>
    <row r="49" spans="1:14" x14ac:dyDescent="0.3">
      <c r="A49" s="126" t="s">
        <v>111</v>
      </c>
      <c r="B49" s="127" t="s">
        <v>132</v>
      </c>
      <c r="C49" s="128">
        <v>0.28199999999999997</v>
      </c>
      <c r="D49" s="128" t="s">
        <v>130</v>
      </c>
      <c r="E49" s="128">
        <v>1.56</v>
      </c>
      <c r="F49" s="129" t="s">
        <v>274</v>
      </c>
      <c r="G49" s="130">
        <v>0.6</v>
      </c>
      <c r="H49" s="128" t="s">
        <v>283</v>
      </c>
      <c r="I49" s="131">
        <v>1.03</v>
      </c>
      <c r="J49" s="95"/>
      <c r="K49" s="95"/>
      <c r="L49" s="95"/>
      <c r="M49" s="95"/>
      <c r="N49" s="95"/>
    </row>
    <row r="50" spans="1:14" x14ac:dyDescent="0.3">
      <c r="A50" s="126" t="s">
        <v>127</v>
      </c>
      <c r="B50" s="127" t="s">
        <v>132</v>
      </c>
      <c r="C50" s="128">
        <v>0.32800000000000001</v>
      </c>
      <c r="D50" s="128" t="s">
        <v>130</v>
      </c>
      <c r="E50" s="128">
        <v>1.56</v>
      </c>
      <c r="F50" s="129" t="s">
        <v>274</v>
      </c>
      <c r="G50" s="130">
        <v>0.6</v>
      </c>
      <c r="H50" s="128" t="s">
        <v>283</v>
      </c>
      <c r="I50" s="131">
        <v>1.03</v>
      </c>
      <c r="J50" s="95"/>
      <c r="K50" s="95"/>
      <c r="L50" s="95"/>
      <c r="M50" s="95"/>
      <c r="N50" s="95"/>
    </row>
    <row r="51" spans="1:14" x14ac:dyDescent="0.3">
      <c r="A51" s="126" t="s">
        <v>112</v>
      </c>
      <c r="B51" s="127" t="s">
        <v>132</v>
      </c>
      <c r="C51" s="128">
        <v>0.32600000000000001</v>
      </c>
      <c r="D51" s="128" t="s">
        <v>130</v>
      </c>
      <c r="E51" s="128">
        <v>1.56</v>
      </c>
      <c r="F51" s="129" t="s">
        <v>274</v>
      </c>
      <c r="G51" s="130">
        <v>0.6</v>
      </c>
      <c r="H51" s="128" t="s">
        <v>283</v>
      </c>
      <c r="I51" s="131">
        <v>1.03</v>
      </c>
      <c r="J51" s="95"/>
      <c r="K51" s="95"/>
      <c r="L51" s="95"/>
      <c r="M51" s="95"/>
      <c r="N51" s="95"/>
    </row>
    <row r="52" spans="1:14" x14ac:dyDescent="0.3">
      <c r="A52" s="126" t="s">
        <v>113</v>
      </c>
      <c r="B52" s="127" t="s">
        <v>132</v>
      </c>
      <c r="C52" s="128">
        <v>0.35899999999999999</v>
      </c>
      <c r="D52" s="128" t="s">
        <v>130</v>
      </c>
      <c r="E52" s="128">
        <v>1.56</v>
      </c>
      <c r="F52" s="129" t="s">
        <v>274</v>
      </c>
      <c r="G52" s="130">
        <v>0.6</v>
      </c>
      <c r="H52" s="128" t="s">
        <v>283</v>
      </c>
      <c r="I52" s="131">
        <v>1.03</v>
      </c>
      <c r="J52" s="95"/>
      <c r="K52" s="95"/>
      <c r="L52" s="95"/>
      <c r="M52" s="95"/>
      <c r="N52" s="95"/>
    </row>
    <row r="53" spans="1:14" x14ac:dyDescent="0.3">
      <c r="A53" s="126" t="s">
        <v>114</v>
      </c>
      <c r="B53" s="127" t="s">
        <v>132</v>
      </c>
      <c r="C53" s="128">
        <v>0.34599999999999997</v>
      </c>
      <c r="D53" s="128" t="s">
        <v>130</v>
      </c>
      <c r="E53" s="128">
        <v>1.56</v>
      </c>
      <c r="F53" s="129" t="s">
        <v>274</v>
      </c>
      <c r="G53" s="130">
        <v>0.6</v>
      </c>
      <c r="H53" s="128" t="s">
        <v>283</v>
      </c>
      <c r="I53" s="131">
        <v>1.03</v>
      </c>
      <c r="J53" s="95"/>
      <c r="K53" s="95"/>
      <c r="L53" s="95"/>
      <c r="M53" s="95"/>
      <c r="N53" s="95"/>
    </row>
    <row r="54" spans="1:14" x14ac:dyDescent="0.3">
      <c r="A54" s="126" t="s">
        <v>115</v>
      </c>
      <c r="B54" s="127" t="s">
        <v>132</v>
      </c>
      <c r="C54" s="128">
        <v>0.32600000000000001</v>
      </c>
      <c r="D54" s="128" t="s">
        <v>130</v>
      </c>
      <c r="E54" s="128">
        <v>1.56</v>
      </c>
      <c r="F54" s="129" t="s">
        <v>274</v>
      </c>
      <c r="G54" s="130">
        <v>0.6</v>
      </c>
      <c r="H54" s="128" t="s">
        <v>283</v>
      </c>
      <c r="I54" s="131">
        <v>1.03</v>
      </c>
      <c r="J54" s="95"/>
      <c r="K54" s="95"/>
      <c r="L54" s="95"/>
      <c r="M54" s="95"/>
      <c r="N54" s="95"/>
    </row>
    <row r="55" spans="1:14" x14ac:dyDescent="0.3">
      <c r="A55" s="126" t="s">
        <v>116</v>
      </c>
      <c r="B55" s="127" t="s">
        <v>132</v>
      </c>
      <c r="C55" s="128">
        <v>0.30499999999999999</v>
      </c>
      <c r="D55" s="128" t="s">
        <v>130</v>
      </c>
      <c r="E55" s="128">
        <v>1.56</v>
      </c>
      <c r="F55" s="129" t="s">
        <v>274</v>
      </c>
      <c r="G55" s="130">
        <v>0.6</v>
      </c>
      <c r="H55" s="128" t="s">
        <v>283</v>
      </c>
      <c r="I55" s="131">
        <v>1.03</v>
      </c>
      <c r="J55" s="95"/>
      <c r="K55" s="95"/>
      <c r="L55" s="95"/>
      <c r="M55" s="95"/>
      <c r="N55" s="95"/>
    </row>
    <row r="56" spans="1:14" x14ac:dyDescent="0.3">
      <c r="A56" s="126" t="s">
        <v>128</v>
      </c>
      <c r="B56" s="127" t="s">
        <v>132</v>
      </c>
      <c r="C56" s="128">
        <v>0.32300000000000001</v>
      </c>
      <c r="D56" s="128" t="s">
        <v>130</v>
      </c>
      <c r="E56" s="128">
        <v>1.56</v>
      </c>
      <c r="F56" s="129" t="s">
        <v>274</v>
      </c>
      <c r="G56" s="130">
        <v>0.6</v>
      </c>
      <c r="H56" s="128" t="s">
        <v>283</v>
      </c>
      <c r="I56" s="131">
        <v>1.03</v>
      </c>
      <c r="J56" s="95"/>
      <c r="K56" s="95"/>
      <c r="L56" s="95"/>
      <c r="M56" s="95"/>
      <c r="N56" s="95"/>
    </row>
    <row r="57" spans="1:14" x14ac:dyDescent="0.3">
      <c r="A57" s="126" t="s">
        <v>129</v>
      </c>
      <c r="B57" s="127" t="s">
        <v>132</v>
      </c>
      <c r="C57" s="128">
        <v>0.36699999999999999</v>
      </c>
      <c r="D57" s="128" t="s">
        <v>130</v>
      </c>
      <c r="E57" s="128">
        <v>1.56</v>
      </c>
      <c r="F57" s="129" t="s">
        <v>274</v>
      </c>
      <c r="G57" s="130">
        <v>0.6</v>
      </c>
      <c r="H57" s="128" t="s">
        <v>283</v>
      </c>
      <c r="I57" s="131">
        <v>1.03</v>
      </c>
      <c r="J57" s="95"/>
      <c r="K57" s="95"/>
      <c r="L57" s="95"/>
      <c r="M57" s="95"/>
      <c r="N57" s="95"/>
    </row>
    <row r="58" spans="1:14" x14ac:dyDescent="0.3">
      <c r="A58" s="126" t="s">
        <v>117</v>
      </c>
      <c r="B58" s="127" t="s">
        <v>132</v>
      </c>
      <c r="C58" s="128">
        <v>0.36</v>
      </c>
      <c r="D58" s="128" t="s">
        <v>130</v>
      </c>
      <c r="E58" s="128">
        <v>1.56</v>
      </c>
      <c r="F58" s="129" t="s">
        <v>274</v>
      </c>
      <c r="G58" s="130">
        <v>0.6</v>
      </c>
      <c r="H58" s="128" t="s">
        <v>283</v>
      </c>
      <c r="I58" s="131">
        <v>1.03</v>
      </c>
      <c r="J58" s="95"/>
      <c r="K58" s="95"/>
      <c r="L58" s="95"/>
      <c r="M58" s="95"/>
      <c r="N58" s="95"/>
    </row>
    <row r="59" spans="1:14" x14ac:dyDescent="0.3">
      <c r="A59" s="126" t="s">
        <v>118</v>
      </c>
      <c r="B59" s="127" t="s">
        <v>132</v>
      </c>
      <c r="C59" s="128">
        <v>0.36799999999999999</v>
      </c>
      <c r="D59" s="128" t="s">
        <v>130</v>
      </c>
      <c r="E59" s="128">
        <v>1.56</v>
      </c>
      <c r="F59" s="129" t="s">
        <v>274</v>
      </c>
      <c r="G59" s="130">
        <v>0.6</v>
      </c>
      <c r="H59" s="128" t="s">
        <v>283</v>
      </c>
      <c r="I59" s="131">
        <v>1.03</v>
      </c>
      <c r="J59" s="95"/>
      <c r="K59" s="95"/>
      <c r="L59" s="95"/>
      <c r="M59" s="95"/>
      <c r="N59" s="95"/>
    </row>
    <row r="60" spans="1:14" x14ac:dyDescent="0.3">
      <c r="A60" s="126" t="s">
        <v>119</v>
      </c>
      <c r="B60" s="127" t="s">
        <v>132</v>
      </c>
      <c r="C60" s="128">
        <v>0.30599999999999999</v>
      </c>
      <c r="D60" s="128" t="s">
        <v>130</v>
      </c>
      <c r="E60" s="128">
        <v>1.56</v>
      </c>
      <c r="F60" s="129" t="s">
        <v>274</v>
      </c>
      <c r="G60" s="130">
        <v>0.6</v>
      </c>
      <c r="H60" s="128" t="s">
        <v>283</v>
      </c>
      <c r="I60" s="131">
        <v>1.03</v>
      </c>
      <c r="J60" s="95"/>
      <c r="K60" s="95"/>
      <c r="L60" s="95"/>
      <c r="M60" s="95"/>
      <c r="N60" s="95"/>
    </row>
    <row r="61" spans="1:14" x14ac:dyDescent="0.3">
      <c r="A61" s="126" t="s">
        <v>120</v>
      </c>
      <c r="B61" s="127" t="s">
        <v>132</v>
      </c>
      <c r="C61" s="128">
        <v>0.313</v>
      </c>
      <c r="D61" s="128" t="s">
        <v>130</v>
      </c>
      <c r="E61" s="128">
        <v>1.56</v>
      </c>
      <c r="F61" s="129" t="s">
        <v>274</v>
      </c>
      <c r="G61" s="130">
        <v>0.6</v>
      </c>
      <c r="H61" s="128" t="s">
        <v>283</v>
      </c>
      <c r="I61" s="131">
        <v>1.03</v>
      </c>
      <c r="J61" s="95"/>
      <c r="K61" s="95"/>
      <c r="L61" s="95"/>
      <c r="M61" s="95"/>
      <c r="N61" s="95"/>
    </row>
    <row r="62" spans="1:14" x14ac:dyDescent="0.3">
      <c r="A62" s="126" t="s">
        <v>32</v>
      </c>
      <c r="B62" s="127" t="s">
        <v>133</v>
      </c>
      <c r="C62" s="128">
        <v>0.37</v>
      </c>
      <c r="D62" s="128" t="s">
        <v>161</v>
      </c>
      <c r="E62" s="128">
        <v>1.56</v>
      </c>
      <c r="F62" s="129" t="s">
        <v>274</v>
      </c>
      <c r="G62" s="130">
        <v>0.6</v>
      </c>
      <c r="H62" s="128" t="s">
        <v>283</v>
      </c>
      <c r="I62" s="131">
        <v>1.03</v>
      </c>
      <c r="J62" s="95"/>
      <c r="K62" s="95"/>
      <c r="L62" s="95"/>
      <c r="M62" s="95"/>
      <c r="N62" s="95"/>
    </row>
    <row r="63" spans="1:14" x14ac:dyDescent="0.3">
      <c r="A63" s="126" t="s">
        <v>90</v>
      </c>
      <c r="B63" s="127" t="s">
        <v>83</v>
      </c>
      <c r="C63" s="128">
        <v>0.45</v>
      </c>
      <c r="D63" s="128" t="s">
        <v>161</v>
      </c>
      <c r="E63" s="128">
        <v>1.3</v>
      </c>
      <c r="F63" s="129" t="s">
        <v>274</v>
      </c>
      <c r="G63" s="130">
        <v>0.45</v>
      </c>
      <c r="H63" s="128" t="s">
        <v>276</v>
      </c>
      <c r="I63" s="131">
        <v>0.43</v>
      </c>
      <c r="J63" s="95"/>
      <c r="K63" s="95"/>
      <c r="L63" s="95"/>
      <c r="M63" s="95"/>
      <c r="N63" s="95"/>
    </row>
    <row r="64" spans="1:14" x14ac:dyDescent="0.3">
      <c r="A64" s="126" t="s">
        <v>33</v>
      </c>
      <c r="B64" s="127" t="s">
        <v>134</v>
      </c>
      <c r="C64" s="128">
        <v>0.39</v>
      </c>
      <c r="D64" s="128" t="s">
        <v>161</v>
      </c>
      <c r="E64" s="128">
        <v>1.3</v>
      </c>
      <c r="F64" s="129" t="s">
        <v>274</v>
      </c>
      <c r="G64" s="130">
        <v>0.45</v>
      </c>
      <c r="H64" s="128" t="s">
        <v>276</v>
      </c>
      <c r="I64" s="131">
        <v>0.43</v>
      </c>
      <c r="J64" s="95"/>
      <c r="K64" s="95"/>
      <c r="L64" s="95"/>
      <c r="M64" s="95"/>
      <c r="N64" s="95"/>
    </row>
    <row r="65" spans="1:14" x14ac:dyDescent="0.3">
      <c r="A65" s="126" t="s">
        <v>34</v>
      </c>
      <c r="B65" s="127" t="s">
        <v>135</v>
      </c>
      <c r="C65" s="128">
        <v>0.44</v>
      </c>
      <c r="D65" s="128" t="s">
        <v>161</v>
      </c>
      <c r="E65" s="128">
        <v>1.3</v>
      </c>
      <c r="F65" s="129" t="s">
        <v>274</v>
      </c>
      <c r="G65" s="130">
        <v>0.45</v>
      </c>
      <c r="H65" s="128" t="s">
        <v>276</v>
      </c>
      <c r="I65" s="131">
        <v>0.43</v>
      </c>
      <c r="J65" s="95"/>
      <c r="K65" s="95"/>
      <c r="L65" s="95"/>
      <c r="M65" s="95"/>
      <c r="N65" s="95"/>
    </row>
    <row r="66" spans="1:14" x14ac:dyDescent="0.3">
      <c r="A66" s="126" t="s">
        <v>35</v>
      </c>
      <c r="B66" s="127" t="s">
        <v>84</v>
      </c>
      <c r="C66" s="128">
        <v>0.46</v>
      </c>
      <c r="D66" s="128" t="s">
        <v>161</v>
      </c>
      <c r="E66" s="128">
        <v>1.3</v>
      </c>
      <c r="F66" s="129" t="s">
        <v>274</v>
      </c>
      <c r="G66" s="130">
        <v>0.45</v>
      </c>
      <c r="H66" s="128" t="s">
        <v>276</v>
      </c>
      <c r="I66" s="131">
        <v>0.43</v>
      </c>
      <c r="J66" s="95"/>
      <c r="K66" s="95"/>
      <c r="L66" s="95"/>
      <c r="M66" s="95"/>
      <c r="N66" s="95"/>
    </row>
    <row r="67" spans="1:14" x14ac:dyDescent="0.3">
      <c r="A67" s="126" t="s">
        <v>36</v>
      </c>
      <c r="B67" s="127" t="s">
        <v>85</v>
      </c>
      <c r="C67" s="128">
        <v>0.46</v>
      </c>
      <c r="D67" s="128" t="s">
        <v>161</v>
      </c>
      <c r="E67" s="128">
        <v>1.3</v>
      </c>
      <c r="F67" s="129" t="s">
        <v>274</v>
      </c>
      <c r="G67" s="130">
        <v>0.45</v>
      </c>
      <c r="H67" s="128" t="s">
        <v>152</v>
      </c>
      <c r="I67" s="131">
        <v>0.59</v>
      </c>
      <c r="J67" s="95"/>
      <c r="K67" s="95"/>
      <c r="L67" s="95"/>
      <c r="M67" s="95"/>
      <c r="N67" s="95"/>
    </row>
    <row r="68" spans="1:14" x14ac:dyDescent="0.3">
      <c r="A68" s="126" t="s">
        <v>37</v>
      </c>
      <c r="B68" s="127" t="s">
        <v>136</v>
      </c>
      <c r="C68" s="128">
        <v>0.44</v>
      </c>
      <c r="D68" s="128" t="s">
        <v>161</v>
      </c>
      <c r="E68" s="128">
        <v>1.3</v>
      </c>
      <c r="F68" s="129" t="s">
        <v>274</v>
      </c>
      <c r="G68" s="130">
        <v>0.45</v>
      </c>
      <c r="H68" s="128" t="s">
        <v>276</v>
      </c>
      <c r="I68" s="131">
        <v>0.43</v>
      </c>
      <c r="J68" s="95"/>
      <c r="K68" s="95"/>
      <c r="L68" s="95"/>
      <c r="M68" s="95"/>
      <c r="N68" s="95"/>
    </row>
    <row r="69" spans="1:14" x14ac:dyDescent="0.3">
      <c r="A69" s="126" t="s">
        <v>38</v>
      </c>
      <c r="B69" s="127" t="s">
        <v>86</v>
      </c>
      <c r="C69" s="128">
        <v>0.46</v>
      </c>
      <c r="D69" s="128" t="s">
        <v>161</v>
      </c>
      <c r="E69" s="128">
        <v>1.3</v>
      </c>
      <c r="F69" s="129" t="s">
        <v>274</v>
      </c>
      <c r="G69" s="130">
        <v>0.45</v>
      </c>
      <c r="H69" s="128" t="s">
        <v>276</v>
      </c>
      <c r="I69" s="131">
        <v>0.43</v>
      </c>
      <c r="J69" s="95"/>
      <c r="K69" s="95"/>
      <c r="L69" s="95"/>
      <c r="M69" s="95"/>
      <c r="N69" s="95"/>
    </row>
    <row r="70" spans="1:14" x14ac:dyDescent="0.3">
      <c r="A70" s="126" t="s">
        <v>39</v>
      </c>
      <c r="B70" s="127" t="s">
        <v>137</v>
      </c>
      <c r="C70" s="128">
        <v>0.48</v>
      </c>
      <c r="D70" s="128" t="s">
        <v>161</v>
      </c>
      <c r="E70" s="128">
        <v>2.4</v>
      </c>
      <c r="F70" s="128" t="s">
        <v>284</v>
      </c>
      <c r="G70" s="130">
        <v>0.45</v>
      </c>
      <c r="H70" s="128" t="s">
        <v>276</v>
      </c>
      <c r="I70" s="131">
        <v>0.43</v>
      </c>
      <c r="J70" s="95"/>
      <c r="K70" s="95"/>
      <c r="L70" s="95"/>
      <c r="M70" s="95"/>
      <c r="N70" s="95"/>
    </row>
    <row r="71" spans="1:14" x14ac:dyDescent="0.3">
      <c r="A71" s="126" t="s">
        <v>40</v>
      </c>
      <c r="B71" s="127" t="s">
        <v>87</v>
      </c>
      <c r="C71" s="128">
        <v>0.46</v>
      </c>
      <c r="D71" s="128" t="s">
        <v>150</v>
      </c>
      <c r="E71" s="128">
        <v>1.3</v>
      </c>
      <c r="F71" s="129" t="s">
        <v>274</v>
      </c>
      <c r="G71" s="130">
        <v>0.45</v>
      </c>
      <c r="H71" s="128" t="s">
        <v>276</v>
      </c>
      <c r="I71" s="131">
        <v>0.43</v>
      </c>
      <c r="J71" s="95"/>
      <c r="K71" s="95"/>
      <c r="L71" s="95"/>
      <c r="M71" s="95"/>
      <c r="N71" s="95"/>
    </row>
    <row r="72" spans="1:14" x14ac:dyDescent="0.3">
      <c r="A72" s="126" t="s">
        <v>41</v>
      </c>
      <c r="B72" s="127" t="s">
        <v>88</v>
      </c>
      <c r="C72" s="128">
        <v>0.44</v>
      </c>
      <c r="D72" s="128" t="s">
        <v>161</v>
      </c>
      <c r="E72" s="128">
        <v>1.3</v>
      </c>
      <c r="F72" s="129" t="s">
        <v>274</v>
      </c>
      <c r="G72" s="130">
        <v>0.45</v>
      </c>
      <c r="H72" s="128" t="s">
        <v>276</v>
      </c>
      <c r="I72" s="131">
        <v>0.43</v>
      </c>
      <c r="J72" s="95"/>
      <c r="K72" s="95"/>
      <c r="L72" s="95"/>
      <c r="M72" s="95"/>
      <c r="N72" s="95"/>
    </row>
    <row r="73" spans="1:14" x14ac:dyDescent="0.3">
      <c r="A73" s="126" t="s">
        <v>138</v>
      </c>
      <c r="B73" s="127" t="s">
        <v>140</v>
      </c>
      <c r="C73" s="128">
        <v>0.46</v>
      </c>
      <c r="D73" s="128" t="s">
        <v>151</v>
      </c>
      <c r="E73" s="128">
        <v>1.3</v>
      </c>
      <c r="F73" s="129" t="s">
        <v>274</v>
      </c>
      <c r="G73" s="130">
        <v>0.45</v>
      </c>
      <c r="H73" s="128" t="s">
        <v>276</v>
      </c>
      <c r="I73" s="131">
        <v>0.43</v>
      </c>
      <c r="J73" s="95"/>
      <c r="K73" s="95"/>
      <c r="L73" s="95"/>
      <c r="M73" s="95"/>
      <c r="N73" s="95"/>
    </row>
    <row r="74" spans="1:14" x14ac:dyDescent="0.3">
      <c r="A74" s="126" t="s">
        <v>42</v>
      </c>
      <c r="B74" s="127" t="s">
        <v>139</v>
      </c>
      <c r="C74" s="128">
        <v>0.34</v>
      </c>
      <c r="D74" s="128" t="s">
        <v>161</v>
      </c>
      <c r="E74" s="128">
        <v>1.3</v>
      </c>
      <c r="F74" s="129" t="s">
        <v>274</v>
      </c>
      <c r="G74" s="130">
        <v>0.45</v>
      </c>
      <c r="H74" s="128" t="s">
        <v>276</v>
      </c>
      <c r="I74" s="131">
        <v>0.43</v>
      </c>
      <c r="J74" s="95"/>
      <c r="K74" s="95"/>
      <c r="L74" s="95"/>
      <c r="M74" s="95"/>
      <c r="N74" s="95"/>
    </row>
    <row r="75" spans="1:14" x14ac:dyDescent="0.3">
      <c r="A75" s="126" t="s">
        <v>43</v>
      </c>
      <c r="B75" s="127" t="s">
        <v>162</v>
      </c>
      <c r="C75" s="128">
        <v>0.5</v>
      </c>
      <c r="D75" s="128" t="s">
        <v>161</v>
      </c>
      <c r="E75" s="128">
        <v>1.56</v>
      </c>
      <c r="F75" s="129" t="s">
        <v>274</v>
      </c>
      <c r="G75" s="130">
        <v>0.53</v>
      </c>
      <c r="H75" s="128" t="s">
        <v>275</v>
      </c>
      <c r="I75" s="131">
        <v>0.25</v>
      </c>
      <c r="J75" s="95"/>
      <c r="K75" s="95"/>
      <c r="L75" s="95"/>
      <c r="M75" s="95"/>
      <c r="N75" s="95"/>
    </row>
    <row r="76" spans="1:14" x14ac:dyDescent="0.3">
      <c r="A76" s="126" t="s">
        <v>44</v>
      </c>
      <c r="B76" s="127" t="s">
        <v>89</v>
      </c>
      <c r="C76" s="128">
        <v>0.57999999999999996</v>
      </c>
      <c r="D76" s="128" t="s">
        <v>161</v>
      </c>
      <c r="E76" s="128">
        <v>1.56</v>
      </c>
      <c r="F76" s="129" t="s">
        <v>274</v>
      </c>
      <c r="G76" s="130">
        <v>0.3</v>
      </c>
      <c r="H76" s="128" t="s">
        <v>277</v>
      </c>
      <c r="I76" s="131">
        <v>0.25</v>
      </c>
      <c r="J76" s="95"/>
      <c r="K76" s="95"/>
      <c r="L76" s="95"/>
      <c r="M76" s="95"/>
      <c r="N76" s="95"/>
    </row>
    <row r="77" spans="1:14" x14ac:dyDescent="0.3">
      <c r="A77" s="126" t="s">
        <v>47</v>
      </c>
      <c r="B77" s="127" t="s">
        <v>141</v>
      </c>
      <c r="C77" s="128">
        <v>0.37</v>
      </c>
      <c r="D77" s="128" t="s">
        <v>161</v>
      </c>
      <c r="E77" s="128">
        <v>1.3</v>
      </c>
      <c r="F77" s="129" t="s">
        <v>274</v>
      </c>
      <c r="G77" s="130">
        <v>0.55000000000000004</v>
      </c>
      <c r="H77" s="128" t="s">
        <v>152</v>
      </c>
      <c r="I77" s="131">
        <v>0.43</v>
      </c>
      <c r="J77" s="95"/>
      <c r="K77" s="95"/>
      <c r="L77" s="95"/>
      <c r="M77" s="95"/>
      <c r="N77" s="95"/>
    </row>
    <row r="78" spans="1:14" x14ac:dyDescent="0.3">
      <c r="A78" s="126" t="s">
        <v>45</v>
      </c>
      <c r="B78" s="127" t="s">
        <v>96</v>
      </c>
      <c r="C78" s="128">
        <v>0.37</v>
      </c>
      <c r="D78" s="128" t="s">
        <v>161</v>
      </c>
      <c r="E78" s="128">
        <v>1.3</v>
      </c>
      <c r="F78" s="129" t="s">
        <v>274</v>
      </c>
      <c r="G78" s="130">
        <v>0.55000000000000004</v>
      </c>
      <c r="H78" s="128" t="s">
        <v>152</v>
      </c>
      <c r="I78" s="131">
        <v>0.43</v>
      </c>
      <c r="J78" s="95"/>
      <c r="K78" s="95"/>
      <c r="L78" s="95"/>
      <c r="M78" s="95"/>
      <c r="N78" s="95"/>
    </row>
    <row r="79" spans="1:14" x14ac:dyDescent="0.3">
      <c r="A79" s="126" t="s">
        <v>46</v>
      </c>
      <c r="B79" s="127" t="s">
        <v>95</v>
      </c>
      <c r="C79" s="128">
        <v>0.38</v>
      </c>
      <c r="D79" s="128" t="s">
        <v>161</v>
      </c>
      <c r="E79" s="128">
        <v>1.3</v>
      </c>
      <c r="F79" s="129" t="s">
        <v>274</v>
      </c>
      <c r="G79" s="130">
        <v>0.55000000000000004</v>
      </c>
      <c r="H79" s="128" t="s">
        <v>153</v>
      </c>
      <c r="I79" s="131">
        <v>0.43</v>
      </c>
      <c r="J79" s="95"/>
      <c r="K79" s="95"/>
      <c r="L79" s="95"/>
      <c r="M79" s="95"/>
      <c r="N79" s="95"/>
    </row>
    <row r="80" spans="1:14" x14ac:dyDescent="0.3">
      <c r="A80" s="126" t="s">
        <v>48</v>
      </c>
      <c r="B80" s="127" t="s">
        <v>94</v>
      </c>
      <c r="C80" s="128">
        <v>0.36</v>
      </c>
      <c r="D80" s="128" t="s">
        <v>161</v>
      </c>
      <c r="E80" s="128">
        <v>1.3</v>
      </c>
      <c r="F80" s="129" t="s">
        <v>274</v>
      </c>
      <c r="G80" s="130">
        <v>0.55000000000000004</v>
      </c>
      <c r="H80" s="128" t="s">
        <v>153</v>
      </c>
      <c r="I80" s="131">
        <v>0.43</v>
      </c>
      <c r="J80" s="95"/>
      <c r="K80" s="95"/>
      <c r="L80" s="95"/>
      <c r="M80" s="95"/>
      <c r="N80" s="95"/>
    </row>
    <row r="81" spans="1:14" x14ac:dyDescent="0.3">
      <c r="A81" s="126" t="s">
        <v>49</v>
      </c>
      <c r="B81" s="127" t="s">
        <v>142</v>
      </c>
      <c r="C81" s="128">
        <v>0.37</v>
      </c>
      <c r="D81" s="128" t="s">
        <v>161</v>
      </c>
      <c r="E81" s="128">
        <v>1.56</v>
      </c>
      <c r="F81" s="129" t="s">
        <v>274</v>
      </c>
      <c r="G81" s="130">
        <v>0.43</v>
      </c>
      <c r="H81" s="128" t="s">
        <v>278</v>
      </c>
      <c r="I81" s="131">
        <v>0.25</v>
      </c>
      <c r="J81" s="95"/>
      <c r="K81" s="95"/>
      <c r="L81" s="95"/>
      <c r="M81" s="95"/>
      <c r="N81" s="95"/>
    </row>
    <row r="82" spans="1:14" x14ac:dyDescent="0.3">
      <c r="A82" s="126" t="s">
        <v>158</v>
      </c>
      <c r="B82" s="127" t="s">
        <v>159</v>
      </c>
      <c r="C82" s="128">
        <v>0.35</v>
      </c>
      <c r="D82" s="128" t="s">
        <v>160</v>
      </c>
      <c r="E82" s="128">
        <v>1.3</v>
      </c>
      <c r="F82" s="129" t="s">
        <v>274</v>
      </c>
      <c r="G82" s="130">
        <v>0.55000000000000004</v>
      </c>
      <c r="H82" s="128" t="s">
        <v>153</v>
      </c>
      <c r="I82" s="131">
        <v>0.43</v>
      </c>
      <c r="J82" s="95"/>
      <c r="K82" s="95"/>
      <c r="L82" s="95"/>
      <c r="M82" s="95"/>
      <c r="N82" s="95"/>
    </row>
    <row r="83" spans="1:14" x14ac:dyDescent="0.3">
      <c r="A83" s="126" t="s">
        <v>156</v>
      </c>
      <c r="B83" s="127" t="s">
        <v>157</v>
      </c>
      <c r="C83" s="128">
        <v>0.34</v>
      </c>
      <c r="D83" s="128" t="s">
        <v>161</v>
      </c>
      <c r="E83" s="128">
        <v>1.3</v>
      </c>
      <c r="F83" s="129" t="s">
        <v>274</v>
      </c>
      <c r="G83" s="130">
        <v>0.55000000000000004</v>
      </c>
      <c r="H83" s="128" t="s">
        <v>153</v>
      </c>
      <c r="I83" s="131">
        <v>0.43</v>
      </c>
      <c r="J83" s="95"/>
      <c r="K83" s="95"/>
      <c r="L83" s="95"/>
      <c r="M83" s="95"/>
      <c r="N83" s="95"/>
    </row>
    <row r="84" spans="1:14" x14ac:dyDescent="0.3">
      <c r="A84" s="126" t="s">
        <v>92</v>
      </c>
      <c r="B84" s="127" t="s">
        <v>93</v>
      </c>
      <c r="C84" s="128">
        <v>0.31</v>
      </c>
      <c r="D84" s="128" t="s">
        <v>161</v>
      </c>
      <c r="E84" s="128">
        <v>1.3</v>
      </c>
      <c r="F84" s="129" t="s">
        <v>274</v>
      </c>
      <c r="G84" s="130">
        <v>0.55000000000000004</v>
      </c>
      <c r="H84" s="128" t="s">
        <v>153</v>
      </c>
      <c r="I84" s="131">
        <v>0.43</v>
      </c>
      <c r="J84" s="95"/>
      <c r="K84" s="95"/>
      <c r="L84" s="95"/>
      <c r="M84" s="95"/>
      <c r="N84" s="95"/>
    </row>
    <row r="85" spans="1:14" x14ac:dyDescent="0.3">
      <c r="A85" s="126" t="s">
        <v>50</v>
      </c>
      <c r="B85" s="127" t="s">
        <v>143</v>
      </c>
      <c r="C85" s="128">
        <v>0.43</v>
      </c>
      <c r="D85" s="128" t="s">
        <v>161</v>
      </c>
      <c r="E85" s="128">
        <v>1.56</v>
      </c>
      <c r="F85" s="129" t="s">
        <v>274</v>
      </c>
      <c r="G85" s="130">
        <v>0.53</v>
      </c>
      <c r="H85" s="128" t="s">
        <v>275</v>
      </c>
      <c r="I85" s="131">
        <v>0.25</v>
      </c>
      <c r="J85" s="95"/>
      <c r="K85" s="95"/>
      <c r="L85" s="95"/>
      <c r="M85" s="95"/>
      <c r="N85" s="95"/>
    </row>
    <row r="86" spans="1:14" x14ac:dyDescent="0.3">
      <c r="A86" s="126" t="s">
        <v>51</v>
      </c>
      <c r="B86" s="127" t="s">
        <v>91</v>
      </c>
      <c r="C86" s="128">
        <v>0.38</v>
      </c>
      <c r="D86" s="128" t="s">
        <v>161</v>
      </c>
      <c r="E86" s="128">
        <v>1.56</v>
      </c>
      <c r="F86" s="129" t="s">
        <v>274</v>
      </c>
      <c r="G86" s="130">
        <v>0.6</v>
      </c>
      <c r="H86" s="128" t="s">
        <v>279</v>
      </c>
      <c r="I86" s="131">
        <v>0.25</v>
      </c>
      <c r="J86" s="95"/>
      <c r="K86" s="95"/>
      <c r="L86" s="95"/>
      <c r="M86" s="95"/>
      <c r="N86" s="95"/>
    </row>
    <row r="87" spans="1:14" x14ac:dyDescent="0.3">
      <c r="A87" s="126" t="s">
        <v>148</v>
      </c>
      <c r="B87" s="134"/>
      <c r="C87" s="128">
        <v>0.42</v>
      </c>
      <c r="D87" s="128" t="s">
        <v>161</v>
      </c>
      <c r="E87" s="128">
        <v>1.3</v>
      </c>
      <c r="F87" s="129" t="s">
        <v>274</v>
      </c>
      <c r="G87" s="135"/>
      <c r="H87" s="134"/>
      <c r="I87" s="136"/>
    </row>
    <row r="88" spans="1:14" ht="15" thickBot="1" x14ac:dyDescent="0.35">
      <c r="A88" s="137" t="s">
        <v>149</v>
      </c>
      <c r="B88" s="138"/>
      <c r="C88" s="139">
        <v>0.56999999999999995</v>
      </c>
      <c r="D88" s="140" t="s">
        <v>161</v>
      </c>
      <c r="E88" s="139">
        <v>1.56</v>
      </c>
      <c r="F88" s="139" t="s">
        <v>274</v>
      </c>
      <c r="G88" s="138"/>
      <c r="H88" s="138"/>
      <c r="I88" s="141"/>
    </row>
    <row r="92" spans="1:14" x14ac:dyDescent="0.3">
      <c r="A92" s="126" t="s">
        <v>208</v>
      </c>
    </row>
    <row r="93" spans="1:14" x14ac:dyDescent="0.3">
      <c r="A93" s="126" t="s">
        <v>209</v>
      </c>
    </row>
    <row r="94" spans="1:14" x14ac:dyDescent="0.3">
      <c r="A94" s="126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F1" workbookViewId="0">
      <selection activeCell="L11" sqref="L11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7"/>
      <c r="J1" s="67"/>
      <c r="K1" s="67"/>
      <c r="L1" s="67"/>
      <c r="M1" s="67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5"/>
      <c r="J3" s="225"/>
      <c r="K3" s="225"/>
      <c r="L3" s="225"/>
      <c r="M3" s="225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5"/>
      <c r="J4" s="225"/>
      <c r="K4" s="225"/>
      <c r="L4" s="225"/>
      <c r="M4" s="225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2" t="s">
        <v>207</v>
      </c>
      <c r="B5" s="143" t="s">
        <v>250</v>
      </c>
      <c r="C5" s="144" t="str">
        <f>Calculateur!S2</f>
        <v>ΔStock moyen de long terme (tCO₂/ha)</v>
      </c>
      <c r="D5" s="144" t="str">
        <f>Calculateur!T2</f>
        <v>Δstock CO₂ 30 ans (tCO₂/ha)</v>
      </c>
      <c r="E5" s="144" t="s">
        <v>228</v>
      </c>
      <c r="F5" s="144" t="s">
        <v>239</v>
      </c>
      <c r="G5" s="144" t="s">
        <v>240</v>
      </c>
      <c r="H5" s="145" t="s">
        <v>241</v>
      </c>
      <c r="I5" s="146" t="s">
        <v>242</v>
      </c>
      <c r="J5" s="147" t="s">
        <v>243</v>
      </c>
      <c r="K5" s="148" t="s">
        <v>244</v>
      </c>
      <c r="L5" s="86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49" t="str">
        <f>IF('Données projet'!$B$9="","",'Données projet'!$B$9)</f>
        <v>Chêne sessile</v>
      </c>
      <c r="B6" s="150">
        <f>'Données projet'!D9</f>
        <v>0.33300000000000002</v>
      </c>
      <c r="C6" s="151">
        <f ca="1">IF(OR('Données projet'!B9="",'Données projet'!C9="",'Données projet'!C9=0%),0,Calculateur!S3)</f>
        <v>247.57967230773539</v>
      </c>
      <c r="D6" s="151">
        <f>IF(OR('Données projet'!B9="",'Données projet'!C9="",'Données projet'!C9=0%),0,Calculateur!T3)</f>
        <v>156.58857589533295</v>
      </c>
      <c r="E6" s="151">
        <f ca="1">MIN(C6,D6)</f>
        <v>156.58857589533295</v>
      </c>
      <c r="F6" s="151">
        <f ca="1">E6*B6</f>
        <v>52.143995773145875</v>
      </c>
      <c r="G6" s="151">
        <f ca="1">F6*(100%-'Données projet'!$C$24)*(100%-'Données projet'!$C$25)*(100%-'Données projet'!$C$26)*(100%-'Données projet'!$C$27)</f>
        <v>46.929596195831287</v>
      </c>
      <c r="H6" s="152">
        <f>IF(OR('Données projet'!B9="",'Données projet'!C9="",'Données projet'!C9=0%),0,AVERAGE(Calculateur!$AC$3:$AC$33)*B6)</f>
        <v>0</v>
      </c>
      <c r="I6" s="153">
        <f>H6*(100%-'Données projet'!$C$24)*(100%-'Données projet'!$C$25)*(100%-'Données projet'!$C$26)*(100%-'Données projet'!$C$27)</f>
        <v>0</v>
      </c>
      <c r="J6" s="154">
        <f>IF(OR('Données projet'!B9="",'Données projet'!C9="",'Données projet'!C9=0%),0,SUM(Calculateur!$V$3:$V$33)*VLOOKUP('Données projet'!$B$9,Paramètres!$A$1:$I$88,9,0)*B6)</f>
        <v>0</v>
      </c>
      <c r="K6" s="155">
        <f>J6*(100%-'Données projet'!$C$24)*(100%-'Données projet'!$C$25)*(100%-'Données projet'!$C$26)*(100%-'Données projet'!$C$27)</f>
        <v>0</v>
      </c>
      <c r="L6" s="156">
        <f ca="1">G6+I6+K6</f>
        <v>46.929596195831287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7" t="str">
        <f>IF('Données projet'!$B$10="","",'Données projet'!$B$10)</f>
        <v>Erable sycomore</v>
      </c>
      <c r="B7" s="158">
        <f>'Données projet'!D10</f>
        <v>0.33300000000000002</v>
      </c>
      <c r="C7" s="151">
        <f ca="1">IF(OR('Données projet'!B10="",'Données projet'!C10="",'Données projet'!C10=0%),0,Calculateur!AN3)</f>
        <v>504.15006129790828</v>
      </c>
      <c r="D7" s="151">
        <f>IF(OR('Données projet'!B10="",'Données projet'!C10="",'Données projet'!C10=0%),0,Calculateur!AO3)</f>
        <v>374.39334457402742</v>
      </c>
      <c r="E7" s="151">
        <f t="shared" ref="E7:E15" ca="1" si="0">MIN(C7,D7)</f>
        <v>374.39334457402742</v>
      </c>
      <c r="F7" s="151">
        <f t="shared" ref="F7:F15" ca="1" si="1">E7*B7</f>
        <v>124.67298374315114</v>
      </c>
      <c r="G7" s="151">
        <f ca="1">F7*(100%-'Données projet'!$C$24)*(100%-'Données projet'!$C$25)*(100%-'Données projet'!$C$26)*(100%-'Données projet'!$C$27)</f>
        <v>112.20568536883603</v>
      </c>
      <c r="H7" s="159">
        <f>IF(OR('Données projet'!B10="",'Données projet'!C10="",'Données projet'!C10=0%),0,AVERAGE(Calculateur!$AX$3:$AX$33)*B7)</f>
        <v>0</v>
      </c>
      <c r="I7" s="153">
        <f>H7*(100%-'Données projet'!$C$24)*(100%-'Données projet'!$C$25)*(100%-'Données projet'!$C$26)*(100%-'Données projet'!$C$27)</f>
        <v>0</v>
      </c>
      <c r="J7" s="154">
        <f>IF(OR('Données projet'!B10="",'Données projet'!C10="",'Données projet'!C10=0%),0,SUM(Calculateur!$AQ$3:$AQ$33)*VLOOKUP('Données projet'!$B$10,Paramètres!$A$1:$I$88,9,0)*B7)</f>
        <v>5.0366249999999999</v>
      </c>
      <c r="K7" s="155">
        <f>J7*(100%-'Données projet'!$C$24)*(100%-'Données projet'!$C$25)*(100%-'Données projet'!$C$26)*(100%-'Données projet'!$C$27)</f>
        <v>4.5329625</v>
      </c>
      <c r="L7" s="156">
        <f t="shared" ref="L7:L15" ca="1" si="2">G7+I7+K7</f>
        <v>116.73864786883603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7" t="str">
        <f>IF('Données projet'!$B$11="","",'Données projet'!$B$11)</f>
        <v>Erable plane</v>
      </c>
      <c r="B8" s="158">
        <f>'Données projet'!D11</f>
        <v>0.33300000000000002</v>
      </c>
      <c r="C8" s="151">
        <f ca="1">IF(OR('Données projet'!B11="",'Données projet'!C11="",'Données projet'!C11=0%),0,Calculateur!BI3)</f>
        <v>504.15006129790828</v>
      </c>
      <c r="D8" s="151">
        <f>IF(OR('Données projet'!B11="",'Données projet'!C11="",'Données projet'!C11=0%),0,Calculateur!BJ3)</f>
        <v>374.39334457402742</v>
      </c>
      <c r="E8" s="151">
        <f t="shared" ca="1" si="0"/>
        <v>374.39334457402742</v>
      </c>
      <c r="F8" s="151">
        <f t="shared" ca="1" si="1"/>
        <v>124.67298374315114</v>
      </c>
      <c r="G8" s="151">
        <f ca="1">F8*(100%-'Données projet'!$C$24)*(100%-'Données projet'!$C$25)*(100%-'Données projet'!$C$26)*(100%-'Données projet'!$C$27)</f>
        <v>112.20568536883603</v>
      </c>
      <c r="H8" s="159">
        <f>IF(OR('Données projet'!B11="",'Données projet'!C11="",'Données projet'!C11=0%),0,AVERAGE(Calculateur!$BS$3:$BS$33)*B8)</f>
        <v>0</v>
      </c>
      <c r="I8" s="153">
        <f>H8*(100%-'Données projet'!$C$24)*(100%-'Données projet'!$C$25)*(100%-'Données projet'!$C$26)*(100%-'Données projet'!$C$27)</f>
        <v>0</v>
      </c>
      <c r="J8" s="154">
        <f>IF(OR('Données projet'!B11="",'Données projet'!C11="",'Données projet'!C11=0%),0,SUM(Calculateur!$BL$3:$BL$33)*VLOOKUP('Données projet'!$B$11,Paramètres!$A$1:$I$88,9,0)*B8)</f>
        <v>5.0366249999999999</v>
      </c>
      <c r="K8" s="155">
        <f>J8*(100%-'Données projet'!$C$24)*(100%-'Données projet'!$C$25)*(100%-'Données projet'!$C$26)*(100%-'Données projet'!$C$27)</f>
        <v>4.5329625</v>
      </c>
      <c r="L8" s="156">
        <f t="shared" ca="1" si="2"/>
        <v>116.73864786883603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7" t="str">
        <f>IF('Données projet'!$B$12="","",'Données projet'!$B$12)</f>
        <v>Tilleul</v>
      </c>
      <c r="B9" s="158">
        <f>'Données projet'!D12</f>
        <v>0.33300000000000002</v>
      </c>
      <c r="C9" s="151">
        <f ca="1">IF(OR('Données projet'!B12="",'Données projet'!C12="",'Données projet'!C12=0%),0,Calculateur!CD3)</f>
        <v>387.15063677712425</v>
      </c>
      <c r="D9" s="151">
        <f>IF(OR('Données projet'!B12="",'Données projet'!C12="",'Données projet'!C12=0%),0,Calculateur!CE3)</f>
        <v>313.19155394370705</v>
      </c>
      <c r="E9" s="151">
        <f t="shared" ca="1" si="0"/>
        <v>313.19155394370705</v>
      </c>
      <c r="F9" s="151">
        <f t="shared" ca="1" si="1"/>
        <v>104.29278746325446</v>
      </c>
      <c r="G9" s="151">
        <f ca="1">F9*(100%-'Données projet'!$C$24)*(100%-'Données projet'!$C$25)*(100%-'Données projet'!$C$26)*(100%-'Données projet'!$C$27)</f>
        <v>93.863508716929019</v>
      </c>
      <c r="H9" s="159">
        <f>IF(OR('Données projet'!B12="",'Données projet'!C12="",'Données projet'!C12=0%),0,AVERAGE(Calculateur!$CN$3:$CN$33)*B9)</f>
        <v>0</v>
      </c>
      <c r="I9" s="153">
        <f>H9*(100%-'Données projet'!$C$24)*(100%-'Données projet'!$C$25)*(100%-'Données projet'!$C$26)*(100%-'Données projet'!$C$27)</f>
        <v>0</v>
      </c>
      <c r="J9" s="154">
        <f>IF(OR('Données projet'!B12="",'Données projet'!C12="",'Données projet'!C12=0%),0,SUM(Calculateur!$CG$3:$CG$33)*VLOOKUP('Données projet'!$B$12,Paramètres!$A$1:$I$88,9,0)*B9)</f>
        <v>5.0366249999999999</v>
      </c>
      <c r="K9" s="155">
        <f>J9*(100%-'Données projet'!$C$24)*(100%-'Données projet'!$C$25)*(100%-'Données projet'!$C$26)*(100%-'Données projet'!$C$27)</f>
        <v>4.5329625</v>
      </c>
      <c r="L9" s="156">
        <f t="shared" ca="1" si="2"/>
        <v>98.396471216929015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7" t="str">
        <f>IF('Données projet'!$B$13="","",'Données projet'!$B$13)</f>
        <v>Alisier torminal</v>
      </c>
      <c r="B10" s="158">
        <f>'Données projet'!D13</f>
        <v>0.33300000000000002</v>
      </c>
      <c r="C10" s="151">
        <f ca="1">IF(OR('Données projet'!B13="",'Données projet'!C13="",'Données projet'!C13=0%),0,Calculateur!CY3)</f>
        <v>306.00894145276209</v>
      </c>
      <c r="D10" s="151">
        <f>IF(OR('Données projet'!B13="",'Données projet'!C13="",'Données projet'!C13=0%),0,Calculateur!CZ3)</f>
        <v>168.74705421228828</v>
      </c>
      <c r="E10" s="151">
        <f t="shared" ca="1" si="0"/>
        <v>168.74705421228828</v>
      </c>
      <c r="F10" s="151">
        <f t="shared" ca="1" si="1"/>
        <v>56.192769052692</v>
      </c>
      <c r="G10" s="151">
        <f ca="1">F10*(100%-'Données projet'!$C$24)*(100%-'Données projet'!$C$25)*(100%-'Données projet'!$C$26)*(100%-'Données projet'!$C$27)</f>
        <v>50.573492147422805</v>
      </c>
      <c r="H10" s="159">
        <f>IF(OR('Données projet'!B13="",'Données projet'!C13="",'Données projet'!C13=0%),0,AVERAGE(Calculateur!$DI$3:$DI$33)*B10)</f>
        <v>0</v>
      </c>
      <c r="I10" s="153">
        <f>H10*(100%-'Données projet'!$C$24)*(100%-'Données projet'!$C$25)*(100%-'Données projet'!$C$26)*(100%-'Données projet'!$C$27)</f>
        <v>0</v>
      </c>
      <c r="J10" s="154">
        <f>IF(OR('Données projet'!B13="",'Données projet'!C13="",'Données projet'!C13=0%),0,SUM(Calculateur!$DB$3:$DB$33)*VLOOKUP('Données projet'!$B$13,Paramètres!$A$1:$I$88,9,0)*B10)</f>
        <v>0</v>
      </c>
      <c r="K10" s="155">
        <f>J10*(100%-'Données projet'!$C$24)*(100%-'Données projet'!$C$25)*(100%-'Données projet'!$C$26)*(100%-'Données projet'!$C$27)</f>
        <v>0</v>
      </c>
      <c r="L10" s="156">
        <f t="shared" ca="1" si="2"/>
        <v>50.573492147422805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7" t="str">
        <f>IF('Données projet'!$B$14="","",'Données projet'!$B$14)</f>
        <v>Merisier</v>
      </c>
      <c r="B11" s="158">
        <f>'Données projet'!D14</f>
        <v>0.33300000000000002</v>
      </c>
      <c r="C11" s="151">
        <f ca="1">IF(OR('Données projet'!B14="",'Données projet'!C14="",'Données projet'!C14=0%),0,Calculateur!DT3)</f>
        <v>458.14328535055694</v>
      </c>
      <c r="D11" s="151">
        <f>IF(OR('Données projet'!B14="",'Données projet'!C14="",'Données projet'!C14=0%),0,Calculateur!DU3)</f>
        <v>366.75500153675739</v>
      </c>
      <c r="E11" s="151">
        <f t="shared" ca="1" si="0"/>
        <v>366.75500153675739</v>
      </c>
      <c r="F11" s="151">
        <f t="shared" ca="1" si="1"/>
        <v>122.12941551174022</v>
      </c>
      <c r="G11" s="151">
        <f ca="1">F11*(100%-'Données projet'!$C$24)*(100%-'Données projet'!$C$25)*(100%-'Données projet'!$C$26)*(100%-'Données projet'!$C$27)</f>
        <v>109.91647396056619</v>
      </c>
      <c r="H11" s="159">
        <f>IF(OR('Données projet'!B14="",'Données projet'!C14="",'Données projet'!C14=0%),0,AVERAGE(Calculateur!$ED$3:$ED$33)*B11)</f>
        <v>0</v>
      </c>
      <c r="I11" s="153">
        <f>H11*(100%-'Données projet'!$C$24)*(100%-'Données projet'!$C$25)*(100%-'Données projet'!$C$26)*(100%-'Données projet'!$C$27)</f>
        <v>0</v>
      </c>
      <c r="J11" s="154">
        <f>IF(OR('Données projet'!B14="",'Données projet'!C14="",'Données projet'!C14=0%),0,SUM(Calculateur!$DW$3:$DW$33)*VLOOKUP('Données projet'!$B$14,Paramètres!$A$1:$I$88,9,0)*B11)</f>
        <v>5.0366249999999999</v>
      </c>
      <c r="K11" s="155">
        <f>J11*(100%-'Données projet'!$C$24)*(100%-'Données projet'!$C$25)*(100%-'Données projet'!$C$26)*(100%-'Données projet'!$C$27)</f>
        <v>4.5329625</v>
      </c>
      <c r="L11" s="156">
        <f t="shared" ca="1" si="2"/>
        <v>114.44943646056619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7" t="str">
        <f>IF('Données projet'!$B$15="","",'Données projet'!$B$15)</f>
        <v>Hêtre</v>
      </c>
      <c r="B12" s="158">
        <f>'Données projet'!D15</f>
        <v>0.33389999999999997</v>
      </c>
      <c r="C12" s="151">
        <f ca="1">IF(OR('Données projet'!B15="",'Données projet'!C15="",'Données projet'!C15=0%),0,Calculateur!EO3)</f>
        <v>462.99360395552145</v>
      </c>
      <c r="D12" s="151">
        <f>IF(OR('Données projet'!B15="",'Données projet'!C15="",'Données projet'!C15=0%),0,Calculateur!EP3)</f>
        <v>153.03880717786046</v>
      </c>
      <c r="E12" s="151">
        <f t="shared" ca="1" si="0"/>
        <v>153.03880717786046</v>
      </c>
      <c r="F12" s="151">
        <f t="shared" ca="1" si="1"/>
        <v>51.099657716687602</v>
      </c>
      <c r="G12" s="151">
        <f ca="1">F12*(100%-'Données projet'!$C$24)*(100%-'Données projet'!$C$25)*(100%-'Données projet'!$C$26)*(100%-'Données projet'!$C$27)</f>
        <v>45.989691945018841</v>
      </c>
      <c r="H12" s="159">
        <f>IF(OR('Données projet'!B15="",'Données projet'!C15="",'Données projet'!C15=0%),0,AVERAGE(Calculateur!$EY$3:$EY$33)*B12)</f>
        <v>0</v>
      </c>
      <c r="I12" s="153">
        <f>H12*(100%-'Données projet'!$C$24)*(100%-'Données projet'!$C$25)*(100%-'Données projet'!$C$26)*(100%-'Données projet'!$C$27)</f>
        <v>0</v>
      </c>
      <c r="J12" s="154">
        <f>IF(OR('Données projet'!B15="",'Données projet'!C15="",'Données projet'!C15=0%),0,SUM(Calculateur!$ER$3:$ER$33)*VLOOKUP('Données projet'!$B$15,Paramètres!$A$1:$I$88,9,0)*B12)</f>
        <v>0</v>
      </c>
      <c r="K12" s="155">
        <f>J12*(100%-'Données projet'!$C$24)*(100%-'Données projet'!$C$25)*(100%-'Données projet'!$C$26)*(100%-'Données projet'!$C$27)</f>
        <v>0</v>
      </c>
      <c r="L12" s="156">
        <f t="shared" ca="1" si="2"/>
        <v>45.989691945018841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7" t="str">
        <f>IF('Données projet'!$B$16="","",'Données projet'!$B$16)</f>
        <v>Erable champêtre</v>
      </c>
      <c r="B13" s="158">
        <f>'Données projet'!D16</f>
        <v>0.33389999999999997</v>
      </c>
      <c r="C13" s="151">
        <f ca="1">IF(OR('Données projet'!B16="",'Données projet'!C16="",'Données projet'!C16=0%),0,Calculateur!FJ3)</f>
        <v>427.76895185088944</v>
      </c>
      <c r="D13" s="151">
        <f>IF(OR('Données projet'!B16="",'Données projet'!C16="",'Données projet'!C16=0%),0,Calculateur!FK3)</f>
        <v>308.32543361559135</v>
      </c>
      <c r="E13" s="151">
        <f t="shared" ca="1" si="0"/>
        <v>308.32543361559135</v>
      </c>
      <c r="F13" s="151">
        <f t="shared" ca="1" si="1"/>
        <v>102.94986228424594</v>
      </c>
      <c r="G13" s="151">
        <f ca="1">F13*(100%-'Données projet'!$C$24)*(100%-'Données projet'!$C$25)*(100%-'Données projet'!$C$26)*(100%-'Données projet'!$C$27)</f>
        <v>92.654876055821347</v>
      </c>
      <c r="H13" s="159">
        <f>IF(OR('Données projet'!B16="",'Données projet'!C16="",'Données projet'!C16=0%),0,AVERAGE(Calculateur!$FT$3:$FT$33)*B13)</f>
        <v>0</v>
      </c>
      <c r="I13" s="153">
        <f>H13*(100%-'Données projet'!$C$24)*(100%-'Données projet'!$C$25)*(100%-'Données projet'!$C$26)*(100%-'Données projet'!$C$27)</f>
        <v>0</v>
      </c>
      <c r="J13" s="154">
        <f>IF(OR('Données projet'!C16="",'Données projet'!C16=0%),0,SUM(Calculateur!$FM$3:$FM$33)*VLOOKUP('Données projet'!$B$16,Paramètres!$A$1:$I$88,9,0)*B13)</f>
        <v>2.9633624999999997</v>
      </c>
      <c r="K13" s="155">
        <f>J13*(100%-'Données projet'!$C$24)*(100%-'Données projet'!$C$25)*(100%-'Données projet'!$C$26)*(100%-'Données projet'!$C$27)</f>
        <v>2.6670262499999997</v>
      </c>
      <c r="L13" s="156">
        <f t="shared" ca="1" si="2"/>
        <v>95.321902305821354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7" t="str">
        <f>IF('Données projet'!$B$17="","",'Données projet'!$B$17)</f>
        <v>Mélèze d'Europe</v>
      </c>
      <c r="B14" s="158">
        <f>'Données projet'!D17</f>
        <v>0.33389999999999997</v>
      </c>
      <c r="C14" s="151">
        <f ca="1">IF(OR('Données projet'!B17="",'Données projet'!C17="",'Données projet'!C17=0%),0,Calculateur!GE3)</f>
        <v>247.85542034088905</v>
      </c>
      <c r="D14" s="151">
        <f>IF(OR('Données projet'!B17="",'Données projet'!C17="",'Données projet'!C17=0%),0,Calculateur!GF3)</f>
        <v>299.52241743660352</v>
      </c>
      <c r="E14" s="151">
        <f t="shared" ca="1" si="0"/>
        <v>247.85542034088905</v>
      </c>
      <c r="F14" s="151">
        <f t="shared" ca="1" si="1"/>
        <v>82.758924851822854</v>
      </c>
      <c r="G14" s="151">
        <f ca="1">F14*(100%-'Données projet'!$C$24)*(100%-'Données projet'!$C$25)*(100%-'Données projet'!$C$26)*(100%-'Données projet'!$C$27)</f>
        <v>74.483032366640572</v>
      </c>
      <c r="H14" s="159">
        <f>IF(OR('Données projet'!B17="",'Données projet'!C17="",'Données projet'!C17=0%),0,AVERAGE(Calculateur!$GO$3:$GO$33)*B14)</f>
        <v>4.721207221860471</v>
      </c>
      <c r="I14" s="153">
        <f>H14*(100%-'Données projet'!$C$24)*(100%-'Données projet'!$C$25)*(100%-'Données projet'!$C$26)*(100%-'Données projet'!$C$27)</f>
        <v>4.2490864996744238</v>
      </c>
      <c r="J14" s="154">
        <f>IF(OR('Données projet'!B17="",'Données projet'!C17="",'Données projet'!C17=0%),0,SUM(Calculateur!$GH$3:$GH$33)*VLOOKUP('Données projet'!$B$17,Paramètres!$A$1:$I$88,9,0)*B14)</f>
        <v>22.398011999999998</v>
      </c>
      <c r="K14" s="155">
        <f>J14*(100%-'Données projet'!$C$24)*(100%-'Données projet'!$C$25)*(100%-'Données projet'!$C$26)*(100%-'Données projet'!$C$27)</f>
        <v>20.158210799999999</v>
      </c>
      <c r="L14" s="156">
        <f t="shared" ca="1" si="2"/>
        <v>98.890329666314983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0" t="str">
        <f>IF('Données projet'!B18="","",'Données projet'!B18)</f>
        <v/>
      </c>
      <c r="B15" s="161">
        <f>'Données projet'!D18</f>
        <v>0</v>
      </c>
      <c r="C15" s="162">
        <f>IF(OR('Données projet'!B18="",'Données projet'!C18="",'Données projet'!C18=0%),0,Calculateur!GZ3)</f>
        <v>0</v>
      </c>
      <c r="D15" s="162">
        <f>IF(OR('Données projet'!B18="",'Données projet'!C18="",'Données projet'!C18=0%),0,Calculateur!HA3)</f>
        <v>0</v>
      </c>
      <c r="E15" s="162">
        <f t="shared" si="0"/>
        <v>0</v>
      </c>
      <c r="F15" s="163">
        <f t="shared" si="1"/>
        <v>0</v>
      </c>
      <c r="G15" s="163">
        <f>F15*(100%-'Données projet'!$C$24)*(100%-'Données projet'!$C$25)*(100%-'Données projet'!$C$26)*(100%-'Données projet'!$C$27)</f>
        <v>0</v>
      </c>
      <c r="H15" s="164">
        <f>IF(OR('Données projet'!B18="",'Données projet'!C18="",'Données projet'!C18=0%),0,AVERAGE(Calculateur!$HJ$3:$HJ$33)*B15)</f>
        <v>0</v>
      </c>
      <c r="I15" s="165">
        <f>H15*(100%-'Données projet'!$C$24)*(100%-'Données projet'!$C$25)*(100%-'Données projet'!$C$26)*(100%-'Données projet'!$C$27)</f>
        <v>0</v>
      </c>
      <c r="J15" s="166">
        <f>IF(OR('Données projet'!B18="",'Données projet'!C18="",'Données projet'!C18=0%),0,SUM(Calculateur!$HC$3:$HC$33)*VLOOKUP('Données projet'!$B$18,Paramètres!$A$1:$I$88,9,0)*B15)</f>
        <v>0</v>
      </c>
      <c r="K15" s="167">
        <f>J15*(100%-'Données projet'!$C$24)*(100%-'Données projet'!$C$25)*(100%-'Données projet'!$C$26)*(100%-'Données projet'!$C$27)</f>
        <v>0</v>
      </c>
      <c r="L15" s="168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0"/>
      <c r="B16" s="227"/>
      <c r="C16" s="228"/>
      <c r="D16" s="25"/>
      <c r="E16" s="25"/>
      <c r="F16" s="169">
        <f t="shared" ref="F16:L16" ca="1" si="3">SUM(F6:F15)</f>
        <v>820.91338013989116</v>
      </c>
      <c r="G16" s="170">
        <f t="shared" ca="1" si="3"/>
        <v>738.82204212590216</v>
      </c>
      <c r="H16" s="171">
        <f t="shared" si="3"/>
        <v>4.721207221860471</v>
      </c>
      <c r="I16" s="171">
        <f t="shared" si="3"/>
        <v>4.2490864996744238</v>
      </c>
      <c r="J16" s="172">
        <f t="shared" si="3"/>
        <v>45.5078745</v>
      </c>
      <c r="K16" s="172">
        <f t="shared" si="3"/>
        <v>40.957087049999998</v>
      </c>
      <c r="L16" s="173">
        <f t="shared" ca="1" si="3"/>
        <v>784.02821567557658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0"/>
      <c r="B17" s="227"/>
      <c r="C17" s="228"/>
      <c r="D17" s="225"/>
      <c r="E17" s="225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0"/>
      <c r="B18" s="227"/>
      <c r="C18" s="228"/>
      <c r="D18" s="225"/>
      <c r="E18" s="225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5"/>
      <c r="J19" s="225"/>
      <c r="K19" s="225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5"/>
      <c r="J20" s="225"/>
      <c r="K20" s="225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4" t="str">
        <f>A6</f>
        <v>Chêne sessile</v>
      </c>
      <c r="B21" s="5"/>
      <c r="C21" s="5"/>
      <c r="D21" s="5"/>
      <c r="E21" s="5"/>
      <c r="F21" s="5"/>
      <c r="G21" s="5"/>
      <c r="H21" s="5"/>
      <c r="I21" s="225"/>
      <c r="J21" s="225"/>
      <c r="K21" s="225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5"/>
      <c r="J22" s="225"/>
      <c r="K22" s="225"/>
      <c r="L22" s="225"/>
      <c r="M22" s="225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5"/>
      <c r="J23" s="225"/>
      <c r="K23" s="225"/>
      <c r="L23" s="225"/>
      <c r="M23" s="225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5"/>
      <c r="J24" s="225"/>
      <c r="K24" s="225"/>
      <c r="L24" s="225"/>
      <c r="M24" s="225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5"/>
      <c r="J25" s="225"/>
      <c r="K25" s="225"/>
      <c r="L25" s="225"/>
      <c r="M25" s="225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5"/>
      <c r="J26" s="225"/>
      <c r="K26" s="225"/>
      <c r="L26" s="225"/>
      <c r="M26" s="225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5"/>
      <c r="J27" s="225"/>
      <c r="K27" s="225"/>
      <c r="L27" s="225"/>
      <c r="M27" s="225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5"/>
      <c r="J28" s="225"/>
      <c r="K28" s="225"/>
      <c r="L28" s="225"/>
      <c r="M28" s="225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5"/>
      <c r="J29" s="225"/>
      <c r="K29" s="225"/>
      <c r="L29" s="225"/>
      <c r="M29" s="225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5"/>
      <c r="J30" s="225"/>
      <c r="K30" s="225"/>
      <c r="L30" s="225"/>
      <c r="M30" s="225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5"/>
      <c r="J31" s="225"/>
      <c r="K31" s="225"/>
      <c r="L31" s="225"/>
      <c r="M31" s="225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5"/>
      <c r="J32" s="225"/>
      <c r="K32" s="225"/>
      <c r="L32" s="225"/>
      <c r="M32" s="225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5"/>
      <c r="J33" s="225"/>
      <c r="K33" s="225"/>
      <c r="L33" s="225"/>
      <c r="M33" s="225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5"/>
      <c r="J34" s="225"/>
      <c r="K34" s="225"/>
      <c r="L34" s="225"/>
      <c r="M34" s="225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5"/>
      <c r="J35" s="225"/>
      <c r="K35" s="225"/>
      <c r="L35" s="225"/>
      <c r="M35" s="225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5"/>
      <c r="J36" s="225"/>
      <c r="K36" s="225"/>
      <c r="L36" s="225"/>
      <c r="M36" s="225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5"/>
      <c r="J37" s="225"/>
      <c r="K37" s="225"/>
      <c r="L37" s="225"/>
      <c r="M37" s="225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5"/>
      <c r="J38" s="225"/>
      <c r="K38" s="225"/>
      <c r="L38" s="225"/>
      <c r="M38" s="225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4" t="str">
        <f>A7</f>
        <v>Erable sycomore</v>
      </c>
      <c r="B39" s="5"/>
      <c r="C39" s="5"/>
      <c r="D39" s="5"/>
      <c r="E39" s="5"/>
      <c r="F39" s="5"/>
      <c r="G39" s="5"/>
      <c r="H39" s="5"/>
      <c r="I39" s="225"/>
      <c r="J39" s="225"/>
      <c r="K39" s="225"/>
      <c r="L39" s="225"/>
      <c r="M39" s="225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5"/>
      <c r="J40" s="225"/>
      <c r="K40" s="225"/>
      <c r="L40" s="225"/>
      <c r="M40" s="225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5"/>
      <c r="J41" s="225"/>
      <c r="K41" s="225"/>
      <c r="L41" s="225"/>
      <c r="M41" s="225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5"/>
      <c r="J42" s="225"/>
      <c r="K42" s="225"/>
      <c r="L42" s="225"/>
      <c r="M42" s="225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5"/>
      <c r="J43" s="225"/>
      <c r="K43" s="225"/>
      <c r="L43" s="225"/>
      <c r="M43" s="225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5"/>
      <c r="J44" s="225"/>
      <c r="K44" s="225"/>
      <c r="L44" s="225"/>
      <c r="M44" s="225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5"/>
      <c r="J45" s="225"/>
      <c r="K45" s="225"/>
      <c r="L45" s="225"/>
      <c r="M45" s="225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5"/>
      <c r="J46" s="225"/>
      <c r="K46" s="225"/>
      <c r="L46" s="225"/>
      <c r="M46" s="225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5"/>
      <c r="J47" s="225"/>
      <c r="K47" s="225"/>
      <c r="L47" s="225"/>
      <c r="M47" s="225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5"/>
      <c r="J48" s="225"/>
      <c r="K48" s="225"/>
      <c r="L48" s="225"/>
      <c r="M48" s="225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5"/>
      <c r="J49" s="225"/>
      <c r="K49" s="225"/>
      <c r="L49" s="225"/>
      <c r="M49" s="225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5"/>
      <c r="J50" s="225"/>
      <c r="K50" s="225"/>
      <c r="L50" s="225"/>
      <c r="M50" s="225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5"/>
      <c r="J51" s="225"/>
      <c r="K51" s="225"/>
      <c r="L51" s="225"/>
      <c r="M51" s="225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5"/>
      <c r="J52" s="225"/>
      <c r="K52" s="225"/>
      <c r="L52" s="225"/>
      <c r="M52" s="225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5"/>
      <c r="J53" s="225"/>
      <c r="K53" s="225"/>
      <c r="L53" s="225"/>
      <c r="M53" s="225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5"/>
      <c r="J54" s="225"/>
      <c r="K54" s="225"/>
      <c r="L54" s="225"/>
      <c r="M54" s="225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5"/>
      <c r="J55" s="225"/>
      <c r="K55" s="225"/>
      <c r="L55" s="225"/>
      <c r="M55" s="225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5"/>
      <c r="J56" s="225"/>
      <c r="K56" s="225"/>
      <c r="L56" s="225"/>
      <c r="M56" s="225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4" t="str">
        <f>A8</f>
        <v>Erable plane</v>
      </c>
      <c r="B57" s="5"/>
      <c r="C57" s="5"/>
      <c r="D57" s="5"/>
      <c r="E57" s="5"/>
      <c r="F57" s="5"/>
      <c r="G57" s="5"/>
      <c r="H57" s="5"/>
      <c r="I57" s="225"/>
      <c r="J57" s="225"/>
      <c r="K57" s="225"/>
      <c r="L57" s="225"/>
      <c r="M57" s="225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5"/>
      <c r="J58" s="225"/>
      <c r="K58" s="225"/>
      <c r="L58" s="225"/>
      <c r="M58" s="225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5"/>
      <c r="J59" s="225"/>
      <c r="K59" s="225"/>
      <c r="L59" s="225"/>
      <c r="M59" s="225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5"/>
      <c r="J60" s="225"/>
      <c r="K60" s="225"/>
      <c r="L60" s="225"/>
      <c r="M60" s="225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5"/>
      <c r="J61" s="225"/>
      <c r="K61" s="225"/>
      <c r="L61" s="225"/>
      <c r="M61" s="225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5"/>
      <c r="J62" s="225"/>
      <c r="K62" s="225"/>
      <c r="L62" s="225"/>
      <c r="M62" s="225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5"/>
      <c r="J63" s="225"/>
      <c r="K63" s="225"/>
      <c r="L63" s="225"/>
      <c r="M63" s="225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5"/>
      <c r="J64" s="225"/>
      <c r="K64" s="225"/>
      <c r="L64" s="225"/>
      <c r="M64" s="225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5"/>
      <c r="J65" s="225"/>
      <c r="K65" s="225"/>
      <c r="L65" s="225"/>
      <c r="M65" s="225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5"/>
      <c r="J66" s="225"/>
      <c r="K66" s="225"/>
      <c r="L66" s="225"/>
      <c r="M66" s="225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5"/>
      <c r="J67" s="225"/>
      <c r="K67" s="225"/>
      <c r="L67" s="225"/>
      <c r="M67" s="225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5"/>
      <c r="J68" s="225"/>
      <c r="K68" s="225"/>
      <c r="L68" s="225"/>
      <c r="M68" s="225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5"/>
      <c r="J69" s="225"/>
      <c r="K69" s="225"/>
      <c r="L69" s="225"/>
      <c r="M69" s="225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5"/>
      <c r="J70" s="225"/>
      <c r="K70" s="225"/>
      <c r="L70" s="225"/>
      <c r="M70" s="225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5"/>
      <c r="J71" s="225"/>
      <c r="K71" s="225"/>
      <c r="L71" s="225"/>
      <c r="M71" s="225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5"/>
      <c r="J72" s="225"/>
      <c r="K72" s="225"/>
      <c r="L72" s="225"/>
      <c r="M72" s="225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5"/>
      <c r="J73" s="225"/>
      <c r="K73" s="225"/>
      <c r="L73" s="225"/>
      <c r="M73" s="225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5"/>
      <c r="J74" s="225"/>
      <c r="K74" s="225"/>
      <c r="L74" s="225"/>
      <c r="M74" s="225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5"/>
      <c r="J75" s="225"/>
      <c r="K75" s="225"/>
      <c r="L75" s="225"/>
      <c r="M75" s="225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4" t="str">
        <f>A9</f>
        <v>Tilleul</v>
      </c>
      <c r="B76" s="5"/>
      <c r="C76" s="5"/>
      <c r="D76" s="5"/>
      <c r="E76" s="5"/>
      <c r="F76" s="5"/>
      <c r="G76" s="5"/>
      <c r="H76" s="5"/>
      <c r="I76" s="225"/>
      <c r="J76" s="225"/>
      <c r="K76" s="225"/>
      <c r="L76" s="225"/>
      <c r="M76" s="225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5"/>
      <c r="J77" s="225"/>
      <c r="K77" s="225"/>
      <c r="L77" s="225"/>
      <c r="M77" s="225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5"/>
      <c r="J78" s="225"/>
      <c r="K78" s="225"/>
      <c r="L78" s="225"/>
      <c r="M78" s="225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5"/>
      <c r="J79" s="225"/>
      <c r="K79" s="225"/>
      <c r="L79" s="225"/>
      <c r="M79" s="225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5"/>
      <c r="J80" s="225"/>
      <c r="K80" s="225"/>
      <c r="L80" s="225"/>
      <c r="M80" s="225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5"/>
      <c r="J81" s="225"/>
      <c r="K81" s="225"/>
      <c r="L81" s="225"/>
      <c r="M81" s="225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5"/>
      <c r="J82" s="225"/>
      <c r="K82" s="225"/>
      <c r="L82" s="225"/>
      <c r="M82" s="225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5"/>
      <c r="J83" s="225"/>
      <c r="K83" s="225"/>
      <c r="L83" s="225"/>
      <c r="M83" s="225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5"/>
      <c r="J84" s="225"/>
      <c r="K84" s="225"/>
      <c r="L84" s="225"/>
      <c r="M84" s="225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5"/>
      <c r="J85" s="225"/>
      <c r="K85" s="225"/>
      <c r="L85" s="225"/>
      <c r="M85" s="225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5"/>
      <c r="J86" s="225"/>
      <c r="K86" s="225"/>
      <c r="L86" s="225"/>
      <c r="M86" s="225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5"/>
      <c r="J87" s="225"/>
      <c r="K87" s="225"/>
      <c r="L87" s="225"/>
      <c r="M87" s="225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5"/>
      <c r="J88" s="225"/>
      <c r="K88" s="225"/>
      <c r="L88" s="225"/>
      <c r="M88" s="225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5"/>
      <c r="J89" s="225"/>
      <c r="K89" s="225"/>
      <c r="L89" s="225"/>
      <c r="M89" s="225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5"/>
      <c r="J90" s="225"/>
      <c r="K90" s="225"/>
      <c r="L90" s="225"/>
      <c r="M90" s="225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5"/>
      <c r="J91" s="225"/>
      <c r="K91" s="225"/>
      <c r="L91" s="225"/>
      <c r="M91" s="225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5"/>
      <c r="J92" s="225"/>
      <c r="K92" s="225"/>
      <c r="L92" s="225"/>
      <c r="M92" s="225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5"/>
      <c r="J93" s="225"/>
      <c r="K93" s="225"/>
      <c r="L93" s="225"/>
      <c r="M93" s="225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4" t="str">
        <f>A10</f>
        <v>Alisier torminal</v>
      </c>
      <c r="B94" s="5"/>
      <c r="C94" s="5"/>
      <c r="D94" s="5"/>
      <c r="E94" s="5"/>
      <c r="F94" s="5"/>
      <c r="G94" s="5"/>
      <c r="H94" s="5"/>
      <c r="I94" s="225"/>
      <c r="J94" s="225"/>
      <c r="K94" s="225"/>
      <c r="L94" s="225"/>
      <c r="M94" s="225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5"/>
      <c r="J95" s="225"/>
      <c r="K95" s="225"/>
      <c r="L95" s="225"/>
      <c r="M95" s="225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5"/>
      <c r="J96" s="225"/>
      <c r="K96" s="225"/>
      <c r="L96" s="225"/>
      <c r="M96" s="225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5"/>
      <c r="J97" s="225"/>
      <c r="K97" s="225"/>
      <c r="L97" s="225"/>
      <c r="M97" s="225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5"/>
      <c r="J98" s="225"/>
      <c r="K98" s="225"/>
      <c r="L98" s="225"/>
      <c r="M98" s="225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5"/>
      <c r="J99" s="225"/>
      <c r="K99" s="225"/>
      <c r="L99" s="225"/>
      <c r="M99" s="225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5"/>
      <c r="J100" s="225"/>
      <c r="K100" s="225"/>
      <c r="L100" s="225"/>
      <c r="M100" s="225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5"/>
      <c r="J101" s="225"/>
      <c r="K101" s="225"/>
      <c r="L101" s="225"/>
      <c r="M101" s="225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5"/>
      <c r="J102" s="225"/>
      <c r="K102" s="225"/>
      <c r="L102" s="225"/>
      <c r="M102" s="225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5"/>
      <c r="J103" s="225"/>
      <c r="K103" s="225"/>
      <c r="L103" s="225"/>
      <c r="M103" s="225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5"/>
      <c r="J104" s="225"/>
      <c r="K104" s="225"/>
      <c r="L104" s="225"/>
      <c r="M104" s="225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5"/>
      <c r="J105" s="225"/>
      <c r="K105" s="225"/>
      <c r="L105" s="225"/>
      <c r="M105" s="225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5"/>
      <c r="J106" s="225"/>
      <c r="K106" s="225"/>
      <c r="L106" s="225"/>
      <c r="M106" s="225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5"/>
      <c r="J107" s="225"/>
      <c r="K107" s="225"/>
      <c r="L107" s="225"/>
      <c r="M107" s="225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5"/>
      <c r="J108" s="225"/>
      <c r="K108" s="225"/>
      <c r="L108" s="225"/>
      <c r="M108" s="225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5"/>
      <c r="J109" s="225"/>
      <c r="K109" s="225"/>
      <c r="L109" s="225"/>
      <c r="M109" s="225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5"/>
      <c r="J110" s="225"/>
      <c r="K110" s="225"/>
      <c r="L110" s="225"/>
      <c r="M110" s="225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5"/>
      <c r="J111" s="225"/>
      <c r="K111" s="225"/>
      <c r="L111" s="225"/>
      <c r="M111" s="225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4" t="str">
        <f>A11</f>
        <v>Merisier</v>
      </c>
      <c r="B112" s="5"/>
      <c r="C112" s="5"/>
      <c r="D112" s="5"/>
      <c r="E112" s="5"/>
      <c r="F112" s="5"/>
      <c r="G112" s="5"/>
      <c r="H112" s="5"/>
      <c r="I112" s="225"/>
      <c r="J112" s="225"/>
      <c r="K112" s="225"/>
      <c r="L112" s="225"/>
      <c r="M112" s="225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5"/>
      <c r="J113" s="225"/>
      <c r="K113" s="225"/>
      <c r="L113" s="225"/>
      <c r="M113" s="225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5"/>
      <c r="J114" s="225"/>
      <c r="K114" s="225"/>
      <c r="L114" s="225"/>
      <c r="M114" s="225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5"/>
      <c r="J115" s="225"/>
      <c r="K115" s="225"/>
      <c r="L115" s="225"/>
      <c r="M115" s="225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5"/>
      <c r="J116" s="225"/>
      <c r="K116" s="225"/>
      <c r="L116" s="225"/>
      <c r="M116" s="225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5"/>
      <c r="J117" s="225"/>
      <c r="K117" s="225"/>
      <c r="L117" s="225"/>
      <c r="M117" s="225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5"/>
      <c r="J118" s="225"/>
      <c r="K118" s="225"/>
      <c r="L118" s="225"/>
      <c r="M118" s="225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5"/>
      <c r="J119" s="225"/>
      <c r="K119" s="225"/>
      <c r="L119" s="225"/>
      <c r="M119" s="225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5"/>
      <c r="J120" s="225"/>
      <c r="K120" s="225"/>
      <c r="L120" s="225"/>
      <c r="M120" s="225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5"/>
      <c r="J121" s="225"/>
      <c r="K121" s="225"/>
      <c r="L121" s="225"/>
      <c r="M121" s="225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5"/>
      <c r="J122" s="225"/>
      <c r="K122" s="225"/>
      <c r="L122" s="225"/>
      <c r="M122" s="225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5"/>
      <c r="J123" s="225"/>
      <c r="K123" s="225"/>
      <c r="L123" s="225"/>
      <c r="M123" s="225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5"/>
      <c r="J124" s="225"/>
      <c r="K124" s="225"/>
      <c r="L124" s="225"/>
      <c r="M124" s="225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5"/>
      <c r="J125" s="225"/>
      <c r="K125" s="225"/>
      <c r="L125" s="225"/>
      <c r="M125" s="225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5"/>
      <c r="J126" s="225"/>
      <c r="K126" s="225"/>
      <c r="L126" s="225"/>
      <c r="M126" s="225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5"/>
      <c r="J127" s="225"/>
      <c r="K127" s="225"/>
      <c r="L127" s="225"/>
      <c r="M127" s="225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5"/>
      <c r="J128" s="225"/>
      <c r="K128" s="225"/>
      <c r="L128" s="225"/>
      <c r="M128" s="225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5"/>
      <c r="J129" s="225"/>
      <c r="K129" s="225"/>
      <c r="L129" s="225"/>
      <c r="M129" s="225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4" t="str">
        <f>A12</f>
        <v>Hêtre</v>
      </c>
      <c r="B130" s="5"/>
      <c r="C130" s="5"/>
      <c r="D130" s="5"/>
      <c r="E130" s="5"/>
      <c r="F130" s="5"/>
      <c r="G130" s="5"/>
      <c r="H130" s="5"/>
      <c r="I130" s="225"/>
      <c r="J130" s="225"/>
      <c r="K130" s="225"/>
      <c r="L130" s="225"/>
      <c r="M130" s="225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5"/>
      <c r="J131" s="225"/>
      <c r="K131" s="225"/>
      <c r="L131" s="225"/>
      <c r="M131" s="225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5"/>
      <c r="J132" s="225"/>
      <c r="K132" s="225"/>
      <c r="L132" s="225"/>
      <c r="M132" s="225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5"/>
      <c r="J133" s="225"/>
      <c r="K133" s="225"/>
      <c r="L133" s="225"/>
      <c r="M133" s="225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5"/>
      <c r="J134" s="225"/>
      <c r="K134" s="225"/>
      <c r="L134" s="225"/>
      <c r="M134" s="225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5"/>
      <c r="J135" s="225"/>
      <c r="K135" s="225"/>
      <c r="L135" s="225"/>
      <c r="M135" s="225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5"/>
      <c r="J136" s="225"/>
      <c r="K136" s="225"/>
      <c r="L136" s="225"/>
      <c r="M136" s="225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5"/>
      <c r="J137" s="225"/>
      <c r="K137" s="225"/>
      <c r="L137" s="225"/>
      <c r="M137" s="225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5"/>
      <c r="J138" s="225"/>
      <c r="K138" s="225"/>
      <c r="L138" s="225"/>
      <c r="M138" s="225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5"/>
      <c r="J139" s="225"/>
      <c r="K139" s="225"/>
      <c r="L139" s="225"/>
      <c r="M139" s="225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5"/>
      <c r="J140" s="225"/>
      <c r="K140" s="225"/>
      <c r="L140" s="225"/>
      <c r="M140" s="225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5"/>
      <c r="J141" s="225"/>
      <c r="K141" s="225"/>
      <c r="L141" s="225"/>
      <c r="M141" s="225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5"/>
      <c r="J142" s="225"/>
      <c r="K142" s="225"/>
      <c r="L142" s="225"/>
      <c r="M142" s="225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5"/>
      <c r="J143" s="225"/>
      <c r="K143" s="225"/>
      <c r="L143" s="225"/>
      <c r="M143" s="225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5"/>
      <c r="J144" s="225"/>
      <c r="K144" s="225"/>
      <c r="L144" s="225"/>
      <c r="M144" s="225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5"/>
      <c r="J145" s="225"/>
      <c r="K145" s="225"/>
      <c r="L145" s="225"/>
      <c r="M145" s="225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5"/>
      <c r="J146" s="225"/>
      <c r="K146" s="225"/>
      <c r="L146" s="225"/>
      <c r="M146" s="225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5"/>
      <c r="J147" s="225"/>
      <c r="K147" s="225"/>
      <c r="L147" s="225"/>
      <c r="M147" s="225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4" t="str">
        <f>A13</f>
        <v>Erable champêtre</v>
      </c>
      <c r="B148" s="5"/>
      <c r="C148" s="5"/>
      <c r="D148" s="5"/>
      <c r="E148" s="5"/>
      <c r="F148" s="5"/>
      <c r="G148" s="5"/>
      <c r="H148" s="5"/>
      <c r="I148" s="225"/>
      <c r="J148" s="225"/>
      <c r="K148" s="225"/>
      <c r="L148" s="225"/>
      <c r="M148" s="225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5"/>
      <c r="J149" s="225"/>
      <c r="K149" s="225"/>
      <c r="L149" s="225"/>
      <c r="M149" s="225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5"/>
      <c r="J150" s="225"/>
      <c r="K150" s="225"/>
      <c r="L150" s="225"/>
      <c r="M150" s="225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5"/>
      <c r="J151" s="225"/>
      <c r="K151" s="225"/>
      <c r="L151" s="225"/>
      <c r="M151" s="225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5"/>
      <c r="J152" s="225"/>
      <c r="K152" s="225"/>
      <c r="L152" s="225"/>
      <c r="M152" s="225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5"/>
      <c r="J153" s="225"/>
      <c r="K153" s="225"/>
      <c r="L153" s="225"/>
      <c r="M153" s="225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5"/>
      <c r="J154" s="225"/>
      <c r="K154" s="225"/>
      <c r="L154" s="225"/>
      <c r="M154" s="225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5"/>
      <c r="J155" s="225"/>
      <c r="K155" s="225"/>
      <c r="L155" s="225"/>
      <c r="M155" s="225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5"/>
      <c r="J156" s="225"/>
      <c r="K156" s="225"/>
      <c r="L156" s="225"/>
      <c r="M156" s="225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5"/>
      <c r="J157" s="225"/>
      <c r="K157" s="225"/>
      <c r="L157" s="225"/>
      <c r="M157" s="225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5"/>
      <c r="J158" s="225"/>
      <c r="K158" s="225"/>
      <c r="L158" s="225"/>
      <c r="M158" s="225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5"/>
      <c r="J159" s="225"/>
      <c r="K159" s="225"/>
      <c r="L159" s="225"/>
      <c r="M159" s="225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5"/>
      <c r="J160" s="225"/>
      <c r="K160" s="225"/>
      <c r="L160" s="225"/>
      <c r="M160" s="225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5"/>
      <c r="J161" s="225"/>
      <c r="K161" s="225"/>
      <c r="L161" s="225"/>
      <c r="M161" s="225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5"/>
      <c r="J162" s="225"/>
      <c r="K162" s="225"/>
      <c r="L162" s="225"/>
      <c r="M162" s="225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5"/>
      <c r="J163" s="225"/>
      <c r="K163" s="225"/>
      <c r="L163" s="225"/>
      <c r="M163" s="225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5"/>
      <c r="J164" s="225"/>
      <c r="K164" s="225"/>
      <c r="L164" s="225"/>
      <c r="M164" s="225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5"/>
      <c r="J165" s="225"/>
      <c r="K165" s="225"/>
      <c r="L165" s="225"/>
      <c r="M165" s="225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4" t="str">
        <f>A14</f>
        <v>Mélèze d'Europe</v>
      </c>
      <c r="B166" s="5"/>
      <c r="C166" s="5"/>
      <c r="D166" s="5"/>
      <c r="E166" s="5"/>
      <c r="F166" s="5"/>
      <c r="G166" s="5"/>
      <c r="H166" s="5"/>
      <c r="I166" s="225"/>
      <c r="J166" s="225"/>
      <c r="K166" s="225"/>
      <c r="L166" s="225"/>
      <c r="M166" s="225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5"/>
      <c r="J167" s="225"/>
      <c r="K167" s="225"/>
      <c r="L167" s="225"/>
      <c r="M167" s="225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5"/>
      <c r="J168" s="225"/>
      <c r="K168" s="225"/>
      <c r="L168" s="225"/>
      <c r="M168" s="225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5"/>
      <c r="J169" s="225"/>
      <c r="K169" s="225"/>
      <c r="L169" s="225"/>
      <c r="M169" s="225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5"/>
      <c r="J170" s="225"/>
      <c r="K170" s="225"/>
      <c r="L170" s="225"/>
      <c r="M170" s="225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5"/>
      <c r="J171" s="225"/>
      <c r="K171" s="225"/>
      <c r="L171" s="225"/>
      <c r="M171" s="225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5"/>
      <c r="J172" s="225"/>
      <c r="K172" s="225"/>
      <c r="L172" s="225"/>
      <c r="M172" s="225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5"/>
      <c r="J173" s="225"/>
      <c r="K173" s="225"/>
      <c r="L173" s="225"/>
      <c r="M173" s="225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5"/>
      <c r="J174" s="225"/>
      <c r="K174" s="225"/>
      <c r="L174" s="225"/>
      <c r="M174" s="225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5"/>
      <c r="J175" s="225"/>
      <c r="K175" s="225"/>
      <c r="L175" s="225"/>
      <c r="M175" s="225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5"/>
      <c r="J176" s="225"/>
      <c r="K176" s="225"/>
      <c r="L176" s="225"/>
      <c r="M176" s="225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5"/>
      <c r="J177" s="225"/>
      <c r="K177" s="225"/>
      <c r="L177" s="225"/>
      <c r="M177" s="225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5"/>
      <c r="J178" s="225"/>
      <c r="K178" s="225"/>
      <c r="L178" s="225"/>
      <c r="M178" s="225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5"/>
      <c r="J179" s="225"/>
      <c r="K179" s="225"/>
      <c r="L179" s="225"/>
      <c r="M179" s="225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5"/>
      <c r="J180" s="225"/>
      <c r="K180" s="225"/>
      <c r="L180" s="225"/>
      <c r="M180" s="225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5"/>
      <c r="J181" s="225"/>
      <c r="K181" s="225"/>
      <c r="L181" s="225"/>
      <c r="M181" s="225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5"/>
      <c r="J182" s="225"/>
      <c r="K182" s="225"/>
      <c r="L182" s="225"/>
      <c r="M182" s="225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5"/>
      <c r="J183" s="225"/>
      <c r="K183" s="225"/>
      <c r="L183" s="225"/>
      <c r="M183" s="225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4" t="str">
        <f>A15</f>
        <v/>
      </c>
      <c r="B184" s="5"/>
      <c r="C184" s="5"/>
      <c r="D184" s="5"/>
      <c r="E184" s="5"/>
      <c r="F184" s="5"/>
      <c r="G184" s="5"/>
      <c r="H184" s="5"/>
      <c r="I184" s="225"/>
      <c r="J184" s="225"/>
      <c r="K184" s="225"/>
      <c r="L184" s="225"/>
      <c r="M184" s="225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5"/>
      <c r="J185" s="225"/>
      <c r="K185" s="225"/>
      <c r="L185" s="225"/>
      <c r="M185" s="225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5"/>
      <c r="J186" s="225"/>
      <c r="K186" s="225"/>
      <c r="L186" s="225"/>
      <c r="M186" s="225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5"/>
      <c r="J187" s="225"/>
      <c r="K187" s="225"/>
      <c r="L187" s="225"/>
      <c r="M187" s="225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5"/>
      <c r="J188" s="225"/>
      <c r="K188" s="225"/>
      <c r="L188" s="225"/>
      <c r="M188" s="225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5"/>
      <c r="J189" s="225"/>
      <c r="K189" s="225"/>
      <c r="L189" s="225"/>
      <c r="M189" s="225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5"/>
      <c r="J190" s="225"/>
      <c r="K190" s="225"/>
      <c r="L190" s="225"/>
      <c r="M190" s="225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5"/>
      <c r="J191" s="225"/>
      <c r="K191" s="225"/>
      <c r="L191" s="225"/>
      <c r="M191" s="225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5"/>
      <c r="J192" s="225"/>
      <c r="K192" s="225"/>
      <c r="L192" s="225"/>
      <c r="M192" s="225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5"/>
      <c r="J193" s="225"/>
      <c r="K193" s="225"/>
      <c r="L193" s="225"/>
      <c r="M193" s="225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5"/>
      <c r="J194" s="225"/>
      <c r="K194" s="225"/>
      <c r="L194" s="225"/>
      <c r="M194" s="225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5"/>
      <c r="J195" s="225"/>
      <c r="K195" s="225"/>
      <c r="L195" s="225"/>
      <c r="M195" s="225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5"/>
      <c r="J196" s="225"/>
      <c r="K196" s="225"/>
      <c r="L196" s="225"/>
      <c r="M196" s="225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5"/>
      <c r="J197" s="225"/>
      <c r="K197" s="225"/>
      <c r="L197" s="225"/>
      <c r="M197" s="225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5"/>
      <c r="J198" s="225"/>
      <c r="K198" s="225"/>
      <c r="L198" s="225"/>
      <c r="M198" s="225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5"/>
      <c r="J199" s="225"/>
      <c r="K199" s="225"/>
      <c r="L199" s="225"/>
      <c r="M199" s="225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5"/>
      <c r="J200" s="225"/>
      <c r="K200" s="225"/>
      <c r="L200" s="225"/>
      <c r="M200" s="225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5"/>
      <c r="J201" s="225"/>
      <c r="K201" s="225"/>
      <c r="L201" s="225"/>
      <c r="M201" s="225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5"/>
      <c r="J202" s="225"/>
      <c r="K202" s="225"/>
      <c r="L202" s="225"/>
      <c r="M202" s="225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7"/>
      <c r="J203" s="67"/>
      <c r="K203" s="67"/>
      <c r="L203" s="67"/>
      <c r="M203" s="225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7"/>
      <c r="J204" s="67"/>
      <c r="K204" s="67"/>
      <c r="L204" s="67"/>
      <c r="M204" s="67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7"/>
      <c r="J205" s="67"/>
      <c r="K205" s="67"/>
      <c r="L205" s="67"/>
      <c r="M205" s="67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7"/>
      <c r="J206" s="67"/>
      <c r="K206" s="67"/>
      <c r="L206" s="67"/>
      <c r="M206" s="67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7"/>
      <c r="J207" s="67"/>
      <c r="K207" s="67"/>
      <c r="L207" s="67"/>
      <c r="M207" s="67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7"/>
      <c r="J208" s="67"/>
      <c r="K208" s="67"/>
      <c r="L208" s="67"/>
      <c r="M208" s="67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7"/>
      <c r="J209" s="67"/>
      <c r="K209" s="67"/>
      <c r="L209" s="67"/>
      <c r="M209" s="67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7"/>
      <c r="J210" s="67"/>
      <c r="K210" s="67"/>
      <c r="L210" s="67"/>
      <c r="M210" s="67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7"/>
      <c r="J211" s="67"/>
      <c r="K211" s="67"/>
      <c r="L211" s="67"/>
      <c r="M211" s="67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7"/>
      <c r="J212" s="67"/>
      <c r="K212" s="67"/>
      <c r="L212" s="67"/>
      <c r="M212" s="67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7"/>
      <c r="J213" s="67"/>
      <c r="K213" s="67"/>
      <c r="L213" s="67"/>
      <c r="M213" s="67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7"/>
      <c r="J214" s="67"/>
      <c r="K214" s="67"/>
      <c r="L214" s="67"/>
      <c r="M214" s="67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7"/>
      <c r="J215" s="67"/>
      <c r="K215" s="67"/>
      <c r="L215" s="67"/>
      <c r="M215" s="67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7"/>
      <c r="J216" s="67"/>
      <c r="K216" s="67"/>
      <c r="L216" s="67"/>
      <c r="M216" s="67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7"/>
      <c r="J217" s="67"/>
      <c r="K217" s="67"/>
      <c r="L217" s="67"/>
      <c r="M217" s="67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7"/>
      <c r="J218" s="67"/>
      <c r="K218" s="67"/>
      <c r="L218" s="67"/>
      <c r="M218" s="67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7"/>
      <c r="J219" s="67"/>
      <c r="K219" s="67"/>
      <c r="L219" s="67"/>
      <c r="M219" s="67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7"/>
      <c r="J220" s="67"/>
      <c r="K220" s="67"/>
      <c r="L220" s="67"/>
      <c r="M220" s="67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7"/>
      <c r="J221" s="67"/>
      <c r="K221" s="67"/>
      <c r="L221" s="67"/>
      <c r="M221" s="67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7"/>
      <c r="J222" s="67"/>
      <c r="K222" s="67"/>
      <c r="L222" s="67"/>
      <c r="M222" s="67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7"/>
      <c r="J223" s="67"/>
      <c r="K223" s="67"/>
      <c r="L223" s="67"/>
      <c r="M223" s="67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7"/>
      <c r="J224" s="67"/>
      <c r="K224" s="67"/>
      <c r="L224" s="67"/>
      <c r="M224" s="67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7"/>
      <c r="J225" s="67"/>
      <c r="K225" s="67"/>
      <c r="L225" s="67"/>
      <c r="M225" s="67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7"/>
      <c r="J226" s="67"/>
      <c r="K226" s="67"/>
      <c r="L226" s="67"/>
      <c r="M226" s="67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7"/>
      <c r="J227" s="67"/>
      <c r="K227" s="67"/>
      <c r="L227" s="67"/>
      <c r="M227" s="67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7"/>
      <c r="J228" s="67"/>
      <c r="K228" s="67"/>
      <c r="L228" s="67"/>
      <c r="M228" s="67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7"/>
      <c r="J229" s="67"/>
      <c r="K229" s="67"/>
      <c r="L229" s="67"/>
      <c r="M229" s="67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7"/>
      <c r="J230" s="67"/>
      <c r="K230" s="67"/>
      <c r="L230" s="67"/>
      <c r="M230" s="67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7"/>
      <c r="J231" s="67"/>
      <c r="K231" s="67"/>
      <c r="L231" s="67"/>
      <c r="M231" s="67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7"/>
      <c r="J232" s="67"/>
      <c r="K232" s="67"/>
      <c r="L232" s="67"/>
      <c r="M232" s="67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7"/>
      <c r="J233" s="67"/>
      <c r="K233" s="67"/>
      <c r="L233" s="67"/>
      <c r="M233" s="67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7"/>
      <c r="J234" s="67"/>
      <c r="K234" s="67"/>
      <c r="L234" s="67"/>
      <c r="M234" s="67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7"/>
      <c r="J235" s="67"/>
      <c r="K235" s="67"/>
      <c r="L235" s="67"/>
      <c r="M235" s="67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7"/>
      <c r="J236" s="67"/>
      <c r="K236" s="67"/>
      <c r="L236" s="67"/>
      <c r="M236" s="67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7"/>
      <c r="J237" s="67"/>
      <c r="K237" s="67"/>
      <c r="L237" s="67"/>
      <c r="M237" s="67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7"/>
      <c r="J238" s="67"/>
      <c r="K238" s="67"/>
      <c r="L238" s="67"/>
      <c r="M238" s="67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7"/>
      <c r="J239" s="67"/>
      <c r="K239" s="67"/>
      <c r="L239" s="67"/>
      <c r="M239" s="67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7"/>
      <c r="J240" s="67"/>
      <c r="K240" s="67"/>
      <c r="L240" s="67"/>
      <c r="M240" s="67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7"/>
      <c r="J241" s="67"/>
      <c r="K241" s="67"/>
      <c r="L241" s="67"/>
      <c r="M241" s="67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7"/>
      <c r="J242" s="67"/>
      <c r="K242" s="67"/>
      <c r="L242" s="67"/>
      <c r="M242" s="67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7"/>
      <c r="J243" s="67"/>
      <c r="K243" s="67"/>
      <c r="L243" s="67"/>
      <c r="M243" s="67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7"/>
      <c r="J244" s="67"/>
      <c r="K244" s="67"/>
      <c r="L244" s="67"/>
      <c r="M244" s="67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7"/>
      <c r="J245" s="67"/>
      <c r="K245" s="67"/>
      <c r="L245" s="67"/>
      <c r="M245" s="67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7"/>
      <c r="J246" s="67"/>
      <c r="K246" s="67"/>
      <c r="L246" s="67"/>
      <c r="M246" s="67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7"/>
      <c r="J247" s="67"/>
      <c r="K247" s="67"/>
      <c r="L247" s="67"/>
      <c r="M247" s="67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7"/>
      <c r="J248" s="67"/>
      <c r="K248" s="67"/>
      <c r="L248" s="67"/>
      <c r="M248" s="67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7"/>
      <c r="J249" s="67"/>
      <c r="K249" s="67"/>
      <c r="L249" s="67"/>
      <c r="M249" s="67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7"/>
      <c r="J250" s="67"/>
      <c r="K250" s="67"/>
      <c r="L250" s="67"/>
      <c r="M250" s="67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7"/>
      <c r="J251" s="67"/>
      <c r="K251" s="67"/>
      <c r="L251" s="67"/>
      <c r="M251" s="67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7"/>
      <c r="J252" s="67"/>
      <c r="K252" s="67"/>
      <c r="L252" s="67"/>
      <c r="M252" s="67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7"/>
      <c r="J253" s="67"/>
      <c r="K253" s="67"/>
      <c r="L253" s="67"/>
      <c r="M253" s="67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7"/>
      <c r="J254" s="67"/>
      <c r="K254" s="67"/>
      <c r="L254" s="67"/>
      <c r="M254" s="67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7"/>
      <c r="J255" s="67"/>
      <c r="K255" s="67"/>
      <c r="L255" s="67"/>
      <c r="M255" s="67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7"/>
      <c r="J256" s="67"/>
      <c r="K256" s="67"/>
      <c r="L256" s="67"/>
      <c r="M256" s="67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7"/>
      <c r="J257" s="67"/>
      <c r="K257" s="67"/>
      <c r="L257" s="67"/>
      <c r="M257" s="67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7"/>
      <c r="J258" s="67"/>
      <c r="K258" s="67"/>
      <c r="L258" s="67"/>
      <c r="M258" s="67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7"/>
      <c r="J259" s="67"/>
      <c r="K259" s="67"/>
      <c r="L259" s="67"/>
      <c r="M259" s="67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7"/>
      <c r="J260" s="67"/>
      <c r="K260" s="67"/>
      <c r="L260" s="67"/>
      <c r="M260" s="67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7"/>
      <c r="J261" s="67"/>
      <c r="K261" s="67"/>
      <c r="L261" s="67"/>
      <c r="M261" s="67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7"/>
      <c r="J262" s="67"/>
      <c r="K262" s="67"/>
      <c r="L262" s="67"/>
      <c r="M262" s="67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7"/>
      <c r="J263" s="67"/>
      <c r="K263" s="67"/>
      <c r="L263" s="67"/>
      <c r="M263" s="67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7"/>
      <c r="J264" s="67"/>
      <c r="K264" s="67"/>
      <c r="L264" s="67"/>
      <c r="M264" s="67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7"/>
      <c r="J265" s="67"/>
      <c r="K265" s="67"/>
      <c r="L265" s="67"/>
      <c r="M265" s="67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7"/>
      <c r="J266" s="67"/>
      <c r="K266" s="67"/>
      <c r="L266" s="67"/>
      <c r="M266" s="67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7"/>
      <c r="J267" s="67"/>
      <c r="K267" s="67"/>
      <c r="L267" s="67"/>
      <c r="M267" s="67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7"/>
      <c r="J268" s="67"/>
      <c r="K268" s="67"/>
      <c r="L268" s="67"/>
      <c r="M268" s="67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7"/>
      <c r="J269" s="67"/>
      <c r="K269" s="67"/>
      <c r="L269" s="67"/>
      <c r="M269" s="67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7"/>
      <c r="J270" s="67"/>
      <c r="K270" s="67"/>
      <c r="L270" s="67"/>
      <c r="M270" s="67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7"/>
      <c r="J271" s="67"/>
      <c r="K271" s="67"/>
      <c r="L271" s="67"/>
      <c r="M271" s="67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7"/>
      <c r="J272" s="67"/>
      <c r="K272" s="67"/>
      <c r="L272" s="67"/>
      <c r="M272" s="67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7"/>
      <c r="J273" s="67"/>
      <c r="K273" s="67"/>
      <c r="L273" s="67"/>
      <c r="M273" s="67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7"/>
      <c r="J274" s="67"/>
      <c r="K274" s="67"/>
      <c r="L274" s="67"/>
      <c r="M274" s="67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7"/>
      <c r="J275" s="67"/>
      <c r="K275" s="67"/>
      <c r="L275" s="67"/>
      <c r="M275" s="67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7"/>
      <c r="J276" s="67"/>
      <c r="K276" s="67"/>
      <c r="L276" s="67"/>
      <c r="M276" s="67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7"/>
      <c r="J277" s="67"/>
      <c r="K277" s="67"/>
      <c r="L277" s="67"/>
      <c r="M277" s="67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7"/>
      <c r="J278" s="67"/>
      <c r="K278" s="67"/>
      <c r="L278" s="67"/>
      <c r="M278" s="67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7"/>
      <c r="J279" s="67"/>
      <c r="K279" s="67"/>
      <c r="L279" s="67"/>
      <c r="M279" s="67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7"/>
      <c r="J280" s="67"/>
      <c r="K280" s="67"/>
      <c r="L280" s="67"/>
      <c r="M280" s="67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7"/>
      <c r="J281" s="67"/>
      <c r="K281" s="67"/>
      <c r="L281" s="67"/>
      <c r="M281" s="67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7"/>
      <c r="J282" s="67"/>
      <c r="K282" s="67"/>
      <c r="L282" s="67"/>
      <c r="M282" s="67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7"/>
      <c r="J283" s="67"/>
      <c r="K283" s="67"/>
      <c r="L283" s="67"/>
      <c r="M283" s="67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7"/>
      <c r="J284" s="67"/>
      <c r="K284" s="67"/>
      <c r="L284" s="67"/>
      <c r="M284" s="67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7"/>
      <c r="J285" s="67"/>
      <c r="K285" s="67"/>
      <c r="L285" s="67"/>
      <c r="M285" s="67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7"/>
      <c r="J286" s="67"/>
      <c r="K286" s="67"/>
      <c r="L286" s="67"/>
      <c r="M286" s="67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7"/>
      <c r="J287" s="67"/>
      <c r="K287" s="67"/>
      <c r="L287" s="67"/>
      <c r="M287" s="67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7"/>
      <c r="J288" s="67"/>
      <c r="K288" s="67"/>
      <c r="L288" s="67"/>
      <c r="M288" s="67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7"/>
      <c r="J289" s="67"/>
      <c r="K289" s="67"/>
      <c r="L289" s="67"/>
      <c r="M289" s="67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7"/>
      <c r="J290" s="67"/>
      <c r="K290" s="67"/>
      <c r="L290" s="67"/>
      <c r="M290" s="67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7"/>
      <c r="J291" s="67"/>
      <c r="K291" s="67"/>
      <c r="L291" s="67"/>
      <c r="M291" s="67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7"/>
      <c r="J292" s="67"/>
      <c r="K292" s="67"/>
      <c r="L292" s="67"/>
      <c r="M292" s="67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7"/>
      <c r="J293" s="67"/>
      <c r="K293" s="67"/>
      <c r="L293" s="67"/>
      <c r="M293" s="67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7"/>
      <c r="J294" s="67"/>
      <c r="K294" s="67"/>
      <c r="L294" s="67"/>
      <c r="M294" s="67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7"/>
      <c r="J295" s="67"/>
      <c r="K295" s="67"/>
      <c r="L295" s="67"/>
      <c r="M295" s="67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7"/>
      <c r="J296" s="67"/>
      <c r="K296" s="67"/>
      <c r="L296" s="67"/>
      <c r="M296" s="67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7"/>
      <c r="J297" s="67"/>
      <c r="K297" s="67"/>
      <c r="L297" s="67"/>
      <c r="M297" s="67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7"/>
      <c r="J298" s="67"/>
      <c r="K298" s="67"/>
      <c r="L298" s="67"/>
      <c r="M298" s="67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7"/>
      <c r="J299" s="67"/>
      <c r="K299" s="67"/>
      <c r="L299" s="67"/>
      <c r="M299" s="67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7"/>
      <c r="J300" s="67"/>
      <c r="K300" s="67"/>
      <c r="L300" s="67"/>
      <c r="M300" s="67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7"/>
      <c r="J301" s="67"/>
      <c r="K301" s="67"/>
      <c r="L301" s="67"/>
      <c r="M301" s="67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7"/>
      <c r="J302" s="67"/>
      <c r="K302" s="67"/>
      <c r="L302" s="67"/>
      <c r="M302" s="67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7"/>
      <c r="J303" s="67"/>
      <c r="K303" s="67"/>
      <c r="L303" s="67"/>
      <c r="M303" s="67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7"/>
      <c r="J304" s="67"/>
      <c r="K304" s="67"/>
      <c r="L304" s="67"/>
      <c r="M304" s="67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7"/>
      <c r="J305" s="67"/>
      <c r="K305" s="67"/>
      <c r="L305" s="67"/>
      <c r="M305" s="67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7"/>
      <c r="J306" s="67"/>
      <c r="K306" s="67"/>
      <c r="L306" s="67"/>
      <c r="M306" s="67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7"/>
      <c r="J307" s="67"/>
      <c r="K307" s="67"/>
      <c r="L307" s="67"/>
      <c r="M307" s="67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7"/>
      <c r="J308" s="67"/>
      <c r="K308" s="67"/>
      <c r="L308" s="67"/>
      <c r="M308" s="67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7"/>
      <c r="J309" s="67"/>
      <c r="K309" s="67"/>
      <c r="L309" s="67"/>
      <c r="M309" s="67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7"/>
      <c r="J310" s="67"/>
      <c r="K310" s="67"/>
      <c r="L310" s="67"/>
      <c r="M310" s="67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7"/>
      <c r="J311" s="67"/>
      <c r="K311" s="67"/>
      <c r="L311" s="67"/>
      <c r="M311" s="67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7"/>
      <c r="J312" s="67"/>
      <c r="K312" s="67"/>
      <c r="L312" s="67"/>
      <c r="M312" s="67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7"/>
      <c r="J313" s="67"/>
      <c r="K313" s="67"/>
      <c r="L313" s="67"/>
      <c r="M313" s="67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7"/>
      <c r="J314" s="67"/>
      <c r="K314" s="67"/>
      <c r="L314" s="67"/>
      <c r="M314" s="67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7"/>
      <c r="J315" s="67"/>
      <c r="K315" s="67"/>
      <c r="L315" s="67"/>
      <c r="M315" s="67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7"/>
      <c r="J316" s="67"/>
      <c r="K316" s="67"/>
      <c r="L316" s="67"/>
      <c r="M316" s="67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7"/>
      <c r="J317" s="67"/>
      <c r="K317" s="67"/>
      <c r="L317" s="67"/>
      <c r="M317" s="67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7"/>
      <c r="J318" s="67"/>
      <c r="K318" s="67"/>
      <c r="L318" s="67"/>
      <c r="M318" s="67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7"/>
      <c r="J319" s="67"/>
      <c r="K319" s="67"/>
      <c r="L319" s="67"/>
      <c r="M319" s="67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7"/>
      <c r="J320" s="67"/>
      <c r="K320" s="67"/>
      <c r="L320" s="67"/>
      <c r="M320" s="67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7"/>
      <c r="J321" s="67"/>
      <c r="K321" s="67"/>
      <c r="L321" s="67"/>
      <c r="M321" s="67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7"/>
      <c r="J322" s="67"/>
      <c r="K322" s="67"/>
      <c r="L322" s="67"/>
      <c r="M322" s="67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7"/>
      <c r="J323" s="67"/>
      <c r="K323" s="67"/>
      <c r="L323" s="67"/>
      <c r="M323" s="67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7"/>
      <c r="J324" s="67"/>
      <c r="K324" s="67"/>
      <c r="L324" s="67"/>
      <c r="M324" s="67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7"/>
      <c r="J325" s="67"/>
      <c r="K325" s="67"/>
      <c r="L325" s="67"/>
      <c r="M325" s="67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7"/>
      <c r="J326" s="67"/>
      <c r="K326" s="67"/>
      <c r="L326" s="67"/>
      <c r="M326" s="67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7"/>
      <c r="J327" s="67"/>
      <c r="K327" s="67"/>
      <c r="L327" s="67"/>
      <c r="M327" s="67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7"/>
      <c r="J328" s="67"/>
      <c r="K328" s="67"/>
      <c r="L328" s="67"/>
      <c r="M328" s="67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7"/>
      <c r="J329" s="67"/>
      <c r="K329" s="67"/>
      <c r="L329" s="67"/>
      <c r="M329" s="67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7"/>
      <c r="J330" s="67"/>
      <c r="K330" s="67"/>
      <c r="L330" s="67"/>
      <c r="M330" s="67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7"/>
      <c r="J331" s="67"/>
      <c r="K331" s="67"/>
      <c r="L331" s="67"/>
      <c r="M331" s="67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7"/>
      <c r="J332" s="67"/>
      <c r="K332" s="67"/>
      <c r="L332" s="67"/>
      <c r="M332" s="67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7"/>
      <c r="J333" s="67"/>
      <c r="K333" s="67"/>
      <c r="L333" s="67"/>
      <c r="M333" s="67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7"/>
      <c r="J334" s="67"/>
      <c r="K334" s="67"/>
      <c r="L334" s="67"/>
      <c r="M334" s="67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7"/>
      <c r="J335" s="67"/>
      <c r="K335" s="67"/>
      <c r="L335" s="67"/>
      <c r="M335" s="67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7"/>
      <c r="J336" s="67"/>
      <c r="K336" s="67"/>
      <c r="L336" s="67"/>
      <c r="M336" s="67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7"/>
      <c r="J337" s="67"/>
      <c r="K337" s="67"/>
      <c r="L337" s="67"/>
      <c r="M337" s="67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7"/>
      <c r="J338" s="67"/>
      <c r="K338" s="67"/>
      <c r="L338" s="67"/>
      <c r="M338" s="67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7"/>
      <c r="J339" s="67"/>
      <c r="K339" s="67"/>
      <c r="L339" s="67"/>
      <c r="M339" s="67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7"/>
      <c r="J340" s="67"/>
      <c r="K340" s="67"/>
      <c r="L340" s="67"/>
      <c r="M340" s="67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7"/>
      <c r="J341" s="67"/>
      <c r="K341" s="67"/>
      <c r="L341" s="67"/>
      <c r="M341" s="67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7"/>
      <c r="J342" s="67"/>
      <c r="K342" s="67"/>
      <c r="L342" s="67"/>
      <c r="M342" s="67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7"/>
      <c r="J343" s="67"/>
      <c r="K343" s="67"/>
      <c r="L343" s="67"/>
      <c r="M343" s="67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7"/>
      <c r="J344" s="67"/>
      <c r="K344" s="67"/>
      <c r="L344" s="67"/>
      <c r="M344" s="67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7"/>
      <c r="J345" s="67"/>
      <c r="K345" s="67"/>
      <c r="L345" s="67"/>
      <c r="M345" s="67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7"/>
      <c r="J346" s="67"/>
      <c r="K346" s="67"/>
      <c r="L346" s="67"/>
      <c r="M346" s="67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7"/>
      <c r="J347" s="67"/>
      <c r="K347" s="67"/>
      <c r="L347" s="67"/>
      <c r="M347" s="67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7"/>
      <c r="J348" s="67"/>
      <c r="K348" s="67"/>
      <c r="L348" s="67"/>
      <c r="M348" s="67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7"/>
      <c r="J349" s="67"/>
      <c r="K349" s="67"/>
      <c r="L349" s="67"/>
      <c r="M349" s="67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7"/>
      <c r="J350" s="67"/>
      <c r="K350" s="67"/>
      <c r="L350" s="67"/>
      <c r="M350" s="67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7"/>
      <c r="J351" s="67"/>
      <c r="K351" s="67"/>
      <c r="L351" s="67"/>
      <c r="M351" s="67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7"/>
      <c r="J352" s="67"/>
      <c r="K352" s="67"/>
      <c r="L352" s="67"/>
      <c r="M352" s="67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7"/>
      <c r="J353" s="67"/>
      <c r="K353" s="67"/>
      <c r="L353" s="67"/>
      <c r="M353" s="67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7"/>
      <c r="J354" s="67"/>
      <c r="K354" s="67"/>
      <c r="L354" s="67"/>
      <c r="M354" s="67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7"/>
      <c r="J355" s="67"/>
      <c r="K355" s="67"/>
      <c r="L355" s="67"/>
      <c r="M355" s="67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7"/>
      <c r="J356" s="67"/>
      <c r="K356" s="67"/>
      <c r="L356" s="67"/>
      <c r="M356" s="67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zoomScale="48" zoomScaleNormal="100" workbookViewId="0">
      <selection activeCell="I24" sqref="I24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44140625" style="3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7"/>
      <c r="G1" s="6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7" customFormat="1" x14ac:dyDescent="0.3">
      <c r="A3" s="94"/>
      <c r="B3" s="94"/>
      <c r="C3" s="94"/>
      <c r="D3" s="94"/>
      <c r="E3" s="94"/>
      <c r="F3" s="175"/>
      <c r="G3" s="175"/>
      <c r="H3" s="176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</row>
    <row r="4" spans="1:42" s="197" customFormat="1" x14ac:dyDescent="0.3">
      <c r="A4" s="94"/>
      <c r="B4" s="94"/>
      <c r="C4" s="94"/>
      <c r="D4" s="94"/>
      <c r="E4" s="94"/>
      <c r="G4" s="175"/>
      <c r="H4" s="342" t="s">
        <v>316</v>
      </c>
      <c r="I4" s="342"/>
      <c r="K4" s="339" t="s">
        <v>253</v>
      </c>
      <c r="L4" s="340"/>
      <c r="M4" s="262">
        <v>4.4999999999999998E-2</v>
      </c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</row>
    <row r="5" spans="1:42" s="197" customFormat="1" x14ac:dyDescent="0.3">
      <c r="A5" s="94"/>
      <c r="B5" s="94"/>
      <c r="C5" s="94"/>
      <c r="D5" s="94"/>
      <c r="E5" s="94"/>
      <c r="G5" s="175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</row>
    <row r="6" spans="1:42" s="197" customFormat="1" ht="15" thickBot="1" x14ac:dyDescent="0.35">
      <c r="A6" s="94"/>
      <c r="B6" s="94"/>
      <c r="C6" s="94"/>
      <c r="D6" s="94"/>
      <c r="E6" s="94"/>
      <c r="F6" s="223"/>
      <c r="G6" s="175"/>
      <c r="H6" s="177"/>
      <c r="I6" s="177"/>
      <c r="J6" s="177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</row>
    <row r="7" spans="1:42" s="197" customFormat="1" ht="27.75" customHeight="1" thickBot="1" x14ac:dyDescent="0.55000000000000004">
      <c r="A7" s="269"/>
      <c r="B7" s="270"/>
      <c r="C7" s="270"/>
      <c r="D7" s="270"/>
      <c r="E7" s="271"/>
      <c r="F7" s="271" t="s">
        <v>192</v>
      </c>
      <c r="G7" s="272"/>
      <c r="H7" s="270"/>
      <c r="I7" s="270"/>
      <c r="J7" s="273"/>
      <c r="K7" s="267"/>
      <c r="L7" s="268"/>
      <c r="M7" s="268"/>
      <c r="N7" s="274" t="s">
        <v>191</v>
      </c>
      <c r="O7" s="274"/>
      <c r="P7" s="275"/>
      <c r="Q7" s="276"/>
      <c r="R7" s="331" t="s">
        <v>311</v>
      </c>
      <c r="S7" s="332"/>
      <c r="T7" s="332"/>
      <c r="U7" s="332"/>
      <c r="V7" s="333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</row>
    <row r="8" spans="1:42" x14ac:dyDescent="0.3">
      <c r="A8" s="25"/>
      <c r="C8" s="25"/>
      <c r="D8" s="25"/>
      <c r="E8" s="25"/>
      <c r="F8" s="215"/>
      <c r="G8" s="215"/>
      <c r="H8" s="5"/>
      <c r="I8" s="5"/>
      <c r="J8" s="208"/>
      <c r="K8" s="219"/>
      <c r="L8" s="25"/>
      <c r="M8" s="25"/>
      <c r="N8" s="25"/>
      <c r="O8" s="25"/>
      <c r="P8" s="25"/>
      <c r="Q8" s="259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4" t="s">
        <v>312</v>
      </c>
      <c r="C9" s="25"/>
      <c r="D9" s="25"/>
      <c r="E9" s="25"/>
      <c r="F9" s="255"/>
      <c r="G9" s="254" t="s">
        <v>315</v>
      </c>
      <c r="J9" s="208"/>
      <c r="K9" s="219"/>
      <c r="O9" s="25"/>
      <c r="P9" s="25"/>
      <c r="Q9" s="259"/>
      <c r="R9" s="25"/>
      <c r="S9" s="5"/>
      <c r="T9" s="180" t="s">
        <v>262</v>
      </c>
      <c r="U9" s="183" t="s">
        <v>249</v>
      </c>
      <c r="V9" s="180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4" t="s">
        <v>318</v>
      </c>
      <c r="C10" s="25"/>
      <c r="D10" s="25"/>
      <c r="E10" s="25"/>
      <c r="F10" s="255"/>
      <c r="G10" s="254" t="s">
        <v>317</v>
      </c>
      <c r="J10" s="208"/>
      <c r="K10" s="219"/>
      <c r="O10" s="25"/>
      <c r="P10" s="25"/>
      <c r="Q10" s="259"/>
      <c r="R10" s="25"/>
      <c r="S10" s="180" t="str">
        <f>B14</f>
        <v>Chêne sessile</v>
      </c>
      <c r="T10" s="184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-849.252216043668</v>
      </c>
      <c r="U10" s="185">
        <f>'Données projet'!D9</f>
        <v>0.33300000000000002</v>
      </c>
      <c r="V10" s="184">
        <f>U10*T10</f>
        <v>-282.80098794254144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4" t="s">
        <v>313</v>
      </c>
      <c r="B11" s="25"/>
      <c r="C11" s="25"/>
      <c r="D11" s="25"/>
      <c r="E11" s="25"/>
      <c r="F11" s="255"/>
      <c r="G11" s="254" t="s">
        <v>314</v>
      </c>
      <c r="J11" s="208"/>
      <c r="K11" s="219"/>
      <c r="M11" s="5"/>
      <c r="N11" s="5"/>
      <c r="O11" s="25"/>
      <c r="P11" s="25"/>
      <c r="Q11" s="259"/>
      <c r="R11" s="25"/>
      <c r="S11" s="180" t="str">
        <f>B45</f>
        <v>Erable sycomore</v>
      </c>
      <c r="T11" s="266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-313.39045792788056</v>
      </c>
      <c r="U11" s="185">
        <f>'Données projet'!D10</f>
        <v>0.33300000000000002</v>
      </c>
      <c r="V11" s="184">
        <f>U11*T11</f>
        <v>-104.35902248998423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5"/>
      <c r="G12" s="1"/>
      <c r="J12" s="208"/>
      <c r="K12" s="219"/>
      <c r="L12" s="211"/>
      <c r="M12" s="25"/>
      <c r="N12" s="25"/>
      <c r="O12" s="25"/>
      <c r="P12" s="25"/>
      <c r="Q12" s="259"/>
      <c r="R12" s="25"/>
      <c r="S12" s="180" t="str">
        <f>B76</f>
        <v>Erable plane</v>
      </c>
      <c r="T12" s="266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-482.29152895740071</v>
      </c>
      <c r="U12" s="185">
        <f>'Données projet'!D11</f>
        <v>0.33300000000000002</v>
      </c>
      <c r="V12" s="184">
        <f t="shared" ref="V12:V19" si="0">U12*T12</f>
        <v>-160.60307914281444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5"/>
      <c r="J13" s="25"/>
      <c r="K13" s="219"/>
      <c r="L13" s="179" t="s">
        <v>257</v>
      </c>
      <c r="M13" s="25"/>
      <c r="N13" s="25"/>
      <c r="O13" s="25"/>
      <c r="P13" s="25"/>
      <c r="Q13" s="259"/>
      <c r="R13" s="25"/>
      <c r="S13" s="180" t="str">
        <f>B107</f>
        <v>Tilleul</v>
      </c>
      <c r="T13" s="266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-604.358797204859</v>
      </c>
      <c r="U13" s="185">
        <f>'Données projet'!D12</f>
        <v>0.33300000000000002</v>
      </c>
      <c r="V13" s="184">
        <f t="shared" si="0"/>
        <v>-201.25147946921805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1" t="str">
        <f>IF('Données projet'!$B$9="","",'Données projet'!$B$9)</f>
        <v>Chêne sessile</v>
      </c>
      <c r="C14" s="5"/>
      <c r="D14" s="5"/>
      <c r="E14" s="5"/>
      <c r="F14" s="255"/>
      <c r="G14" s="215"/>
      <c r="H14" s="180" t="s">
        <v>178</v>
      </c>
      <c r="I14" s="180" t="s">
        <v>291</v>
      </c>
      <c r="J14" s="209"/>
      <c r="K14" s="178"/>
      <c r="L14" s="211"/>
      <c r="M14" s="25"/>
      <c r="N14" s="25"/>
      <c r="O14" s="5"/>
      <c r="P14" s="5"/>
      <c r="Q14" s="260"/>
      <c r="R14" s="5"/>
      <c r="S14" s="180" t="str">
        <f>B138</f>
        <v>Alisier torminal</v>
      </c>
      <c r="T14" s="266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-945.36930245287215</v>
      </c>
      <c r="U14" s="185">
        <f>'Données projet'!D13</f>
        <v>0.33300000000000002</v>
      </c>
      <c r="V14" s="184">
        <f t="shared" si="0"/>
        <v>-314.80797771680642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5"/>
      <c r="G15" s="343" t="s">
        <v>319</v>
      </c>
      <c r="H15" s="198"/>
      <c r="I15" s="199"/>
      <c r="J15" s="210"/>
      <c r="K15" s="219"/>
      <c r="L15" s="211"/>
      <c r="M15" s="25"/>
      <c r="N15" s="25"/>
      <c r="O15" s="25"/>
      <c r="P15" s="25"/>
      <c r="Q15" s="259"/>
      <c r="R15" s="25"/>
      <c r="S15" s="180" t="str">
        <f>B169</f>
        <v>Merisier</v>
      </c>
      <c r="T15" s="266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-308.75427567495433</v>
      </c>
      <c r="U15" s="185">
        <f>'Données projet'!D14</f>
        <v>0.33300000000000002</v>
      </c>
      <c r="V15" s="184">
        <f t="shared" si="0"/>
        <v>-102.81517379975979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1" t="s">
        <v>180</v>
      </c>
      <c r="B16" s="51" t="s">
        <v>256</v>
      </c>
      <c r="C16" s="51" t="s">
        <v>255</v>
      </c>
      <c r="D16" s="251" t="s">
        <v>252</v>
      </c>
      <c r="E16" s="251" t="s">
        <v>287</v>
      </c>
      <c r="F16" s="255"/>
      <c r="G16" s="343"/>
      <c r="H16" s="198"/>
      <c r="I16" s="199"/>
      <c r="J16" s="210"/>
      <c r="K16" s="219"/>
      <c r="L16" s="339" t="s">
        <v>254</v>
      </c>
      <c r="M16" s="340"/>
      <c r="N16" s="2">
        <v>30</v>
      </c>
      <c r="O16" s="25"/>
      <c r="P16" s="25"/>
      <c r="Q16" s="259"/>
      <c r="R16" s="25"/>
      <c r="S16" s="180" t="str">
        <f>B200</f>
        <v>Hêtre</v>
      </c>
      <c r="T16" s="266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-768.82720553101683</v>
      </c>
      <c r="U16" s="185">
        <f>'Données projet'!D15</f>
        <v>0.33389999999999997</v>
      </c>
      <c r="V16" s="184">
        <f t="shared" si="0"/>
        <v>-256.7114039268065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4">
        <v>0</v>
      </c>
      <c r="B17" s="207" t="s">
        <v>132</v>
      </c>
      <c r="C17" s="206" t="s">
        <v>132</v>
      </c>
      <c r="D17" s="205" t="s">
        <v>132</v>
      </c>
      <c r="E17" s="201">
        <v>1807</v>
      </c>
      <c r="F17" s="255"/>
      <c r="G17" s="343"/>
      <c r="J17" s="210"/>
      <c r="K17" s="219"/>
      <c r="L17" s="297" t="s">
        <v>290</v>
      </c>
      <c r="M17" s="299"/>
      <c r="N17" s="182">
        <f>VLOOKUP(N16,Calculateur!$A$2:$H$153,3,0)/VLOOKUP('Scénario référence'!$G$15,Paramètres!A1:I88,3,0)/VLOOKUP('Scénario référence'!$G$15,Paramètres!A1:I88,5,0)</f>
        <v>29.999999999999993</v>
      </c>
      <c r="O17" s="25"/>
      <c r="P17" s="25"/>
      <c r="Q17" s="259"/>
      <c r="R17" s="25"/>
      <c r="S17" s="180" t="str">
        <f>B231</f>
        <v>Erable champêtre</v>
      </c>
      <c r="T17" s="266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-485.77589282819167</v>
      </c>
      <c r="U17" s="185">
        <f>'Données projet'!D16</f>
        <v>0.33389999999999997</v>
      </c>
      <c r="V17" s="184">
        <f t="shared" si="0"/>
        <v>-162.20057061533319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4">
        <v>1</v>
      </c>
      <c r="B18" s="207" t="s">
        <v>132</v>
      </c>
      <c r="C18" s="206" t="s">
        <v>132</v>
      </c>
      <c r="D18" s="205" t="s">
        <v>132</v>
      </c>
      <c r="E18" s="201"/>
      <c r="F18" s="255"/>
      <c r="G18" s="343"/>
      <c r="J18" s="210"/>
      <c r="K18" s="219"/>
      <c r="L18" s="297" t="s">
        <v>255</v>
      </c>
      <c r="M18" s="299"/>
      <c r="N18" s="200">
        <v>10</v>
      </c>
      <c r="O18" s="25"/>
      <c r="P18" s="25"/>
      <c r="Q18" s="259"/>
      <c r="R18" s="25"/>
      <c r="S18" s="180" t="str">
        <f>B262</f>
        <v>Mélèze d'Europe</v>
      </c>
      <c r="T18" s="266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629.48914324982479</v>
      </c>
      <c r="U18" s="185">
        <f>'Données projet'!D17</f>
        <v>0.33389999999999997</v>
      </c>
      <c r="V18" s="184">
        <f t="shared" si="0"/>
        <v>210.18642493111648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4">
        <v>2</v>
      </c>
      <c r="B19" s="207" t="s">
        <v>132</v>
      </c>
      <c r="C19" s="206" t="s">
        <v>132</v>
      </c>
      <c r="D19" s="205" t="s">
        <v>132</v>
      </c>
      <c r="E19" s="201"/>
      <c r="F19" s="255"/>
      <c r="G19" s="343"/>
      <c r="H19" s="226" t="s">
        <v>178</v>
      </c>
      <c r="I19" s="226" t="s">
        <v>288</v>
      </c>
      <c r="J19" s="254"/>
      <c r="K19" s="178"/>
      <c r="L19" s="339" t="s">
        <v>289</v>
      </c>
      <c r="M19" s="340"/>
      <c r="N19" s="186">
        <f>N17*N18</f>
        <v>299.99999999999994</v>
      </c>
      <c r="O19" s="25"/>
      <c r="P19" s="5"/>
      <c r="Q19" s="260"/>
      <c r="R19" s="5"/>
      <c r="S19" s="180" t="str">
        <f>B293</f>
        <v/>
      </c>
      <c r="T19" s="266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5">
        <f>'Données projet'!D18</f>
        <v>0</v>
      </c>
      <c r="V19" s="184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4">
        <v>3</v>
      </c>
      <c r="B20" s="207" t="s">
        <v>132</v>
      </c>
      <c r="C20" s="206" t="s">
        <v>132</v>
      </c>
      <c r="D20" s="205" t="s">
        <v>132</v>
      </c>
      <c r="E20" s="201"/>
      <c r="F20" s="255"/>
      <c r="G20" s="343"/>
      <c r="H20" s="198">
        <v>1</v>
      </c>
      <c r="I20" s="199">
        <f>(1675+350+400)</f>
        <v>2425</v>
      </c>
      <c r="J20" s="5"/>
      <c r="K20" s="178"/>
      <c r="O20" s="25"/>
      <c r="P20" s="5"/>
      <c r="Q20" s="260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4">
        <v>4</v>
      </c>
      <c r="B21" s="207" t="s">
        <v>132</v>
      </c>
      <c r="C21" s="206" t="s">
        <v>132</v>
      </c>
      <c r="D21" s="205" t="s">
        <v>132</v>
      </c>
      <c r="E21" s="201"/>
      <c r="F21" s="255"/>
      <c r="H21" s="198">
        <v>2</v>
      </c>
      <c r="I21" s="199">
        <v>350</v>
      </c>
      <c r="K21" s="178"/>
      <c r="O21" s="25"/>
      <c r="P21" s="5"/>
      <c r="Q21" s="260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4">
        <v>5</v>
      </c>
      <c r="B22" s="207" t="s">
        <v>132</v>
      </c>
      <c r="C22" s="206" t="s">
        <v>132</v>
      </c>
      <c r="D22" s="205" t="s">
        <v>132</v>
      </c>
      <c r="E22" s="201"/>
      <c r="F22" s="255"/>
      <c r="H22" s="198">
        <v>3</v>
      </c>
      <c r="I22" s="199">
        <v>350</v>
      </c>
      <c r="K22" s="178"/>
      <c r="O22" s="25"/>
      <c r="P22" s="5"/>
      <c r="Q22" s="260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7">
        <f>'Données projet'!A36</f>
        <v>42</v>
      </c>
      <c r="B23" s="188">
        <f>'Données projet'!D36</f>
        <v>30</v>
      </c>
      <c r="C23" s="201">
        <f>'Données projet'!E36*150+SUM('Données projet'!F36:G36)*13.8+'Données projet'!H36*10</f>
        <v>38</v>
      </c>
      <c r="D23" s="189">
        <f>B23*C23</f>
        <v>1140</v>
      </c>
      <c r="E23" s="201"/>
      <c r="F23" s="255"/>
      <c r="H23" s="198">
        <v>4</v>
      </c>
      <c r="I23" s="199">
        <v>350</v>
      </c>
      <c r="K23" s="219"/>
      <c r="L23" s="341" t="s">
        <v>260</v>
      </c>
      <c r="M23" s="341"/>
      <c r="N23" s="341"/>
      <c r="O23" s="25"/>
      <c r="P23" s="25"/>
      <c r="Q23" s="259"/>
      <c r="R23" s="25"/>
      <c r="S23" s="180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-11941.776650865922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7">
        <f>'Données projet'!A37</f>
        <v>50</v>
      </c>
      <c r="B24" s="188">
        <f>'Données projet'!D37</f>
        <v>35</v>
      </c>
      <c r="C24" s="201">
        <f>'Données projet'!E37*150+SUM('Données projet'!F37:G37)*13.8+'Données projet'!H37*10</f>
        <v>38</v>
      </c>
      <c r="D24" s="189">
        <f t="shared" ref="D24:D42" si="1">B24*C24</f>
        <v>1330</v>
      </c>
      <c r="E24" s="201"/>
      <c r="F24" s="258"/>
      <c r="H24" s="198">
        <v>5</v>
      </c>
      <c r="I24" s="199">
        <v>350</v>
      </c>
      <c r="K24" s="219"/>
      <c r="O24" s="25"/>
      <c r="P24" s="25"/>
      <c r="Q24" s="259"/>
      <c r="R24" s="25"/>
      <c r="S24" s="180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240.30001395630268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7">
        <f>'Données projet'!A38</f>
        <v>58</v>
      </c>
      <c r="B25" s="188">
        <f>'Données projet'!D38</f>
        <v>44</v>
      </c>
      <c r="C25" s="201">
        <f>'Données projet'!E38*150+SUM('Données projet'!F38:G38)*13.8+'Données projet'!H38*10</f>
        <v>52</v>
      </c>
      <c r="D25" s="189">
        <f t="shared" si="1"/>
        <v>2288</v>
      </c>
      <c r="E25" s="201"/>
      <c r="F25" s="258"/>
      <c r="G25" s="1"/>
      <c r="H25" s="198"/>
      <c r="I25" s="199"/>
      <c r="K25" s="219"/>
      <c r="L25" s="265" t="s">
        <v>285</v>
      </c>
      <c r="M25" s="265"/>
      <c r="N25" s="265"/>
      <c r="O25" s="265"/>
      <c r="P25" s="200"/>
      <c r="Q25" s="259"/>
      <c r="R25" s="25"/>
      <c r="S25" s="193" t="s">
        <v>266</v>
      </c>
      <c r="T25" s="338">
        <f ca="1">T23-T24</f>
        <v>-12182.076664822225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7">
        <f>'Données projet'!A39</f>
        <v>66</v>
      </c>
      <c r="B26" s="188">
        <f>'Données projet'!D39</f>
        <v>38</v>
      </c>
      <c r="C26" s="201">
        <f>'Données projet'!E39*150+SUM('Données projet'!F39:G39)*13.8+'Données projet'!H39*10</f>
        <v>52</v>
      </c>
      <c r="D26" s="189">
        <f t="shared" si="1"/>
        <v>1976</v>
      </c>
      <c r="E26" s="201"/>
      <c r="F26" s="258"/>
      <c r="G26" s="253"/>
      <c r="H26" s="198"/>
      <c r="I26" s="199"/>
      <c r="K26" s="219"/>
      <c r="L26" s="325" t="s">
        <v>258</v>
      </c>
      <c r="M26" s="326"/>
      <c r="N26" s="326"/>
      <c r="O26" s="326"/>
      <c r="P26" s="327"/>
      <c r="Q26" s="259"/>
      <c r="R26" s="25"/>
      <c r="S26" s="193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7">
        <f>'Données projet'!A40</f>
        <v>75</v>
      </c>
      <c r="B27" s="188">
        <f>'Données projet'!D40</f>
        <v>37</v>
      </c>
      <c r="C27" s="201">
        <f>'Données projet'!E40*150+SUM('Données projet'!F40:G40)*13.8+'Données projet'!H40*10</f>
        <v>66</v>
      </c>
      <c r="D27" s="189">
        <f t="shared" si="1"/>
        <v>2442</v>
      </c>
      <c r="E27" s="201"/>
      <c r="F27" s="258"/>
      <c r="G27" s="253"/>
      <c r="H27" s="198"/>
      <c r="I27" s="199"/>
      <c r="K27" s="219"/>
      <c r="L27" s="328"/>
      <c r="M27" s="329"/>
      <c r="N27" s="329"/>
      <c r="O27" s="329"/>
      <c r="P27" s="330"/>
      <c r="Q27" s="259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7">
        <f>'Données projet'!A41</f>
        <v>84</v>
      </c>
      <c r="B28" s="188">
        <f>'Données projet'!D41</f>
        <v>36</v>
      </c>
      <c r="C28" s="201">
        <f>'Données projet'!E41*150+SUM('Données projet'!F41:G41)*13.8+'Données projet'!H41*10</f>
        <v>66</v>
      </c>
      <c r="D28" s="189">
        <f t="shared" si="1"/>
        <v>2376</v>
      </c>
      <c r="E28" s="201"/>
      <c r="F28" s="258"/>
      <c r="G28" s="216"/>
      <c r="H28" s="198"/>
      <c r="I28" s="199"/>
      <c r="K28" s="219"/>
      <c r="Q28" s="259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7">
        <f>'Données projet'!A42</f>
        <v>93</v>
      </c>
      <c r="B29" s="188">
        <f>'Données projet'!D42</f>
        <v>34</v>
      </c>
      <c r="C29" s="201">
        <f>'Données projet'!E42*150+SUM('Données projet'!F42:G42)*13.8+'Données projet'!H42*10</f>
        <v>80</v>
      </c>
      <c r="D29" s="189">
        <f t="shared" si="1"/>
        <v>2720</v>
      </c>
      <c r="E29" s="201"/>
      <c r="F29" s="258"/>
      <c r="G29" s="212"/>
      <c r="H29" s="198"/>
      <c r="I29" s="199"/>
      <c r="K29" s="219"/>
      <c r="O29" s="25"/>
      <c r="P29" s="25"/>
      <c r="Q29" s="259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7">
        <f>'Données projet'!A43</f>
        <v>103</v>
      </c>
      <c r="B30" s="188">
        <f>'Données projet'!D43</f>
        <v>38</v>
      </c>
      <c r="C30" s="201">
        <f>'Données projet'!E43*150+SUM('Données projet'!F43:G43)*13.8+'Données projet'!H43*10</f>
        <v>80</v>
      </c>
      <c r="D30" s="189">
        <f t="shared" si="1"/>
        <v>3040</v>
      </c>
      <c r="E30" s="201"/>
      <c r="F30" s="258"/>
      <c r="G30" s="212"/>
      <c r="H30" s="198"/>
      <c r="I30" s="199"/>
      <c r="K30" s="190"/>
      <c r="L30" s="180" t="s">
        <v>259</v>
      </c>
      <c r="M30" s="191">
        <f ca="1">SUM(OFFSET($P$33,0,0,MIN('Données projet'!$E$9:$E$18)+1,1))</f>
        <v>0</v>
      </c>
      <c r="O30" s="5"/>
      <c r="P30" s="5"/>
      <c r="Q30" s="260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7">
        <f>'Données projet'!A44</f>
        <v>113</v>
      </c>
      <c r="B31" s="188">
        <f>'Données projet'!D44</f>
        <v>42</v>
      </c>
      <c r="C31" s="201">
        <f>'Données projet'!E44*150+SUM('Données projet'!F44:G44)*13.8+'Données projet'!H44*10</f>
        <v>94</v>
      </c>
      <c r="D31" s="189">
        <f t="shared" si="1"/>
        <v>3948</v>
      </c>
      <c r="E31" s="201"/>
      <c r="F31" s="258"/>
      <c r="G31" s="212"/>
      <c r="H31" s="198"/>
      <c r="I31" s="199"/>
      <c r="K31" s="178"/>
      <c r="Q31" s="259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7">
        <f>'Données projet'!A45</f>
        <v>123</v>
      </c>
      <c r="B32" s="188">
        <f>'Données projet'!D45</f>
        <v>45</v>
      </c>
      <c r="C32" s="201">
        <f>'Données projet'!E45*150+SUM('Données projet'!F45:G45)*13.8+'Données projet'!H45*10</f>
        <v>94</v>
      </c>
      <c r="D32" s="189">
        <f t="shared" si="1"/>
        <v>4230</v>
      </c>
      <c r="E32" s="201"/>
      <c r="F32" s="258"/>
      <c r="G32" s="212"/>
      <c r="H32" s="198"/>
      <c r="I32" s="199"/>
      <c r="K32" s="178"/>
      <c r="N32" s="5"/>
      <c r="O32" s="264" t="s">
        <v>178</v>
      </c>
      <c r="P32" s="264" t="s">
        <v>252</v>
      </c>
      <c r="Q32" s="259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7">
        <f>'Données projet'!A46</f>
        <v>135</v>
      </c>
      <c r="B33" s="188">
        <f>'Données projet'!D46</f>
        <v>48</v>
      </c>
      <c r="C33" s="201">
        <f>'Données projet'!E46*150+SUM('Données projet'!F46:G46)*13.8+'Données projet'!H46*10</f>
        <v>108</v>
      </c>
      <c r="D33" s="189">
        <f t="shared" si="1"/>
        <v>5184</v>
      </c>
      <c r="E33" s="201"/>
      <c r="F33" s="258"/>
      <c r="G33" s="212"/>
      <c r="H33" s="198"/>
      <c r="I33" s="199"/>
      <c r="K33" s="178"/>
      <c r="L33" s="5"/>
      <c r="M33" s="5"/>
      <c r="N33" s="5"/>
      <c r="O33" s="202">
        <v>0</v>
      </c>
      <c r="P33" s="192">
        <f t="shared" ref="P33:P64" si="2">$P$25/(1+$M$4)^O33</f>
        <v>0</v>
      </c>
      <c r="Q33" s="259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7">
        <f>'Données projet'!A47</f>
        <v>147</v>
      </c>
      <c r="B34" s="188">
        <f>'Données projet'!D47</f>
        <v>0</v>
      </c>
      <c r="C34" s="201">
        <f>'Données projet'!E47*150+SUM('Données projet'!F47:G47)*13.8+'Données projet'!H47*10</f>
        <v>108</v>
      </c>
      <c r="D34" s="189">
        <f t="shared" si="1"/>
        <v>0</v>
      </c>
      <c r="E34" s="201"/>
      <c r="F34" s="258"/>
      <c r="G34" s="212"/>
      <c r="H34" s="198"/>
      <c r="I34" s="199"/>
      <c r="K34" s="178"/>
      <c r="L34" s="278"/>
      <c r="M34" s="278"/>
      <c r="N34" s="279"/>
      <c r="O34" s="202">
        <f>IF(O33+1&lt;=MIN('Données projet'!$E$9:$E$18),O33+1,"STOP")</f>
        <v>1</v>
      </c>
      <c r="P34" s="192">
        <f t="shared" si="2"/>
        <v>0</v>
      </c>
      <c r="Q34" s="259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7">
        <f>'Données projet'!A48</f>
        <v>150</v>
      </c>
      <c r="B35" s="188">
        <f>'Données projet'!D48</f>
        <v>351</v>
      </c>
      <c r="C35" s="201">
        <f>'Données projet'!E48*150+SUM('Données projet'!F48:G48)*13.8+'Données projet'!H48*10</f>
        <v>122</v>
      </c>
      <c r="D35" s="189">
        <f t="shared" si="1"/>
        <v>42822</v>
      </c>
      <c r="E35" s="201"/>
      <c r="F35" s="258"/>
      <c r="G35" s="212"/>
      <c r="H35" s="198"/>
      <c r="I35" s="199"/>
      <c r="K35" s="178"/>
      <c r="L35" s="278"/>
      <c r="M35" s="278"/>
      <c r="N35" s="279"/>
      <c r="O35" s="202">
        <f>IF(O34+1&lt;=MIN('Données projet'!$E$9:$E$18),O34+1,"STOP")</f>
        <v>2</v>
      </c>
      <c r="P35" s="192">
        <f t="shared" si="2"/>
        <v>0</v>
      </c>
      <c r="Q35" s="259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7">
        <f>'Données projet'!A49</f>
        <v>0</v>
      </c>
      <c r="B36" s="188">
        <f>'Données projet'!D49</f>
        <v>0</v>
      </c>
      <c r="C36" s="201">
        <f>'Données projet'!E49*150+SUM('Données projet'!F49:G49)*13.8+'Données projet'!H49*10</f>
        <v>0</v>
      </c>
      <c r="D36" s="189">
        <f t="shared" si="1"/>
        <v>0</v>
      </c>
      <c r="E36" s="201"/>
      <c r="F36" s="258"/>
      <c r="G36" s="212"/>
      <c r="H36" s="198"/>
      <c r="I36" s="199"/>
      <c r="K36" s="178"/>
      <c r="L36" s="25"/>
      <c r="M36" s="25"/>
      <c r="N36" s="25"/>
      <c r="O36" s="202">
        <f>IF(O35+1&lt;=MIN('Données projet'!$E$9:$E$18),O35+1,"STOP")</f>
        <v>3</v>
      </c>
      <c r="P36" s="192">
        <f t="shared" si="2"/>
        <v>0</v>
      </c>
      <c r="Q36" s="259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7">
        <f>'Données projet'!A50</f>
        <v>0</v>
      </c>
      <c r="B37" s="188">
        <f>'Données projet'!D50</f>
        <v>0</v>
      </c>
      <c r="C37" s="201">
        <f>'Données projet'!E50*150+SUM('Données projet'!F50:G50)*13.8+'Données projet'!H50*10</f>
        <v>0</v>
      </c>
      <c r="D37" s="189">
        <f t="shared" si="1"/>
        <v>0</v>
      </c>
      <c r="E37" s="201"/>
      <c r="F37" s="258"/>
      <c r="G37" s="212"/>
      <c r="H37" s="198"/>
      <c r="I37" s="199"/>
      <c r="K37" s="178"/>
      <c r="L37" s="25"/>
      <c r="M37" s="25"/>
      <c r="N37" s="25"/>
      <c r="O37" s="202">
        <f>IF(O36+1&lt;=MIN('Données projet'!$E$9:$E$18),O36+1,"STOP")</f>
        <v>4</v>
      </c>
      <c r="P37" s="192">
        <f t="shared" si="2"/>
        <v>0</v>
      </c>
      <c r="Q37" s="259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7">
        <f>'Données projet'!A51</f>
        <v>0</v>
      </c>
      <c r="B38" s="188">
        <f>'Données projet'!D51</f>
        <v>0</v>
      </c>
      <c r="C38" s="201">
        <f>'Données projet'!E51*150+SUM('Données projet'!F51:G51)*13.8+'Données projet'!H51*10</f>
        <v>0</v>
      </c>
      <c r="D38" s="189">
        <f t="shared" si="1"/>
        <v>0</v>
      </c>
      <c r="E38" s="201"/>
      <c r="F38" s="258"/>
      <c r="G38" s="212"/>
      <c r="H38" s="198"/>
      <c r="I38" s="199"/>
      <c r="K38" s="178"/>
      <c r="L38" s="25"/>
      <c r="M38" s="25"/>
      <c r="N38" s="25"/>
      <c r="O38" s="202">
        <f>IF(O37+1&lt;=MIN('Données projet'!$E$9:$E$18),O37+1,"STOP")</f>
        <v>5</v>
      </c>
      <c r="P38" s="192">
        <f t="shared" si="2"/>
        <v>0</v>
      </c>
      <c r="Q38" s="259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7">
        <f>'Données projet'!A52</f>
        <v>0</v>
      </c>
      <c r="B39" s="188">
        <f>'Données projet'!D52</f>
        <v>0</v>
      </c>
      <c r="C39" s="201">
        <f>'Données projet'!E52*150+SUM('Données projet'!F52:G52)*13.8+'Données projet'!H52*10</f>
        <v>0</v>
      </c>
      <c r="D39" s="189">
        <f t="shared" si="1"/>
        <v>0</v>
      </c>
      <c r="E39" s="201"/>
      <c r="F39" s="258"/>
      <c r="G39" s="212"/>
      <c r="H39" s="198"/>
      <c r="I39" s="199"/>
      <c r="K39" s="219"/>
      <c r="L39" s="25"/>
      <c r="M39" s="25"/>
      <c r="N39" s="25"/>
      <c r="O39" s="202">
        <f>IF(O38+1&lt;=MIN('Données projet'!$E$9:$E$18),O38+1,"STOP")</f>
        <v>6</v>
      </c>
      <c r="P39" s="192">
        <f t="shared" si="2"/>
        <v>0</v>
      </c>
      <c r="Q39" s="259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7">
        <f>'Données projet'!A53</f>
        <v>0</v>
      </c>
      <c r="B40" s="188">
        <f>'Données projet'!D53</f>
        <v>0</v>
      </c>
      <c r="C40" s="201">
        <f>'Données projet'!E53*150+SUM('Données projet'!F53:G53)*13.8+'Données projet'!H53*10</f>
        <v>0</v>
      </c>
      <c r="D40" s="189">
        <f t="shared" si="1"/>
        <v>0</v>
      </c>
      <c r="E40" s="201"/>
      <c r="F40" s="258"/>
      <c r="G40" s="212"/>
      <c r="H40" s="198"/>
      <c r="I40" s="199"/>
      <c r="K40" s="219"/>
      <c r="L40" s="25"/>
      <c r="M40" s="25"/>
      <c r="N40" s="25"/>
      <c r="O40" s="202">
        <f>IF(O39+1&lt;=MIN('Données projet'!$E$9:$E$18),O39+1,"STOP")</f>
        <v>7</v>
      </c>
      <c r="P40" s="192">
        <f t="shared" si="2"/>
        <v>0</v>
      </c>
      <c r="Q40" s="259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7">
        <f>'Données projet'!A54</f>
        <v>0</v>
      </c>
      <c r="B41" s="188">
        <f>'Données projet'!D54</f>
        <v>0</v>
      </c>
      <c r="C41" s="201">
        <f>'Données projet'!E54*150+SUM('Données projet'!F54:G54)*13.8+'Données projet'!H54*10</f>
        <v>0</v>
      </c>
      <c r="D41" s="189">
        <f t="shared" si="1"/>
        <v>0</v>
      </c>
      <c r="E41" s="201"/>
      <c r="F41" s="258"/>
      <c r="G41" s="212"/>
      <c r="H41" s="198"/>
      <c r="I41" s="199"/>
      <c r="K41" s="219"/>
      <c r="L41" s="25"/>
      <c r="M41" s="25"/>
      <c r="N41" s="25"/>
      <c r="O41" s="202">
        <f>IF(O40+1&lt;=MIN('Données projet'!$E$9:$E$18),O40+1,"STOP")</f>
        <v>8</v>
      </c>
      <c r="P41" s="192">
        <f t="shared" si="2"/>
        <v>0</v>
      </c>
      <c r="Q41" s="259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7">
        <f>'Données projet'!A55</f>
        <v>0</v>
      </c>
      <c r="B42" s="188">
        <f>'Données projet'!D55</f>
        <v>0</v>
      </c>
      <c r="C42" s="201">
        <f>'Données projet'!E55*150+SUM('Données projet'!F55:G55)*13.8+'Données projet'!H55*10</f>
        <v>0</v>
      </c>
      <c r="D42" s="189">
        <f t="shared" si="1"/>
        <v>0</v>
      </c>
      <c r="E42" s="201"/>
      <c r="F42" s="258"/>
      <c r="G42" s="212"/>
      <c r="H42" s="198"/>
      <c r="I42" s="199"/>
      <c r="K42" s="219"/>
      <c r="L42" s="25"/>
      <c r="M42" s="25"/>
      <c r="N42" s="25"/>
      <c r="O42" s="202">
        <f>IF(O41+1&lt;=MIN('Données projet'!$E$9:$E$18),O41+1,"STOP")</f>
        <v>9</v>
      </c>
      <c r="P42" s="192">
        <f t="shared" si="2"/>
        <v>0</v>
      </c>
      <c r="Q42" s="259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4"/>
      <c r="B43" s="194"/>
      <c r="C43" s="194"/>
      <c r="D43" s="250"/>
      <c r="E43" s="250"/>
      <c r="F43" s="263"/>
      <c r="G43" s="212"/>
      <c r="H43" s="198"/>
      <c r="I43" s="199"/>
      <c r="K43" s="219"/>
      <c r="L43" s="25"/>
      <c r="M43" s="25"/>
      <c r="N43" s="25"/>
      <c r="O43" s="202">
        <f>IF(O42+1&lt;=MIN('Données projet'!$E$9:$E$18),O42+1,"STOP")</f>
        <v>10</v>
      </c>
      <c r="P43" s="192">
        <f t="shared" si="2"/>
        <v>0</v>
      </c>
      <c r="Q43" s="260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5"/>
      <c r="G44" s="212"/>
      <c r="H44" s="198"/>
      <c r="I44" s="199"/>
      <c r="K44" s="219"/>
      <c r="L44" s="25"/>
      <c r="M44" s="25"/>
      <c r="N44" s="25"/>
      <c r="O44" s="202">
        <f>IF(O43+1&lt;=MIN('Données projet'!$E$9:$E$18),O43+1,"STOP")</f>
        <v>11</v>
      </c>
      <c r="P44" s="192">
        <f t="shared" si="2"/>
        <v>0</v>
      </c>
      <c r="Q44" s="260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1" t="str">
        <f>IF('Données projet'!$B$10="","",'Données projet'!$B$10)</f>
        <v>Erable sycomore</v>
      </c>
      <c r="C45" s="5"/>
      <c r="D45" s="5"/>
      <c r="E45" s="5"/>
      <c r="F45" s="255"/>
      <c r="G45" s="212"/>
      <c r="H45" s="198"/>
      <c r="I45" s="199"/>
      <c r="J45" s="25"/>
      <c r="K45" s="219"/>
      <c r="L45" s="25"/>
      <c r="M45" s="25"/>
      <c r="N45" s="25"/>
      <c r="O45" s="202">
        <f>IF(O44+1&lt;=MIN('Données projet'!$E$9:$E$18),O44+1,"STOP")</f>
        <v>12</v>
      </c>
      <c r="P45" s="192">
        <f t="shared" si="2"/>
        <v>0</v>
      </c>
      <c r="Q45" s="260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5"/>
      <c r="G46" s="212"/>
      <c r="H46" s="198"/>
      <c r="I46" s="199"/>
      <c r="J46" s="25"/>
      <c r="K46" s="219"/>
      <c r="L46" s="214"/>
      <c r="M46" s="214"/>
      <c r="N46" s="214"/>
      <c r="O46" s="202">
        <f>IF(O45+1&lt;=MIN('Données projet'!$E$9:$E$18),O45+1,"STOP")</f>
        <v>13</v>
      </c>
      <c r="P46" s="195">
        <f t="shared" si="2"/>
        <v>0</v>
      </c>
      <c r="Q46" s="260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1" t="s">
        <v>180</v>
      </c>
      <c r="B47" s="51" t="s">
        <v>256</v>
      </c>
      <c r="C47" s="51" t="s">
        <v>255</v>
      </c>
      <c r="D47" s="251" t="s">
        <v>252</v>
      </c>
      <c r="E47" s="251" t="s">
        <v>287</v>
      </c>
      <c r="F47" s="256"/>
      <c r="G47" s="212"/>
      <c r="H47" s="198"/>
      <c r="I47" s="199"/>
      <c r="J47" s="25"/>
      <c r="K47" s="219"/>
      <c r="L47" s="5"/>
      <c r="M47" s="5"/>
      <c r="N47" s="5"/>
      <c r="O47" s="202">
        <f>IF(O46+1&lt;=MIN('Données projet'!$E$9:$E$18),O46+1,"STOP")</f>
        <v>14</v>
      </c>
      <c r="P47" s="192">
        <f t="shared" si="2"/>
        <v>0</v>
      </c>
      <c r="Q47" s="260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4">
        <v>0</v>
      </c>
      <c r="B48" s="207" t="s">
        <v>132</v>
      </c>
      <c r="C48" s="206" t="s">
        <v>132</v>
      </c>
      <c r="D48" s="205" t="s">
        <v>132</v>
      </c>
      <c r="E48" s="201">
        <v>1287</v>
      </c>
      <c r="F48" s="256"/>
      <c r="G48" s="212"/>
      <c r="H48" s="198"/>
      <c r="I48" s="199"/>
      <c r="J48" s="25"/>
      <c r="K48" s="219"/>
      <c r="L48" s="5"/>
      <c r="M48" s="5"/>
      <c r="N48" s="5"/>
      <c r="O48" s="202">
        <f>IF(O47+1&lt;=MIN('Données projet'!$E$9:$E$18),O47+1,"STOP")</f>
        <v>15</v>
      </c>
      <c r="P48" s="192">
        <f t="shared" si="2"/>
        <v>0</v>
      </c>
      <c r="Q48" s="260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3" customFormat="1" ht="17.25" customHeight="1" x14ac:dyDescent="0.3">
      <c r="A49" s="204">
        <v>1</v>
      </c>
      <c r="B49" s="207" t="s">
        <v>132</v>
      </c>
      <c r="C49" s="206" t="s">
        <v>132</v>
      </c>
      <c r="D49" s="205" t="s">
        <v>132</v>
      </c>
      <c r="E49" s="201"/>
      <c r="F49" s="256"/>
      <c r="G49" s="213"/>
      <c r="H49" s="198"/>
      <c r="I49" s="199"/>
      <c r="J49" s="214"/>
      <c r="K49" s="221"/>
      <c r="L49" s="5"/>
      <c r="M49" s="5"/>
      <c r="N49" s="5"/>
      <c r="O49" s="202">
        <f>IF(O48+1&lt;=MIN('Données projet'!$E$9:$E$18),O48+1,"STOP")</f>
        <v>16</v>
      </c>
      <c r="P49" s="192">
        <f t="shared" si="2"/>
        <v>0</v>
      </c>
      <c r="Q49" s="261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</row>
    <row r="50" spans="1:56" x14ac:dyDescent="0.3">
      <c r="A50" s="204">
        <v>2</v>
      </c>
      <c r="B50" s="207" t="s">
        <v>132</v>
      </c>
      <c r="C50" s="206" t="s">
        <v>132</v>
      </c>
      <c r="D50" s="205" t="s">
        <v>132</v>
      </c>
      <c r="E50" s="201"/>
      <c r="F50" s="256"/>
      <c r="G50" s="215"/>
      <c r="H50" s="198"/>
      <c r="I50" s="199"/>
      <c r="J50" s="25"/>
      <c r="K50" s="178"/>
      <c r="L50" s="5"/>
      <c r="M50" s="5"/>
      <c r="N50" s="5"/>
      <c r="O50" s="202">
        <f>IF(O49+1&lt;=MIN('Données projet'!$E$9:$E$18),O49+1,"STOP")</f>
        <v>17</v>
      </c>
      <c r="P50" s="192">
        <f t="shared" si="2"/>
        <v>0</v>
      </c>
      <c r="Q50" s="260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4">
        <v>3</v>
      </c>
      <c r="B51" s="207" t="s">
        <v>132</v>
      </c>
      <c r="C51" s="206" t="s">
        <v>132</v>
      </c>
      <c r="D51" s="205" t="s">
        <v>132</v>
      </c>
      <c r="E51" s="201"/>
      <c r="F51" s="256"/>
      <c r="G51" s="215"/>
      <c r="H51" s="198"/>
      <c r="I51" s="199"/>
      <c r="J51" s="25"/>
      <c r="K51" s="178"/>
      <c r="L51" s="5"/>
      <c r="M51" s="5"/>
      <c r="N51" s="5"/>
      <c r="O51" s="202">
        <f>IF(O50+1&lt;=MIN('Données projet'!$E$9:$E$18),O50+1,"STOP")</f>
        <v>18</v>
      </c>
      <c r="P51" s="192">
        <f t="shared" si="2"/>
        <v>0</v>
      </c>
      <c r="Q51" s="260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4">
        <v>4</v>
      </c>
      <c r="B52" s="207" t="s">
        <v>132</v>
      </c>
      <c r="C52" s="206" t="s">
        <v>132</v>
      </c>
      <c r="D52" s="205" t="s">
        <v>132</v>
      </c>
      <c r="E52" s="201"/>
      <c r="F52" s="256"/>
      <c r="G52" s="215"/>
      <c r="H52" s="198"/>
      <c r="I52" s="199"/>
      <c r="J52" s="25"/>
      <c r="K52" s="178"/>
      <c r="L52" s="5"/>
      <c r="M52" s="5"/>
      <c r="N52" s="5"/>
      <c r="O52" s="202">
        <f>IF(O51+1&lt;=MIN('Données projet'!$E$9:$E$18),O51+1,"STOP")</f>
        <v>19</v>
      </c>
      <c r="P52" s="192">
        <f t="shared" si="2"/>
        <v>0</v>
      </c>
      <c r="Q52" s="260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4">
        <v>5</v>
      </c>
      <c r="B53" s="207" t="s">
        <v>132</v>
      </c>
      <c r="C53" s="206" t="s">
        <v>132</v>
      </c>
      <c r="D53" s="205" t="s">
        <v>132</v>
      </c>
      <c r="E53" s="201"/>
      <c r="F53" s="256"/>
      <c r="G53" s="216"/>
      <c r="H53" s="198"/>
      <c r="I53" s="199"/>
      <c r="J53" s="25"/>
      <c r="K53" s="178"/>
      <c r="L53" s="5"/>
      <c r="M53" s="5"/>
      <c r="N53" s="5"/>
      <c r="O53" s="202">
        <f>IF(O52+1&lt;=MIN('Données projet'!$E$9:$E$18),O52+1,"STOP")</f>
        <v>20</v>
      </c>
      <c r="P53" s="192">
        <f t="shared" si="2"/>
        <v>0</v>
      </c>
      <c r="Q53" s="260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7">
        <f>'Données projet'!A62</f>
        <v>15</v>
      </c>
      <c r="B54" s="188">
        <f>'Données projet'!D62</f>
        <v>0</v>
      </c>
      <c r="C54" s="199">
        <f>'Données projet'!E62*60+SUM('Données projet'!F62:G62)*13.8+'Données projet'!H62*10</f>
        <v>10</v>
      </c>
      <c r="D54" s="186">
        <f>B54*C54</f>
        <v>0</v>
      </c>
      <c r="E54" s="201"/>
      <c r="F54" s="257"/>
      <c r="G54" s="216"/>
      <c r="H54" s="198"/>
      <c r="I54" s="199"/>
      <c r="J54" s="25"/>
      <c r="K54" s="178"/>
      <c r="L54" s="5"/>
      <c r="M54" s="5"/>
      <c r="N54" s="5"/>
      <c r="O54" s="202">
        <f>IF(O53+1&lt;=MIN('Données projet'!$E$9:$E$18),O53+1,"STOP")</f>
        <v>21</v>
      </c>
      <c r="P54" s="192">
        <f t="shared" si="2"/>
        <v>0</v>
      </c>
      <c r="Q54" s="260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7">
        <f>'Données projet'!A63</f>
        <v>20</v>
      </c>
      <c r="B55" s="188">
        <f>'Données projet'!D63</f>
        <v>15.7</v>
      </c>
      <c r="C55" s="199">
        <f>'Données projet'!E63*60+SUM('Données projet'!F63:G63)*13.8+'Données projet'!H63*10</f>
        <v>10</v>
      </c>
      <c r="D55" s="186">
        <f t="shared" ref="D55:D73" si="3">B55*C55</f>
        <v>157</v>
      </c>
      <c r="E55" s="201"/>
      <c r="F55" s="257"/>
      <c r="G55" s="216"/>
      <c r="H55" s="198"/>
      <c r="I55" s="199"/>
      <c r="J55" s="25"/>
      <c r="K55" s="178"/>
      <c r="L55" s="5"/>
      <c r="M55" s="5"/>
      <c r="N55" s="5"/>
      <c r="O55" s="202">
        <f>IF(O54+1&lt;=MIN('Données projet'!$E$9:$E$18),O54+1,"STOP")</f>
        <v>22</v>
      </c>
      <c r="P55" s="192">
        <f t="shared" si="2"/>
        <v>0</v>
      </c>
      <c r="Q55" s="260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7">
        <f>'Données projet'!A64</f>
        <v>25</v>
      </c>
      <c r="B56" s="188">
        <f>'Données projet'!D64</f>
        <v>21.6</v>
      </c>
      <c r="C56" s="199">
        <f>'Données projet'!E64*60+SUM('Données projet'!F64:G64)*13.8+'Données projet'!H64*10</f>
        <v>10</v>
      </c>
      <c r="D56" s="186">
        <f t="shared" si="3"/>
        <v>216</v>
      </c>
      <c r="E56" s="201"/>
      <c r="F56" s="257"/>
      <c r="G56" s="216"/>
      <c r="H56" s="198"/>
      <c r="I56" s="199"/>
      <c r="J56" s="25"/>
      <c r="K56" s="178"/>
      <c r="L56" s="5"/>
      <c r="M56" s="5"/>
      <c r="N56" s="5"/>
      <c r="O56" s="202">
        <f>IF(O55+1&lt;=MIN('Données projet'!$E$9:$E$18),O55+1,"STOP")</f>
        <v>23</v>
      </c>
      <c r="P56" s="192">
        <f t="shared" si="2"/>
        <v>0</v>
      </c>
      <c r="Q56" s="260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7">
        <f>'Données projet'!A65</f>
        <v>30</v>
      </c>
      <c r="B57" s="188">
        <f>'Données projet'!D65</f>
        <v>23.2</v>
      </c>
      <c r="C57" s="199">
        <f>'Données projet'!E65*60+SUM('Données projet'!F65:G65)*13.8+'Données projet'!H65*10</f>
        <v>10</v>
      </c>
      <c r="D57" s="186">
        <f t="shared" si="3"/>
        <v>232</v>
      </c>
      <c r="E57" s="201"/>
      <c r="F57" s="257"/>
      <c r="G57" s="216"/>
      <c r="H57" s="198"/>
      <c r="I57" s="199"/>
      <c r="J57" s="25"/>
      <c r="K57" s="178"/>
      <c r="L57" s="5"/>
      <c r="M57" s="5"/>
      <c r="N57" s="5"/>
      <c r="O57" s="202">
        <f>IF(O56+1&lt;=MIN('Données projet'!$E$9:$E$18),O56+1,"STOP")</f>
        <v>24</v>
      </c>
      <c r="P57" s="192">
        <f t="shared" si="2"/>
        <v>0</v>
      </c>
      <c r="Q57" s="260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7">
        <f>'Données projet'!A66</f>
        <v>35</v>
      </c>
      <c r="B58" s="188">
        <f>'Données projet'!D66</f>
        <v>22.9</v>
      </c>
      <c r="C58" s="199">
        <f>'Données projet'!E66*60+SUM('Données projet'!F66:G66)*13.8+'Données projet'!H66*10</f>
        <v>20</v>
      </c>
      <c r="D58" s="186">
        <f t="shared" si="3"/>
        <v>458</v>
      </c>
      <c r="E58" s="201"/>
      <c r="F58" s="257"/>
      <c r="G58" s="216"/>
      <c r="H58" s="198"/>
      <c r="I58" s="199"/>
      <c r="J58" s="25"/>
      <c r="K58" s="178"/>
      <c r="L58" s="5"/>
      <c r="M58" s="5"/>
      <c r="N58" s="5"/>
      <c r="O58" s="202">
        <f>IF(O57+1&lt;=MIN('Données projet'!$E$9:$E$18),O57+1,"STOP")</f>
        <v>25</v>
      </c>
      <c r="P58" s="192">
        <f t="shared" si="2"/>
        <v>0</v>
      </c>
      <c r="Q58" s="260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7">
        <f>'Données projet'!A67</f>
        <v>40</v>
      </c>
      <c r="B59" s="188">
        <f>'Données projet'!D67</f>
        <v>21.8</v>
      </c>
      <c r="C59" s="199">
        <f>'Données projet'!E67*60+SUM('Données projet'!F67:G67)*13.8+'Données projet'!H67*10</f>
        <v>20</v>
      </c>
      <c r="D59" s="186">
        <f t="shared" si="3"/>
        <v>436</v>
      </c>
      <c r="E59" s="201"/>
      <c r="F59" s="257"/>
      <c r="G59" s="216"/>
      <c r="H59" s="198"/>
      <c r="I59" s="199"/>
      <c r="J59" s="25"/>
      <c r="K59" s="178"/>
      <c r="L59" s="5"/>
      <c r="M59" s="5"/>
      <c r="N59" s="5"/>
      <c r="O59" s="202">
        <f>IF(O58+1&lt;=MIN('Données projet'!$E$9:$E$18),O58+1,"STOP")</f>
        <v>26</v>
      </c>
      <c r="P59" s="192">
        <f t="shared" si="2"/>
        <v>0</v>
      </c>
      <c r="Q59" s="260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7">
        <f>'Données projet'!A68</f>
        <v>45</v>
      </c>
      <c r="B60" s="188">
        <f>'Données projet'!D68</f>
        <v>20.3</v>
      </c>
      <c r="C60" s="199">
        <f>'Données projet'!E68*60+SUM('Données projet'!F68:G68)*13.8+'Données projet'!H68*10</f>
        <v>25</v>
      </c>
      <c r="D60" s="186">
        <f t="shared" si="3"/>
        <v>507.5</v>
      </c>
      <c r="E60" s="201"/>
      <c r="F60" s="257"/>
      <c r="G60" s="217"/>
      <c r="H60" s="198"/>
      <c r="I60" s="199"/>
      <c r="J60" s="25"/>
      <c r="K60" s="178"/>
      <c r="L60" s="5"/>
      <c r="M60" s="5"/>
      <c r="N60" s="5"/>
      <c r="O60" s="202">
        <f>IF(O59+1&lt;=MIN('Données projet'!$E$9:$E$18),O59+1,"STOP")</f>
        <v>27</v>
      </c>
      <c r="P60" s="192">
        <f t="shared" si="2"/>
        <v>0</v>
      </c>
      <c r="Q60" s="260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7">
        <f>'Données projet'!A69</f>
        <v>50</v>
      </c>
      <c r="B61" s="188">
        <f>'Données projet'!D69</f>
        <v>18.7</v>
      </c>
      <c r="C61" s="199">
        <f>'Données projet'!E69*60+SUM('Données projet'!F69:G69)*13.8+'Données projet'!H69*10</f>
        <v>25</v>
      </c>
      <c r="D61" s="186">
        <f t="shared" si="3"/>
        <v>467.5</v>
      </c>
      <c r="E61" s="201"/>
      <c r="F61" s="257"/>
      <c r="G61" s="217"/>
      <c r="H61" s="198"/>
      <c r="I61" s="199"/>
      <c r="J61" s="25"/>
      <c r="K61" s="178"/>
      <c r="L61" s="5"/>
      <c r="M61" s="5"/>
      <c r="N61" s="5"/>
      <c r="O61" s="202">
        <f>IF(O60+1&lt;=MIN('Données projet'!$E$9:$E$18),O60+1,"STOP")</f>
        <v>28</v>
      </c>
      <c r="P61" s="192">
        <f t="shared" si="2"/>
        <v>0</v>
      </c>
      <c r="Q61" s="260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7">
        <f>'Données projet'!A70</f>
        <v>55</v>
      </c>
      <c r="B62" s="188">
        <f>'Données projet'!D70</f>
        <v>17.100000000000001</v>
      </c>
      <c r="C62" s="199">
        <f>'Données projet'!E70*60+SUM('Données projet'!F70:G70)*13.8+'Données projet'!H70*10</f>
        <v>30</v>
      </c>
      <c r="D62" s="186">
        <f t="shared" si="3"/>
        <v>513</v>
      </c>
      <c r="E62" s="201"/>
      <c r="F62" s="257"/>
      <c r="G62" s="217"/>
      <c r="H62" s="198"/>
      <c r="I62" s="199"/>
      <c r="J62" s="25"/>
      <c r="K62" s="178"/>
      <c r="L62" s="5"/>
      <c r="M62" s="5"/>
      <c r="N62" s="5"/>
      <c r="O62" s="202">
        <f>IF(O61+1&lt;=MIN('Données projet'!$E$9:$E$18),O61+1,"STOP")</f>
        <v>29</v>
      </c>
      <c r="P62" s="192">
        <f t="shared" si="2"/>
        <v>0</v>
      </c>
      <c r="Q62" s="260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7">
        <f>'Données projet'!A71</f>
        <v>60</v>
      </c>
      <c r="B63" s="188">
        <f>'Données projet'!D71</f>
        <v>15.6</v>
      </c>
      <c r="C63" s="199">
        <f>'Données projet'!E71*60+SUM('Données projet'!F71:G71)*13.8+'Données projet'!H71*10</f>
        <v>30</v>
      </c>
      <c r="D63" s="186">
        <f t="shared" si="3"/>
        <v>468</v>
      </c>
      <c r="E63" s="201"/>
      <c r="F63" s="257"/>
      <c r="G63" s="217"/>
      <c r="H63" s="198"/>
      <c r="I63" s="199"/>
      <c r="J63" s="25"/>
      <c r="K63" s="178"/>
      <c r="L63" s="5"/>
      <c r="M63" s="5"/>
      <c r="N63" s="5"/>
      <c r="O63" s="202">
        <f>IF(O62+1&lt;=MIN('Données projet'!$E$9:$E$18),O62+1,"STOP")</f>
        <v>30</v>
      </c>
      <c r="P63" s="192">
        <f t="shared" si="2"/>
        <v>0</v>
      </c>
      <c r="Q63" s="260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7">
        <f>'Données projet'!A72</f>
        <v>65</v>
      </c>
      <c r="B64" s="188">
        <f>'Données projet'!D72</f>
        <v>14.2</v>
      </c>
      <c r="C64" s="199">
        <f>'Données projet'!E72*60+SUM('Données projet'!F72:G72)*13.8+'Données projet'!H72*10</f>
        <v>35</v>
      </c>
      <c r="D64" s="186">
        <f t="shared" si="3"/>
        <v>497</v>
      </c>
      <c r="E64" s="201"/>
      <c r="F64" s="257"/>
      <c r="G64" s="217"/>
      <c r="H64" s="198"/>
      <c r="I64" s="199"/>
      <c r="J64" s="218"/>
      <c r="K64" s="178"/>
      <c r="L64" s="5"/>
      <c r="M64" s="5"/>
      <c r="N64" s="5"/>
      <c r="O64" s="202">
        <f>IF(O63+1&lt;=MIN('Données projet'!$E$9:$E$18),O63+1,"STOP")</f>
        <v>31</v>
      </c>
      <c r="P64" s="192">
        <f t="shared" si="2"/>
        <v>0</v>
      </c>
      <c r="Q64" s="260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7">
        <f>'Données projet'!A73</f>
        <v>70</v>
      </c>
      <c r="B65" s="188">
        <f>'Données projet'!D73</f>
        <v>12.9</v>
      </c>
      <c r="C65" s="199">
        <f>'Données projet'!E73*60+SUM('Données projet'!F73:G73)*13.8+'Données projet'!H73*10</f>
        <v>35</v>
      </c>
      <c r="D65" s="186">
        <f t="shared" si="3"/>
        <v>451.5</v>
      </c>
      <c r="E65" s="201"/>
      <c r="F65" s="257"/>
      <c r="G65" s="217"/>
      <c r="H65" s="198"/>
      <c r="I65" s="199"/>
      <c r="J65" s="196"/>
      <c r="K65" s="178"/>
      <c r="L65" s="5"/>
      <c r="M65" s="5"/>
      <c r="N65" s="5"/>
      <c r="O65" s="202">
        <f>IF(O64+1&lt;=MIN('Données projet'!$E$9:$E$18),O64+1,"STOP")</f>
        <v>32</v>
      </c>
      <c r="P65" s="192">
        <f t="shared" ref="P65:P96" si="4">$P$25/(1+$M$4)^O65</f>
        <v>0</v>
      </c>
      <c r="Q65" s="260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7">
        <f>'Données projet'!A74</f>
        <v>75</v>
      </c>
      <c r="B66" s="188">
        <f>'Données projet'!D74</f>
        <v>11.7</v>
      </c>
      <c r="C66" s="199">
        <f>'Données projet'!E74*60+SUM('Données projet'!F74:G74)*13.8+'Données projet'!H74*10</f>
        <v>40</v>
      </c>
      <c r="D66" s="186">
        <f t="shared" si="3"/>
        <v>468</v>
      </c>
      <c r="E66" s="201"/>
      <c r="F66" s="257"/>
      <c r="G66" s="217"/>
      <c r="H66" s="198"/>
      <c r="I66" s="199"/>
      <c r="J66" s="196"/>
      <c r="K66" s="178"/>
      <c r="L66" s="5"/>
      <c r="M66" s="5"/>
      <c r="N66" s="5"/>
      <c r="O66" s="202">
        <f>IF(O65+1&lt;=MIN('Données projet'!$E$9:$E$18),O65+1,"STOP")</f>
        <v>33</v>
      </c>
      <c r="P66" s="192">
        <f t="shared" si="4"/>
        <v>0</v>
      </c>
      <c r="Q66" s="260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7">
        <f>'Données projet'!A75</f>
        <v>80</v>
      </c>
      <c r="B67" s="188">
        <f>'Données projet'!D75</f>
        <v>10.6</v>
      </c>
      <c r="C67" s="199">
        <f>'Données projet'!E75*60+SUM('Données projet'!F75:G75)*13.8+'Données projet'!H75*10</f>
        <v>40</v>
      </c>
      <c r="D67" s="186">
        <f t="shared" si="3"/>
        <v>424</v>
      </c>
      <c r="E67" s="201"/>
      <c r="F67" s="257"/>
      <c r="G67" s="217"/>
      <c r="H67" s="198"/>
      <c r="I67" s="199"/>
      <c r="J67" s="196"/>
      <c r="K67" s="178"/>
      <c r="L67" s="5"/>
      <c r="M67" s="5"/>
      <c r="N67" s="5"/>
      <c r="O67" s="202">
        <f>IF(O66+1&lt;=MIN('Données projet'!$E$9:$E$18),O66+1,"STOP")</f>
        <v>34</v>
      </c>
      <c r="P67" s="192">
        <f t="shared" si="4"/>
        <v>0</v>
      </c>
      <c r="Q67" s="260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7">
        <f>'Données projet'!A76</f>
        <v>85</v>
      </c>
      <c r="B68" s="188">
        <f>'Données projet'!D76</f>
        <v>9.6</v>
      </c>
      <c r="C68" s="199">
        <f>'Données projet'!E76*60+SUM('Données projet'!F76:G76)*13.8+'Données projet'!H76*10</f>
        <v>45</v>
      </c>
      <c r="D68" s="186">
        <f t="shared" si="3"/>
        <v>432</v>
      </c>
      <c r="E68" s="201"/>
      <c r="F68" s="257"/>
      <c r="G68" s="217"/>
      <c r="H68" s="198"/>
      <c r="I68" s="199"/>
      <c r="J68" s="196"/>
      <c r="K68" s="178"/>
      <c r="L68" s="5"/>
      <c r="M68" s="5"/>
      <c r="N68" s="5"/>
      <c r="O68" s="202">
        <f>IF(O67+1&lt;=MIN('Données projet'!$E$9:$E$18),O67+1,"STOP")</f>
        <v>35</v>
      </c>
      <c r="P68" s="192">
        <f t="shared" si="4"/>
        <v>0</v>
      </c>
      <c r="Q68" s="260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7">
        <f>'Données projet'!A77</f>
        <v>90</v>
      </c>
      <c r="B69" s="188">
        <f>'Données projet'!D77</f>
        <v>8.6999999999999993</v>
      </c>
      <c r="C69" s="199">
        <f>'Données projet'!E77*60+SUM('Données projet'!F77:G77)*13.8+'Données projet'!H77*10</f>
        <v>45</v>
      </c>
      <c r="D69" s="186">
        <f t="shared" si="3"/>
        <v>391.49999999999994</v>
      </c>
      <c r="E69" s="201"/>
      <c r="F69" s="257"/>
      <c r="G69" s="217"/>
      <c r="H69" s="198"/>
      <c r="I69" s="199"/>
      <c r="J69" s="196"/>
      <c r="K69" s="178"/>
      <c r="L69" s="5"/>
      <c r="M69" s="5"/>
      <c r="N69" s="5"/>
      <c r="O69" s="202">
        <f>IF(O68+1&lt;=MIN('Données projet'!$E$9:$E$18),O68+1,"STOP")</f>
        <v>36</v>
      </c>
      <c r="P69" s="192">
        <f t="shared" si="4"/>
        <v>0</v>
      </c>
      <c r="Q69" s="260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7">
        <f>'Données projet'!A78</f>
        <v>95</v>
      </c>
      <c r="B70" s="188">
        <f>'Données projet'!D78</f>
        <v>7.8</v>
      </c>
      <c r="C70" s="199">
        <f>'Données projet'!E78*60+SUM('Données projet'!F78:G78)*13.8+'Données projet'!H78*10</f>
        <v>50</v>
      </c>
      <c r="D70" s="186">
        <f t="shared" si="3"/>
        <v>390</v>
      </c>
      <c r="E70" s="201"/>
      <c r="F70" s="257"/>
      <c r="G70" s="217"/>
      <c r="H70" s="198"/>
      <c r="I70" s="199"/>
      <c r="J70" s="196"/>
      <c r="K70" s="178"/>
      <c r="L70" s="5"/>
      <c r="M70" s="5"/>
      <c r="N70" s="5"/>
      <c r="O70" s="202">
        <f>IF(O69+1&lt;=MIN('Données projet'!$E$9:$E$18),O69+1,"STOP")</f>
        <v>37</v>
      </c>
      <c r="P70" s="192">
        <f t="shared" si="4"/>
        <v>0</v>
      </c>
      <c r="Q70" s="260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7">
        <f>'Données projet'!A79</f>
        <v>100</v>
      </c>
      <c r="B71" s="188">
        <f>'Données projet'!D79</f>
        <v>593</v>
      </c>
      <c r="C71" s="199">
        <f>'Données projet'!E79*60+SUM('Données projet'!F79:G79)*13.8+'Données projet'!H79*10</f>
        <v>50</v>
      </c>
      <c r="D71" s="186">
        <f t="shared" si="3"/>
        <v>29650</v>
      </c>
      <c r="E71" s="201"/>
      <c r="F71" s="257"/>
      <c r="G71" s="217"/>
      <c r="H71" s="198"/>
      <c r="I71" s="199"/>
      <c r="J71" s="196"/>
      <c r="K71" s="178"/>
      <c r="L71" s="5"/>
      <c r="M71" s="5"/>
      <c r="N71" s="5"/>
      <c r="O71" s="202">
        <f>IF(O70+1&lt;=MIN('Données projet'!$E$9:$E$18),O70+1,"STOP")</f>
        <v>38</v>
      </c>
      <c r="P71" s="192">
        <f t="shared" si="4"/>
        <v>0</v>
      </c>
      <c r="Q71" s="260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7">
        <f>'Données projet'!A80</f>
        <v>0</v>
      </c>
      <c r="B72" s="188">
        <f>'Données projet'!D80</f>
        <v>0</v>
      </c>
      <c r="C72" s="199">
        <f>'Données projet'!E80*60+SUM('Données projet'!F80:G80)*13.8+'Données projet'!H80*10</f>
        <v>0</v>
      </c>
      <c r="D72" s="186">
        <f t="shared" si="3"/>
        <v>0</v>
      </c>
      <c r="E72" s="201"/>
      <c r="F72" s="257"/>
      <c r="G72" s="217"/>
      <c r="H72" s="198"/>
      <c r="I72" s="199"/>
      <c r="J72" s="5"/>
      <c r="K72" s="178"/>
      <c r="L72" s="5"/>
      <c r="M72" s="5"/>
      <c r="N72" s="5"/>
      <c r="O72" s="202">
        <f>IF(O71+1&lt;=MIN('Données projet'!$E$9:$E$18),O71+1,"STOP")</f>
        <v>39</v>
      </c>
      <c r="P72" s="192">
        <f t="shared" si="4"/>
        <v>0</v>
      </c>
      <c r="Q72" s="260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7">
        <f>'Données projet'!A81</f>
        <v>0</v>
      </c>
      <c r="B73" s="188">
        <f>'Données projet'!D81</f>
        <v>0</v>
      </c>
      <c r="C73" s="199">
        <f>'Données projet'!E81*60+SUM('Données projet'!F81:G81)*13.8+'Données projet'!H81*10</f>
        <v>0</v>
      </c>
      <c r="D73" s="186">
        <f t="shared" si="3"/>
        <v>0</v>
      </c>
      <c r="E73" s="201"/>
      <c r="F73" s="257"/>
      <c r="G73" s="217"/>
      <c r="H73" s="198"/>
      <c r="I73" s="199"/>
      <c r="J73" s="5"/>
      <c r="K73" s="178"/>
      <c r="L73" s="5"/>
      <c r="M73" s="5"/>
      <c r="N73" s="5"/>
      <c r="O73" s="202">
        <f>IF(O72+1&lt;=MIN('Données projet'!$E$9:$E$18),O72+1,"STOP")</f>
        <v>40</v>
      </c>
      <c r="P73" s="192">
        <f t="shared" si="4"/>
        <v>0</v>
      </c>
      <c r="Q73" s="260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5"/>
      <c r="G74" s="217"/>
      <c r="H74" s="198"/>
      <c r="I74" s="199"/>
      <c r="J74" s="5"/>
      <c r="K74" s="178"/>
      <c r="L74" s="5"/>
      <c r="M74" s="5"/>
      <c r="N74" s="5"/>
      <c r="O74" s="202">
        <f>IF(O73+1&lt;=MIN('Données projet'!$E$9:$E$18),O73+1,"STOP")</f>
        <v>41</v>
      </c>
      <c r="P74" s="192">
        <f t="shared" si="4"/>
        <v>0</v>
      </c>
      <c r="Q74" s="260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5"/>
      <c r="G75" s="217"/>
      <c r="H75" s="198"/>
      <c r="I75" s="199"/>
      <c r="J75" s="5"/>
      <c r="K75" s="178"/>
      <c r="L75" s="5"/>
      <c r="M75" s="5"/>
      <c r="N75" s="5"/>
      <c r="O75" s="202">
        <f>IF(O74+1&lt;=MIN('Données projet'!$E$9:$E$18),O74+1,"STOP")</f>
        <v>42</v>
      </c>
      <c r="P75" s="192">
        <f t="shared" si="4"/>
        <v>0</v>
      </c>
      <c r="Q75" s="260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1" t="str">
        <f>IF('Données projet'!B11="","",'Données projet'!B11)</f>
        <v>Erable plane</v>
      </c>
      <c r="C76" s="5"/>
      <c r="D76" s="5"/>
      <c r="E76" s="5"/>
      <c r="F76" s="255"/>
      <c r="G76" s="217"/>
      <c r="H76" s="198"/>
      <c r="I76" s="199"/>
      <c r="J76" s="5"/>
      <c r="K76" s="178"/>
      <c r="L76" s="5"/>
      <c r="M76" s="5"/>
      <c r="N76" s="5"/>
      <c r="O76" s="202">
        <f>IF(O75+1&lt;=MIN('Données projet'!$E$9:$E$18),O75+1,"STOP")</f>
        <v>43</v>
      </c>
      <c r="P76" s="192">
        <f t="shared" si="4"/>
        <v>0</v>
      </c>
      <c r="Q76" s="260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5"/>
      <c r="G77" s="217"/>
      <c r="H77" s="198"/>
      <c r="I77" s="199"/>
      <c r="J77" s="5"/>
      <c r="K77" s="178"/>
      <c r="L77" s="5"/>
      <c r="M77" s="5"/>
      <c r="N77" s="5"/>
      <c r="O77" s="202">
        <f>IF(O76+1&lt;=MIN('Données projet'!$E$9:$E$18),O76+1,"STOP")</f>
        <v>44</v>
      </c>
      <c r="P77" s="192">
        <f t="shared" si="4"/>
        <v>0</v>
      </c>
      <c r="Q77" s="260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1" t="s">
        <v>180</v>
      </c>
      <c r="B78" s="51" t="s">
        <v>256</v>
      </c>
      <c r="C78" s="51" t="s">
        <v>255</v>
      </c>
      <c r="D78" s="251" t="s">
        <v>252</v>
      </c>
      <c r="E78" s="251" t="s">
        <v>287</v>
      </c>
      <c r="F78" s="256"/>
      <c r="G78" s="217"/>
      <c r="H78" s="198"/>
      <c r="I78" s="199"/>
      <c r="J78" s="5"/>
      <c r="K78" s="178"/>
      <c r="L78" s="5"/>
      <c r="M78" s="5"/>
      <c r="N78" s="5"/>
      <c r="O78" s="202">
        <f>IF(O77+1&lt;=MIN('Données projet'!$E$9:$E$18),O77+1,"STOP")</f>
        <v>45</v>
      </c>
      <c r="P78" s="192">
        <f t="shared" si="4"/>
        <v>0</v>
      </c>
      <c r="Q78" s="260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4">
        <v>0</v>
      </c>
      <c r="B79" s="207" t="s">
        <v>132</v>
      </c>
      <c r="C79" s="206" t="s">
        <v>132</v>
      </c>
      <c r="D79" s="205" t="s">
        <v>132</v>
      </c>
      <c r="E79" s="201">
        <v>1521</v>
      </c>
      <c r="F79" s="256"/>
      <c r="G79" s="217"/>
      <c r="H79" s="198"/>
      <c r="I79" s="199"/>
      <c r="J79" s="5"/>
      <c r="K79" s="178"/>
      <c r="L79" s="5"/>
      <c r="M79" s="5"/>
      <c r="N79" s="5"/>
      <c r="O79" s="202">
        <f>IF(O78+1&lt;=MIN('Données projet'!$E$9:$E$18),O78+1,"STOP")</f>
        <v>46</v>
      </c>
      <c r="P79" s="192">
        <f t="shared" si="4"/>
        <v>0</v>
      </c>
      <c r="Q79" s="260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4">
        <v>1</v>
      </c>
      <c r="B80" s="207" t="s">
        <v>132</v>
      </c>
      <c r="C80" s="206" t="s">
        <v>132</v>
      </c>
      <c r="D80" s="205" t="s">
        <v>132</v>
      </c>
      <c r="E80" s="201"/>
      <c r="F80" s="256"/>
      <c r="G80" s="215"/>
      <c r="H80" s="198"/>
      <c r="I80" s="199"/>
      <c r="J80" s="5"/>
      <c r="K80" s="178"/>
      <c r="L80" s="5"/>
      <c r="M80" s="5"/>
      <c r="N80" s="5"/>
      <c r="O80" s="202">
        <f>IF(O79+1&lt;=MIN('Données projet'!$E$9:$E$18),O79+1,"STOP")</f>
        <v>47</v>
      </c>
      <c r="P80" s="192">
        <f t="shared" si="4"/>
        <v>0</v>
      </c>
      <c r="Q80" s="260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4">
        <v>2</v>
      </c>
      <c r="B81" s="207" t="s">
        <v>132</v>
      </c>
      <c r="C81" s="206" t="s">
        <v>132</v>
      </c>
      <c r="D81" s="205" t="s">
        <v>132</v>
      </c>
      <c r="E81" s="201"/>
      <c r="F81" s="256"/>
      <c r="G81" s="215"/>
      <c r="H81" s="198"/>
      <c r="I81" s="199"/>
      <c r="J81" s="5"/>
      <c r="K81" s="178"/>
      <c r="L81" s="5"/>
      <c r="M81" s="5"/>
      <c r="N81" s="5"/>
      <c r="O81" s="202">
        <f>IF(O80+1&lt;=MIN('Données projet'!$E$9:$E$18),O80+1,"STOP")</f>
        <v>48</v>
      </c>
      <c r="P81" s="192">
        <f t="shared" si="4"/>
        <v>0</v>
      </c>
      <c r="Q81" s="260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4">
        <v>3</v>
      </c>
      <c r="B82" s="207" t="s">
        <v>132</v>
      </c>
      <c r="C82" s="206" t="s">
        <v>132</v>
      </c>
      <c r="D82" s="205" t="s">
        <v>132</v>
      </c>
      <c r="E82" s="201"/>
      <c r="F82" s="256"/>
      <c r="G82" s="215"/>
      <c r="H82" s="198"/>
      <c r="I82" s="199"/>
      <c r="J82" s="5"/>
      <c r="K82" s="178"/>
      <c r="L82" s="5"/>
      <c r="M82" s="5"/>
      <c r="N82" s="5"/>
      <c r="O82" s="202">
        <f>IF(O81+1&lt;=MIN('Données projet'!$E$9:$E$18),O81+1,"STOP")</f>
        <v>49</v>
      </c>
      <c r="P82" s="192">
        <f t="shared" si="4"/>
        <v>0</v>
      </c>
      <c r="Q82" s="260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4">
        <v>4</v>
      </c>
      <c r="B83" s="207" t="s">
        <v>132</v>
      </c>
      <c r="C83" s="206" t="s">
        <v>132</v>
      </c>
      <c r="D83" s="205" t="s">
        <v>132</v>
      </c>
      <c r="E83" s="201"/>
      <c r="F83" s="256"/>
      <c r="G83" s="215"/>
      <c r="H83" s="198"/>
      <c r="I83" s="199"/>
      <c r="J83" s="5"/>
      <c r="K83" s="178"/>
      <c r="L83" s="5"/>
      <c r="M83" s="5"/>
      <c r="N83" s="5"/>
      <c r="O83" s="202">
        <f>IF(O82+1&lt;=MIN('Données projet'!$E$9:$E$18),O82+1,"STOP")</f>
        <v>50</v>
      </c>
      <c r="P83" s="192">
        <f t="shared" si="4"/>
        <v>0</v>
      </c>
      <c r="Q83" s="260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4">
        <v>5</v>
      </c>
      <c r="B84" s="207" t="s">
        <v>132</v>
      </c>
      <c r="C84" s="206" t="s">
        <v>132</v>
      </c>
      <c r="D84" s="205" t="s">
        <v>132</v>
      </c>
      <c r="E84" s="201"/>
      <c r="F84" s="256"/>
      <c r="G84" s="216"/>
      <c r="H84" s="198"/>
      <c r="I84" s="199"/>
      <c r="J84" s="5"/>
      <c r="K84" s="178"/>
      <c r="L84" s="5"/>
      <c r="M84" s="5"/>
      <c r="N84" s="5"/>
      <c r="O84" s="202">
        <f>IF(O83+1&lt;=MIN('Données projet'!$E$9:$E$18),O83+1,"STOP")</f>
        <v>51</v>
      </c>
      <c r="P84" s="192">
        <f t="shared" si="4"/>
        <v>0</v>
      </c>
      <c r="Q84" s="260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7">
        <f>'Données projet'!A88</f>
        <v>15</v>
      </c>
      <c r="B85" s="188">
        <f>'Données projet'!D88</f>
        <v>0</v>
      </c>
      <c r="C85" s="199">
        <f>'Données projet'!E88*60+SUM('Données projet'!F88:G88)*13.8+'Données projet'!H88*10</f>
        <v>10</v>
      </c>
      <c r="D85" s="186">
        <f>B85*C85</f>
        <v>0</v>
      </c>
      <c r="E85" s="201"/>
      <c r="F85" s="257"/>
      <c r="G85" s="216"/>
      <c r="H85" s="198"/>
      <c r="I85" s="199"/>
      <c r="J85" s="5"/>
      <c r="K85" s="178"/>
      <c r="L85" s="5"/>
      <c r="M85" s="5"/>
      <c r="N85" s="5"/>
      <c r="O85" s="202">
        <f>IF(O84+1&lt;=MIN('Données projet'!$E$9:$E$18),O84+1,"STOP")</f>
        <v>52</v>
      </c>
      <c r="P85" s="192">
        <f t="shared" si="4"/>
        <v>0</v>
      </c>
      <c r="Q85" s="260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7">
        <f>'Données projet'!A89</f>
        <v>20</v>
      </c>
      <c r="B86" s="188">
        <f>'Données projet'!D89</f>
        <v>15.7</v>
      </c>
      <c r="C86" s="199">
        <f>'Données projet'!E89*60+SUM('Données projet'!F89:G89)*13.8+'Données projet'!H89*10</f>
        <v>10</v>
      </c>
      <c r="D86" s="186">
        <f t="shared" ref="D86:D104" si="5">B86*C86</f>
        <v>157</v>
      </c>
      <c r="E86" s="201"/>
      <c r="F86" s="257"/>
      <c r="G86" s="216"/>
      <c r="H86" s="198"/>
      <c r="I86" s="199"/>
      <c r="J86" s="5"/>
      <c r="K86" s="178"/>
      <c r="L86" s="5"/>
      <c r="M86" s="5"/>
      <c r="N86" s="5"/>
      <c r="O86" s="202">
        <f>IF(O85+1&lt;=MIN('Données projet'!$E$9:$E$18),O85+1,"STOP")</f>
        <v>53</v>
      </c>
      <c r="P86" s="192">
        <f t="shared" si="4"/>
        <v>0</v>
      </c>
      <c r="Q86" s="260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7">
        <f>'Données projet'!A90</f>
        <v>25</v>
      </c>
      <c r="B87" s="188">
        <f>'Données projet'!D90</f>
        <v>21.6</v>
      </c>
      <c r="C87" s="199">
        <f>'Données projet'!E90*60+SUM('Données projet'!F90:G90)*13.8+'Données projet'!H90*10</f>
        <v>10</v>
      </c>
      <c r="D87" s="186">
        <f t="shared" si="5"/>
        <v>216</v>
      </c>
      <c r="E87" s="201"/>
      <c r="F87" s="257"/>
      <c r="G87" s="216"/>
      <c r="H87" s="198"/>
      <c r="I87" s="199"/>
      <c r="J87" s="5"/>
      <c r="K87" s="178"/>
      <c r="L87" s="5"/>
      <c r="M87" s="5"/>
      <c r="N87" s="5"/>
      <c r="O87" s="202">
        <f>IF(O86+1&lt;=MIN('Données projet'!$E$9:$E$18),O86+1,"STOP")</f>
        <v>54</v>
      </c>
      <c r="P87" s="192">
        <f t="shared" si="4"/>
        <v>0</v>
      </c>
      <c r="Q87" s="260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7">
        <f>'Données projet'!A91</f>
        <v>30</v>
      </c>
      <c r="B88" s="188">
        <f>'Données projet'!D91</f>
        <v>23.2</v>
      </c>
      <c r="C88" s="199">
        <f>'Données projet'!E91*60+SUM('Données projet'!F91:G91)*13.8+'Données projet'!H91*10</f>
        <v>10</v>
      </c>
      <c r="D88" s="186">
        <f t="shared" si="5"/>
        <v>232</v>
      </c>
      <c r="E88" s="201"/>
      <c r="F88" s="257"/>
      <c r="G88" s="216"/>
      <c r="H88" s="198"/>
      <c r="I88" s="199"/>
      <c r="J88" s="5"/>
      <c r="K88" s="178"/>
      <c r="L88" s="5"/>
      <c r="M88" s="5"/>
      <c r="N88" s="5"/>
      <c r="O88" s="202">
        <f>IF(O87+1&lt;=MIN('Données projet'!$E$9:$E$18),O87+1,"STOP")</f>
        <v>55</v>
      </c>
      <c r="P88" s="192">
        <f t="shared" si="4"/>
        <v>0</v>
      </c>
      <c r="Q88" s="260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7">
        <f>'Données projet'!A92</f>
        <v>35</v>
      </c>
      <c r="B89" s="188">
        <f>'Données projet'!D92</f>
        <v>22.9</v>
      </c>
      <c r="C89" s="199">
        <f>'Données projet'!E92*60+SUM('Données projet'!F92:G92)*13.8+'Données projet'!H92*10</f>
        <v>20</v>
      </c>
      <c r="D89" s="186">
        <f t="shared" si="5"/>
        <v>458</v>
      </c>
      <c r="E89" s="201"/>
      <c r="F89" s="257"/>
      <c r="G89" s="216"/>
      <c r="H89" s="198"/>
      <c r="I89" s="199"/>
      <c r="J89" s="5"/>
      <c r="K89" s="178"/>
      <c r="L89" s="5"/>
      <c r="M89" s="5"/>
      <c r="N89" s="5"/>
      <c r="O89" s="202">
        <f>IF(O88+1&lt;=MIN('Données projet'!$E$9:$E$18),O88+1,"STOP")</f>
        <v>56</v>
      </c>
      <c r="P89" s="192">
        <f t="shared" si="4"/>
        <v>0</v>
      </c>
      <c r="Q89" s="260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7">
        <f>'Données projet'!A93</f>
        <v>40</v>
      </c>
      <c r="B90" s="188">
        <f>'Données projet'!D93</f>
        <v>21.8</v>
      </c>
      <c r="C90" s="199">
        <f>'Données projet'!E93*60+SUM('Données projet'!F93:G93)*13.8+'Données projet'!H93*10</f>
        <v>20</v>
      </c>
      <c r="D90" s="186">
        <f t="shared" si="5"/>
        <v>436</v>
      </c>
      <c r="E90" s="201"/>
      <c r="F90" s="257"/>
      <c r="G90" s="216"/>
      <c r="H90" s="198"/>
      <c r="I90" s="199"/>
      <c r="J90" s="5"/>
      <c r="K90" s="178"/>
      <c r="L90" s="5"/>
      <c r="M90" s="5"/>
      <c r="N90" s="5"/>
      <c r="O90" s="202">
        <f>IF(O89+1&lt;=MIN('Données projet'!$E$9:$E$18),O89+1,"STOP")</f>
        <v>57</v>
      </c>
      <c r="P90" s="192">
        <f t="shared" si="4"/>
        <v>0</v>
      </c>
      <c r="Q90" s="260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7">
        <f>'Données projet'!A94</f>
        <v>45</v>
      </c>
      <c r="B91" s="188">
        <f>'Données projet'!D94</f>
        <v>20.3</v>
      </c>
      <c r="C91" s="199">
        <f>'Données projet'!E94*60+SUM('Données projet'!F94:G94)*13.8+'Données projet'!H94*10</f>
        <v>25</v>
      </c>
      <c r="D91" s="186">
        <f t="shared" si="5"/>
        <v>507.5</v>
      </c>
      <c r="E91" s="201"/>
      <c r="F91" s="257"/>
      <c r="G91" s="217"/>
      <c r="H91" s="198"/>
      <c r="I91" s="199"/>
      <c r="J91" s="5"/>
      <c r="K91" s="178"/>
      <c r="L91" s="5"/>
      <c r="M91" s="5"/>
      <c r="N91" s="5"/>
      <c r="O91" s="202">
        <f>IF(O90+1&lt;=MIN('Données projet'!$E$9:$E$18),O90+1,"STOP")</f>
        <v>58</v>
      </c>
      <c r="P91" s="192">
        <f t="shared" si="4"/>
        <v>0</v>
      </c>
      <c r="Q91" s="260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7">
        <f>'Données projet'!A95</f>
        <v>50</v>
      </c>
      <c r="B92" s="188">
        <f>'Données projet'!D95</f>
        <v>18.7</v>
      </c>
      <c r="C92" s="199">
        <f>'Données projet'!E95*60+SUM('Données projet'!F95:G95)*13.8+'Données projet'!H95*10</f>
        <v>25</v>
      </c>
      <c r="D92" s="186">
        <f t="shared" si="5"/>
        <v>467.5</v>
      </c>
      <c r="E92" s="201"/>
      <c r="F92" s="257"/>
      <c r="G92" s="217"/>
      <c r="H92" s="198"/>
      <c r="I92" s="199"/>
      <c r="J92" s="5"/>
      <c r="K92" s="178"/>
      <c r="L92" s="5"/>
      <c r="M92" s="5"/>
      <c r="N92" s="5"/>
      <c r="O92" s="202">
        <f>IF(O91+1&lt;=MIN('Données projet'!$E$9:$E$18),O91+1,"STOP")</f>
        <v>59</v>
      </c>
      <c r="P92" s="192">
        <f t="shared" si="4"/>
        <v>0</v>
      </c>
      <c r="Q92" s="260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7">
        <f>'Données projet'!A96</f>
        <v>55</v>
      </c>
      <c r="B93" s="188">
        <f>'Données projet'!D96</f>
        <v>17.100000000000001</v>
      </c>
      <c r="C93" s="199">
        <f>'Données projet'!E96*60+SUM('Données projet'!F96:G96)*13.8+'Données projet'!H96*10</f>
        <v>30</v>
      </c>
      <c r="D93" s="186">
        <f t="shared" si="5"/>
        <v>513</v>
      </c>
      <c r="E93" s="201"/>
      <c r="F93" s="257"/>
      <c r="G93" s="217"/>
      <c r="H93" s="198"/>
      <c r="I93" s="199"/>
      <c r="J93" s="5"/>
      <c r="K93" s="178"/>
      <c r="L93" s="5"/>
      <c r="M93" s="5"/>
      <c r="N93" s="5"/>
      <c r="O93" s="202">
        <f>IF(O92+1&lt;=MIN('Données projet'!$E$9:$E$18),O92+1,"STOP")</f>
        <v>60</v>
      </c>
      <c r="P93" s="192">
        <f t="shared" si="4"/>
        <v>0</v>
      </c>
      <c r="Q93" s="260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7">
        <f>'Données projet'!A97</f>
        <v>60</v>
      </c>
      <c r="B94" s="188">
        <f>'Données projet'!D97</f>
        <v>15.6</v>
      </c>
      <c r="C94" s="199">
        <f>'Données projet'!E97*60+SUM('Données projet'!F97:G97)*13.8+'Données projet'!H97*10</f>
        <v>30</v>
      </c>
      <c r="D94" s="186">
        <f t="shared" si="5"/>
        <v>468</v>
      </c>
      <c r="E94" s="201"/>
      <c r="F94" s="257"/>
      <c r="G94" s="217"/>
      <c r="H94" s="198"/>
      <c r="I94" s="199"/>
      <c r="J94" s="5"/>
      <c r="K94" s="178"/>
      <c r="L94" s="5"/>
      <c r="M94" s="5"/>
      <c r="N94" s="5"/>
      <c r="O94" s="202">
        <f>IF(O93+1&lt;=MIN('Données projet'!$E$9:$E$18),O93+1,"STOP")</f>
        <v>61</v>
      </c>
      <c r="P94" s="192">
        <f t="shared" si="4"/>
        <v>0</v>
      </c>
      <c r="Q94" s="260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7">
        <f>'Données projet'!A98</f>
        <v>65</v>
      </c>
      <c r="B95" s="188">
        <f>'Données projet'!D98</f>
        <v>14.2</v>
      </c>
      <c r="C95" s="199">
        <f>'Données projet'!E98*60+SUM('Données projet'!F98:G98)*13.8+'Données projet'!H98*10</f>
        <v>35</v>
      </c>
      <c r="D95" s="186">
        <f t="shared" si="5"/>
        <v>497</v>
      </c>
      <c r="E95" s="201"/>
      <c r="F95" s="257"/>
      <c r="G95" s="217"/>
      <c r="H95" s="198"/>
      <c r="I95" s="199"/>
      <c r="J95" s="5"/>
      <c r="K95" s="178"/>
      <c r="L95" s="5"/>
      <c r="M95" s="5"/>
      <c r="N95" s="5"/>
      <c r="O95" s="202">
        <f>IF(O94+1&lt;=MIN('Données projet'!$E$9:$E$18),O94+1,"STOP")</f>
        <v>62</v>
      </c>
      <c r="P95" s="192">
        <f t="shared" si="4"/>
        <v>0</v>
      </c>
      <c r="Q95" s="260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7">
        <f>'Données projet'!A99</f>
        <v>70</v>
      </c>
      <c r="B96" s="188">
        <f>'Données projet'!D99</f>
        <v>12.9</v>
      </c>
      <c r="C96" s="199">
        <f>'Données projet'!E99*60+SUM('Données projet'!F99:G99)*13.8+'Données projet'!H99*10</f>
        <v>35</v>
      </c>
      <c r="D96" s="186">
        <f t="shared" si="5"/>
        <v>451.5</v>
      </c>
      <c r="E96" s="201"/>
      <c r="F96" s="257"/>
      <c r="G96" s="217"/>
      <c r="H96" s="198"/>
      <c r="I96" s="199"/>
      <c r="J96" s="5"/>
      <c r="K96" s="178"/>
      <c r="L96" s="5"/>
      <c r="M96" s="5"/>
      <c r="N96" s="5"/>
      <c r="O96" s="202">
        <f>IF(O95+1&lt;=MIN('Données projet'!$E$9:$E$18),O95+1,"STOP")</f>
        <v>63</v>
      </c>
      <c r="P96" s="192">
        <f t="shared" si="4"/>
        <v>0</v>
      </c>
      <c r="Q96" s="260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7">
        <f>'Données projet'!A100</f>
        <v>75</v>
      </c>
      <c r="B97" s="188">
        <f>'Données projet'!D100</f>
        <v>11.7</v>
      </c>
      <c r="C97" s="199">
        <f>'Données projet'!E100*60+SUM('Données projet'!F100:G100)*13.8+'Données projet'!H100*10</f>
        <v>40</v>
      </c>
      <c r="D97" s="186">
        <f t="shared" si="5"/>
        <v>468</v>
      </c>
      <c r="E97" s="201"/>
      <c r="F97" s="257"/>
      <c r="G97" s="217"/>
      <c r="H97" s="198"/>
      <c r="I97" s="199"/>
      <c r="J97" s="5"/>
      <c r="K97" s="178"/>
      <c r="L97" s="5"/>
      <c r="M97" s="5"/>
      <c r="N97" s="5"/>
      <c r="O97" s="202">
        <f>IF(O96+1&lt;=MIN('Données projet'!$E$9:$E$18),O96+1,"STOP")</f>
        <v>64</v>
      </c>
      <c r="P97" s="192">
        <f t="shared" ref="P97:P128" si="6">$P$25/(1+$M$4)^O97</f>
        <v>0</v>
      </c>
      <c r="Q97" s="260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7">
        <f>'Données projet'!A101</f>
        <v>80</v>
      </c>
      <c r="B98" s="188">
        <f>'Données projet'!D101</f>
        <v>10.6</v>
      </c>
      <c r="C98" s="199">
        <f>'Données projet'!E101*60+SUM('Données projet'!F101:G101)*13.8+'Données projet'!H101*10</f>
        <v>40</v>
      </c>
      <c r="D98" s="186">
        <f t="shared" si="5"/>
        <v>424</v>
      </c>
      <c r="E98" s="201"/>
      <c r="F98" s="257"/>
      <c r="G98" s="217"/>
      <c r="H98" s="198"/>
      <c r="I98" s="199"/>
      <c r="J98" s="5"/>
      <c r="K98" s="178"/>
      <c r="L98" s="5"/>
      <c r="M98" s="5"/>
      <c r="N98" s="5"/>
      <c r="O98" s="202">
        <f>IF(O97+1&lt;=MIN('Données projet'!$E$9:$E$18),O97+1,"STOP")</f>
        <v>65</v>
      </c>
      <c r="P98" s="192">
        <f t="shared" si="6"/>
        <v>0</v>
      </c>
      <c r="Q98" s="260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7">
        <f>'Données projet'!A102</f>
        <v>85</v>
      </c>
      <c r="B99" s="188">
        <f>'Données projet'!D102</f>
        <v>9.6</v>
      </c>
      <c r="C99" s="199">
        <f>'Données projet'!E102*60+SUM('Données projet'!F102:G102)*13.8+'Données projet'!H102*10</f>
        <v>45</v>
      </c>
      <c r="D99" s="186">
        <f t="shared" si="5"/>
        <v>432</v>
      </c>
      <c r="E99" s="201"/>
      <c r="F99" s="257"/>
      <c r="G99" s="217"/>
      <c r="H99" s="198"/>
      <c r="I99" s="199"/>
      <c r="J99" s="5"/>
      <c r="K99" s="178"/>
      <c r="L99" s="5"/>
      <c r="M99" s="5"/>
      <c r="N99" s="5"/>
      <c r="O99" s="202">
        <f>IF(O98+1&lt;=MIN('Données projet'!$E$9:$E$18),O98+1,"STOP")</f>
        <v>66</v>
      </c>
      <c r="P99" s="192">
        <f t="shared" si="6"/>
        <v>0</v>
      </c>
      <c r="Q99" s="260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7">
        <f>'Données projet'!A103</f>
        <v>90</v>
      </c>
      <c r="B100" s="188">
        <f>'Données projet'!D103</f>
        <v>8.6999999999999993</v>
      </c>
      <c r="C100" s="199">
        <f>'Données projet'!E103*60+SUM('Données projet'!F103:G103)*13.8+'Données projet'!H103*10</f>
        <v>45</v>
      </c>
      <c r="D100" s="186">
        <f t="shared" si="5"/>
        <v>391.49999999999994</v>
      </c>
      <c r="E100" s="201"/>
      <c r="F100" s="257"/>
      <c r="G100" s="217"/>
      <c r="H100" s="198"/>
      <c r="I100" s="199"/>
      <c r="J100" s="5"/>
      <c r="K100" s="178"/>
      <c r="L100" s="5"/>
      <c r="M100" s="5"/>
      <c r="N100" s="5"/>
      <c r="O100" s="202">
        <f>IF(O99+1&lt;=MIN('Données projet'!$E$9:$E$18),O99+1,"STOP")</f>
        <v>67</v>
      </c>
      <c r="P100" s="192">
        <f t="shared" si="6"/>
        <v>0</v>
      </c>
      <c r="Q100" s="260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7">
        <f>'Données projet'!A104</f>
        <v>95</v>
      </c>
      <c r="B101" s="188">
        <f>'Données projet'!D104</f>
        <v>7.8</v>
      </c>
      <c r="C101" s="199">
        <f>'Données projet'!E104*60+SUM('Données projet'!F104:G104)*13.8+'Données projet'!H104*10</f>
        <v>50</v>
      </c>
      <c r="D101" s="186">
        <f t="shared" si="5"/>
        <v>390</v>
      </c>
      <c r="E101" s="201"/>
      <c r="F101" s="257"/>
      <c r="G101" s="217"/>
      <c r="H101" s="198"/>
      <c r="I101" s="199"/>
      <c r="J101" s="5"/>
      <c r="K101" s="178"/>
      <c r="L101" s="5"/>
      <c r="M101" s="5"/>
      <c r="N101" s="5"/>
      <c r="O101" s="202">
        <f>IF(O100+1&lt;=MIN('Données projet'!$E$9:$E$18),O100+1,"STOP")</f>
        <v>68</v>
      </c>
      <c r="P101" s="192">
        <f t="shared" si="6"/>
        <v>0</v>
      </c>
      <c r="Q101" s="260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7">
        <f>'Données projet'!A105</f>
        <v>100</v>
      </c>
      <c r="B102" s="188">
        <f>'Données projet'!D105</f>
        <v>593</v>
      </c>
      <c r="C102" s="199">
        <f>'Données projet'!E105*60+SUM('Données projet'!F105:G105)*13.8+'Données projet'!H105*10</f>
        <v>50</v>
      </c>
      <c r="D102" s="186">
        <f t="shared" si="5"/>
        <v>29650</v>
      </c>
      <c r="E102" s="201"/>
      <c r="F102" s="257"/>
      <c r="G102" s="217"/>
      <c r="H102" s="198"/>
      <c r="I102" s="199"/>
      <c r="J102" s="5"/>
      <c r="K102" s="178"/>
      <c r="L102" s="5"/>
      <c r="M102" s="5"/>
      <c r="N102" s="5"/>
      <c r="O102" s="202">
        <f>IF(O101+1&lt;=MIN('Données projet'!$E$9:$E$18),O101+1,"STOP")</f>
        <v>69</v>
      </c>
      <c r="P102" s="192">
        <f t="shared" si="6"/>
        <v>0</v>
      </c>
      <c r="Q102" s="260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7">
        <f>'Données projet'!A106</f>
        <v>0</v>
      </c>
      <c r="B103" s="188">
        <f>'Données projet'!D106</f>
        <v>0</v>
      </c>
      <c r="C103" s="199">
        <f>'Données projet'!E106*60+SUM('Données projet'!F106:G106)*13.8+'Données projet'!H106*10</f>
        <v>0</v>
      </c>
      <c r="D103" s="186">
        <f t="shared" si="5"/>
        <v>0</v>
      </c>
      <c r="E103" s="201"/>
      <c r="F103" s="257"/>
      <c r="G103" s="217"/>
      <c r="H103" s="198"/>
      <c r="I103" s="199"/>
      <c r="J103" s="5"/>
      <c r="K103" s="178"/>
      <c r="L103" s="5"/>
      <c r="M103" s="5"/>
      <c r="N103" s="5"/>
      <c r="O103" s="202">
        <f>IF(O102+1&lt;=MIN('Données projet'!$E$9:$E$18),O102+1,"STOP")</f>
        <v>70</v>
      </c>
      <c r="P103" s="192">
        <f t="shared" si="6"/>
        <v>0</v>
      </c>
      <c r="Q103" s="260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7">
        <f>'Données projet'!A107</f>
        <v>0</v>
      </c>
      <c r="B104" s="188">
        <f>'Données projet'!D107</f>
        <v>0</v>
      </c>
      <c r="C104" s="199">
        <f>'Données projet'!E107*60+SUM('Données projet'!F107:G107)*13.8+'Données projet'!H107*10</f>
        <v>0</v>
      </c>
      <c r="D104" s="186">
        <f t="shared" si="5"/>
        <v>0</v>
      </c>
      <c r="E104" s="201"/>
      <c r="F104" s="257"/>
      <c r="G104" s="217"/>
      <c r="H104" s="198"/>
      <c r="I104" s="199"/>
      <c r="J104" s="5"/>
      <c r="K104" s="178"/>
      <c r="L104" s="5"/>
      <c r="M104" s="5"/>
      <c r="N104" s="5"/>
      <c r="O104" s="202" t="str">
        <f>IF(O103+1&lt;=MIN('Données projet'!$E$9:$E$18),O103+1,"STOP")</f>
        <v>STOP</v>
      </c>
      <c r="P104" s="192" t="e">
        <f t="shared" si="6"/>
        <v>#VALUE!</v>
      </c>
      <c r="Q104" s="260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5"/>
      <c r="G105" s="217"/>
      <c r="H105" s="198"/>
      <c r="I105" s="199"/>
      <c r="J105" s="5"/>
      <c r="K105" s="178"/>
      <c r="L105" s="5"/>
      <c r="M105" s="5"/>
      <c r="N105" s="5"/>
      <c r="O105" s="202" t="e">
        <f>IF(O104+1&lt;=MIN('Données projet'!$E$9:$E$18),O104+1,"STOP")</f>
        <v>#VALUE!</v>
      </c>
      <c r="P105" s="192" t="e">
        <f t="shared" si="6"/>
        <v>#VALUE!</v>
      </c>
      <c r="Q105" s="260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5"/>
      <c r="G106" s="217"/>
      <c r="H106" s="198"/>
      <c r="I106" s="199"/>
      <c r="J106" s="5"/>
      <c r="K106" s="178"/>
      <c r="L106" s="5"/>
      <c r="M106" s="5"/>
      <c r="N106" s="5"/>
      <c r="O106" s="202" t="e">
        <f>IF(O105+1&lt;=MIN('Données projet'!$E$9:$E$18),O105+1,"STOP")</f>
        <v>#VALUE!</v>
      </c>
      <c r="P106" s="192" t="e">
        <f t="shared" si="6"/>
        <v>#VALUE!</v>
      </c>
      <c r="Q106" s="260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1" t="str">
        <f>IF('Données projet'!B12="","",'Données projet'!B12)</f>
        <v>Tilleul</v>
      </c>
      <c r="C107" s="5"/>
      <c r="D107" s="5"/>
      <c r="E107" s="5"/>
      <c r="F107" s="255"/>
      <c r="G107" s="217"/>
      <c r="H107" s="198"/>
      <c r="I107" s="199"/>
      <c r="J107" s="5"/>
      <c r="K107" s="178"/>
      <c r="L107" s="5"/>
      <c r="M107" s="5"/>
      <c r="N107" s="5"/>
      <c r="O107" s="202" t="e">
        <f>IF(O106+1&lt;=MIN('Données projet'!$E$9:$E$18),O106+1,"STOP")</f>
        <v>#VALUE!</v>
      </c>
      <c r="P107" s="192" t="e">
        <f t="shared" si="6"/>
        <v>#VALUE!</v>
      </c>
      <c r="Q107" s="260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5"/>
      <c r="G108" s="217"/>
      <c r="H108" s="198"/>
      <c r="I108" s="199"/>
      <c r="J108" s="5"/>
      <c r="K108" s="178"/>
      <c r="L108" s="5"/>
      <c r="M108" s="5"/>
      <c r="N108" s="5"/>
      <c r="O108" s="202" t="e">
        <f>IF(O107+1&lt;=MIN('Données projet'!$E$9:$E$18),O107+1,"STOP")</f>
        <v>#VALUE!</v>
      </c>
      <c r="P108" s="192" t="e">
        <f t="shared" si="6"/>
        <v>#VALUE!</v>
      </c>
      <c r="Q108" s="260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1" t="s">
        <v>180</v>
      </c>
      <c r="B109" s="51" t="s">
        <v>256</v>
      </c>
      <c r="C109" s="51" t="s">
        <v>255</v>
      </c>
      <c r="D109" s="251" t="s">
        <v>252</v>
      </c>
      <c r="E109" s="251" t="s">
        <v>287</v>
      </c>
      <c r="F109" s="256"/>
      <c r="G109" s="217"/>
      <c r="H109" s="198"/>
      <c r="I109" s="199"/>
      <c r="J109" s="5"/>
      <c r="K109" s="178"/>
      <c r="L109" s="5"/>
      <c r="M109" s="5"/>
      <c r="N109" s="5"/>
      <c r="O109" s="202" t="e">
        <f>IF(O108+1&lt;=MIN('Données projet'!$E$9:$E$18),O108+1,"STOP")</f>
        <v>#VALUE!</v>
      </c>
      <c r="P109" s="192" t="e">
        <f t="shared" si="6"/>
        <v>#VALUE!</v>
      </c>
      <c r="Q109" s="260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4">
        <v>0</v>
      </c>
      <c r="B110" s="207" t="s">
        <v>132</v>
      </c>
      <c r="C110" s="206" t="s">
        <v>132</v>
      </c>
      <c r="D110" s="205" t="s">
        <v>132</v>
      </c>
      <c r="E110" s="201">
        <v>1664</v>
      </c>
      <c r="F110" s="256"/>
      <c r="G110" s="217"/>
      <c r="H110" s="198"/>
      <c r="I110" s="199"/>
      <c r="J110" s="5"/>
      <c r="K110" s="178"/>
      <c r="L110" s="5"/>
      <c r="M110" s="5"/>
      <c r="N110" s="5"/>
      <c r="O110" s="202" t="e">
        <f>IF(O109+1&lt;=MIN('Données projet'!$E$9:$E$18),O109+1,"STOP")</f>
        <v>#VALUE!</v>
      </c>
      <c r="P110" s="192" t="e">
        <f t="shared" si="6"/>
        <v>#VALUE!</v>
      </c>
      <c r="Q110" s="260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4">
        <v>1</v>
      </c>
      <c r="B111" s="207" t="s">
        <v>132</v>
      </c>
      <c r="C111" s="206" t="s">
        <v>132</v>
      </c>
      <c r="D111" s="205" t="s">
        <v>132</v>
      </c>
      <c r="E111" s="201"/>
      <c r="F111" s="256"/>
      <c r="G111" s="215"/>
      <c r="H111" s="198"/>
      <c r="I111" s="199"/>
      <c r="J111" s="5"/>
      <c r="K111" s="178"/>
      <c r="L111" s="5"/>
      <c r="M111" s="5"/>
      <c r="N111" s="5"/>
      <c r="O111" s="202" t="e">
        <f>IF(O110+1&lt;=MIN('Données projet'!$E$9:$E$18),O110+1,"STOP")</f>
        <v>#VALUE!</v>
      </c>
      <c r="P111" s="192" t="e">
        <f t="shared" si="6"/>
        <v>#VALUE!</v>
      </c>
      <c r="Q111" s="260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4">
        <v>2</v>
      </c>
      <c r="B112" s="207" t="s">
        <v>132</v>
      </c>
      <c r="C112" s="206" t="s">
        <v>132</v>
      </c>
      <c r="D112" s="205" t="s">
        <v>132</v>
      </c>
      <c r="E112" s="201"/>
      <c r="F112" s="256"/>
      <c r="G112" s="215"/>
      <c r="H112" s="198"/>
      <c r="I112" s="199"/>
      <c r="J112" s="5"/>
      <c r="K112" s="178"/>
      <c r="L112" s="5"/>
      <c r="M112" s="5"/>
      <c r="N112" s="5"/>
      <c r="O112" s="202" t="e">
        <f>IF(O111+1&lt;=MIN('Données projet'!$E$9:$E$18),O111+1,"STOP")</f>
        <v>#VALUE!</v>
      </c>
      <c r="P112" s="192" t="e">
        <f t="shared" si="6"/>
        <v>#VALUE!</v>
      </c>
      <c r="Q112" s="260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4">
        <v>3</v>
      </c>
      <c r="B113" s="207" t="s">
        <v>132</v>
      </c>
      <c r="C113" s="206" t="s">
        <v>132</v>
      </c>
      <c r="D113" s="205" t="s">
        <v>132</v>
      </c>
      <c r="E113" s="201"/>
      <c r="F113" s="256"/>
      <c r="G113" s="215"/>
      <c r="H113" s="198"/>
      <c r="I113" s="199"/>
      <c r="J113" s="5"/>
      <c r="K113" s="178"/>
      <c r="L113" s="5"/>
      <c r="M113" s="5"/>
      <c r="N113" s="5"/>
      <c r="O113" s="202" t="e">
        <f>IF(O112+1&lt;=MIN('Données projet'!$E$9:$E$18),O112+1,"STOP")</f>
        <v>#VALUE!</v>
      </c>
      <c r="P113" s="192" t="e">
        <f t="shared" si="6"/>
        <v>#VALUE!</v>
      </c>
      <c r="Q113" s="260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4">
        <v>4</v>
      </c>
      <c r="B114" s="207" t="s">
        <v>132</v>
      </c>
      <c r="C114" s="206" t="s">
        <v>132</v>
      </c>
      <c r="D114" s="205" t="s">
        <v>132</v>
      </c>
      <c r="E114" s="201"/>
      <c r="F114" s="256"/>
      <c r="G114" s="215"/>
      <c r="H114" s="198"/>
      <c r="I114" s="199"/>
      <c r="J114" s="5"/>
      <c r="K114" s="178"/>
      <c r="L114" s="5"/>
      <c r="M114" s="5"/>
      <c r="N114" s="5"/>
      <c r="O114" s="202" t="e">
        <f>IF(O113+1&lt;=MIN('Données projet'!$E$9:$E$18),O113+1,"STOP")</f>
        <v>#VALUE!</v>
      </c>
      <c r="P114" s="192" t="e">
        <f t="shared" si="6"/>
        <v>#VALUE!</v>
      </c>
      <c r="Q114" s="260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4">
        <v>5</v>
      </c>
      <c r="B115" s="207" t="s">
        <v>132</v>
      </c>
      <c r="C115" s="206" t="s">
        <v>132</v>
      </c>
      <c r="D115" s="205" t="s">
        <v>132</v>
      </c>
      <c r="E115" s="201"/>
      <c r="F115" s="256"/>
      <c r="G115" s="216"/>
      <c r="H115" s="198"/>
      <c r="I115" s="199"/>
      <c r="J115" s="5"/>
      <c r="K115" s="178"/>
      <c r="L115" s="5"/>
      <c r="M115" s="5"/>
      <c r="N115" s="5"/>
      <c r="O115" s="202" t="e">
        <f>IF(O114+1&lt;=MIN('Données projet'!$E$9:$E$18),O114+1,"STOP")</f>
        <v>#VALUE!</v>
      </c>
      <c r="P115" s="192" t="e">
        <f t="shared" si="6"/>
        <v>#VALUE!</v>
      </c>
      <c r="Q115" s="260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7">
        <f>'Données projet'!A114</f>
        <v>15</v>
      </c>
      <c r="B116" s="188">
        <f>'Données projet'!D114</f>
        <v>0</v>
      </c>
      <c r="C116" s="280">
        <f>'Données projet'!E114*50+SUM('Données projet'!F114:G114)*13.8+'Données projet'!H114*10</f>
        <v>10</v>
      </c>
      <c r="D116" s="186">
        <f>B116*C116</f>
        <v>0</v>
      </c>
      <c r="E116" s="201"/>
      <c r="F116" s="257"/>
      <c r="G116" s="216"/>
      <c r="H116" s="198"/>
      <c r="I116" s="199"/>
      <c r="J116" s="5"/>
      <c r="K116" s="178"/>
      <c r="L116" s="5"/>
      <c r="M116" s="5"/>
      <c r="N116" s="5"/>
      <c r="O116" s="202" t="e">
        <f>IF(O115+1&lt;=MIN('Données projet'!$E$9:$E$18),O115+1,"STOP")</f>
        <v>#VALUE!</v>
      </c>
      <c r="P116" s="192" t="e">
        <f t="shared" si="6"/>
        <v>#VALUE!</v>
      </c>
      <c r="Q116" s="260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7">
        <f>'Données projet'!A115</f>
        <v>20</v>
      </c>
      <c r="B117" s="188">
        <f>'Données projet'!D115</f>
        <v>15.7</v>
      </c>
      <c r="C117" s="280">
        <f>'Données projet'!E115*50+SUM('Données projet'!F115:G115)*13.8+'Données projet'!H115*10</f>
        <v>10</v>
      </c>
      <c r="D117" s="186">
        <f t="shared" ref="D117:D135" si="7">B117*C117</f>
        <v>157</v>
      </c>
      <c r="E117" s="201"/>
      <c r="F117" s="257"/>
      <c r="G117" s="216"/>
      <c r="H117" s="198"/>
      <c r="I117" s="199"/>
      <c r="J117" s="5"/>
      <c r="K117" s="178"/>
      <c r="L117" s="5"/>
      <c r="M117" s="5"/>
      <c r="N117" s="5"/>
      <c r="O117" s="202" t="e">
        <f>IF(O116+1&lt;=MIN('Données projet'!$E$9:$E$18),O116+1,"STOP")</f>
        <v>#VALUE!</v>
      </c>
      <c r="P117" s="192" t="e">
        <f t="shared" si="6"/>
        <v>#VALUE!</v>
      </c>
      <c r="Q117" s="260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7">
        <f>'Données projet'!A116</f>
        <v>25</v>
      </c>
      <c r="B118" s="188">
        <f>'Données projet'!D116</f>
        <v>21.6</v>
      </c>
      <c r="C118" s="280">
        <f>'Données projet'!E116*50+SUM('Données projet'!F116:G116)*13.8+'Données projet'!H116*10</f>
        <v>10</v>
      </c>
      <c r="D118" s="186">
        <f t="shared" si="7"/>
        <v>216</v>
      </c>
      <c r="E118" s="201"/>
      <c r="F118" s="257"/>
      <c r="G118" s="216"/>
      <c r="H118" s="198"/>
      <c r="I118" s="199"/>
      <c r="J118" s="5"/>
      <c r="K118" s="178"/>
      <c r="L118" s="5"/>
      <c r="M118" s="5"/>
      <c r="N118" s="5"/>
      <c r="O118" s="202" t="e">
        <f>IF(O117+1&lt;=MIN('Données projet'!$E$9:$E$18),O117+1,"STOP")</f>
        <v>#VALUE!</v>
      </c>
      <c r="P118" s="192" t="e">
        <f t="shared" si="6"/>
        <v>#VALUE!</v>
      </c>
      <c r="Q118" s="260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7">
        <f>'Données projet'!A117</f>
        <v>30</v>
      </c>
      <c r="B119" s="188">
        <f>'Données projet'!D117</f>
        <v>23.2</v>
      </c>
      <c r="C119" s="280">
        <f>'Données projet'!E117*50+SUM('Données projet'!F117:G117)*13.8+'Données projet'!H117*10</f>
        <v>10</v>
      </c>
      <c r="D119" s="186">
        <f t="shared" si="7"/>
        <v>232</v>
      </c>
      <c r="E119" s="201"/>
      <c r="F119" s="257"/>
      <c r="G119" s="216"/>
      <c r="H119" s="198"/>
      <c r="I119" s="199"/>
      <c r="J119" s="5"/>
      <c r="K119" s="178"/>
      <c r="L119" s="5"/>
      <c r="M119" s="5"/>
      <c r="N119" s="5"/>
      <c r="O119" s="202" t="e">
        <f>IF(O118+1&lt;=MIN('Données projet'!$E$9:$E$18),O118+1,"STOP")</f>
        <v>#VALUE!</v>
      </c>
      <c r="P119" s="192" t="e">
        <f t="shared" si="6"/>
        <v>#VALUE!</v>
      </c>
      <c r="Q119" s="260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7">
        <f>'Données projet'!A118</f>
        <v>35</v>
      </c>
      <c r="B120" s="188">
        <f>'Données projet'!D118</f>
        <v>22.9</v>
      </c>
      <c r="C120" s="280">
        <f>'Données projet'!E118*50+SUM('Données projet'!F118:G118)*13.8+'Données projet'!H118*10</f>
        <v>18</v>
      </c>
      <c r="D120" s="186">
        <f t="shared" si="7"/>
        <v>412.2</v>
      </c>
      <c r="E120" s="201"/>
      <c r="F120" s="257"/>
      <c r="G120" s="216"/>
      <c r="H120" s="198"/>
      <c r="I120" s="199"/>
      <c r="J120" s="5"/>
      <c r="K120" s="178"/>
      <c r="L120" s="5"/>
      <c r="M120" s="5"/>
      <c r="N120" s="5"/>
      <c r="O120" s="202" t="e">
        <f>IF(O119+1&lt;=MIN('Données projet'!$E$9:$E$18),O119+1,"STOP")</f>
        <v>#VALUE!</v>
      </c>
      <c r="P120" s="192" t="e">
        <f t="shared" si="6"/>
        <v>#VALUE!</v>
      </c>
      <c r="Q120" s="260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7">
        <f>'Données projet'!A119</f>
        <v>40</v>
      </c>
      <c r="B121" s="188">
        <f>'Données projet'!D119</f>
        <v>21.8</v>
      </c>
      <c r="C121" s="280">
        <f>'Données projet'!E119*50+SUM('Données projet'!F119:G119)*13.8+'Données projet'!H119*10</f>
        <v>18</v>
      </c>
      <c r="D121" s="186">
        <f t="shared" si="7"/>
        <v>392.40000000000003</v>
      </c>
      <c r="E121" s="201"/>
      <c r="F121" s="257"/>
      <c r="G121" s="216"/>
      <c r="H121" s="198"/>
      <c r="I121" s="199"/>
      <c r="J121" s="5"/>
      <c r="K121" s="178"/>
      <c r="L121" s="5"/>
      <c r="M121" s="5"/>
      <c r="N121" s="5"/>
      <c r="O121" s="202" t="e">
        <f>IF(O120+1&lt;=MIN('Données projet'!$E$9:$E$18),O120+1,"STOP")</f>
        <v>#VALUE!</v>
      </c>
      <c r="P121" s="192" t="e">
        <f t="shared" si="6"/>
        <v>#VALUE!</v>
      </c>
      <c r="Q121" s="260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7">
        <f>'Données projet'!A120</f>
        <v>45</v>
      </c>
      <c r="B122" s="188">
        <f>'Données projet'!D120</f>
        <v>20.3</v>
      </c>
      <c r="C122" s="280">
        <f>'Données projet'!E120*50+SUM('Données projet'!F120:G120)*13.8+'Données projet'!H120*10</f>
        <v>22</v>
      </c>
      <c r="D122" s="186">
        <f t="shared" si="7"/>
        <v>446.6</v>
      </c>
      <c r="E122" s="201"/>
      <c r="F122" s="257"/>
      <c r="G122" s="217"/>
      <c r="H122" s="198"/>
      <c r="I122" s="199"/>
      <c r="J122" s="5"/>
      <c r="K122" s="178"/>
      <c r="L122" s="5"/>
      <c r="M122" s="5"/>
      <c r="N122" s="5"/>
      <c r="O122" s="202" t="e">
        <f>IF(O121+1&lt;=MIN('Données projet'!$E$9:$E$18),O121+1,"STOP")</f>
        <v>#VALUE!</v>
      </c>
      <c r="P122" s="192" t="e">
        <f t="shared" si="6"/>
        <v>#VALUE!</v>
      </c>
      <c r="Q122" s="260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7">
        <f>'Données projet'!A121</f>
        <v>50</v>
      </c>
      <c r="B123" s="188">
        <f>'Données projet'!D121</f>
        <v>18.7</v>
      </c>
      <c r="C123" s="280">
        <f>'Données projet'!E121*50+SUM('Données projet'!F121:G121)*13.8+'Données projet'!H121*10</f>
        <v>22</v>
      </c>
      <c r="D123" s="186">
        <f t="shared" si="7"/>
        <v>411.4</v>
      </c>
      <c r="E123" s="201"/>
      <c r="F123" s="257"/>
      <c r="G123" s="217"/>
      <c r="H123" s="198"/>
      <c r="I123" s="199"/>
      <c r="J123" s="5"/>
      <c r="K123" s="178"/>
      <c r="L123" s="5"/>
      <c r="M123" s="5"/>
      <c r="N123" s="5"/>
      <c r="O123" s="202" t="e">
        <f>IF(O122+1&lt;=MIN('Données projet'!$E$9:$E$18),O122+1,"STOP")</f>
        <v>#VALUE!</v>
      </c>
      <c r="P123" s="192" t="e">
        <f t="shared" si="6"/>
        <v>#VALUE!</v>
      </c>
      <c r="Q123" s="260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7">
        <f>'Données projet'!A122</f>
        <v>55</v>
      </c>
      <c r="B124" s="188">
        <f>'Données projet'!D122</f>
        <v>17.100000000000001</v>
      </c>
      <c r="C124" s="280">
        <f>'Données projet'!E122*50+SUM('Données projet'!F122:G122)*13.8+'Données projet'!H122*10</f>
        <v>26</v>
      </c>
      <c r="D124" s="186">
        <f t="shared" si="7"/>
        <v>444.6</v>
      </c>
      <c r="E124" s="201"/>
      <c r="F124" s="257"/>
      <c r="G124" s="217"/>
      <c r="H124" s="198"/>
      <c r="I124" s="199"/>
      <c r="J124" s="5"/>
      <c r="K124" s="178"/>
      <c r="L124" s="5"/>
      <c r="M124" s="5"/>
      <c r="N124" s="5"/>
      <c r="O124" s="202" t="e">
        <f>IF(O123+1&lt;=MIN('Données projet'!$E$9:$E$18),O123+1,"STOP")</f>
        <v>#VALUE!</v>
      </c>
      <c r="P124" s="192" t="e">
        <f t="shared" si="6"/>
        <v>#VALUE!</v>
      </c>
      <c r="Q124" s="260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7">
        <f>'Données projet'!A123</f>
        <v>60</v>
      </c>
      <c r="B125" s="188">
        <f>'Données projet'!D123</f>
        <v>15.6</v>
      </c>
      <c r="C125" s="280">
        <f>'Données projet'!E123*50+SUM('Données projet'!F123:G123)*13.8+'Données projet'!H123*10</f>
        <v>26</v>
      </c>
      <c r="D125" s="186">
        <f t="shared" si="7"/>
        <v>405.59999999999997</v>
      </c>
      <c r="E125" s="201"/>
      <c r="F125" s="257"/>
      <c r="G125" s="217"/>
      <c r="H125" s="198"/>
      <c r="I125" s="199"/>
      <c r="J125" s="5"/>
      <c r="K125" s="178"/>
      <c r="L125" s="5"/>
      <c r="M125" s="5"/>
      <c r="N125" s="5"/>
      <c r="O125" s="202" t="e">
        <f>IF(O124+1&lt;=MIN('Données projet'!$E$9:$E$18),O124+1,"STOP")</f>
        <v>#VALUE!</v>
      </c>
      <c r="P125" s="192" t="e">
        <f t="shared" si="6"/>
        <v>#VALUE!</v>
      </c>
      <c r="Q125" s="260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7">
        <f>'Données projet'!A124</f>
        <v>65</v>
      </c>
      <c r="B126" s="188">
        <f>'Données projet'!D124</f>
        <v>14.2</v>
      </c>
      <c r="C126" s="280">
        <f>'Données projet'!E124*50+SUM('Données projet'!F124:G124)*13.8+'Données projet'!H124*10</f>
        <v>30</v>
      </c>
      <c r="D126" s="186">
        <f t="shared" si="7"/>
        <v>426</v>
      </c>
      <c r="E126" s="201"/>
      <c r="F126" s="257"/>
      <c r="G126" s="217"/>
      <c r="H126" s="198"/>
      <c r="I126" s="199"/>
      <c r="J126" s="5"/>
      <c r="K126" s="178"/>
      <c r="L126" s="5"/>
      <c r="M126" s="5"/>
      <c r="N126" s="5"/>
      <c r="O126" s="202" t="e">
        <f>IF(O125+1&lt;=MIN('Données projet'!$E$9:$E$18),O125+1,"STOP")</f>
        <v>#VALUE!</v>
      </c>
      <c r="P126" s="192" t="e">
        <f t="shared" si="6"/>
        <v>#VALUE!</v>
      </c>
      <c r="Q126" s="260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7">
        <f>'Données projet'!A125</f>
        <v>70</v>
      </c>
      <c r="B127" s="188">
        <f>'Données projet'!D125</f>
        <v>12.9</v>
      </c>
      <c r="C127" s="280">
        <f>'Données projet'!E125*50+SUM('Données projet'!F125:G125)*13.8+'Données projet'!H125*10</f>
        <v>30</v>
      </c>
      <c r="D127" s="186">
        <f t="shared" si="7"/>
        <v>387</v>
      </c>
      <c r="E127" s="201"/>
      <c r="F127" s="257"/>
      <c r="G127" s="217"/>
      <c r="H127" s="198"/>
      <c r="I127" s="199"/>
      <c r="J127" s="5"/>
      <c r="K127" s="178"/>
      <c r="L127" s="5"/>
      <c r="M127" s="5"/>
      <c r="N127" s="5"/>
      <c r="O127" s="202" t="e">
        <f>IF(O126+1&lt;=MIN('Données projet'!$E$9:$E$18),O126+1,"STOP")</f>
        <v>#VALUE!</v>
      </c>
      <c r="P127" s="192" t="e">
        <f t="shared" si="6"/>
        <v>#VALUE!</v>
      </c>
      <c r="Q127" s="260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7">
        <f>'Données projet'!A126</f>
        <v>75</v>
      </c>
      <c r="B128" s="188">
        <f>'Données projet'!D126</f>
        <v>11.7</v>
      </c>
      <c r="C128" s="280">
        <f>'Données projet'!E126*50+SUM('Données projet'!F126:G126)*13.8+'Données projet'!H126*10</f>
        <v>34</v>
      </c>
      <c r="D128" s="186">
        <f t="shared" si="7"/>
        <v>397.79999999999995</v>
      </c>
      <c r="E128" s="201"/>
      <c r="F128" s="257"/>
      <c r="G128" s="217"/>
      <c r="H128" s="198"/>
      <c r="I128" s="199"/>
      <c r="J128" s="5"/>
      <c r="K128" s="178"/>
      <c r="L128" s="5"/>
      <c r="M128" s="5"/>
      <c r="N128" s="5"/>
      <c r="O128" s="202" t="e">
        <f>IF(O127+1&lt;=MIN('Données projet'!$E$9:$E$18),O127+1,"STOP")</f>
        <v>#VALUE!</v>
      </c>
      <c r="P128" s="192" t="e">
        <f t="shared" si="6"/>
        <v>#VALUE!</v>
      </c>
      <c r="Q128" s="260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7">
        <f>'Données projet'!A127</f>
        <v>80</v>
      </c>
      <c r="B129" s="188">
        <f>'Données projet'!D127</f>
        <v>10.6</v>
      </c>
      <c r="C129" s="280">
        <f>'Données projet'!E127*50+SUM('Données projet'!F127:G127)*13.8+'Données projet'!H127*10</f>
        <v>34</v>
      </c>
      <c r="D129" s="186">
        <f t="shared" si="7"/>
        <v>360.4</v>
      </c>
      <c r="E129" s="201"/>
      <c r="F129" s="257"/>
      <c r="G129" s="217"/>
      <c r="H129" s="198"/>
      <c r="I129" s="199"/>
      <c r="J129" s="5"/>
      <c r="K129" s="178"/>
      <c r="L129" s="5"/>
      <c r="M129" s="5"/>
      <c r="N129" s="5"/>
      <c r="O129" s="202" t="e">
        <f>IF(O128+1&lt;=MIN('Données projet'!$E$9:$E$18),O128+1,"STOP")</f>
        <v>#VALUE!</v>
      </c>
      <c r="P129" s="192" t="e">
        <f>$P$25/(1+$M$4)^O129</f>
        <v>#VALUE!</v>
      </c>
      <c r="Q129" s="260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7">
        <f>'Données projet'!A128</f>
        <v>85</v>
      </c>
      <c r="B130" s="188">
        <f>'Données projet'!D128</f>
        <v>9.6</v>
      </c>
      <c r="C130" s="280">
        <f>'Données projet'!E128*50+SUM('Données projet'!F128:G128)*13.8+'Données projet'!H128*10</f>
        <v>38</v>
      </c>
      <c r="D130" s="186">
        <f t="shared" si="7"/>
        <v>364.8</v>
      </c>
      <c r="E130" s="201"/>
      <c r="F130" s="257"/>
      <c r="G130" s="217"/>
      <c r="H130" s="198"/>
      <c r="I130" s="199"/>
      <c r="J130" s="5"/>
      <c r="K130" s="178"/>
      <c r="L130" s="5"/>
      <c r="M130" s="5"/>
      <c r="N130" s="5"/>
      <c r="O130" s="202" t="e">
        <f>IF(O129+1&lt;=MIN('Données projet'!$E$9:$E$18),O129+1,"STOP")</f>
        <v>#VALUE!</v>
      </c>
      <c r="P130" s="192" t="e">
        <f>$P$25/(1+$M$4)^O130</f>
        <v>#VALUE!</v>
      </c>
      <c r="Q130" s="260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7">
        <f>'Données projet'!A129</f>
        <v>90</v>
      </c>
      <c r="B131" s="188">
        <f>'Données projet'!D129</f>
        <v>567</v>
      </c>
      <c r="C131" s="280">
        <f>'Données projet'!E129*50+SUM('Données projet'!F129:G129)*13.8+'Données projet'!H129*10</f>
        <v>42</v>
      </c>
      <c r="D131" s="186">
        <f t="shared" si="7"/>
        <v>23814</v>
      </c>
      <c r="E131" s="201"/>
      <c r="F131" s="257"/>
      <c r="G131" s="217"/>
      <c r="H131" s="198"/>
      <c r="I131" s="199"/>
      <c r="J131" s="5"/>
      <c r="K131" s="178"/>
      <c r="L131" s="5"/>
      <c r="M131" s="5"/>
      <c r="N131" s="5"/>
      <c r="O131" s="202" t="e">
        <f>IF(O130+1&lt;=MIN('Données projet'!$E$9:$E$18),O130+1,"STOP")</f>
        <v>#VALUE!</v>
      </c>
      <c r="P131" s="192" t="e">
        <f>$P$25/(1+$M$4)^O131</f>
        <v>#VALUE!</v>
      </c>
      <c r="Q131" s="260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7">
        <f>'Données projet'!A130</f>
        <v>0</v>
      </c>
      <c r="B132" s="188">
        <f>'Données projet'!D130</f>
        <v>0</v>
      </c>
      <c r="C132" s="280">
        <f>'Données projet'!E130*50+SUM('Données projet'!F130:G130)*13.8+'Données projet'!H130*10</f>
        <v>0</v>
      </c>
      <c r="D132" s="186">
        <f t="shared" si="7"/>
        <v>0</v>
      </c>
      <c r="E132" s="201"/>
      <c r="F132" s="257"/>
      <c r="G132" s="217"/>
      <c r="H132" s="198"/>
      <c r="I132" s="199"/>
      <c r="J132" s="5"/>
      <c r="K132" s="178"/>
      <c r="L132" s="5"/>
      <c r="M132" s="5"/>
      <c r="N132" s="5"/>
      <c r="O132" s="202" t="e">
        <f>IF(O131+1&lt;=MIN('Données projet'!$E$9:$E$18),O131+1,"STOP")</f>
        <v>#VALUE!</v>
      </c>
      <c r="P132" s="192" t="e">
        <f>$P$25/(1+$M$4)^O132</f>
        <v>#VALUE!</v>
      </c>
      <c r="Q132" s="260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7">
        <f>'Données projet'!A131</f>
        <v>0</v>
      </c>
      <c r="B133" s="188">
        <f>'Données projet'!D131</f>
        <v>0</v>
      </c>
      <c r="C133" s="280">
        <f>'Données projet'!E131*50+SUM('Données projet'!F131:G131)*13.8+'Données projet'!H131*10</f>
        <v>0</v>
      </c>
      <c r="D133" s="186">
        <f t="shared" si="7"/>
        <v>0</v>
      </c>
      <c r="E133" s="201"/>
      <c r="F133" s="257"/>
      <c r="G133" s="217"/>
      <c r="H133" s="198"/>
      <c r="I133" s="199"/>
      <c r="J133" s="5"/>
      <c r="K133" s="178"/>
      <c r="Q133" s="260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7">
        <f>'Données projet'!A132</f>
        <v>0</v>
      </c>
      <c r="B134" s="188">
        <f>'Données projet'!D132</f>
        <v>0</v>
      </c>
      <c r="C134" s="280">
        <f>'Données projet'!E132*50+SUM('Données projet'!F132:G132)*13.8+'Données projet'!H132*10</f>
        <v>0</v>
      </c>
      <c r="D134" s="186">
        <f t="shared" si="7"/>
        <v>0</v>
      </c>
      <c r="E134" s="201"/>
      <c r="F134" s="257"/>
      <c r="G134" s="217"/>
      <c r="H134" s="198"/>
      <c r="I134" s="199"/>
      <c r="J134" s="5"/>
      <c r="K134" s="178"/>
      <c r="Q134" s="260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7">
        <f>'Données projet'!A133</f>
        <v>0</v>
      </c>
      <c r="B135" s="188">
        <f>'Données projet'!D133</f>
        <v>0</v>
      </c>
      <c r="C135" s="280">
        <f>'Données projet'!E133*50+SUM('Données projet'!F133:G133)*13.8+'Données projet'!H133*10</f>
        <v>0</v>
      </c>
      <c r="D135" s="186">
        <f t="shared" si="7"/>
        <v>0</v>
      </c>
      <c r="E135" s="201"/>
      <c r="F135" s="257"/>
      <c r="G135" s="217"/>
      <c r="H135" s="198"/>
      <c r="I135" s="199"/>
      <c r="J135" s="5"/>
      <c r="K135" s="178"/>
      <c r="Q135" s="260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5"/>
      <c r="G136" s="217"/>
      <c r="H136" s="198"/>
      <c r="I136" s="199"/>
      <c r="J136" s="5"/>
      <c r="K136" s="178"/>
      <c r="L136" s="5"/>
      <c r="M136" s="5"/>
      <c r="N136" s="5"/>
      <c r="Q136" s="260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5"/>
      <c r="G137" s="217"/>
      <c r="H137" s="198"/>
      <c r="I137" s="199"/>
      <c r="J137" s="5"/>
      <c r="K137" s="178"/>
      <c r="L137" s="5"/>
      <c r="M137" s="5"/>
      <c r="N137" s="5"/>
      <c r="Q137" s="260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1" t="str">
        <f>IF('Données projet'!B13="","",'Données projet'!B13)</f>
        <v>Alisier torminal</v>
      </c>
      <c r="C138" s="5"/>
      <c r="D138" s="5"/>
      <c r="E138" s="5"/>
      <c r="F138" s="255"/>
      <c r="G138" s="217"/>
      <c r="H138" s="198"/>
      <c r="I138" s="199"/>
      <c r="J138" s="5"/>
      <c r="K138" s="178"/>
      <c r="L138" s="5"/>
      <c r="M138" s="5"/>
      <c r="N138" s="5"/>
      <c r="Q138" s="260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5"/>
      <c r="G139" s="217"/>
      <c r="H139" s="198"/>
      <c r="I139" s="199"/>
      <c r="J139" s="5"/>
      <c r="K139" s="178"/>
      <c r="L139" s="5"/>
      <c r="M139" s="5"/>
      <c r="N139" s="5"/>
      <c r="Q139" s="260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1" t="s">
        <v>180</v>
      </c>
      <c r="B140" s="51" t="s">
        <v>256</v>
      </c>
      <c r="C140" s="51" t="s">
        <v>255</v>
      </c>
      <c r="D140" s="251" t="s">
        <v>252</v>
      </c>
      <c r="E140" s="251" t="s">
        <v>287</v>
      </c>
      <c r="F140" s="256"/>
      <c r="G140" s="217"/>
      <c r="H140" s="198"/>
      <c r="I140" s="199"/>
      <c r="J140" s="5"/>
      <c r="K140" s="178"/>
      <c r="L140" s="5"/>
      <c r="M140" s="5"/>
      <c r="N140" s="5"/>
      <c r="Q140" s="260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4">
        <v>0</v>
      </c>
      <c r="B141" s="207" t="s">
        <v>132</v>
      </c>
      <c r="C141" s="206" t="s">
        <v>132</v>
      </c>
      <c r="D141" s="205" t="s">
        <v>132</v>
      </c>
      <c r="E141" s="201">
        <v>2678</v>
      </c>
      <c r="F141" s="256"/>
      <c r="G141" s="217"/>
      <c r="H141" s="198"/>
      <c r="I141" s="199"/>
      <c r="J141" s="5"/>
      <c r="K141" s="178"/>
      <c r="L141" s="5"/>
      <c r="M141" s="5"/>
      <c r="N141" s="5"/>
      <c r="Q141" s="260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4">
        <v>1</v>
      </c>
      <c r="B142" s="207" t="s">
        <v>132</v>
      </c>
      <c r="C142" s="206" t="s">
        <v>132</v>
      </c>
      <c r="D142" s="205" t="s">
        <v>132</v>
      </c>
      <c r="E142" s="201"/>
      <c r="F142" s="256"/>
      <c r="G142" s="215"/>
      <c r="H142" s="198"/>
      <c r="I142" s="199"/>
      <c r="J142" s="5"/>
      <c r="K142" s="178"/>
      <c r="L142" s="5"/>
      <c r="M142" s="5"/>
      <c r="N142" s="5"/>
      <c r="Q142" s="260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4">
        <v>2</v>
      </c>
      <c r="B143" s="207" t="s">
        <v>132</v>
      </c>
      <c r="C143" s="206" t="s">
        <v>132</v>
      </c>
      <c r="D143" s="205" t="s">
        <v>132</v>
      </c>
      <c r="E143" s="201"/>
      <c r="F143" s="256"/>
      <c r="G143" s="215"/>
      <c r="H143" s="198"/>
      <c r="I143" s="199"/>
      <c r="J143" s="5"/>
      <c r="K143" s="178"/>
      <c r="L143" s="5"/>
      <c r="M143" s="5"/>
      <c r="N143" s="5"/>
      <c r="Q143" s="260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4">
        <v>3</v>
      </c>
      <c r="B144" s="207" t="s">
        <v>132</v>
      </c>
      <c r="C144" s="206" t="s">
        <v>132</v>
      </c>
      <c r="D144" s="205" t="s">
        <v>132</v>
      </c>
      <c r="E144" s="201"/>
      <c r="F144" s="256"/>
      <c r="G144" s="215"/>
      <c r="H144" s="198"/>
      <c r="I144" s="199"/>
      <c r="J144" s="5"/>
      <c r="K144" s="178"/>
      <c r="L144" s="5"/>
      <c r="M144" s="5"/>
      <c r="N144" s="5"/>
      <c r="Q144" s="260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4">
        <v>4</v>
      </c>
      <c r="B145" s="207" t="s">
        <v>132</v>
      </c>
      <c r="C145" s="206" t="s">
        <v>132</v>
      </c>
      <c r="D145" s="205" t="s">
        <v>132</v>
      </c>
      <c r="E145" s="201"/>
      <c r="F145" s="256"/>
      <c r="G145" s="215"/>
      <c r="H145" s="198"/>
      <c r="I145" s="199"/>
      <c r="J145" s="5"/>
      <c r="K145" s="178"/>
      <c r="L145" s="5"/>
      <c r="M145" s="5"/>
      <c r="N145" s="5"/>
      <c r="Q145" s="260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4">
        <v>5</v>
      </c>
      <c r="B146" s="207" t="s">
        <v>132</v>
      </c>
      <c r="C146" s="206" t="s">
        <v>132</v>
      </c>
      <c r="D146" s="205" t="s">
        <v>132</v>
      </c>
      <c r="E146" s="201"/>
      <c r="F146" s="256"/>
      <c r="G146" s="216"/>
      <c r="H146" s="198"/>
      <c r="I146" s="199"/>
      <c r="J146" s="5"/>
      <c r="K146" s="178"/>
      <c r="L146" s="5"/>
      <c r="M146" s="5"/>
      <c r="N146" s="5"/>
      <c r="Q146" s="260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42</v>
      </c>
      <c r="B147" s="182">
        <f>'Données projet'!D140</f>
        <v>30</v>
      </c>
      <c r="C147" s="199">
        <f>'Données projet'!E140*300+SUM('Données projet'!F140:G140)*13.8+'Données projet'!H140*10</f>
        <v>68</v>
      </c>
      <c r="D147" s="189">
        <f>B147*C147</f>
        <v>2040</v>
      </c>
      <c r="E147" s="201"/>
      <c r="F147" s="258"/>
      <c r="G147" s="216"/>
      <c r="H147" s="198"/>
      <c r="I147" s="199"/>
      <c r="J147" s="5"/>
      <c r="K147" s="178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50</v>
      </c>
      <c r="B148" s="182">
        <f>'Données projet'!D141</f>
        <v>35</v>
      </c>
      <c r="C148" s="199">
        <f>'Données projet'!E141*300+SUM('Données projet'!F141:G141)*13.8+'Données projet'!H141*10</f>
        <v>68</v>
      </c>
      <c r="D148" s="189">
        <f t="shared" ref="D148:D166" si="8">B148*C148</f>
        <v>2380</v>
      </c>
      <c r="E148" s="201"/>
      <c r="F148" s="258"/>
      <c r="G148" s="216"/>
      <c r="H148" s="198"/>
      <c r="I148" s="199"/>
      <c r="J148" s="5"/>
      <c r="K148" s="178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58</v>
      </c>
      <c r="B149" s="182">
        <f>'Données projet'!D142</f>
        <v>44</v>
      </c>
      <c r="C149" s="199">
        <f>'Données projet'!E142*300+SUM('Données projet'!F142:G142)*13.8+'Données projet'!H142*10</f>
        <v>97</v>
      </c>
      <c r="D149" s="189">
        <f t="shared" si="8"/>
        <v>4268</v>
      </c>
      <c r="E149" s="201"/>
      <c r="F149" s="258"/>
      <c r="G149" s="216"/>
      <c r="H149" s="198"/>
      <c r="I149" s="199"/>
      <c r="J149" s="5"/>
      <c r="K149" s="178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66</v>
      </c>
      <c r="B150" s="182">
        <f>'Données projet'!D143</f>
        <v>38</v>
      </c>
      <c r="C150" s="199">
        <f>'Données projet'!E143*300+SUM('Données projet'!F143:G143)*13.8+'Données projet'!H143*10</f>
        <v>97</v>
      </c>
      <c r="D150" s="189">
        <f t="shared" si="8"/>
        <v>3686</v>
      </c>
      <c r="E150" s="201"/>
      <c r="F150" s="258"/>
      <c r="G150" s="216"/>
      <c r="H150" s="198"/>
      <c r="I150" s="199"/>
      <c r="J150" s="5"/>
      <c r="K150" s="178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75</v>
      </c>
      <c r="B151" s="182">
        <f>'Données projet'!D144</f>
        <v>37</v>
      </c>
      <c r="C151" s="199">
        <f>'Données projet'!E144*300+SUM('Données projet'!F144:G144)*13.8+'Données projet'!H144*10</f>
        <v>126</v>
      </c>
      <c r="D151" s="189">
        <f t="shared" si="8"/>
        <v>4662</v>
      </c>
      <c r="E151" s="201"/>
      <c r="F151" s="258"/>
      <c r="G151" s="216"/>
      <c r="H151" s="198"/>
      <c r="I151" s="199"/>
      <c r="J151" s="5"/>
      <c r="K151" s="178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84</v>
      </c>
      <c r="B152" s="182">
        <f>'Données projet'!D145</f>
        <v>36</v>
      </c>
      <c r="C152" s="199">
        <f>'Données projet'!E145*300+SUM('Données projet'!F145:G145)*13.8+'Données projet'!H145*10</f>
        <v>126</v>
      </c>
      <c r="D152" s="189">
        <f t="shared" si="8"/>
        <v>4536</v>
      </c>
      <c r="E152" s="201"/>
      <c r="F152" s="258"/>
      <c r="G152" s="216"/>
      <c r="H152" s="198"/>
      <c r="I152" s="199"/>
      <c r="J152" s="5"/>
      <c r="K152" s="178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93</v>
      </c>
      <c r="B153" s="182">
        <f>'Données projet'!D146</f>
        <v>34</v>
      </c>
      <c r="C153" s="199">
        <f>'Données projet'!E146*300+SUM('Données projet'!F146:G146)*13.8+'Données projet'!H146*10</f>
        <v>155</v>
      </c>
      <c r="D153" s="189">
        <f t="shared" si="8"/>
        <v>5270</v>
      </c>
      <c r="E153" s="201"/>
      <c r="F153" s="258"/>
      <c r="G153" s="212"/>
      <c r="H153" s="198"/>
      <c r="I153" s="199"/>
      <c r="J153" s="5"/>
      <c r="K153" s="178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103</v>
      </c>
      <c r="B154" s="182">
        <f>'Données projet'!D147</f>
        <v>38</v>
      </c>
      <c r="C154" s="199">
        <f>'Données projet'!E147*300+SUM('Données projet'!F147:G147)*13.8+'Données projet'!H147*10</f>
        <v>155</v>
      </c>
      <c r="D154" s="189">
        <f t="shared" si="8"/>
        <v>5890</v>
      </c>
      <c r="E154" s="201"/>
      <c r="F154" s="258"/>
      <c r="G154" s="212"/>
      <c r="H154" s="198"/>
      <c r="I154" s="199"/>
      <c r="J154" s="5"/>
      <c r="K154" s="178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113</v>
      </c>
      <c r="B155" s="182">
        <f>'Données projet'!D148</f>
        <v>42</v>
      </c>
      <c r="C155" s="199">
        <f>'Données projet'!E148*300+SUM('Données projet'!F148:G148)*13.8+'Données projet'!H148*10</f>
        <v>184</v>
      </c>
      <c r="D155" s="189">
        <f t="shared" si="8"/>
        <v>7728</v>
      </c>
      <c r="E155" s="201"/>
      <c r="F155" s="258"/>
      <c r="G155" s="212"/>
      <c r="H155" s="198"/>
      <c r="I155" s="199"/>
      <c r="J155" s="5"/>
      <c r="K155" s="178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123</v>
      </c>
      <c r="B156" s="182">
        <f>'Données projet'!D149</f>
        <v>45</v>
      </c>
      <c r="C156" s="199">
        <f>'Données projet'!E149*300+SUM('Données projet'!F149:G149)*13.8+'Données projet'!H149*10</f>
        <v>184</v>
      </c>
      <c r="D156" s="189">
        <f t="shared" si="8"/>
        <v>8280</v>
      </c>
      <c r="E156" s="201"/>
      <c r="F156" s="258"/>
      <c r="G156" s="212"/>
      <c r="H156" s="198"/>
      <c r="I156" s="199"/>
      <c r="J156" s="5"/>
      <c r="K156" s="178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135</v>
      </c>
      <c r="B157" s="182">
        <f>'Données projet'!D150</f>
        <v>48</v>
      </c>
      <c r="C157" s="199">
        <f>'Données projet'!E150*300+SUM('Données projet'!F150:G150)*13.8+'Données projet'!H150*10</f>
        <v>213</v>
      </c>
      <c r="D157" s="189">
        <f t="shared" si="8"/>
        <v>10224</v>
      </c>
      <c r="E157" s="201"/>
      <c r="F157" s="258"/>
      <c r="G157" s="212"/>
      <c r="H157" s="198"/>
      <c r="I157" s="199"/>
      <c r="J157" s="5"/>
      <c r="K157" s="178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147</v>
      </c>
      <c r="B158" s="182">
        <f>'Données projet'!D151</f>
        <v>48</v>
      </c>
      <c r="C158" s="199">
        <f>'Données projet'!E151*300+SUM('Données projet'!F151:G151)*13.8+'Données projet'!H151*10</f>
        <v>213</v>
      </c>
      <c r="D158" s="189">
        <f t="shared" si="8"/>
        <v>10224</v>
      </c>
      <c r="E158" s="201"/>
      <c r="F158" s="258"/>
      <c r="G158" s="212"/>
      <c r="H158" s="198"/>
      <c r="I158" s="199"/>
      <c r="J158" s="5"/>
      <c r="K158" s="178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159</v>
      </c>
      <c r="B159" s="182">
        <f>'Données projet'!D152</f>
        <v>48</v>
      </c>
      <c r="C159" s="199">
        <f>'Données projet'!E152*300+SUM('Données projet'!F152:G152)*13.8+'Données projet'!H152*10</f>
        <v>242</v>
      </c>
      <c r="D159" s="189">
        <f t="shared" si="8"/>
        <v>11616</v>
      </c>
      <c r="E159" s="201"/>
      <c r="F159" s="258"/>
      <c r="G159" s="212"/>
      <c r="H159" s="198"/>
      <c r="I159" s="199"/>
      <c r="J159" s="5"/>
      <c r="K159" s="178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171</v>
      </c>
      <c r="B160" s="182">
        <f>'Données projet'!D153</f>
        <v>0</v>
      </c>
      <c r="C160" s="199">
        <f>'Données projet'!E153*300+SUM('Données projet'!F153:G153)*13.8+'Données projet'!H153*10</f>
        <v>242</v>
      </c>
      <c r="D160" s="189">
        <f t="shared" si="8"/>
        <v>0</v>
      </c>
      <c r="E160" s="201"/>
      <c r="F160" s="258"/>
      <c r="G160" s="212"/>
      <c r="H160" s="198"/>
      <c r="I160" s="199"/>
      <c r="J160" s="5"/>
      <c r="K160" s="178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180</v>
      </c>
      <c r="B161" s="182">
        <f>'Données projet'!D154</f>
        <v>399</v>
      </c>
      <c r="C161" s="199">
        <f>'Données projet'!E154*300+SUM('Données projet'!F154:G154)*13.8+'Données projet'!H154*10</f>
        <v>242</v>
      </c>
      <c r="D161" s="189">
        <f t="shared" si="8"/>
        <v>96558</v>
      </c>
      <c r="E161" s="201"/>
      <c r="F161" s="258"/>
      <c r="G161" s="212"/>
      <c r="H161" s="198"/>
      <c r="I161" s="199"/>
      <c r="J161" s="5"/>
      <c r="K161" s="178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2">
        <f>'Données projet'!D155</f>
        <v>0</v>
      </c>
      <c r="C162" s="199">
        <f>'Données projet'!E155*300+SUM('Données projet'!F155:G155)*13.8+'Données projet'!H155*10</f>
        <v>0</v>
      </c>
      <c r="D162" s="189">
        <f t="shared" si="8"/>
        <v>0</v>
      </c>
      <c r="E162" s="201"/>
      <c r="F162" s="258"/>
      <c r="G162" s="212"/>
      <c r="H162" s="198"/>
      <c r="I162" s="199"/>
      <c r="J162" s="5"/>
      <c r="K162" s="178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2">
        <f>'Données projet'!D156</f>
        <v>0</v>
      </c>
      <c r="C163" s="199">
        <f>'Données projet'!E156*300+SUM('Données projet'!F156:G156)*13.8+'Données projet'!H156*10</f>
        <v>0</v>
      </c>
      <c r="D163" s="189">
        <f t="shared" si="8"/>
        <v>0</v>
      </c>
      <c r="E163" s="201"/>
      <c r="F163" s="258"/>
      <c r="G163" s="212"/>
      <c r="H163" s="198"/>
      <c r="I163" s="199"/>
      <c r="J163" s="5"/>
      <c r="K163" s="178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2">
        <f>'Données projet'!D157</f>
        <v>0</v>
      </c>
      <c r="C164" s="199">
        <f>'Données projet'!E157*300+SUM('Données projet'!F157:G157)*13.8+'Données projet'!H157*10</f>
        <v>0</v>
      </c>
      <c r="D164" s="189">
        <f t="shared" si="8"/>
        <v>0</v>
      </c>
      <c r="E164" s="201"/>
      <c r="F164" s="258"/>
      <c r="G164" s="212"/>
      <c r="H164" s="198"/>
      <c r="I164" s="199"/>
      <c r="J164" s="5"/>
      <c r="K164" s="178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2">
        <f>'Données projet'!D158</f>
        <v>0</v>
      </c>
      <c r="C165" s="199">
        <f>'Données projet'!E158*300+SUM('Données projet'!F158:G158)*13.8+'Données projet'!H158*10</f>
        <v>0</v>
      </c>
      <c r="D165" s="189">
        <f t="shared" si="8"/>
        <v>0</v>
      </c>
      <c r="E165" s="201"/>
      <c r="F165" s="258"/>
      <c r="G165" s="212"/>
      <c r="H165" s="198"/>
      <c r="I165" s="199"/>
      <c r="J165" s="5"/>
      <c r="K165" s="178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2">
        <f>'Données projet'!D159</f>
        <v>0</v>
      </c>
      <c r="C166" s="199">
        <f>'Données projet'!E159*300+SUM('Données projet'!F159:G159)*13.8+'Données projet'!H159*10</f>
        <v>0</v>
      </c>
      <c r="D166" s="189">
        <f t="shared" si="8"/>
        <v>0</v>
      </c>
      <c r="E166" s="201"/>
      <c r="F166" s="258"/>
      <c r="G166" s="212"/>
      <c r="H166" s="198"/>
      <c r="I166" s="199"/>
      <c r="J166" s="5"/>
      <c r="K166" s="178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5"/>
      <c r="G167" s="212"/>
      <c r="H167" s="198"/>
      <c r="I167" s="199"/>
      <c r="J167" s="5"/>
      <c r="K167" s="178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5"/>
      <c r="G168" s="212"/>
      <c r="H168" s="198"/>
      <c r="I168" s="199"/>
      <c r="J168" s="5"/>
      <c r="K168" s="178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1" t="str">
        <f>IF('Données projet'!B14="","",'Données projet'!B14)</f>
        <v>Merisier</v>
      </c>
      <c r="C169" s="5"/>
      <c r="D169" s="5"/>
      <c r="E169" s="5"/>
      <c r="F169" s="255"/>
      <c r="G169" s="212"/>
      <c r="H169" s="198"/>
      <c r="I169" s="199"/>
      <c r="J169" s="5"/>
      <c r="K169" s="178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5"/>
      <c r="G170" s="212"/>
      <c r="H170" s="198"/>
      <c r="I170" s="199"/>
      <c r="J170" s="5"/>
      <c r="K170" s="178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1" t="s">
        <v>180</v>
      </c>
      <c r="B171" s="51" t="s">
        <v>256</v>
      </c>
      <c r="C171" s="51" t="s">
        <v>255</v>
      </c>
      <c r="D171" s="251" t="s">
        <v>252</v>
      </c>
      <c r="E171" s="251" t="s">
        <v>287</v>
      </c>
      <c r="F171" s="256"/>
      <c r="G171" s="212"/>
      <c r="H171" s="198"/>
      <c r="I171" s="199"/>
      <c r="J171" s="5"/>
      <c r="K171" s="178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4">
        <v>0</v>
      </c>
      <c r="B172" s="207" t="s">
        <v>132</v>
      </c>
      <c r="C172" s="206" t="s">
        <v>132</v>
      </c>
      <c r="D172" s="205" t="s">
        <v>132</v>
      </c>
      <c r="E172" s="201">
        <v>1794</v>
      </c>
      <c r="F172" s="256"/>
      <c r="G172" s="212"/>
      <c r="H172" s="198"/>
      <c r="I172" s="199"/>
      <c r="J172" s="5"/>
      <c r="K172" s="178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4">
        <v>1</v>
      </c>
      <c r="B173" s="207" t="s">
        <v>132</v>
      </c>
      <c r="C173" s="206" t="s">
        <v>132</v>
      </c>
      <c r="D173" s="205" t="s">
        <v>132</v>
      </c>
      <c r="E173" s="201"/>
      <c r="F173" s="256"/>
      <c r="G173" s="215"/>
      <c r="H173" s="198"/>
      <c r="I173" s="199"/>
      <c r="J173" s="5"/>
      <c r="K173" s="178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4">
        <v>2</v>
      </c>
      <c r="B174" s="207" t="s">
        <v>132</v>
      </c>
      <c r="C174" s="206" t="s">
        <v>132</v>
      </c>
      <c r="D174" s="205" t="s">
        <v>132</v>
      </c>
      <c r="E174" s="201"/>
      <c r="F174" s="256"/>
      <c r="G174" s="215"/>
      <c r="H174" s="198"/>
      <c r="I174" s="199"/>
      <c r="J174" s="5"/>
      <c r="K174" s="178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4">
        <v>3</v>
      </c>
      <c r="B175" s="207" t="s">
        <v>132</v>
      </c>
      <c r="C175" s="206" t="s">
        <v>132</v>
      </c>
      <c r="D175" s="205" t="s">
        <v>132</v>
      </c>
      <c r="E175" s="201"/>
      <c r="F175" s="256"/>
      <c r="G175" s="215"/>
      <c r="H175" s="198"/>
      <c r="I175" s="199"/>
      <c r="J175" s="5"/>
      <c r="K175" s="178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4">
        <v>4</v>
      </c>
      <c r="B176" s="207" t="s">
        <v>132</v>
      </c>
      <c r="C176" s="206" t="s">
        <v>132</v>
      </c>
      <c r="D176" s="205" t="s">
        <v>132</v>
      </c>
      <c r="E176" s="201"/>
      <c r="F176" s="256"/>
      <c r="G176" s="215"/>
      <c r="H176" s="198"/>
      <c r="I176" s="199"/>
      <c r="J176" s="5"/>
      <c r="K176" s="178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4">
        <v>5</v>
      </c>
      <c r="B177" s="207" t="s">
        <v>132</v>
      </c>
      <c r="C177" s="206" t="s">
        <v>132</v>
      </c>
      <c r="D177" s="205" t="s">
        <v>132</v>
      </c>
      <c r="E177" s="201"/>
      <c r="F177" s="256"/>
      <c r="G177" s="216"/>
      <c r="H177" s="198"/>
      <c r="I177" s="199"/>
      <c r="J177" s="5"/>
      <c r="K177" s="178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7">
        <f>'Données projet'!A166</f>
        <v>15</v>
      </c>
      <c r="B178" s="188">
        <f>'Données projet'!D166</f>
        <v>0</v>
      </c>
      <c r="C178" s="201">
        <f>'Données projet'!E166*80+SUM('Données projet'!F166:G166)*13.8+'Données projet'!H166*10</f>
        <v>10</v>
      </c>
      <c r="D178" s="186">
        <f>B178*C178</f>
        <v>0</v>
      </c>
      <c r="E178" s="201"/>
      <c r="F178" s="257"/>
      <c r="G178" s="216"/>
      <c r="H178" s="198"/>
      <c r="I178" s="199"/>
      <c r="J178" s="5"/>
      <c r="K178" s="178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7">
        <f>'Données projet'!A167</f>
        <v>20</v>
      </c>
      <c r="B179" s="188">
        <f>'Données projet'!D167</f>
        <v>15.7</v>
      </c>
      <c r="C179" s="201">
        <f>'Données projet'!E167*80+SUM('Données projet'!F167:G167)*13.8+'Données projet'!H167*10</f>
        <v>10</v>
      </c>
      <c r="D179" s="186">
        <f t="shared" ref="D179:D197" si="9">B179*C179</f>
        <v>157</v>
      </c>
      <c r="E179" s="201"/>
      <c r="F179" s="257"/>
      <c r="G179" s="216"/>
      <c r="H179" s="198"/>
      <c r="I179" s="199"/>
      <c r="J179" s="5"/>
      <c r="K179" s="178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7">
        <f>'Données projet'!A168</f>
        <v>25</v>
      </c>
      <c r="B180" s="188">
        <f>'Données projet'!D168</f>
        <v>21.6</v>
      </c>
      <c r="C180" s="201">
        <f>'Données projet'!E168*80+SUM('Données projet'!F168:G168)*13.8+'Données projet'!H168*10</f>
        <v>10</v>
      </c>
      <c r="D180" s="186">
        <f t="shared" si="9"/>
        <v>216</v>
      </c>
      <c r="E180" s="201"/>
      <c r="F180" s="257"/>
      <c r="G180" s="216"/>
      <c r="H180" s="198"/>
      <c r="I180" s="199"/>
      <c r="J180" s="5"/>
      <c r="K180" s="178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7">
        <f>'Données projet'!A169</f>
        <v>30</v>
      </c>
      <c r="B181" s="188">
        <f>'Données projet'!D169</f>
        <v>23.2</v>
      </c>
      <c r="C181" s="201">
        <f>'Données projet'!E169*80+SUM('Données projet'!F169:G169)*13.8+'Données projet'!H169*10</f>
        <v>10</v>
      </c>
      <c r="D181" s="186">
        <f t="shared" si="9"/>
        <v>232</v>
      </c>
      <c r="E181" s="201"/>
      <c r="F181" s="257"/>
      <c r="G181" s="216"/>
      <c r="H181" s="198"/>
      <c r="I181" s="199"/>
      <c r="J181" s="5"/>
      <c r="K181" s="178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7">
        <f>'Données projet'!A170</f>
        <v>35</v>
      </c>
      <c r="B182" s="188">
        <f>'Données projet'!D170</f>
        <v>22.9</v>
      </c>
      <c r="C182" s="201">
        <f>'Données projet'!E170*80+SUM('Données projet'!F170:G170)*13.8+'Données projet'!H170*10</f>
        <v>24</v>
      </c>
      <c r="D182" s="186">
        <f t="shared" si="9"/>
        <v>549.59999999999991</v>
      </c>
      <c r="E182" s="201"/>
      <c r="F182" s="257"/>
      <c r="G182" s="216"/>
      <c r="H182" s="198"/>
      <c r="I182" s="199"/>
      <c r="J182" s="5"/>
      <c r="K182" s="178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7">
        <f>'Données projet'!A171</f>
        <v>40</v>
      </c>
      <c r="B183" s="188">
        <f>'Données projet'!D171</f>
        <v>21.8</v>
      </c>
      <c r="C183" s="201">
        <f>'Données projet'!E171*80+SUM('Données projet'!F171:G171)*13.8+'Données projet'!H171*10</f>
        <v>24</v>
      </c>
      <c r="D183" s="186">
        <f t="shared" si="9"/>
        <v>523.20000000000005</v>
      </c>
      <c r="E183" s="201"/>
      <c r="F183" s="257"/>
      <c r="G183" s="216"/>
      <c r="H183" s="198"/>
      <c r="I183" s="199"/>
      <c r="J183" s="5"/>
      <c r="K183" s="178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7">
        <f>'Données projet'!A172</f>
        <v>45</v>
      </c>
      <c r="B184" s="188">
        <f>'Données projet'!D172</f>
        <v>20.3</v>
      </c>
      <c r="C184" s="201">
        <f>'Données projet'!E172*80+SUM('Données projet'!F172:G172)*13.8+'Données projet'!H172*10</f>
        <v>31</v>
      </c>
      <c r="D184" s="186">
        <f t="shared" si="9"/>
        <v>629.30000000000007</v>
      </c>
      <c r="E184" s="201"/>
      <c r="F184" s="257"/>
      <c r="G184" s="217"/>
      <c r="H184" s="198"/>
      <c r="I184" s="199"/>
      <c r="J184" s="5"/>
      <c r="K184" s="178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7">
        <f>'Données projet'!A173</f>
        <v>50</v>
      </c>
      <c r="B185" s="188">
        <f>'Données projet'!D173</f>
        <v>18.7</v>
      </c>
      <c r="C185" s="201">
        <f>'Données projet'!E173*80+SUM('Données projet'!F173:G173)*13.8+'Données projet'!H173*10</f>
        <v>31</v>
      </c>
      <c r="D185" s="186">
        <f t="shared" si="9"/>
        <v>579.69999999999993</v>
      </c>
      <c r="E185" s="201"/>
      <c r="F185" s="257"/>
      <c r="G185" s="217"/>
      <c r="H185" s="198"/>
      <c r="I185" s="199"/>
      <c r="J185" s="5"/>
      <c r="K185" s="178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7">
        <f>'Données projet'!A174</f>
        <v>55</v>
      </c>
      <c r="B186" s="188">
        <f>'Données projet'!D174</f>
        <v>17.100000000000001</v>
      </c>
      <c r="C186" s="201">
        <f>'Données projet'!E174*80+SUM('Données projet'!F174:G174)*13.8+'Données projet'!H174*10</f>
        <v>38</v>
      </c>
      <c r="D186" s="186">
        <f t="shared" si="9"/>
        <v>649.80000000000007</v>
      </c>
      <c r="E186" s="201"/>
      <c r="F186" s="257"/>
      <c r="G186" s="217"/>
      <c r="H186" s="198"/>
      <c r="I186" s="199"/>
      <c r="J186" s="5"/>
      <c r="K186" s="178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7">
        <f>'Données projet'!A175</f>
        <v>60</v>
      </c>
      <c r="B187" s="188">
        <f>'Données projet'!D175</f>
        <v>15.6</v>
      </c>
      <c r="C187" s="201">
        <f>'Données projet'!E175*80+SUM('Données projet'!F175:G175)*13.8+'Données projet'!H175*10</f>
        <v>38</v>
      </c>
      <c r="D187" s="186">
        <f t="shared" si="9"/>
        <v>592.79999999999995</v>
      </c>
      <c r="E187" s="201"/>
      <c r="F187" s="257"/>
      <c r="G187" s="217"/>
      <c r="H187" s="198"/>
      <c r="I187" s="199"/>
      <c r="J187" s="5"/>
      <c r="K187" s="178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7">
        <f>'Données projet'!A176</f>
        <v>65</v>
      </c>
      <c r="B188" s="188">
        <f>'Données projet'!D176</f>
        <v>14.2</v>
      </c>
      <c r="C188" s="201">
        <f>'Données projet'!E176*80+SUM('Données projet'!F176:G176)*13.8+'Données projet'!H176*10</f>
        <v>45</v>
      </c>
      <c r="D188" s="186">
        <f t="shared" si="9"/>
        <v>639</v>
      </c>
      <c r="E188" s="201"/>
      <c r="F188" s="257"/>
      <c r="G188" s="217"/>
      <c r="H188" s="198"/>
      <c r="I188" s="199"/>
      <c r="J188" s="5"/>
      <c r="K188" s="178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7">
        <f>'Données projet'!A177</f>
        <v>70</v>
      </c>
      <c r="B189" s="188">
        <f>'Données projet'!D177</f>
        <v>12.9</v>
      </c>
      <c r="C189" s="201">
        <f>'Données projet'!E177*80+SUM('Données projet'!F177:G177)*13.8+'Données projet'!H177*10</f>
        <v>45</v>
      </c>
      <c r="D189" s="186">
        <f t="shared" si="9"/>
        <v>580.5</v>
      </c>
      <c r="E189" s="201"/>
      <c r="F189" s="257"/>
      <c r="G189" s="217"/>
      <c r="H189" s="198"/>
      <c r="I189" s="199"/>
      <c r="J189" s="5"/>
      <c r="K189" s="178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7">
        <f>'Données projet'!A178</f>
        <v>75</v>
      </c>
      <c r="B190" s="188">
        <f>'Données projet'!D178</f>
        <v>11.7</v>
      </c>
      <c r="C190" s="201">
        <f>'Données projet'!E178*80+SUM('Données projet'!F178:G178)*13.8+'Données projet'!H178*10</f>
        <v>52</v>
      </c>
      <c r="D190" s="186">
        <f t="shared" si="9"/>
        <v>608.4</v>
      </c>
      <c r="E190" s="201"/>
      <c r="F190" s="257"/>
      <c r="G190" s="217"/>
      <c r="H190" s="198"/>
      <c r="I190" s="199"/>
      <c r="J190" s="5"/>
      <c r="K190" s="178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7">
        <f>'Données projet'!A179</f>
        <v>80</v>
      </c>
      <c r="B191" s="188">
        <f>'Données projet'!D179</f>
        <v>10.6</v>
      </c>
      <c r="C191" s="201">
        <f>'Données projet'!E179*80+SUM('Données projet'!F179:G179)*13.8+'Données projet'!H179*10</f>
        <v>52</v>
      </c>
      <c r="D191" s="186">
        <f t="shared" si="9"/>
        <v>551.19999999999993</v>
      </c>
      <c r="E191" s="201"/>
      <c r="F191" s="257"/>
      <c r="G191" s="217"/>
      <c r="H191" s="198"/>
      <c r="I191" s="199"/>
      <c r="J191" s="5"/>
      <c r="K191" s="178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7">
        <f>'Données projet'!A180</f>
        <v>85</v>
      </c>
      <c r="B192" s="188">
        <f>'Données projet'!D180</f>
        <v>9.6</v>
      </c>
      <c r="C192" s="201">
        <f>'Données projet'!E180*80+SUM('Données projet'!F180:G180)*13.8+'Données projet'!H180*10</f>
        <v>59</v>
      </c>
      <c r="D192" s="186">
        <f t="shared" si="9"/>
        <v>566.4</v>
      </c>
      <c r="E192" s="201"/>
      <c r="F192" s="257"/>
      <c r="G192" s="217"/>
      <c r="H192" s="198"/>
      <c r="I192" s="199"/>
      <c r="J192" s="5"/>
      <c r="K192" s="178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7">
        <f>'Données projet'!A181</f>
        <v>90</v>
      </c>
      <c r="B193" s="188">
        <f>'Données projet'!D181</f>
        <v>567</v>
      </c>
      <c r="C193" s="201">
        <f>'Données projet'!E181*80+SUM('Données projet'!F181:G181)*13.8+'Données projet'!H181*10</f>
        <v>66</v>
      </c>
      <c r="D193" s="186">
        <f t="shared" si="9"/>
        <v>37422</v>
      </c>
      <c r="E193" s="201"/>
      <c r="F193" s="257"/>
      <c r="G193" s="217"/>
      <c r="H193" s="198"/>
      <c r="I193" s="199"/>
      <c r="J193" s="5"/>
      <c r="K193" s="178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7">
        <f>'Données projet'!A182</f>
        <v>0</v>
      </c>
      <c r="B194" s="188">
        <f>'Données projet'!D182</f>
        <v>0</v>
      </c>
      <c r="C194" s="201">
        <f>'Données projet'!E182*80+SUM('Données projet'!F182:G182)*13.8+'Données projet'!H182*10</f>
        <v>0</v>
      </c>
      <c r="D194" s="186">
        <f t="shared" si="9"/>
        <v>0</v>
      </c>
      <c r="E194" s="201"/>
      <c r="F194" s="257"/>
      <c r="G194" s="217"/>
      <c r="H194" s="198"/>
      <c r="I194" s="199"/>
      <c r="J194" s="5"/>
      <c r="K194" s="178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7">
        <f>'Données projet'!A183</f>
        <v>0</v>
      </c>
      <c r="B195" s="188">
        <f>'Données projet'!D183</f>
        <v>0</v>
      </c>
      <c r="C195" s="201">
        <f>'Données projet'!E183*80+SUM('Données projet'!F183:G183)*13.8+'Données projet'!H183*10</f>
        <v>0</v>
      </c>
      <c r="D195" s="186">
        <f t="shared" si="9"/>
        <v>0</v>
      </c>
      <c r="E195" s="201"/>
      <c r="F195" s="257"/>
      <c r="G195" s="217"/>
      <c r="H195" s="198"/>
      <c r="I195" s="199"/>
      <c r="J195" s="5"/>
      <c r="K195" s="178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7">
        <f>'Données projet'!A184</f>
        <v>0</v>
      </c>
      <c r="B196" s="188">
        <f>'Données projet'!D184</f>
        <v>0</v>
      </c>
      <c r="C196" s="201">
        <f>'Données projet'!E184*80+SUM('Données projet'!F184:G184)*13.8+'Données projet'!H184*10</f>
        <v>0</v>
      </c>
      <c r="D196" s="186">
        <f t="shared" si="9"/>
        <v>0</v>
      </c>
      <c r="E196" s="201"/>
      <c r="F196" s="257"/>
      <c r="G196" s="217"/>
      <c r="H196" s="198"/>
      <c r="I196" s="199"/>
      <c r="J196" s="5"/>
      <c r="K196" s="178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7">
        <f>'Données projet'!A185</f>
        <v>0</v>
      </c>
      <c r="B197" s="188">
        <f>'Données projet'!D185</f>
        <v>0</v>
      </c>
      <c r="C197" s="201">
        <f>'Données projet'!E185*80+SUM('Données projet'!F185:G185)*13.8+'Données projet'!H185*10</f>
        <v>0</v>
      </c>
      <c r="D197" s="186">
        <f t="shared" si="9"/>
        <v>0</v>
      </c>
      <c r="E197" s="201"/>
      <c r="F197" s="257"/>
      <c r="G197" s="217"/>
      <c r="H197" s="198"/>
      <c r="I197" s="199"/>
      <c r="J197" s="5"/>
      <c r="K197" s="178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5"/>
      <c r="G198" s="217"/>
      <c r="H198" s="198"/>
      <c r="I198" s="199"/>
      <c r="J198" s="5"/>
      <c r="K198" s="178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5"/>
      <c r="G199" s="217"/>
      <c r="H199" s="198"/>
      <c r="I199" s="199"/>
      <c r="J199" s="5"/>
      <c r="K199" s="178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1" t="str">
        <f>IF('Données projet'!$B$15="","",'Données projet'!$B$15)</f>
        <v>Hêtre</v>
      </c>
      <c r="C200" s="5"/>
      <c r="D200" s="5"/>
      <c r="E200" s="5"/>
      <c r="F200" s="255"/>
      <c r="G200" s="217"/>
      <c r="H200" s="198"/>
      <c r="I200" s="199"/>
      <c r="J200" s="5"/>
      <c r="K200" s="178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5"/>
      <c r="G201" s="217"/>
      <c r="H201" s="198"/>
      <c r="I201" s="199"/>
      <c r="J201" s="5"/>
      <c r="K201" s="178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1" t="s">
        <v>180</v>
      </c>
      <c r="B202" s="51" t="s">
        <v>256</v>
      </c>
      <c r="C202" s="51" t="s">
        <v>255</v>
      </c>
      <c r="D202" s="251" t="s">
        <v>252</v>
      </c>
      <c r="E202" s="251" t="s">
        <v>287</v>
      </c>
      <c r="F202" s="256"/>
      <c r="G202" s="217"/>
      <c r="H202" s="198"/>
      <c r="I202" s="199"/>
      <c r="J202" s="5"/>
      <c r="K202" s="178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4">
        <v>0</v>
      </c>
      <c r="B203" s="207" t="s">
        <v>132</v>
      </c>
      <c r="C203" s="206" t="s">
        <v>132</v>
      </c>
      <c r="D203" s="205" t="s">
        <v>132</v>
      </c>
      <c r="E203" s="201">
        <v>1638</v>
      </c>
      <c r="F203" s="256"/>
      <c r="G203" s="217"/>
      <c r="H203" s="198"/>
      <c r="I203" s="199"/>
      <c r="J203" s="5"/>
      <c r="K203" s="178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4">
        <v>1</v>
      </c>
      <c r="B204" s="207" t="s">
        <v>132</v>
      </c>
      <c r="C204" s="206" t="s">
        <v>132</v>
      </c>
      <c r="D204" s="205" t="s">
        <v>132</v>
      </c>
      <c r="E204" s="201"/>
      <c r="F204" s="256"/>
      <c r="G204" s="215"/>
      <c r="H204" s="198"/>
      <c r="I204" s="199"/>
      <c r="J204" s="5"/>
      <c r="K204" s="178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4">
        <v>2</v>
      </c>
      <c r="B205" s="207" t="s">
        <v>132</v>
      </c>
      <c r="C205" s="206" t="s">
        <v>132</v>
      </c>
      <c r="D205" s="205" t="s">
        <v>132</v>
      </c>
      <c r="E205" s="201"/>
      <c r="F205" s="256"/>
      <c r="G205" s="215"/>
      <c r="H205" s="198"/>
      <c r="I205" s="199"/>
      <c r="J205" s="5"/>
      <c r="K205" s="178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4">
        <v>3</v>
      </c>
      <c r="B206" s="207" t="s">
        <v>132</v>
      </c>
      <c r="C206" s="206" t="s">
        <v>132</v>
      </c>
      <c r="D206" s="205" t="s">
        <v>132</v>
      </c>
      <c r="E206" s="201"/>
      <c r="F206" s="256"/>
      <c r="G206" s="215"/>
      <c r="H206" s="198"/>
      <c r="I206" s="199"/>
      <c r="J206" s="5"/>
      <c r="K206" s="178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4">
        <v>4</v>
      </c>
      <c r="B207" s="207" t="s">
        <v>132</v>
      </c>
      <c r="C207" s="206" t="s">
        <v>132</v>
      </c>
      <c r="D207" s="205" t="s">
        <v>132</v>
      </c>
      <c r="E207" s="201"/>
      <c r="F207" s="256"/>
      <c r="G207" s="215"/>
      <c r="H207" s="198"/>
      <c r="I207" s="199"/>
      <c r="J207" s="5"/>
      <c r="K207" s="178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4">
        <v>5</v>
      </c>
      <c r="B208" s="207" t="s">
        <v>132</v>
      </c>
      <c r="C208" s="206" t="s">
        <v>132</v>
      </c>
      <c r="D208" s="205" t="s">
        <v>132</v>
      </c>
      <c r="E208" s="201"/>
      <c r="F208" s="256"/>
      <c r="G208" s="216"/>
      <c r="H208" s="198"/>
      <c r="I208" s="199"/>
      <c r="J208" s="5"/>
      <c r="K208" s="178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7">
        <f>'Données projet'!A192</f>
        <v>30</v>
      </c>
      <c r="B209" s="188">
        <f>'Données projet'!D192</f>
        <v>0</v>
      </c>
      <c r="C209" s="201">
        <f>'Données projet'!E192*45+SUM('Données projet'!F192:G192)*13.8+'Données projet'!H192*10</f>
        <v>10</v>
      </c>
      <c r="D209" s="186">
        <f>B209*C209</f>
        <v>0</v>
      </c>
      <c r="E209" s="201"/>
      <c r="F209" s="257"/>
      <c r="G209" s="216"/>
      <c r="H209" s="198"/>
      <c r="I209" s="199"/>
      <c r="J209" s="5"/>
      <c r="K209" s="178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7">
        <f>'Données projet'!A193</f>
        <v>40</v>
      </c>
      <c r="B210" s="188">
        <f>'Données projet'!D193</f>
        <v>3</v>
      </c>
      <c r="C210" s="201">
        <f>'Données projet'!E193*45+SUM('Données projet'!F193:G193)*13.8+'Données projet'!H193*10</f>
        <v>17</v>
      </c>
      <c r="D210" s="186">
        <f t="shared" ref="D210:D228" si="10">B210*C210</f>
        <v>51</v>
      </c>
      <c r="E210" s="201"/>
      <c r="F210" s="257"/>
      <c r="G210" s="216"/>
      <c r="H210" s="198"/>
      <c r="I210" s="199"/>
      <c r="J210" s="5"/>
      <c r="K210" s="178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7">
        <f>'Données projet'!A194</f>
        <v>50</v>
      </c>
      <c r="B211" s="188">
        <f>'Données projet'!D194</f>
        <v>24</v>
      </c>
      <c r="C211" s="201">
        <f>'Données projet'!E194*45+SUM('Données projet'!F194:G194)*13.8+'Données projet'!H194*10</f>
        <v>24</v>
      </c>
      <c r="D211" s="186">
        <f t="shared" si="10"/>
        <v>576</v>
      </c>
      <c r="E211" s="201"/>
      <c r="F211" s="257"/>
      <c r="G211" s="216"/>
      <c r="H211" s="198"/>
      <c r="I211" s="199"/>
      <c r="J211" s="5"/>
      <c r="K211" s="178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7">
        <f>'Données projet'!A195</f>
        <v>60</v>
      </c>
      <c r="B212" s="188">
        <f>'Données projet'!D195</f>
        <v>64</v>
      </c>
      <c r="C212" s="201">
        <f>'Données projet'!E195*45+SUM('Données projet'!F195:G195)*13.8+'Données projet'!H195*10</f>
        <v>27.5</v>
      </c>
      <c r="D212" s="186">
        <f t="shared" si="10"/>
        <v>1760</v>
      </c>
      <c r="E212" s="201"/>
      <c r="F212" s="257"/>
      <c r="G212" s="216"/>
      <c r="H212" s="198"/>
      <c r="I212" s="199"/>
      <c r="J212" s="5"/>
      <c r="K212" s="178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7">
        <f>'Données projet'!A196</f>
        <v>70</v>
      </c>
      <c r="B213" s="188">
        <f>'Données projet'!D196</f>
        <v>75</v>
      </c>
      <c r="C213" s="201">
        <f>'Données projet'!E196*45+SUM('Données projet'!F196:G196)*13.8+'Données projet'!H196*10</f>
        <v>31</v>
      </c>
      <c r="D213" s="186">
        <f t="shared" si="10"/>
        <v>2325</v>
      </c>
      <c r="E213" s="201"/>
      <c r="F213" s="257"/>
      <c r="G213" s="216"/>
      <c r="H213" s="198"/>
      <c r="I213" s="199"/>
      <c r="J213" s="5"/>
      <c r="K213" s="178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7">
        <f>'Données projet'!A197</f>
        <v>80</v>
      </c>
      <c r="B214" s="188">
        <f>'Données projet'!D197</f>
        <v>73</v>
      </c>
      <c r="C214" s="201">
        <f>'Données projet'!E197*45+SUM('Données projet'!F197:G197)*13.8+'Données projet'!H197*10</f>
        <v>38</v>
      </c>
      <c r="D214" s="186">
        <f t="shared" si="10"/>
        <v>2774</v>
      </c>
      <c r="E214" s="201"/>
      <c r="F214" s="257"/>
      <c r="G214" s="216"/>
      <c r="H214" s="198"/>
      <c r="I214" s="199"/>
      <c r="J214" s="5"/>
      <c r="K214" s="178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7">
        <f>'Données projet'!A198</f>
        <v>90</v>
      </c>
      <c r="B215" s="188">
        <f>'Données projet'!D198</f>
        <v>667</v>
      </c>
      <c r="C215" s="201">
        <f>'Données projet'!E198*45+SUM('Données projet'!F198:G198)*13.8+'Données projet'!H198*10</f>
        <v>38</v>
      </c>
      <c r="D215" s="186">
        <f t="shared" si="10"/>
        <v>25346</v>
      </c>
      <c r="E215" s="201"/>
      <c r="F215" s="257"/>
      <c r="G215" s="217"/>
      <c r="H215" s="198"/>
      <c r="I215" s="199"/>
      <c r="J215" s="5"/>
      <c r="K215" s="178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7">
        <f>'Données projet'!A199</f>
        <v>0</v>
      </c>
      <c r="B216" s="188">
        <f>'Données projet'!D199</f>
        <v>0</v>
      </c>
      <c r="C216" s="201">
        <f>'Données projet'!E199*45+SUM('Données projet'!F199:G199)*13.8+'Données projet'!H199*10</f>
        <v>0</v>
      </c>
      <c r="D216" s="186">
        <f t="shared" si="10"/>
        <v>0</v>
      </c>
      <c r="E216" s="201"/>
      <c r="F216" s="257"/>
      <c r="G216" s="217"/>
      <c r="H216" s="198"/>
      <c r="I216" s="199"/>
      <c r="J216" s="5"/>
      <c r="K216" s="178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7">
        <f>'Données projet'!A200</f>
        <v>0</v>
      </c>
      <c r="B217" s="188">
        <f>'Données projet'!D200</f>
        <v>0</v>
      </c>
      <c r="C217" s="201">
        <f>'Données projet'!E200*45+SUM('Données projet'!F200:G200)*13.8+'Données projet'!H200*10</f>
        <v>0</v>
      </c>
      <c r="D217" s="186">
        <f t="shared" si="10"/>
        <v>0</v>
      </c>
      <c r="E217" s="201"/>
      <c r="F217" s="257"/>
      <c r="G217" s="217"/>
      <c r="H217" s="198"/>
      <c r="I217" s="199"/>
      <c r="J217" s="5"/>
      <c r="K217" s="178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7">
        <f>'Données projet'!A201</f>
        <v>0</v>
      </c>
      <c r="B218" s="188">
        <f>'Données projet'!D201</f>
        <v>0</v>
      </c>
      <c r="C218" s="201">
        <f>'Données projet'!E201*45+SUM('Données projet'!F201:G201)*13.8+'Données projet'!H201*10</f>
        <v>0</v>
      </c>
      <c r="D218" s="186">
        <f t="shared" si="10"/>
        <v>0</v>
      </c>
      <c r="E218" s="201"/>
      <c r="F218" s="257"/>
      <c r="G218" s="217"/>
      <c r="H218" s="198"/>
      <c r="I218" s="199"/>
      <c r="J218" s="5"/>
      <c r="K218" s="178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7">
        <f>'Données projet'!A202</f>
        <v>0</v>
      </c>
      <c r="B219" s="188">
        <f>'Données projet'!D202</f>
        <v>0</v>
      </c>
      <c r="C219" s="201">
        <f>'Données projet'!E202*45+SUM('Données projet'!F202:G202)*13.8+'Données projet'!H202*10</f>
        <v>0</v>
      </c>
      <c r="D219" s="186">
        <f t="shared" si="10"/>
        <v>0</v>
      </c>
      <c r="E219" s="201"/>
      <c r="F219" s="257"/>
      <c r="G219" s="217"/>
      <c r="H219" s="198"/>
      <c r="I219" s="199"/>
      <c r="J219" s="5"/>
      <c r="K219" s="178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7">
        <f>'Données projet'!A203</f>
        <v>0</v>
      </c>
      <c r="B220" s="188">
        <f>'Données projet'!D203</f>
        <v>0</v>
      </c>
      <c r="C220" s="201">
        <f>'Données projet'!E203*45+SUM('Données projet'!F203:G203)*13.8+'Données projet'!H203*10</f>
        <v>0</v>
      </c>
      <c r="D220" s="186">
        <f t="shared" si="10"/>
        <v>0</v>
      </c>
      <c r="E220" s="201"/>
      <c r="F220" s="257"/>
      <c r="G220" s="217"/>
      <c r="H220" s="5"/>
      <c r="I220" s="5"/>
      <c r="J220" s="5"/>
      <c r="K220" s="178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7">
        <f>'Données projet'!A204</f>
        <v>0</v>
      </c>
      <c r="B221" s="188">
        <f>'Données projet'!D204</f>
        <v>0</v>
      </c>
      <c r="C221" s="201">
        <f>'Données projet'!E204*45+SUM('Données projet'!F204:G204)*13.8+'Données projet'!H204*10</f>
        <v>0</v>
      </c>
      <c r="D221" s="186">
        <f t="shared" si="10"/>
        <v>0</v>
      </c>
      <c r="E221" s="201"/>
      <c r="F221" s="257"/>
      <c r="G221" s="217"/>
      <c r="H221" s="5"/>
      <c r="I221" s="5"/>
      <c r="J221" s="5"/>
      <c r="K221" s="178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7">
        <f>'Données projet'!A205</f>
        <v>0</v>
      </c>
      <c r="B222" s="188">
        <f>'Données projet'!D205</f>
        <v>0</v>
      </c>
      <c r="C222" s="201">
        <f>'Données projet'!E205*45+SUM('Données projet'!F205:G205)*13.8+'Données projet'!H205*10</f>
        <v>0</v>
      </c>
      <c r="D222" s="186">
        <f t="shared" si="10"/>
        <v>0</v>
      </c>
      <c r="E222" s="201"/>
      <c r="F222" s="257"/>
      <c r="G222" s="217"/>
      <c r="H222" s="5"/>
      <c r="I222" s="5"/>
      <c r="J222" s="5"/>
      <c r="K222" s="178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7">
        <f>'Données projet'!A206</f>
        <v>0</v>
      </c>
      <c r="B223" s="188">
        <f>'Données projet'!D206</f>
        <v>0</v>
      </c>
      <c r="C223" s="201">
        <f>'Données projet'!E206*45+SUM('Données projet'!F206:G206)*13.8+'Données projet'!H206*10</f>
        <v>0</v>
      </c>
      <c r="D223" s="186">
        <f t="shared" si="10"/>
        <v>0</v>
      </c>
      <c r="E223" s="201"/>
      <c r="F223" s="257"/>
      <c r="G223" s="217"/>
      <c r="H223" s="5"/>
      <c r="I223" s="5"/>
      <c r="J223" s="5"/>
      <c r="K223" s="178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7">
        <f>'Données projet'!A207</f>
        <v>0</v>
      </c>
      <c r="B224" s="188">
        <f>'Données projet'!D207</f>
        <v>0</v>
      </c>
      <c r="C224" s="201">
        <f>'Données projet'!E207*45+SUM('Données projet'!F207:G207)*13.8+'Données projet'!H207*10</f>
        <v>0</v>
      </c>
      <c r="D224" s="186">
        <f t="shared" si="10"/>
        <v>0</v>
      </c>
      <c r="E224" s="201"/>
      <c r="F224" s="257"/>
      <c r="G224" s="217"/>
      <c r="H224" s="5"/>
      <c r="I224" s="5"/>
      <c r="J224" s="5"/>
      <c r="K224" s="178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7">
        <f>'Données projet'!A208</f>
        <v>0</v>
      </c>
      <c r="B225" s="188">
        <f>'Données projet'!D208</f>
        <v>0</v>
      </c>
      <c r="C225" s="201">
        <f>'Données projet'!E208*45+SUM('Données projet'!F208:G208)*13.8+'Données projet'!H208*10</f>
        <v>0</v>
      </c>
      <c r="D225" s="186">
        <f t="shared" si="10"/>
        <v>0</v>
      </c>
      <c r="E225" s="201"/>
      <c r="F225" s="257"/>
      <c r="G225" s="217"/>
      <c r="H225" s="5"/>
      <c r="I225" s="5"/>
      <c r="J225" s="5"/>
      <c r="K225" s="178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7">
        <f>'Données projet'!A209</f>
        <v>0</v>
      </c>
      <c r="B226" s="188">
        <f>'Données projet'!D209</f>
        <v>0</v>
      </c>
      <c r="C226" s="201">
        <f>'Données projet'!E209*45+SUM('Données projet'!F209:G209)*13.8+'Données projet'!H209*10</f>
        <v>0</v>
      </c>
      <c r="D226" s="186">
        <f t="shared" si="10"/>
        <v>0</v>
      </c>
      <c r="E226" s="201"/>
      <c r="F226" s="257"/>
      <c r="G226" s="217"/>
      <c r="H226" s="5"/>
      <c r="I226" s="5"/>
      <c r="J226" s="5"/>
      <c r="K226" s="178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7">
        <f>'Données projet'!A210</f>
        <v>0</v>
      </c>
      <c r="B227" s="188">
        <f>'Données projet'!D210</f>
        <v>0</v>
      </c>
      <c r="C227" s="201">
        <f>'Données projet'!E210*45+SUM('Données projet'!F210:G210)*13.8+'Données projet'!H210*10</f>
        <v>0</v>
      </c>
      <c r="D227" s="186">
        <f t="shared" si="10"/>
        <v>0</v>
      </c>
      <c r="E227" s="201"/>
      <c r="F227" s="257"/>
      <c r="G227" s="217"/>
      <c r="H227" s="5"/>
      <c r="I227" s="5"/>
      <c r="J227" s="5"/>
      <c r="K227" s="178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7">
        <f>'Données projet'!A211</f>
        <v>0</v>
      </c>
      <c r="B228" s="188">
        <f>'Données projet'!D211</f>
        <v>0</v>
      </c>
      <c r="C228" s="201">
        <f>'Données projet'!E211*45+SUM('Données projet'!F211:G211)*13.8+'Données projet'!H211*10</f>
        <v>0</v>
      </c>
      <c r="D228" s="186">
        <f t="shared" si="10"/>
        <v>0</v>
      </c>
      <c r="E228" s="201"/>
      <c r="F228" s="257"/>
      <c r="G228" s="217"/>
      <c r="H228" s="5"/>
      <c r="I228" s="5"/>
      <c r="J228" s="5"/>
      <c r="K228" s="178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5"/>
      <c r="G229" s="217"/>
      <c r="H229" s="5"/>
      <c r="I229" s="5"/>
      <c r="J229" s="5"/>
      <c r="K229" s="178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5"/>
      <c r="G230" s="217"/>
      <c r="H230" s="5"/>
      <c r="I230" s="5"/>
      <c r="J230" s="5"/>
      <c r="K230" s="178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1" t="str">
        <f>IF('Données projet'!$B$16="","",'Données projet'!$B$16)</f>
        <v>Erable champêtre</v>
      </c>
      <c r="C231" s="5"/>
      <c r="D231" s="5"/>
      <c r="E231" s="5"/>
      <c r="F231" s="255"/>
      <c r="G231" s="217"/>
      <c r="H231" s="5"/>
      <c r="I231" s="5"/>
      <c r="J231" s="5"/>
      <c r="K231" s="178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5"/>
      <c r="G232" s="217"/>
      <c r="H232" s="5"/>
      <c r="I232" s="5"/>
      <c r="J232" s="5"/>
      <c r="K232" s="178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1" t="s">
        <v>180</v>
      </c>
      <c r="B233" s="51" t="s">
        <v>256</v>
      </c>
      <c r="C233" s="51" t="s">
        <v>255</v>
      </c>
      <c r="D233" s="251" t="s">
        <v>252</v>
      </c>
      <c r="E233" s="251" t="s">
        <v>287</v>
      </c>
      <c r="F233" s="256"/>
      <c r="G233" s="217"/>
      <c r="H233" s="5"/>
      <c r="I233" s="5"/>
      <c r="J233" s="5"/>
      <c r="K233" s="178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4">
        <v>0</v>
      </c>
      <c r="B234" s="207" t="s">
        <v>132</v>
      </c>
      <c r="C234" s="206" t="s">
        <v>132</v>
      </c>
      <c r="D234" s="205" t="s">
        <v>132</v>
      </c>
      <c r="E234" s="201">
        <v>1248</v>
      </c>
      <c r="F234" s="256"/>
      <c r="G234" s="217"/>
      <c r="H234" s="5"/>
      <c r="I234" s="5"/>
      <c r="J234" s="5"/>
      <c r="K234" s="178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4">
        <v>1</v>
      </c>
      <c r="B235" s="207" t="s">
        <v>132</v>
      </c>
      <c r="C235" s="206" t="s">
        <v>132</v>
      </c>
      <c r="D235" s="205" t="s">
        <v>132</v>
      </c>
      <c r="E235" s="201"/>
      <c r="F235" s="256"/>
      <c r="G235" s="215"/>
      <c r="H235" s="5"/>
      <c r="I235" s="5"/>
      <c r="J235" s="5"/>
      <c r="K235" s="178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4">
        <v>2</v>
      </c>
      <c r="B236" s="207" t="s">
        <v>132</v>
      </c>
      <c r="C236" s="206" t="s">
        <v>132</v>
      </c>
      <c r="D236" s="205" t="s">
        <v>132</v>
      </c>
      <c r="E236" s="201"/>
      <c r="F236" s="256"/>
      <c r="G236" s="215"/>
      <c r="H236" s="5"/>
      <c r="I236" s="5"/>
      <c r="J236" s="5"/>
      <c r="K236" s="178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4">
        <v>3</v>
      </c>
      <c r="B237" s="207" t="s">
        <v>132</v>
      </c>
      <c r="C237" s="206" t="s">
        <v>132</v>
      </c>
      <c r="D237" s="205" t="s">
        <v>132</v>
      </c>
      <c r="E237" s="201"/>
      <c r="F237" s="256"/>
      <c r="G237" s="215"/>
      <c r="H237" s="5"/>
      <c r="I237" s="5"/>
      <c r="J237" s="5"/>
      <c r="K237" s="178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4">
        <v>4</v>
      </c>
      <c r="B238" s="207" t="s">
        <v>132</v>
      </c>
      <c r="C238" s="206" t="s">
        <v>132</v>
      </c>
      <c r="D238" s="205" t="s">
        <v>132</v>
      </c>
      <c r="E238" s="201"/>
      <c r="F238" s="256"/>
      <c r="G238" s="215"/>
      <c r="H238" s="5"/>
      <c r="I238" s="5"/>
      <c r="J238" s="5"/>
      <c r="K238" s="178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4">
        <v>5</v>
      </c>
      <c r="B239" s="207" t="s">
        <v>132</v>
      </c>
      <c r="C239" s="206" t="s">
        <v>132</v>
      </c>
      <c r="D239" s="205" t="s">
        <v>132</v>
      </c>
      <c r="E239" s="201"/>
      <c r="F239" s="256"/>
      <c r="G239" s="216"/>
      <c r="H239" s="5"/>
      <c r="I239" s="5"/>
      <c r="J239" s="5"/>
      <c r="K239" s="178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7">
        <f>'Données projet'!A218</f>
        <v>15</v>
      </c>
      <c r="B240" s="188">
        <f>'Données projet'!D218</f>
        <v>0</v>
      </c>
      <c r="C240" s="201">
        <f>'Données projet'!E218*60+SUM('Données projet'!F218:G218)*13.8+'Données projet'!H218*10</f>
        <v>10</v>
      </c>
      <c r="D240" s="186">
        <f>B240*C240</f>
        <v>0</v>
      </c>
      <c r="E240" s="201"/>
      <c r="F240" s="257"/>
      <c r="G240" s="216"/>
      <c r="H240" s="5"/>
      <c r="I240" s="5"/>
      <c r="J240" s="5"/>
      <c r="K240" s="178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7">
        <f>'Données projet'!A219</f>
        <v>20</v>
      </c>
      <c r="B241" s="188">
        <f>'Données projet'!D219</f>
        <v>6.5</v>
      </c>
      <c r="C241" s="201">
        <f>'Données projet'!E219*60+SUM('Données projet'!F219:G219)*13.8+'Données projet'!H219*10</f>
        <v>10</v>
      </c>
      <c r="D241" s="186">
        <f t="shared" ref="D241:D259" si="11">B241*C241</f>
        <v>65</v>
      </c>
      <c r="E241" s="201"/>
      <c r="F241" s="257"/>
      <c r="G241" s="216"/>
      <c r="H241" s="5"/>
      <c r="I241" s="5"/>
      <c r="J241" s="5"/>
      <c r="K241" s="178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7">
        <f>'Données projet'!A220</f>
        <v>25</v>
      </c>
      <c r="B242" s="188">
        <f>'Données projet'!D220</f>
        <v>13.3</v>
      </c>
      <c r="C242" s="201">
        <f>'Données projet'!E220*60+SUM('Données projet'!F220:G220)*13.8+'Données projet'!H220*10</f>
        <v>10</v>
      </c>
      <c r="D242" s="186">
        <f t="shared" si="11"/>
        <v>133</v>
      </c>
      <c r="E242" s="201"/>
      <c r="F242" s="257"/>
      <c r="G242" s="216"/>
      <c r="H242" s="5"/>
      <c r="I242" s="5"/>
      <c r="J242" s="5"/>
      <c r="K242" s="178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7">
        <f>'Données projet'!A221</f>
        <v>30</v>
      </c>
      <c r="B243" s="188">
        <f>'Données projet'!D221</f>
        <v>15.7</v>
      </c>
      <c r="C243" s="201">
        <f>'Données projet'!E221*60+SUM('Données projet'!F221:G221)*13.8+'Données projet'!H221*10</f>
        <v>10</v>
      </c>
      <c r="D243" s="186">
        <f t="shared" si="11"/>
        <v>157</v>
      </c>
      <c r="E243" s="201"/>
      <c r="F243" s="257"/>
      <c r="G243" s="216"/>
      <c r="H243" s="5"/>
      <c r="I243" s="5"/>
      <c r="J243" s="5"/>
      <c r="K243" s="178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7">
        <f>'Données projet'!A222</f>
        <v>35</v>
      </c>
      <c r="B244" s="188">
        <f>'Données projet'!D222</f>
        <v>16.3</v>
      </c>
      <c r="C244" s="201">
        <f>'Données projet'!E222*60+SUM('Données projet'!F222:G222)*13.8+'Données projet'!H222*10</f>
        <v>20</v>
      </c>
      <c r="D244" s="186">
        <f t="shared" si="11"/>
        <v>326</v>
      </c>
      <c r="E244" s="201"/>
      <c r="F244" s="257"/>
      <c r="G244" s="216"/>
      <c r="H244" s="5"/>
      <c r="I244" s="5"/>
      <c r="J244" s="5"/>
      <c r="K244" s="178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7">
        <f>'Données projet'!A223</f>
        <v>40</v>
      </c>
      <c r="B245" s="188">
        <f>'Données projet'!D223</f>
        <v>15.9</v>
      </c>
      <c r="C245" s="201">
        <f>'Données projet'!E223*60+SUM('Données projet'!F223:G223)*13.8+'Données projet'!H223*10</f>
        <v>20</v>
      </c>
      <c r="D245" s="186">
        <f t="shared" si="11"/>
        <v>318</v>
      </c>
      <c r="E245" s="201"/>
      <c r="F245" s="257"/>
      <c r="G245" s="216"/>
      <c r="H245" s="5"/>
      <c r="I245" s="5"/>
      <c r="J245" s="5"/>
      <c r="K245" s="178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7">
        <f>'Données projet'!A224</f>
        <v>45</v>
      </c>
      <c r="B246" s="188">
        <f>'Données projet'!D224</f>
        <v>15.1</v>
      </c>
      <c r="C246" s="201">
        <f>'Données projet'!E224*60+SUM('Données projet'!F224:G224)*13.8+'Données projet'!H224*10</f>
        <v>25</v>
      </c>
      <c r="D246" s="186">
        <f t="shared" si="11"/>
        <v>377.5</v>
      </c>
      <c r="E246" s="201"/>
      <c r="F246" s="257"/>
      <c r="G246" s="217"/>
      <c r="H246" s="5"/>
      <c r="I246" s="5"/>
      <c r="J246" s="5"/>
      <c r="K246" s="178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7">
        <f>'Données projet'!A225</f>
        <v>50</v>
      </c>
      <c r="B247" s="188">
        <f>'Données projet'!D225</f>
        <v>14.2</v>
      </c>
      <c r="C247" s="201">
        <f>'Données projet'!E225*60+SUM('Données projet'!F225:G225)*13.8+'Données projet'!H225*10</f>
        <v>25</v>
      </c>
      <c r="D247" s="186">
        <f t="shared" si="11"/>
        <v>355</v>
      </c>
      <c r="E247" s="201"/>
      <c r="F247" s="257"/>
      <c r="G247" s="217"/>
      <c r="H247" s="5"/>
      <c r="I247" s="5"/>
      <c r="J247" s="5"/>
      <c r="K247" s="178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7">
        <f>'Données projet'!A226</f>
        <v>55</v>
      </c>
      <c r="B248" s="188">
        <f>'Données projet'!D226</f>
        <v>13.1</v>
      </c>
      <c r="C248" s="201">
        <f>'Données projet'!E226*60+SUM('Données projet'!F226:G226)*13.8+'Données projet'!H226*10</f>
        <v>30</v>
      </c>
      <c r="D248" s="186">
        <f t="shared" si="11"/>
        <v>393</v>
      </c>
      <c r="E248" s="201"/>
      <c r="F248" s="257"/>
      <c r="G248" s="217"/>
      <c r="H248" s="5"/>
      <c r="I248" s="5"/>
      <c r="J248" s="5"/>
      <c r="K248" s="178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7">
        <f>'Données projet'!A227</f>
        <v>60</v>
      </c>
      <c r="B249" s="188">
        <f>'Données projet'!D227</f>
        <v>12.1</v>
      </c>
      <c r="C249" s="201">
        <f>'Données projet'!E227*60+SUM('Données projet'!F227:G227)*13.8+'Données projet'!H227*10</f>
        <v>30</v>
      </c>
      <c r="D249" s="186">
        <f t="shared" si="11"/>
        <v>363</v>
      </c>
      <c r="E249" s="201"/>
      <c r="F249" s="257"/>
      <c r="G249" s="217"/>
      <c r="H249" s="5"/>
      <c r="I249" s="5"/>
      <c r="J249" s="5"/>
      <c r="K249" s="178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7">
        <f>'Données projet'!A228</f>
        <v>65</v>
      </c>
      <c r="B250" s="188">
        <f>'Données projet'!D228</f>
        <v>11.1</v>
      </c>
      <c r="C250" s="201">
        <f>'Données projet'!E228*60+SUM('Données projet'!F228:G228)*13.8+'Données projet'!H228*10</f>
        <v>35</v>
      </c>
      <c r="D250" s="186">
        <f t="shared" si="11"/>
        <v>388.5</v>
      </c>
      <c r="E250" s="201"/>
      <c r="F250" s="257"/>
      <c r="G250" s="217"/>
      <c r="H250" s="5"/>
      <c r="I250" s="5"/>
      <c r="J250" s="5"/>
      <c r="K250" s="178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7">
        <f>'Données projet'!A229</f>
        <v>70</v>
      </c>
      <c r="B251" s="188">
        <f>'Données projet'!D229</f>
        <v>10.1</v>
      </c>
      <c r="C251" s="201">
        <f>'Données projet'!E229*60+SUM('Données projet'!F229:G229)*13.8+'Données projet'!H229*10</f>
        <v>35</v>
      </c>
      <c r="D251" s="186">
        <f t="shared" si="11"/>
        <v>353.5</v>
      </c>
      <c r="E251" s="201"/>
      <c r="F251" s="257"/>
      <c r="G251" s="217"/>
      <c r="H251" s="5"/>
      <c r="I251" s="5"/>
      <c r="J251" s="5"/>
      <c r="K251" s="178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7">
        <f>'Données projet'!A230</f>
        <v>75</v>
      </c>
      <c r="B252" s="188">
        <f>'Données projet'!D230</f>
        <v>9.1999999999999993</v>
      </c>
      <c r="C252" s="201">
        <f>'Données projet'!E230*60+SUM('Données projet'!F230:G230)*13.8+'Données projet'!H230*10</f>
        <v>40</v>
      </c>
      <c r="D252" s="186">
        <f t="shared" si="11"/>
        <v>368</v>
      </c>
      <c r="E252" s="201"/>
      <c r="F252" s="257"/>
      <c r="G252" s="217"/>
      <c r="H252" s="5"/>
      <c r="I252" s="5"/>
      <c r="J252" s="5"/>
      <c r="K252" s="178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7">
        <f>'Données projet'!A231</f>
        <v>80</v>
      </c>
      <c r="B253" s="188">
        <f>'Données projet'!D231</f>
        <v>8.4</v>
      </c>
      <c r="C253" s="201">
        <f>'Données projet'!E231*60+SUM('Données projet'!F231:G231)*13.8+'Données projet'!H231*10</f>
        <v>40</v>
      </c>
      <c r="D253" s="186">
        <f t="shared" si="11"/>
        <v>336</v>
      </c>
      <c r="E253" s="201"/>
      <c r="F253" s="257"/>
      <c r="G253" s="217"/>
      <c r="H253" s="5"/>
      <c r="I253" s="5"/>
      <c r="J253" s="5"/>
      <c r="K253" s="178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7">
        <f>'Données projet'!A232</f>
        <v>85</v>
      </c>
      <c r="B254" s="188">
        <f>'Données projet'!D232</f>
        <v>7.6</v>
      </c>
      <c r="C254" s="201">
        <f>'Données projet'!E232*60+SUM('Données projet'!F232:G232)*13.8+'Données projet'!H232*10</f>
        <v>45</v>
      </c>
      <c r="D254" s="186">
        <f t="shared" si="11"/>
        <v>342</v>
      </c>
      <c r="E254" s="201"/>
      <c r="F254" s="257"/>
      <c r="G254" s="217"/>
      <c r="H254" s="5"/>
      <c r="I254" s="5"/>
      <c r="J254" s="5"/>
      <c r="K254" s="178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7">
        <f>'Données projet'!A233</f>
        <v>90</v>
      </c>
      <c r="B255" s="188">
        <f>'Données projet'!D233</f>
        <v>6.9</v>
      </c>
      <c r="C255" s="201">
        <f>'Données projet'!E233*60+SUM('Données projet'!F233:G233)*13.8+'Données projet'!H233*10</f>
        <v>45</v>
      </c>
      <c r="D255" s="186">
        <f t="shared" si="11"/>
        <v>310.5</v>
      </c>
      <c r="E255" s="201"/>
      <c r="F255" s="257"/>
      <c r="G255" s="217"/>
      <c r="H255" s="5"/>
      <c r="I255" s="5"/>
      <c r="J255" s="5"/>
      <c r="K255" s="178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7">
        <f>'Données projet'!A234</f>
        <v>95</v>
      </c>
      <c r="B256" s="188">
        <f>'Données projet'!D234</f>
        <v>6.2</v>
      </c>
      <c r="C256" s="201">
        <f>'Données projet'!E234*60+SUM('Données projet'!F234:G234)*13.8+'Données projet'!H234*10</f>
        <v>50</v>
      </c>
      <c r="D256" s="186">
        <f t="shared" si="11"/>
        <v>310</v>
      </c>
      <c r="E256" s="201"/>
      <c r="F256" s="257"/>
      <c r="G256" s="217"/>
      <c r="H256" s="5"/>
      <c r="I256" s="5"/>
      <c r="J256" s="5"/>
      <c r="K256" s="178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7">
        <f>'Données projet'!A235</f>
        <v>100</v>
      </c>
      <c r="B257" s="188">
        <f>'Données projet'!D235</f>
        <v>476</v>
      </c>
      <c r="C257" s="201">
        <f>'Données projet'!E235*60+SUM('Données projet'!F235:G235)*13.8+'Données projet'!H235*10</f>
        <v>50</v>
      </c>
      <c r="D257" s="186">
        <f t="shared" si="11"/>
        <v>23800</v>
      </c>
      <c r="E257" s="201"/>
      <c r="F257" s="257"/>
      <c r="G257" s="217"/>
      <c r="H257" s="5"/>
      <c r="I257" s="5"/>
      <c r="J257" s="5"/>
      <c r="K257" s="178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7">
        <f>'Données projet'!A236</f>
        <v>0</v>
      </c>
      <c r="B258" s="188">
        <f>'Données projet'!D236</f>
        <v>0</v>
      </c>
      <c r="C258" s="201">
        <f>'Données projet'!E236*60+SUM('Données projet'!F236:G236)*13.8+'Données projet'!H236*10</f>
        <v>0</v>
      </c>
      <c r="D258" s="186">
        <f t="shared" si="11"/>
        <v>0</v>
      </c>
      <c r="E258" s="201"/>
      <c r="F258" s="257"/>
      <c r="G258" s="217"/>
      <c r="H258" s="5"/>
      <c r="I258" s="5"/>
      <c r="J258" s="5"/>
      <c r="K258" s="178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7">
        <f>'Données projet'!A237</f>
        <v>0</v>
      </c>
      <c r="B259" s="188">
        <f>'Données projet'!D237</f>
        <v>0</v>
      </c>
      <c r="C259" s="201">
        <f>'Données projet'!E237*60+SUM('Données projet'!F237:G237)*13.8+'Données projet'!H237*10</f>
        <v>0</v>
      </c>
      <c r="D259" s="186">
        <f t="shared" si="11"/>
        <v>0</v>
      </c>
      <c r="E259" s="201"/>
      <c r="F259" s="257"/>
      <c r="G259" s="217"/>
      <c r="H259" s="5"/>
      <c r="I259" s="5"/>
      <c r="J259" s="5"/>
      <c r="K259" s="178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5"/>
      <c r="G260" s="217"/>
      <c r="H260" s="5"/>
      <c r="I260" s="5"/>
      <c r="J260" s="5"/>
      <c r="K260" s="178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5"/>
      <c r="G261" s="217"/>
      <c r="H261" s="5"/>
      <c r="I261" s="5"/>
      <c r="J261" s="5"/>
      <c r="K261" s="178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1" t="str">
        <f>IF('Données projet'!$B$17="","",'Données projet'!$B$17)</f>
        <v>Mélèze d'Europe</v>
      </c>
      <c r="C262" s="5"/>
      <c r="D262" s="5"/>
      <c r="E262" s="5"/>
      <c r="F262" s="255"/>
      <c r="G262" s="217"/>
      <c r="H262" s="5"/>
      <c r="I262" s="5"/>
      <c r="J262" s="5"/>
      <c r="K262" s="178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5"/>
      <c r="G263" s="217"/>
      <c r="H263" s="5"/>
      <c r="I263" s="5"/>
      <c r="J263" s="5"/>
      <c r="K263" s="178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1" t="s">
        <v>180</v>
      </c>
      <c r="B264" s="51" t="s">
        <v>256</v>
      </c>
      <c r="C264" s="51" t="s">
        <v>255</v>
      </c>
      <c r="D264" s="251" t="s">
        <v>252</v>
      </c>
      <c r="E264" s="251" t="s">
        <v>287</v>
      </c>
      <c r="F264" s="256"/>
      <c r="G264" s="217"/>
      <c r="H264" s="5"/>
      <c r="I264" s="5"/>
      <c r="J264" s="5"/>
      <c r="K264" s="178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4">
        <v>0</v>
      </c>
      <c r="B265" s="207" t="s">
        <v>132</v>
      </c>
      <c r="C265" s="206" t="s">
        <v>132</v>
      </c>
      <c r="D265" s="205" t="s">
        <v>132</v>
      </c>
      <c r="E265" s="201">
        <v>1287</v>
      </c>
      <c r="F265" s="256"/>
      <c r="G265" s="217"/>
      <c r="H265" s="5"/>
      <c r="I265" s="5"/>
      <c r="J265" s="5"/>
      <c r="K265" s="178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4">
        <v>1</v>
      </c>
      <c r="B266" s="207" t="s">
        <v>132</v>
      </c>
      <c r="C266" s="206" t="s">
        <v>132</v>
      </c>
      <c r="D266" s="205" t="s">
        <v>132</v>
      </c>
      <c r="E266" s="201"/>
      <c r="F266" s="256"/>
      <c r="G266" s="215"/>
      <c r="H266" s="5"/>
      <c r="I266" s="5"/>
      <c r="J266" s="5"/>
      <c r="K266" s="178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4">
        <v>2</v>
      </c>
      <c r="B267" s="207" t="s">
        <v>132</v>
      </c>
      <c r="C267" s="206" t="s">
        <v>132</v>
      </c>
      <c r="D267" s="205" t="s">
        <v>132</v>
      </c>
      <c r="E267" s="201"/>
      <c r="F267" s="256"/>
      <c r="G267" s="215"/>
      <c r="H267" s="5"/>
      <c r="I267" s="5"/>
      <c r="J267" s="5"/>
      <c r="K267" s="178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4">
        <v>3</v>
      </c>
      <c r="B268" s="207" t="s">
        <v>132</v>
      </c>
      <c r="C268" s="206" t="s">
        <v>132</v>
      </c>
      <c r="D268" s="205" t="s">
        <v>132</v>
      </c>
      <c r="E268" s="201"/>
      <c r="F268" s="256"/>
      <c r="G268" s="215"/>
      <c r="H268" s="5"/>
      <c r="I268" s="5"/>
      <c r="J268" s="5"/>
      <c r="K268" s="178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4">
        <v>4</v>
      </c>
      <c r="B269" s="207" t="s">
        <v>132</v>
      </c>
      <c r="C269" s="206" t="s">
        <v>132</v>
      </c>
      <c r="D269" s="205" t="s">
        <v>132</v>
      </c>
      <c r="E269" s="201"/>
      <c r="F269" s="256"/>
      <c r="G269" s="215"/>
      <c r="H269" s="5"/>
      <c r="I269" s="5"/>
      <c r="J269" s="5"/>
      <c r="K269" s="178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4">
        <v>5</v>
      </c>
      <c r="B270" s="207" t="s">
        <v>132</v>
      </c>
      <c r="C270" s="206" t="s">
        <v>132</v>
      </c>
      <c r="D270" s="205" t="s">
        <v>132</v>
      </c>
      <c r="E270" s="201"/>
      <c r="F270" s="256"/>
      <c r="G270" s="216"/>
      <c r="H270" s="5"/>
      <c r="I270" s="5"/>
      <c r="J270" s="5"/>
      <c r="K270" s="178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7">
        <f>'Données projet'!A244</f>
        <v>10</v>
      </c>
      <c r="B271" s="188">
        <f>'Données projet'!D244</f>
        <v>0</v>
      </c>
      <c r="C271" s="201">
        <f>'Données projet'!E244*50+SUM('Données projet'!F244:G244)*19.4+'Données projet'!H244*10</f>
        <v>19.399999999999999</v>
      </c>
      <c r="D271" s="186">
        <f>B271*C271</f>
        <v>0</v>
      </c>
      <c r="E271" s="201"/>
      <c r="F271" s="257"/>
      <c r="G271" s="216"/>
      <c r="H271" s="5"/>
      <c r="I271" s="5"/>
      <c r="J271" s="5"/>
      <c r="K271" s="178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7">
        <f>'Données projet'!A245</f>
        <v>15</v>
      </c>
      <c r="B272" s="188">
        <f>'Données projet'!D245</f>
        <v>36</v>
      </c>
      <c r="C272" s="201">
        <f>'Données projet'!E245*50+SUM('Données projet'!F245:G245)*19.4+'Données projet'!H245*10</f>
        <v>19.399999999999999</v>
      </c>
      <c r="D272" s="186">
        <f t="shared" ref="D272:D290" si="12">B272*C272</f>
        <v>698.4</v>
      </c>
      <c r="E272" s="201"/>
      <c r="F272" s="257"/>
      <c r="G272" s="216"/>
      <c r="H272" s="5"/>
      <c r="I272" s="5"/>
      <c r="J272" s="5"/>
      <c r="K272" s="178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7">
        <f>'Données projet'!A246</f>
        <v>20</v>
      </c>
      <c r="B273" s="188">
        <f>'Données projet'!D246</f>
        <v>39</v>
      </c>
      <c r="C273" s="201">
        <f>'Données projet'!E246*50+SUM('Données projet'!F246:G246)*19.4+'Données projet'!H246*10</f>
        <v>19.399999999999999</v>
      </c>
      <c r="D273" s="186">
        <f t="shared" si="12"/>
        <v>756.59999999999991</v>
      </c>
      <c r="E273" s="201"/>
      <c r="F273" s="257"/>
      <c r="G273" s="216"/>
      <c r="H273" s="5"/>
      <c r="I273" s="5"/>
      <c r="J273" s="5"/>
      <c r="K273" s="178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7">
        <f>'Données projet'!A247</f>
        <v>25</v>
      </c>
      <c r="B274" s="188">
        <f>'Données projet'!D247</f>
        <v>41</v>
      </c>
      <c r="C274" s="201">
        <f>'Données projet'!E247*50+SUM('Données projet'!F247:G247)*19.4+'Données projet'!H247*10</f>
        <v>19.399999999999999</v>
      </c>
      <c r="D274" s="186">
        <f t="shared" si="12"/>
        <v>795.4</v>
      </c>
      <c r="E274" s="201"/>
      <c r="F274" s="257"/>
      <c r="G274" s="216"/>
      <c r="H274" s="5"/>
      <c r="I274" s="5"/>
      <c r="J274" s="5"/>
      <c r="K274" s="178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7">
        <f>'Données projet'!A248</f>
        <v>30</v>
      </c>
      <c r="B275" s="188">
        <f>'Données projet'!D248</f>
        <v>40</v>
      </c>
      <c r="C275" s="201">
        <f>'Données projet'!E248*50+SUM('Données projet'!F248:G248)*19.4+'Données projet'!H248*10</f>
        <v>19.399999999999999</v>
      </c>
      <c r="D275" s="186">
        <f t="shared" si="12"/>
        <v>776</v>
      </c>
      <c r="E275" s="201"/>
      <c r="F275" s="257"/>
      <c r="G275" s="216"/>
      <c r="H275" s="5"/>
      <c r="I275" s="5"/>
      <c r="J275" s="5"/>
      <c r="K275" s="178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7">
        <f>'Données projet'!A249</f>
        <v>35</v>
      </c>
      <c r="B276" s="188">
        <f>'Données projet'!D249</f>
        <v>38</v>
      </c>
      <c r="C276" s="201">
        <f>'Données projet'!E249*50+SUM('Données projet'!F249:G249)*19.4+'Données projet'!H249*10</f>
        <v>25.52</v>
      </c>
      <c r="D276" s="186">
        <f t="shared" si="12"/>
        <v>969.76</v>
      </c>
      <c r="E276" s="201"/>
      <c r="F276" s="257"/>
      <c r="G276" s="216"/>
      <c r="H276" s="5"/>
      <c r="I276" s="5"/>
      <c r="J276" s="5"/>
      <c r="K276" s="178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7">
        <f>'Données projet'!A250</f>
        <v>40</v>
      </c>
      <c r="B277" s="188">
        <f>'Données projet'!D250</f>
        <v>34</v>
      </c>
      <c r="C277" s="201">
        <f>'Données projet'!E250*50+SUM('Données projet'!F250:G250)*19.4+'Données projet'!H250*10</f>
        <v>25.52</v>
      </c>
      <c r="D277" s="186">
        <f t="shared" si="12"/>
        <v>867.68</v>
      </c>
      <c r="E277" s="201"/>
      <c r="F277" s="257"/>
      <c r="G277" s="217"/>
      <c r="H277" s="5"/>
      <c r="I277" s="5"/>
      <c r="J277" s="5"/>
      <c r="K277" s="178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7">
        <f>'Données projet'!A251</f>
        <v>45</v>
      </c>
      <c r="B278" s="188">
        <f>'Données projet'!D251</f>
        <v>30</v>
      </c>
      <c r="C278" s="201">
        <f>'Données projet'!E251*50+SUM('Données projet'!F251:G251)*19.4+'Données projet'!H251*10</f>
        <v>31.64</v>
      </c>
      <c r="D278" s="186">
        <f t="shared" si="12"/>
        <v>949.2</v>
      </c>
      <c r="E278" s="201"/>
      <c r="F278" s="257"/>
      <c r="G278" s="217"/>
      <c r="H278" s="5"/>
      <c r="I278" s="5"/>
      <c r="J278" s="5"/>
      <c r="K278" s="178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7">
        <f>'Données projet'!A252</f>
        <v>50</v>
      </c>
      <c r="B279" s="188">
        <f>'Données projet'!D252</f>
        <v>26</v>
      </c>
      <c r="C279" s="201">
        <f>'Données projet'!E252*50+SUM('Données projet'!F252:G252)*19.4+'Données projet'!H252*10</f>
        <v>31.64</v>
      </c>
      <c r="D279" s="186">
        <f t="shared" si="12"/>
        <v>822.64</v>
      </c>
      <c r="E279" s="201"/>
      <c r="F279" s="257"/>
      <c r="G279" s="217"/>
      <c r="H279" s="5"/>
      <c r="I279" s="5"/>
      <c r="J279" s="5"/>
      <c r="K279" s="178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7">
        <f>'Données projet'!A253</f>
        <v>55</v>
      </c>
      <c r="B280" s="188">
        <f>'Données projet'!D253</f>
        <v>23</v>
      </c>
      <c r="C280" s="201">
        <f>'Données projet'!E253*50+SUM('Données projet'!F253:G253)*19.4+'Données projet'!H253*10</f>
        <v>37.76</v>
      </c>
      <c r="D280" s="186">
        <f t="shared" si="12"/>
        <v>868.4799999999999</v>
      </c>
      <c r="E280" s="201"/>
      <c r="F280" s="257"/>
      <c r="G280" s="217"/>
      <c r="H280" s="5"/>
      <c r="I280" s="5"/>
      <c r="J280" s="5"/>
      <c r="K280" s="178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7">
        <f>'Données projet'!A254</f>
        <v>60</v>
      </c>
      <c r="B281" s="188">
        <f>'Données projet'!D254</f>
        <v>19</v>
      </c>
      <c r="C281" s="201">
        <f>'Données projet'!E254*50+SUM('Données projet'!F254:G254)*19.4+'Données projet'!H254*10</f>
        <v>37.76</v>
      </c>
      <c r="D281" s="186">
        <f t="shared" si="12"/>
        <v>717.43999999999994</v>
      </c>
      <c r="E281" s="201"/>
      <c r="F281" s="257"/>
      <c r="G281" s="217"/>
      <c r="H281" s="5"/>
      <c r="I281" s="5"/>
      <c r="J281" s="5"/>
      <c r="K281" s="178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7">
        <f>'Données projet'!A255</f>
        <v>65</v>
      </c>
      <c r="B282" s="188">
        <f>'Données projet'!D255</f>
        <v>16</v>
      </c>
      <c r="C282" s="201">
        <f>'Données projet'!E255*50+SUM('Données projet'!F255:G255)*19.4+'Données projet'!H255*10</f>
        <v>37.76</v>
      </c>
      <c r="D282" s="186">
        <f t="shared" si="12"/>
        <v>604.16</v>
      </c>
      <c r="E282" s="201"/>
      <c r="F282" s="257"/>
      <c r="G282" s="217"/>
      <c r="H282" s="5"/>
      <c r="I282" s="5"/>
      <c r="J282" s="5"/>
      <c r="K282" s="178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7">
        <f>'Données projet'!A256</f>
        <v>70</v>
      </c>
      <c r="B283" s="188">
        <f>'Données projet'!D256</f>
        <v>14</v>
      </c>
      <c r="C283" s="201">
        <f>'Données projet'!E256*50+SUM('Données projet'!F256:G256)*19.4+'Données projet'!H256*10</f>
        <v>43.88</v>
      </c>
      <c r="D283" s="186">
        <f t="shared" si="12"/>
        <v>614.32000000000005</v>
      </c>
      <c r="E283" s="201"/>
      <c r="F283" s="257"/>
      <c r="G283" s="217"/>
      <c r="H283" s="5"/>
      <c r="I283" s="5"/>
      <c r="J283" s="5"/>
      <c r="K283" s="178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7">
        <f>'Données projet'!A257</f>
        <v>0</v>
      </c>
      <c r="B284" s="188">
        <f>'Données projet'!D257</f>
        <v>0</v>
      </c>
      <c r="C284" s="201">
        <f>'Données projet'!E257*50+SUM('Données projet'!F257:G257)*19.4+'Données projet'!H257*10</f>
        <v>0</v>
      </c>
      <c r="D284" s="186">
        <f t="shared" si="12"/>
        <v>0</v>
      </c>
      <c r="E284" s="201"/>
      <c r="F284" s="257"/>
      <c r="G284" s="217"/>
      <c r="H284" s="5"/>
      <c r="I284" s="5"/>
      <c r="J284" s="5"/>
      <c r="K284" s="178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7">
        <f>'Données projet'!A258</f>
        <v>0</v>
      </c>
      <c r="B285" s="188">
        <f>'Données projet'!D258</f>
        <v>0</v>
      </c>
      <c r="C285" s="201">
        <f>'Données projet'!E258*50+SUM('Données projet'!F258:G258)*19.4+'Données projet'!H258*10</f>
        <v>0</v>
      </c>
      <c r="D285" s="186">
        <f t="shared" si="12"/>
        <v>0</v>
      </c>
      <c r="E285" s="201"/>
      <c r="F285" s="257"/>
      <c r="G285" s="217"/>
      <c r="H285" s="5"/>
      <c r="I285" s="5"/>
      <c r="J285" s="5"/>
      <c r="K285" s="178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7">
        <f>'Données projet'!A259</f>
        <v>0</v>
      </c>
      <c r="B286" s="188">
        <f>'Données projet'!D259</f>
        <v>0</v>
      </c>
      <c r="C286" s="201">
        <f>'Données projet'!E259*50+SUM('Données projet'!F259:G259)*19.4+'Données projet'!H259*10</f>
        <v>0</v>
      </c>
      <c r="D286" s="186">
        <f t="shared" si="12"/>
        <v>0</v>
      </c>
      <c r="E286" s="201"/>
      <c r="F286" s="257"/>
      <c r="G286" s="217"/>
      <c r="H286" s="5"/>
      <c r="I286" s="5"/>
      <c r="J286" s="5"/>
      <c r="K286" s="178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7">
        <f>'Données projet'!A260</f>
        <v>0</v>
      </c>
      <c r="B287" s="188">
        <f>'Données projet'!D260</f>
        <v>0</v>
      </c>
      <c r="C287" s="201">
        <f>'Données projet'!E260*50+SUM('Données projet'!F260:G260)*19.4+'Données projet'!H260*10</f>
        <v>0</v>
      </c>
      <c r="D287" s="186">
        <f t="shared" si="12"/>
        <v>0</v>
      </c>
      <c r="E287" s="201"/>
      <c r="F287" s="257"/>
      <c r="G287" s="217"/>
      <c r="H287" s="5"/>
      <c r="I287" s="5"/>
      <c r="J287" s="5"/>
      <c r="K287" s="178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7">
        <f>'Données projet'!A261</f>
        <v>0</v>
      </c>
      <c r="B288" s="188">
        <f>'Données projet'!D261</f>
        <v>0</v>
      </c>
      <c r="C288" s="201">
        <f>'Données projet'!E261*50+SUM('Données projet'!F261:G261)*19.4+'Données projet'!H261*10</f>
        <v>0</v>
      </c>
      <c r="D288" s="186">
        <f t="shared" si="12"/>
        <v>0</v>
      </c>
      <c r="E288" s="201"/>
      <c r="F288" s="257"/>
      <c r="G288" s="217"/>
      <c r="H288" s="5"/>
      <c r="I288" s="5"/>
      <c r="J288" s="5"/>
      <c r="K288" s="178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7">
        <f>'Données projet'!A262</f>
        <v>0</v>
      </c>
      <c r="B289" s="188">
        <f>'Données projet'!D262</f>
        <v>0</v>
      </c>
      <c r="C289" s="201">
        <f>'Données projet'!E262*50+SUM('Données projet'!F262:G262)*19.4+'Données projet'!H262*10</f>
        <v>0</v>
      </c>
      <c r="D289" s="186">
        <f t="shared" si="12"/>
        <v>0</v>
      </c>
      <c r="E289" s="201"/>
      <c r="F289" s="257"/>
      <c r="G289" s="217"/>
      <c r="H289" s="5"/>
      <c r="I289" s="5"/>
      <c r="J289" s="5"/>
      <c r="K289" s="178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7">
        <f>'Données projet'!A263</f>
        <v>0</v>
      </c>
      <c r="B290" s="188">
        <f>'Données projet'!D263</f>
        <v>0</v>
      </c>
      <c r="C290" s="201">
        <f>'Données projet'!E263*50+SUM('Données projet'!F263:G263)*19.4+'Données projet'!H263*10</f>
        <v>0</v>
      </c>
      <c r="D290" s="186">
        <f t="shared" si="12"/>
        <v>0</v>
      </c>
      <c r="E290" s="201"/>
      <c r="F290" s="257"/>
      <c r="G290" s="217"/>
      <c r="H290" s="5"/>
      <c r="I290" s="5"/>
      <c r="J290" s="5"/>
      <c r="K290" s="178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5"/>
      <c r="G291" s="217"/>
      <c r="H291" s="5"/>
      <c r="I291" s="5"/>
      <c r="J291" s="5"/>
      <c r="K291" s="178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5"/>
      <c r="G292" s="217"/>
      <c r="H292" s="5"/>
      <c r="I292" s="5"/>
      <c r="J292" s="5"/>
      <c r="K292" s="178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1" t="str">
        <f>IF('Données projet'!$B$18="","",'Données projet'!$B$18)</f>
        <v/>
      </c>
      <c r="C293" s="5"/>
      <c r="D293" s="5"/>
      <c r="E293" s="5"/>
      <c r="F293" s="255"/>
      <c r="G293" s="217"/>
      <c r="H293" s="5"/>
      <c r="I293" s="5"/>
      <c r="J293" s="5"/>
      <c r="K293" s="178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5"/>
      <c r="G294" s="217"/>
      <c r="H294" s="5"/>
      <c r="I294" s="5"/>
      <c r="J294" s="5"/>
      <c r="K294" s="178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1" t="s">
        <v>180</v>
      </c>
      <c r="B295" s="51" t="s">
        <v>256</v>
      </c>
      <c r="C295" s="51" t="s">
        <v>255</v>
      </c>
      <c r="D295" s="251" t="s">
        <v>252</v>
      </c>
      <c r="E295" s="251" t="s">
        <v>287</v>
      </c>
      <c r="F295" s="256"/>
      <c r="G295" s="217"/>
      <c r="H295" s="5"/>
      <c r="I295" s="5"/>
      <c r="J295" s="5"/>
      <c r="K295" s="178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4">
        <v>0</v>
      </c>
      <c r="B296" s="207" t="s">
        <v>132</v>
      </c>
      <c r="C296" s="206" t="s">
        <v>132</v>
      </c>
      <c r="D296" s="205" t="s">
        <v>132</v>
      </c>
      <c r="E296" s="201"/>
      <c r="F296" s="256"/>
      <c r="G296" s="217"/>
      <c r="H296" s="5"/>
      <c r="I296" s="5"/>
      <c r="J296" s="5"/>
      <c r="K296" s="178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4">
        <v>1</v>
      </c>
      <c r="B297" s="207" t="s">
        <v>132</v>
      </c>
      <c r="C297" s="206" t="s">
        <v>132</v>
      </c>
      <c r="D297" s="205" t="s">
        <v>132</v>
      </c>
      <c r="E297" s="201"/>
      <c r="F297" s="256"/>
      <c r="G297" s="215"/>
      <c r="H297" s="5"/>
      <c r="I297" s="5"/>
      <c r="J297" s="5"/>
      <c r="K297" s="178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4">
        <v>2</v>
      </c>
      <c r="B298" s="207" t="s">
        <v>132</v>
      </c>
      <c r="C298" s="206" t="s">
        <v>132</v>
      </c>
      <c r="D298" s="205" t="s">
        <v>132</v>
      </c>
      <c r="E298" s="201"/>
      <c r="F298" s="256"/>
      <c r="G298" s="215"/>
      <c r="H298" s="5"/>
      <c r="I298" s="5"/>
      <c r="J298" s="5"/>
      <c r="K298" s="178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4">
        <v>3</v>
      </c>
      <c r="B299" s="207" t="s">
        <v>132</v>
      </c>
      <c r="C299" s="206" t="s">
        <v>132</v>
      </c>
      <c r="D299" s="205" t="s">
        <v>132</v>
      </c>
      <c r="E299" s="201"/>
      <c r="F299" s="256"/>
      <c r="G299" s="215"/>
      <c r="H299" s="5"/>
      <c r="I299" s="5"/>
      <c r="J299" s="5"/>
      <c r="K299" s="178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4">
        <v>4</v>
      </c>
      <c r="B300" s="207" t="s">
        <v>132</v>
      </c>
      <c r="C300" s="206" t="s">
        <v>132</v>
      </c>
      <c r="D300" s="205" t="s">
        <v>132</v>
      </c>
      <c r="E300" s="201"/>
      <c r="F300" s="256"/>
      <c r="G300" s="215"/>
      <c r="H300" s="5"/>
      <c r="I300" s="5"/>
      <c r="J300" s="5"/>
      <c r="K300" s="178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4">
        <v>5</v>
      </c>
      <c r="B301" s="207" t="s">
        <v>132</v>
      </c>
      <c r="C301" s="206" t="s">
        <v>132</v>
      </c>
      <c r="D301" s="205" t="s">
        <v>132</v>
      </c>
      <c r="E301" s="201"/>
      <c r="F301" s="256"/>
      <c r="G301" s="216"/>
      <c r="H301" s="5"/>
      <c r="I301" s="5"/>
      <c r="J301" s="5"/>
      <c r="K301" s="178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7">
        <f>'Données projet'!A270</f>
        <v>0</v>
      </c>
      <c r="B302" s="188">
        <f>'Données projet'!D270</f>
        <v>0</v>
      </c>
      <c r="C302" s="199">
        <f>'Données projet'!E270*30+SUM('Données projet'!F270:G270)*19.4+'Données projet'!H270*10</f>
        <v>0</v>
      </c>
      <c r="D302" s="189">
        <f>B302*C302</f>
        <v>0</v>
      </c>
      <c r="E302" s="201"/>
      <c r="F302" s="258"/>
      <c r="G302" s="216"/>
      <c r="H302" s="5"/>
      <c r="I302" s="5"/>
      <c r="J302" s="5"/>
      <c r="K302" s="178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7">
        <f>'Données projet'!A271</f>
        <v>0</v>
      </c>
      <c r="B303" s="188">
        <f>'Données projet'!D271</f>
        <v>0</v>
      </c>
      <c r="C303" s="199">
        <f>'Données projet'!E271*30+SUM('Données projet'!F271:G271)*19.4+'Données projet'!H271*10</f>
        <v>0</v>
      </c>
      <c r="D303" s="189">
        <f t="shared" ref="D303:D321" si="13">B303*C303</f>
        <v>0</v>
      </c>
      <c r="E303" s="201"/>
      <c r="F303" s="258"/>
      <c r="G303" s="216"/>
      <c r="H303" s="5"/>
      <c r="I303" s="5"/>
      <c r="J303" s="5"/>
      <c r="K303" s="178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7">
        <f>'Données projet'!A272</f>
        <v>0</v>
      </c>
      <c r="B304" s="188">
        <f>'Données projet'!D272</f>
        <v>0</v>
      </c>
      <c r="C304" s="199">
        <f>'Données projet'!E272*30+SUM('Données projet'!F272:G272)*19.4+'Données projet'!H272*10</f>
        <v>0</v>
      </c>
      <c r="D304" s="189">
        <f t="shared" si="13"/>
        <v>0</v>
      </c>
      <c r="E304" s="201"/>
      <c r="F304" s="258"/>
      <c r="G304" s="216"/>
      <c r="H304" s="5"/>
      <c r="I304" s="5"/>
      <c r="J304" s="5"/>
      <c r="K304" s="178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7">
        <f>'Données projet'!A273</f>
        <v>0</v>
      </c>
      <c r="B305" s="188">
        <f>'Données projet'!D273</f>
        <v>0</v>
      </c>
      <c r="C305" s="199">
        <f>'Données projet'!E273*30+SUM('Données projet'!F273:G273)*19.4+'Données projet'!H273*10</f>
        <v>0</v>
      </c>
      <c r="D305" s="189">
        <f t="shared" si="13"/>
        <v>0</v>
      </c>
      <c r="E305" s="201"/>
      <c r="F305" s="258"/>
      <c r="G305" s="216"/>
      <c r="H305" s="5"/>
      <c r="I305" s="5"/>
      <c r="J305" s="5"/>
      <c r="K305" s="178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7">
        <f>'Données projet'!A274</f>
        <v>0</v>
      </c>
      <c r="B306" s="188">
        <f>'Données projet'!D274</f>
        <v>0</v>
      </c>
      <c r="C306" s="199">
        <f>'Données projet'!E274*30+SUM('Données projet'!F274:G274)*19.4+'Données projet'!H274*10</f>
        <v>0</v>
      </c>
      <c r="D306" s="189">
        <f t="shared" si="13"/>
        <v>0</v>
      </c>
      <c r="E306" s="201"/>
      <c r="F306" s="258"/>
      <c r="G306" s="216"/>
      <c r="H306" s="5"/>
      <c r="I306" s="5"/>
      <c r="J306" s="5"/>
      <c r="K306" s="178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7">
        <f>'Données projet'!A275</f>
        <v>0</v>
      </c>
      <c r="B307" s="188">
        <f>'Données projet'!D275</f>
        <v>0</v>
      </c>
      <c r="C307" s="199">
        <f>'Données projet'!E275*30+SUM('Données projet'!F275:G275)*19.4+'Données projet'!H275*10</f>
        <v>0</v>
      </c>
      <c r="D307" s="189">
        <f t="shared" si="13"/>
        <v>0</v>
      </c>
      <c r="E307" s="201"/>
      <c r="F307" s="258"/>
      <c r="G307" s="216"/>
      <c r="H307" s="5"/>
      <c r="I307" s="5"/>
      <c r="J307" s="5"/>
      <c r="K307" s="178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7">
        <f>'Données projet'!A276</f>
        <v>0</v>
      </c>
      <c r="B308" s="188">
        <f>'Données projet'!D276</f>
        <v>0</v>
      </c>
      <c r="C308" s="199">
        <f>'Données projet'!E276*30+SUM('Données projet'!F276:G276)*19.4+'Données projet'!H276*10</f>
        <v>0</v>
      </c>
      <c r="D308" s="189">
        <f t="shared" si="13"/>
        <v>0</v>
      </c>
      <c r="E308" s="201"/>
      <c r="F308" s="258"/>
      <c r="G308" s="212"/>
      <c r="H308" s="5"/>
      <c r="I308" s="5"/>
      <c r="J308" s="5"/>
      <c r="K308" s="178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7">
        <f>'Données projet'!A277</f>
        <v>0</v>
      </c>
      <c r="B309" s="188">
        <f>'Données projet'!D277</f>
        <v>0</v>
      </c>
      <c r="C309" s="199">
        <f>'Données projet'!E277*30+SUM('Données projet'!F277:G277)*19.4+'Données projet'!H277*10</f>
        <v>0</v>
      </c>
      <c r="D309" s="189">
        <f t="shared" si="13"/>
        <v>0</v>
      </c>
      <c r="E309" s="201"/>
      <c r="F309" s="258"/>
      <c r="G309" s="212"/>
      <c r="H309" s="5"/>
      <c r="I309" s="5"/>
      <c r="J309" s="5"/>
      <c r="K309" s="178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7">
        <f>'Données projet'!A278</f>
        <v>0</v>
      </c>
      <c r="B310" s="188">
        <f>'Données projet'!D278</f>
        <v>0</v>
      </c>
      <c r="C310" s="199">
        <f>'Données projet'!E278*30+SUM('Données projet'!F278:G278)*19.4+'Données projet'!H278*10</f>
        <v>0</v>
      </c>
      <c r="D310" s="189">
        <f t="shared" si="13"/>
        <v>0</v>
      </c>
      <c r="E310" s="201"/>
      <c r="F310" s="258"/>
      <c r="G310" s="212"/>
      <c r="H310" s="5"/>
      <c r="I310" s="5"/>
      <c r="J310" s="5"/>
      <c r="K310" s="178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7">
        <f>'Données projet'!A279</f>
        <v>0</v>
      </c>
      <c r="B311" s="188">
        <f>'Données projet'!D279</f>
        <v>0</v>
      </c>
      <c r="C311" s="199">
        <f>'Données projet'!E279*30+SUM('Données projet'!F279:G279)*19.4+'Données projet'!H279*10</f>
        <v>0</v>
      </c>
      <c r="D311" s="189">
        <f t="shared" si="13"/>
        <v>0</v>
      </c>
      <c r="E311" s="201"/>
      <c r="F311" s="258"/>
      <c r="G311" s="212"/>
      <c r="H311" s="5"/>
      <c r="I311" s="5"/>
      <c r="J311" s="5"/>
      <c r="K311" s="178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7">
        <f>'Données projet'!A280</f>
        <v>0</v>
      </c>
      <c r="B312" s="188">
        <f>'Données projet'!D280</f>
        <v>0</v>
      </c>
      <c r="C312" s="199">
        <f>'Données projet'!E280*30+SUM('Données projet'!F280:G280)*19.4+'Données projet'!H280*10</f>
        <v>0</v>
      </c>
      <c r="D312" s="189">
        <f t="shared" si="13"/>
        <v>0</v>
      </c>
      <c r="E312" s="201"/>
      <c r="F312" s="258"/>
      <c r="G312" s="212"/>
      <c r="H312" s="5"/>
      <c r="I312" s="5"/>
      <c r="J312" s="5"/>
      <c r="K312" s="178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7">
        <f>'Données projet'!A281</f>
        <v>0</v>
      </c>
      <c r="B313" s="188">
        <f>'Données projet'!D281</f>
        <v>0</v>
      </c>
      <c r="C313" s="199">
        <f>'Données projet'!E281*30+SUM('Données projet'!F281:G281)*19.4+'Données projet'!H281*10</f>
        <v>0</v>
      </c>
      <c r="D313" s="189">
        <f t="shared" si="13"/>
        <v>0</v>
      </c>
      <c r="E313" s="201"/>
      <c r="F313" s="258"/>
      <c r="G313" s="212"/>
      <c r="H313" s="5"/>
      <c r="I313" s="5"/>
      <c r="J313" s="5"/>
      <c r="K313" s="178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7">
        <f>'Données projet'!A282</f>
        <v>0</v>
      </c>
      <c r="B314" s="188">
        <f>'Données projet'!D282</f>
        <v>0</v>
      </c>
      <c r="C314" s="199">
        <f>'Données projet'!E282*30+SUM('Données projet'!F282:G282)*19.4+'Données projet'!H282*10</f>
        <v>0</v>
      </c>
      <c r="D314" s="189">
        <f t="shared" si="13"/>
        <v>0</v>
      </c>
      <c r="E314" s="201"/>
      <c r="F314" s="258"/>
      <c r="G314" s="212"/>
      <c r="H314" s="5"/>
      <c r="I314" s="5"/>
      <c r="J314" s="5"/>
      <c r="K314" s="178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7">
        <f>'Données projet'!A283</f>
        <v>0</v>
      </c>
      <c r="B315" s="188">
        <f>'Données projet'!D283</f>
        <v>0</v>
      </c>
      <c r="C315" s="199">
        <f>'Données projet'!E283*30+SUM('Données projet'!F283:G283)*19.4+'Données projet'!H283*10</f>
        <v>0</v>
      </c>
      <c r="D315" s="189">
        <f t="shared" si="13"/>
        <v>0</v>
      </c>
      <c r="E315" s="201"/>
      <c r="F315" s="258"/>
      <c r="G315" s="212"/>
      <c r="H315" s="5"/>
      <c r="I315" s="5"/>
      <c r="J315" s="5"/>
      <c r="K315" s="178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7">
        <f>'Données projet'!A284</f>
        <v>0</v>
      </c>
      <c r="B316" s="188">
        <f>'Données projet'!D284</f>
        <v>0</v>
      </c>
      <c r="C316" s="199">
        <f>'Données projet'!E284*30+SUM('Données projet'!F284:G284)*19.4+'Données projet'!H284*10</f>
        <v>0</v>
      </c>
      <c r="D316" s="189">
        <f t="shared" si="13"/>
        <v>0</v>
      </c>
      <c r="E316" s="201"/>
      <c r="F316" s="258"/>
      <c r="G316" s="212"/>
      <c r="H316" s="5"/>
      <c r="I316" s="5"/>
      <c r="J316" s="5"/>
      <c r="K316" s="178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7">
        <f>'Données projet'!A285</f>
        <v>0</v>
      </c>
      <c r="B317" s="188">
        <f>'Données projet'!D285</f>
        <v>0</v>
      </c>
      <c r="C317" s="199">
        <f>'Données projet'!E285*30+SUM('Données projet'!F285:G285)*19.4+'Données projet'!H285*10</f>
        <v>0</v>
      </c>
      <c r="D317" s="189">
        <f t="shared" si="13"/>
        <v>0</v>
      </c>
      <c r="E317" s="201"/>
      <c r="F317" s="258"/>
      <c r="G317" s="212"/>
      <c r="H317" s="5"/>
      <c r="I317" s="5"/>
      <c r="J317" s="5"/>
      <c r="K317" s="178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7">
        <f>'Données projet'!A286</f>
        <v>0</v>
      </c>
      <c r="B318" s="188">
        <f>'Données projet'!D286</f>
        <v>0</v>
      </c>
      <c r="C318" s="199">
        <f>'Données projet'!E286*30+SUM('Données projet'!F286:G286)*19.4+'Données projet'!H286*10</f>
        <v>0</v>
      </c>
      <c r="D318" s="189">
        <f t="shared" si="13"/>
        <v>0</v>
      </c>
      <c r="E318" s="201"/>
      <c r="F318" s="258"/>
      <c r="G318" s="212"/>
      <c r="H318" s="5"/>
      <c r="I318" s="5"/>
      <c r="J318" s="5"/>
      <c r="K318" s="178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7">
        <f>'Données projet'!A287</f>
        <v>0</v>
      </c>
      <c r="B319" s="188">
        <f>'Données projet'!D287</f>
        <v>0</v>
      </c>
      <c r="C319" s="199">
        <f>'Données projet'!E287*30+SUM('Données projet'!F287:G287)*19.4+'Données projet'!H287*10</f>
        <v>0</v>
      </c>
      <c r="D319" s="189">
        <f t="shared" si="13"/>
        <v>0</v>
      </c>
      <c r="E319" s="201"/>
      <c r="F319" s="258"/>
      <c r="G319" s="212"/>
      <c r="H319" s="5"/>
      <c r="I319" s="5"/>
      <c r="J319" s="5"/>
      <c r="K319" s="178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7">
        <f>'Données projet'!A288</f>
        <v>0</v>
      </c>
      <c r="B320" s="188">
        <f>'Données projet'!D288</f>
        <v>0</v>
      </c>
      <c r="C320" s="199">
        <f>'Données projet'!E288*30+SUM('Données projet'!F288:G288)*19.4+'Données projet'!H288*10</f>
        <v>0</v>
      </c>
      <c r="D320" s="189">
        <f t="shared" si="13"/>
        <v>0</v>
      </c>
      <c r="E320" s="201"/>
      <c r="F320" s="258"/>
      <c r="G320" s="212"/>
      <c r="H320" s="5"/>
      <c r="I320" s="5"/>
      <c r="J320" s="5"/>
      <c r="K320" s="178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7">
        <f>'Données projet'!A289</f>
        <v>0</v>
      </c>
      <c r="B321" s="188">
        <f>'Données projet'!D289</f>
        <v>0</v>
      </c>
      <c r="C321" s="199">
        <f>'Données projet'!E289*30+SUM('Données projet'!F289:G289)*19.4+'Données projet'!H289*10</f>
        <v>0</v>
      </c>
      <c r="D321" s="189">
        <f t="shared" si="13"/>
        <v>0</v>
      </c>
      <c r="E321" s="201"/>
      <c r="F321" s="258"/>
      <c r="G321" s="212"/>
      <c r="H321" s="5"/>
      <c r="I321" s="5"/>
      <c r="J321" s="5"/>
      <c r="K321" s="178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2"/>
      <c r="H322" s="5"/>
      <c r="I322" s="5"/>
      <c r="J322" s="5"/>
      <c r="K322" s="178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2"/>
      <c r="H323" s="5"/>
      <c r="I323" s="5"/>
      <c r="J323" s="5"/>
      <c r="K323" s="178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2"/>
      <c r="H324" s="5"/>
      <c r="I324" s="5"/>
      <c r="J324" s="5"/>
      <c r="K324" s="178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2"/>
      <c r="H325" s="5"/>
      <c r="I325" s="5"/>
      <c r="J325" s="5"/>
      <c r="K325" s="178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2"/>
      <c r="H326" s="5"/>
      <c r="I326" s="5"/>
      <c r="J326" s="5"/>
      <c r="K326" s="178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2"/>
      <c r="H327" s="5"/>
      <c r="I327" s="5"/>
      <c r="J327" s="5"/>
      <c r="K327" s="178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5"/>
      <c r="G328" s="22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5"/>
      <c r="G329" s="22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5"/>
      <c r="G330" s="22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5"/>
      <c r="G331" s="22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5"/>
      <c r="G332" s="22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5"/>
      <c r="G333" s="22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5"/>
      <c r="G334" s="22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5"/>
      <c r="G335" s="22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5"/>
      <c r="G336" s="22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5"/>
      <c r="G337" s="22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5"/>
      <c r="G338" s="22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5"/>
      <c r="G339" s="22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5"/>
      <c r="G340" s="22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5"/>
      <c r="G341" s="22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5"/>
      <c r="G342" s="22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5"/>
      <c r="G343" s="22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5"/>
      <c r="G344" s="22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5"/>
      <c r="G345" s="22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5"/>
      <c r="G346" s="22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5"/>
      <c r="G347" s="22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5"/>
      <c r="G348" s="22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5"/>
      <c r="G349" s="22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5"/>
      <c r="G350" s="22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5"/>
      <c r="G351" s="22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5"/>
      <c r="G352" s="22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5"/>
      <c r="G353" s="22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5"/>
      <c r="G354" s="22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5"/>
      <c r="G355" s="22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5"/>
      <c r="G356" s="22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5"/>
      <c r="G357" s="22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5"/>
      <c r="G358" s="22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5"/>
      <c r="G359" s="22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5"/>
      <c r="G360" s="22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5"/>
      <c r="G361" s="22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5"/>
      <c r="G362" s="22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5"/>
      <c r="G363" s="22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5"/>
      <c r="G364" s="22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5"/>
      <c r="G365" s="22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5"/>
      <c r="G366" s="22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5"/>
      <c r="G367" s="22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5"/>
      <c r="G368" s="22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5"/>
      <c r="G369" s="22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5"/>
      <c r="G370" s="6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5"/>
      <c r="G371" s="6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5"/>
      <c r="G372" s="6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5"/>
      <c r="G373" s="6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5"/>
      <c r="G374" s="6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5"/>
      <c r="G375" s="6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5"/>
      <c r="G376" s="6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5"/>
      <c r="G377" s="6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5"/>
      <c r="G378" s="6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5"/>
      <c r="G379" s="6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5"/>
      <c r="G380" s="6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5"/>
      <c r="G381" s="6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5"/>
      <c r="G382" s="6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5"/>
      <c r="G383" s="6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5"/>
      <c r="G384" s="6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5"/>
      <c r="G385" s="6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5"/>
      <c r="G386" s="6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5"/>
      <c r="G387" s="6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5"/>
      <c r="G388" s="6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5"/>
      <c r="G389" s="6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5"/>
      <c r="G390" s="6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5"/>
      <c r="G391" s="6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5"/>
      <c r="G392" s="6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5"/>
      <c r="G393" s="6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5"/>
      <c r="G394" s="6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5"/>
      <c r="G395" s="6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7"/>
      <c r="G396" s="6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7"/>
      <c r="G397" s="6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7"/>
      <c r="G398" s="6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7"/>
      <c r="G399" s="6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7"/>
      <c r="G400" s="6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7"/>
      <c r="G401" s="6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7"/>
      <c r="G402" s="6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7"/>
      <c r="G403" s="6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7"/>
      <c r="G404" s="6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7"/>
      <c r="G405" s="6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7"/>
      <c r="G406" s="6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7"/>
      <c r="G407" s="6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7"/>
      <c r="G408" s="6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7"/>
      <c r="G409" s="6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7"/>
      <c r="G410" s="6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7"/>
      <c r="G411" s="6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7"/>
      <c r="G412" s="6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7"/>
      <c r="G413" s="6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7"/>
      <c r="G414" s="6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7"/>
      <c r="G415" s="6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7"/>
      <c r="G416" s="6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7"/>
      <c r="G417" s="6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7"/>
      <c r="G418" s="6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7"/>
      <c r="G419" s="6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7"/>
      <c r="G420" s="6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7"/>
      <c r="G421" s="6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7"/>
      <c r="G422" s="6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7"/>
      <c r="G423" s="6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7"/>
      <c r="G424" s="6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7"/>
      <c r="G425" s="6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7"/>
      <c r="G426" s="6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7"/>
      <c r="G427" s="6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7"/>
      <c r="G428" s="6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7"/>
      <c r="G429" s="6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7"/>
      <c r="G430" s="6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7"/>
      <c r="G431" s="6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7"/>
      <c r="G432" s="6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7"/>
      <c r="G433" s="6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7"/>
      <c r="G434" s="6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7"/>
      <c r="G435" s="6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7"/>
      <c r="G436" s="6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7"/>
      <c r="G437" s="6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7"/>
      <c r="G438" s="6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7"/>
      <c r="G439" s="6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7"/>
      <c r="G440" s="6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7"/>
      <c r="G441" s="6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6"/>
  <sheetViews>
    <sheetView topLeftCell="A37" workbookViewId="0">
      <selection activeCell="F3" sqref="F3:F68"/>
    </sheetView>
  </sheetViews>
  <sheetFormatPr baseColWidth="10" defaultRowHeight="14.4" x14ac:dyDescent="0.3"/>
  <sheetData>
    <row r="2" spans="2:7" ht="27.6" x14ac:dyDescent="0.3">
      <c r="B2" s="281" t="s">
        <v>404</v>
      </c>
      <c r="C2" s="281" t="s">
        <v>321</v>
      </c>
      <c r="D2" s="282" t="s">
        <v>322</v>
      </c>
      <c r="E2" s="281" t="s">
        <v>323</v>
      </c>
      <c r="F2" s="281" t="s">
        <v>324</v>
      </c>
      <c r="G2" s="281" t="s">
        <v>325</v>
      </c>
    </row>
    <row r="3" spans="2:7" x14ac:dyDescent="0.3">
      <c r="B3" s="283" t="s">
        <v>326</v>
      </c>
      <c r="C3" s="284">
        <v>0.62</v>
      </c>
      <c r="D3" s="282" t="s">
        <v>327</v>
      </c>
      <c r="E3" s="285">
        <v>300</v>
      </c>
      <c r="F3" s="286">
        <f>IF([1]VAN!$D3="Feuillus",11*1.25,15.5*1.25)</f>
        <v>13.75</v>
      </c>
      <c r="G3" s="285">
        <v>10</v>
      </c>
    </row>
    <row r="4" spans="2:7" x14ac:dyDescent="0.3">
      <c r="B4" s="283" t="s">
        <v>328</v>
      </c>
      <c r="C4" s="284">
        <v>0.64</v>
      </c>
      <c r="D4" s="282" t="s">
        <v>327</v>
      </c>
      <c r="E4" s="287" t="s">
        <v>329</v>
      </c>
      <c r="F4" s="286">
        <f>IF([1]VAN!$D4="Feuillus",11*1.25,15.5*1.25)</f>
        <v>13.75</v>
      </c>
      <c r="G4" s="285">
        <v>10</v>
      </c>
    </row>
    <row r="5" spans="2:7" x14ac:dyDescent="0.3">
      <c r="B5" s="283" t="s">
        <v>330</v>
      </c>
      <c r="C5" s="284">
        <v>0.42</v>
      </c>
      <c r="D5" s="282" t="s">
        <v>327</v>
      </c>
      <c r="E5" s="285">
        <v>40</v>
      </c>
      <c r="F5" s="286">
        <f>IF([1]VAN!$D5="Feuillus",11*1.25,15.5*1.25)</f>
        <v>13.75</v>
      </c>
      <c r="G5" s="285">
        <v>10</v>
      </c>
    </row>
    <row r="6" spans="2:7" x14ac:dyDescent="0.3">
      <c r="B6" s="283" t="s">
        <v>331</v>
      </c>
      <c r="C6" s="284">
        <v>0.42</v>
      </c>
      <c r="D6" s="282" t="s">
        <v>327</v>
      </c>
      <c r="E6" s="285">
        <v>40</v>
      </c>
      <c r="F6" s="286">
        <f>IF([1]VAN!$D6="Feuillus",11*1.25,15.5*1.25)</f>
        <v>13.75</v>
      </c>
      <c r="G6" s="285">
        <v>10</v>
      </c>
    </row>
    <row r="7" spans="2:7" x14ac:dyDescent="0.3">
      <c r="B7" s="283" t="s">
        <v>332</v>
      </c>
      <c r="C7" s="284">
        <v>0.52</v>
      </c>
      <c r="D7" s="282" t="s">
        <v>327</v>
      </c>
      <c r="E7" s="285">
        <v>40</v>
      </c>
      <c r="F7" s="286">
        <f>IF([1]VAN!$D7="Feuillus",11*1.25,15.5*1.25)</f>
        <v>13.75</v>
      </c>
      <c r="G7" s="285">
        <v>10</v>
      </c>
    </row>
    <row r="8" spans="2:7" x14ac:dyDescent="0.3">
      <c r="B8" s="283" t="s">
        <v>333</v>
      </c>
      <c r="C8" s="284">
        <v>0.36</v>
      </c>
      <c r="D8" s="282" t="s">
        <v>334</v>
      </c>
      <c r="E8" s="287">
        <v>30</v>
      </c>
      <c r="F8" s="286">
        <f>IF([1]VAN!$D8="Feuillus",11*1.25,15.5*1.25)</f>
        <v>19.375</v>
      </c>
      <c r="G8" s="285">
        <v>10</v>
      </c>
    </row>
    <row r="9" spans="2:7" x14ac:dyDescent="0.3">
      <c r="B9" s="283" t="s">
        <v>335</v>
      </c>
      <c r="C9" s="284">
        <v>0.61</v>
      </c>
      <c r="D9" s="282" t="s">
        <v>327</v>
      </c>
      <c r="E9" s="285">
        <v>50</v>
      </c>
      <c r="F9" s="286">
        <f>IF([1]VAN!$D9="Feuillus",11*1.25,15.5*1.25)</f>
        <v>13.75</v>
      </c>
      <c r="G9" s="285">
        <v>10</v>
      </c>
    </row>
    <row r="10" spans="2:7" x14ac:dyDescent="0.3">
      <c r="B10" s="283" t="s">
        <v>336</v>
      </c>
      <c r="C10" s="284">
        <v>0.66</v>
      </c>
      <c r="D10" s="282" t="s">
        <v>327</v>
      </c>
      <c r="E10" s="285">
        <v>50</v>
      </c>
      <c r="F10" s="286">
        <f>IF([1]VAN!$D10="Feuillus",11*1.25,15.5*1.25)</f>
        <v>13.75</v>
      </c>
      <c r="G10" s="285">
        <v>10</v>
      </c>
    </row>
    <row r="11" spans="2:7" x14ac:dyDescent="0.3">
      <c r="B11" s="288" t="s">
        <v>337</v>
      </c>
      <c r="C11" s="289">
        <v>0.47</v>
      </c>
      <c r="D11" s="282" t="s">
        <v>327</v>
      </c>
      <c r="E11" s="285">
        <v>100</v>
      </c>
      <c r="F11" s="286">
        <f>IF([1]VAN!$D11="Feuillus",11*1.25,15.5*1.25)</f>
        <v>13.75</v>
      </c>
      <c r="G11" s="285">
        <v>10</v>
      </c>
    </row>
    <row r="12" spans="2:7" x14ac:dyDescent="0.3">
      <c r="B12" s="283" t="s">
        <v>338</v>
      </c>
      <c r="C12" s="284">
        <v>0.67</v>
      </c>
      <c r="D12" s="282" t="s">
        <v>327</v>
      </c>
      <c r="E12" s="285">
        <v>150</v>
      </c>
      <c r="F12" s="286">
        <f>IF([1]VAN!$D12="Feuillus",11*1.25,15.5*1.25)</f>
        <v>13.75</v>
      </c>
      <c r="G12" s="285">
        <v>10</v>
      </c>
    </row>
    <row r="13" spans="2:7" x14ac:dyDescent="0.3">
      <c r="B13" s="283" t="s">
        <v>339</v>
      </c>
      <c r="C13" s="284">
        <v>0.7</v>
      </c>
      <c r="D13" s="282" t="s">
        <v>327</v>
      </c>
      <c r="E13" s="285">
        <v>150</v>
      </c>
      <c r="F13" s="286">
        <f>IF([1]VAN!$D13="Feuillus",11*1.25,15.5*1.25)</f>
        <v>13.75</v>
      </c>
      <c r="G13" s="285">
        <v>10</v>
      </c>
    </row>
    <row r="14" spans="2:7" x14ac:dyDescent="0.3">
      <c r="B14" s="283" t="s">
        <v>340</v>
      </c>
      <c r="C14" s="284">
        <v>0.54</v>
      </c>
      <c r="D14" s="282" t="s">
        <v>327</v>
      </c>
      <c r="E14" s="285">
        <v>150</v>
      </c>
      <c r="F14" s="286">
        <f>IF([1]VAN!$D14="Feuillus",11*1.25,15.5*1.25)</f>
        <v>13.75</v>
      </c>
      <c r="G14" s="285">
        <v>10</v>
      </c>
    </row>
    <row r="15" spans="2:7" x14ac:dyDescent="0.3">
      <c r="B15" s="283" t="s">
        <v>341</v>
      </c>
      <c r="C15" s="284">
        <v>0.65</v>
      </c>
      <c r="D15" s="282" t="s">
        <v>327</v>
      </c>
      <c r="E15" s="285">
        <v>150</v>
      </c>
      <c r="F15" s="286">
        <f>IF([1]VAN!$D15="Feuillus",11*1.25,15.5*1.25)</f>
        <v>13.75</v>
      </c>
      <c r="G15" s="285">
        <v>10</v>
      </c>
    </row>
    <row r="16" spans="2:7" x14ac:dyDescent="0.3">
      <c r="B16" s="283" t="s">
        <v>342</v>
      </c>
      <c r="C16" s="284">
        <v>0.56000000000000005</v>
      </c>
      <c r="D16" s="282" t="s">
        <v>327</v>
      </c>
      <c r="E16" s="285">
        <v>150</v>
      </c>
      <c r="F16" s="286">
        <f>IF([1]VAN!$D16="Feuillus",11*1.25,15.5*1.25)</f>
        <v>13.75</v>
      </c>
      <c r="G16" s="285">
        <v>10</v>
      </c>
    </row>
    <row r="17" spans="2:7" x14ac:dyDescent="0.3">
      <c r="B17" s="283" t="s">
        <v>343</v>
      </c>
      <c r="C17" s="284">
        <v>0.57999999999999996</v>
      </c>
      <c r="D17" s="282" t="s">
        <v>327</v>
      </c>
      <c r="E17" s="285">
        <v>150</v>
      </c>
      <c r="F17" s="286">
        <f>IF([1]VAN!$D17="Feuillus",11*1.25,15.5*1.25)</f>
        <v>13.75</v>
      </c>
      <c r="G17" s="285">
        <v>10</v>
      </c>
    </row>
    <row r="18" spans="2:7" x14ac:dyDescent="0.3">
      <c r="B18" s="283" t="s">
        <v>344</v>
      </c>
      <c r="C18" s="284">
        <v>0.64</v>
      </c>
      <c r="D18" s="282" t="s">
        <v>327</v>
      </c>
      <c r="E18" s="285">
        <v>150</v>
      </c>
      <c r="F18" s="286">
        <f>IF([1]VAN!$D18="Feuillus",11*1.25,15.5*1.25)</f>
        <v>13.75</v>
      </c>
      <c r="G18" s="285">
        <v>10</v>
      </c>
    </row>
    <row r="19" spans="2:7" x14ac:dyDescent="0.3">
      <c r="B19" s="283" t="s">
        <v>345</v>
      </c>
      <c r="C19" s="284">
        <v>0.73</v>
      </c>
      <c r="D19" s="282" t="s">
        <v>327</v>
      </c>
      <c r="E19" s="285">
        <v>150</v>
      </c>
      <c r="F19" s="286">
        <f>IF([1]VAN!$D19="Feuillus",11*1.25,15.5*1.25)</f>
        <v>13.75</v>
      </c>
      <c r="G19" s="285">
        <v>10</v>
      </c>
    </row>
    <row r="20" spans="2:7" x14ac:dyDescent="0.3">
      <c r="B20" s="283" t="s">
        <v>346</v>
      </c>
      <c r="C20" s="284">
        <v>0.56000000000000005</v>
      </c>
      <c r="D20" s="282" t="s">
        <v>327</v>
      </c>
      <c r="E20" s="285">
        <v>150</v>
      </c>
      <c r="F20" s="286">
        <f>IF([1]VAN!$D20="Feuillus",11*1.25,15.5*1.25)</f>
        <v>13.75</v>
      </c>
      <c r="G20" s="285">
        <v>10</v>
      </c>
    </row>
    <row r="21" spans="2:7" x14ac:dyDescent="0.3">
      <c r="B21" s="283" t="s">
        <v>347</v>
      </c>
      <c r="C21" s="284">
        <v>0.74</v>
      </c>
      <c r="D21" s="282" t="s">
        <v>327</v>
      </c>
      <c r="E21" s="285">
        <v>300</v>
      </c>
      <c r="F21" s="286">
        <f>IF([1]VAN!$D21="Feuillus",11*1.25,15.5*1.25)</f>
        <v>13.75</v>
      </c>
      <c r="G21" s="285">
        <v>10</v>
      </c>
    </row>
    <row r="22" spans="2:7" x14ac:dyDescent="0.3">
      <c r="B22" s="283" t="s">
        <v>348</v>
      </c>
      <c r="C22" s="284">
        <v>0.4</v>
      </c>
      <c r="D22" s="282" t="s">
        <v>334</v>
      </c>
      <c r="E22" s="287">
        <v>30</v>
      </c>
      <c r="F22" s="286">
        <f>IF([1]VAN!$D22="Feuillus",11*1.25,15.5*1.25)</f>
        <v>19.375</v>
      </c>
      <c r="G22" s="285">
        <v>10</v>
      </c>
    </row>
    <row r="23" spans="2:7" x14ac:dyDescent="0.3">
      <c r="B23" s="283" t="s">
        <v>349</v>
      </c>
      <c r="C23" s="284">
        <v>0.6</v>
      </c>
      <c r="D23" s="282" t="s">
        <v>327</v>
      </c>
      <c r="E23" s="285">
        <v>300</v>
      </c>
      <c r="F23" s="286">
        <f>IF([1]VAN!$D23="Feuillus",11*1.25,15.5*1.25)</f>
        <v>13.75</v>
      </c>
      <c r="G23" s="285">
        <v>10</v>
      </c>
    </row>
    <row r="24" spans="2:7" x14ac:dyDescent="0.3">
      <c r="B24" s="283" t="s">
        <v>350</v>
      </c>
      <c r="C24" s="284">
        <v>0.43</v>
      </c>
      <c r="D24" s="282" t="s">
        <v>334</v>
      </c>
      <c r="E24" s="285">
        <v>59</v>
      </c>
      <c r="F24" s="286">
        <f>IF([1]VAN!$D24="Feuillus",11*1.25,15.5*1.25)</f>
        <v>19.375</v>
      </c>
      <c r="G24" s="285">
        <v>10</v>
      </c>
    </row>
    <row r="25" spans="2:7" x14ac:dyDescent="0.3">
      <c r="B25" s="283" t="s">
        <v>351</v>
      </c>
      <c r="C25" s="284">
        <v>0.37</v>
      </c>
      <c r="D25" s="282" t="s">
        <v>334</v>
      </c>
      <c r="E25" s="287">
        <v>36</v>
      </c>
      <c r="F25" s="286">
        <f>IF([1]VAN!$D25="Feuillus",11*1.25,15.5*1.25)</f>
        <v>19.375</v>
      </c>
      <c r="G25" s="285">
        <v>10</v>
      </c>
    </row>
    <row r="26" spans="2:7" x14ac:dyDescent="0.3">
      <c r="B26" s="283" t="s">
        <v>352</v>
      </c>
      <c r="C26" s="284">
        <v>0.36</v>
      </c>
      <c r="D26" s="282" t="s">
        <v>334</v>
      </c>
      <c r="E26" s="285">
        <v>47</v>
      </c>
      <c r="F26" s="286">
        <f>IF([1]VAN!$D26="Feuillus",11*1.25,15.5*1.25)</f>
        <v>19.375</v>
      </c>
      <c r="G26" s="285">
        <v>10</v>
      </c>
    </row>
    <row r="27" spans="2:7" x14ac:dyDescent="0.3">
      <c r="B27" s="283" t="s">
        <v>353</v>
      </c>
      <c r="C27" s="284">
        <v>0.51</v>
      </c>
      <c r="D27" s="282" t="s">
        <v>327</v>
      </c>
      <c r="E27" s="285">
        <v>60</v>
      </c>
      <c r="F27" s="286">
        <f>IF([1]VAN!$D27="Feuillus",11*1.25,15.5*1.25)</f>
        <v>13.75</v>
      </c>
      <c r="G27" s="285">
        <v>10</v>
      </c>
    </row>
    <row r="28" spans="2:7" x14ac:dyDescent="0.3">
      <c r="B28" s="283" t="s">
        <v>354</v>
      </c>
      <c r="C28" s="284">
        <v>0.56000000000000005</v>
      </c>
      <c r="D28" s="282" t="s">
        <v>327</v>
      </c>
      <c r="E28" s="285">
        <v>60</v>
      </c>
      <c r="F28" s="286">
        <f>IF([1]VAN!$D28="Feuillus",11*1.25,15.5*1.25)</f>
        <v>13.75</v>
      </c>
      <c r="G28" s="285">
        <v>10</v>
      </c>
    </row>
    <row r="29" spans="2:7" x14ac:dyDescent="0.3">
      <c r="B29" s="283" t="s">
        <v>355</v>
      </c>
      <c r="C29" s="284">
        <v>0.56000000000000005</v>
      </c>
      <c r="D29" s="282" t="s">
        <v>327</v>
      </c>
      <c r="E29" s="287" t="s">
        <v>329</v>
      </c>
      <c r="F29" s="286">
        <f>IF([1]VAN!$D29="Feuillus",11*1.25,15.5*1.25)</f>
        <v>13.75</v>
      </c>
      <c r="G29" s="285">
        <v>10</v>
      </c>
    </row>
    <row r="30" spans="2:7" x14ac:dyDescent="0.3">
      <c r="B30" s="283" t="s">
        <v>356</v>
      </c>
      <c r="C30" s="284">
        <v>0.48</v>
      </c>
      <c r="D30" s="282" t="s">
        <v>327</v>
      </c>
      <c r="E30" s="285">
        <v>300</v>
      </c>
      <c r="F30" s="286">
        <f>IF([1]VAN!$D30="Feuillus",11*1.25,15.5*1.25)</f>
        <v>13.75</v>
      </c>
      <c r="G30" s="285">
        <v>10</v>
      </c>
    </row>
    <row r="31" spans="2:7" x14ac:dyDescent="0.3">
      <c r="B31" s="283" t="s">
        <v>357</v>
      </c>
      <c r="C31" s="284">
        <v>0.55000000000000004</v>
      </c>
      <c r="D31" s="282" t="s">
        <v>327</v>
      </c>
      <c r="E31" s="285">
        <v>45</v>
      </c>
      <c r="F31" s="286">
        <f>IF([1]VAN!$D31="Feuillus",11*1.25,15.5*1.25)</f>
        <v>13.75</v>
      </c>
      <c r="G31" s="285">
        <v>10</v>
      </c>
    </row>
    <row r="32" spans="2:7" x14ac:dyDescent="0.3">
      <c r="B32" s="283" t="s">
        <v>358</v>
      </c>
      <c r="C32" s="284">
        <v>0.56000000000000005</v>
      </c>
      <c r="D32" s="282" t="s">
        <v>327</v>
      </c>
      <c r="E32" s="285">
        <v>90</v>
      </c>
      <c r="F32" s="286">
        <f>IF([1]VAN!$D32="Feuillus",11*1.25,15.5*1.25)</f>
        <v>13.75</v>
      </c>
      <c r="G32" s="285">
        <v>10</v>
      </c>
    </row>
    <row r="33" spans="2:7" x14ac:dyDescent="0.3">
      <c r="B33" s="283" t="s">
        <v>359</v>
      </c>
      <c r="C33" s="284">
        <v>0.57999999999999996</v>
      </c>
      <c r="D33" s="282" t="s">
        <v>327</v>
      </c>
      <c r="E33" s="285">
        <v>300</v>
      </c>
      <c r="F33" s="286">
        <f>IF([1]VAN!$D33="Feuillus",11*1.25,15.5*1.25)</f>
        <v>13.75</v>
      </c>
      <c r="G33" s="285">
        <v>10</v>
      </c>
    </row>
    <row r="34" spans="2:7" x14ac:dyDescent="0.3">
      <c r="B34" s="283" t="s">
        <v>360</v>
      </c>
      <c r="C34" s="284">
        <v>0.57999999999999996</v>
      </c>
      <c r="D34" s="282" t="s">
        <v>334</v>
      </c>
      <c r="E34" s="285">
        <v>25</v>
      </c>
      <c r="F34" s="286">
        <f>IF([1]VAN!$D34="Feuillus",11*1.25,15.5*1.25)</f>
        <v>19.375</v>
      </c>
      <c r="G34" s="285">
        <v>10</v>
      </c>
    </row>
    <row r="35" spans="2:7" x14ac:dyDescent="0.3">
      <c r="B35" s="283" t="s">
        <v>361</v>
      </c>
      <c r="C35" s="284">
        <v>0.48</v>
      </c>
      <c r="D35" s="282" t="s">
        <v>334</v>
      </c>
      <c r="E35" s="285">
        <v>50</v>
      </c>
      <c r="F35" s="286">
        <f>IF([1]VAN!$D35="Feuillus",11*1.25,15.5*1.25)</f>
        <v>19.375</v>
      </c>
      <c r="G35" s="285">
        <v>10</v>
      </c>
    </row>
    <row r="36" spans="2:7" x14ac:dyDescent="0.3">
      <c r="B36" s="283" t="s">
        <v>362</v>
      </c>
      <c r="C36" s="284">
        <v>0.42</v>
      </c>
      <c r="D36" s="282" t="s">
        <v>334</v>
      </c>
      <c r="E36" s="285">
        <v>50</v>
      </c>
      <c r="F36" s="286">
        <f>IF([1]VAN!$D36="Feuillus",11*1.25,15.5*1.25)</f>
        <v>19.375</v>
      </c>
      <c r="G36" s="285">
        <v>10</v>
      </c>
    </row>
    <row r="37" spans="2:7" x14ac:dyDescent="0.3">
      <c r="B37" s="283" t="s">
        <v>363</v>
      </c>
      <c r="C37" s="284">
        <v>0.5</v>
      </c>
      <c r="D37" s="282" t="s">
        <v>327</v>
      </c>
      <c r="E37" s="285">
        <v>80</v>
      </c>
      <c r="F37" s="286">
        <f>IF([1]VAN!$D37="Feuillus",11*1.25,15.5*1.25)</f>
        <v>13.75</v>
      </c>
      <c r="G37" s="285">
        <v>10</v>
      </c>
    </row>
    <row r="38" spans="2:7" x14ac:dyDescent="0.3">
      <c r="B38" s="283" t="s">
        <v>364</v>
      </c>
      <c r="C38" s="284">
        <v>0.55000000000000004</v>
      </c>
      <c r="D38" s="282" t="s">
        <v>327</v>
      </c>
      <c r="E38" s="287" t="s">
        <v>329</v>
      </c>
      <c r="F38" s="286">
        <f>IF([1]VAN!$D38="Feuillus",11*1.25,15.5*1.25)</f>
        <v>13.75</v>
      </c>
      <c r="G38" s="285">
        <v>10</v>
      </c>
    </row>
    <row r="39" spans="2:7" x14ac:dyDescent="0.3">
      <c r="B39" s="283" t="s">
        <v>365</v>
      </c>
      <c r="C39" s="284">
        <v>0.53</v>
      </c>
      <c r="D39" s="282" t="s">
        <v>327</v>
      </c>
      <c r="E39" s="287" t="s">
        <v>329</v>
      </c>
      <c r="F39" s="286">
        <f>IF([1]VAN!$D39="Feuillus",11*1.25,15.5*1.25)</f>
        <v>13.75</v>
      </c>
      <c r="G39" s="285">
        <v>10</v>
      </c>
    </row>
    <row r="40" spans="2:7" x14ac:dyDescent="0.3">
      <c r="B40" s="283" t="s">
        <v>366</v>
      </c>
      <c r="C40" s="284">
        <v>0.52</v>
      </c>
      <c r="D40" s="282" t="s">
        <v>327</v>
      </c>
      <c r="E40" s="287" t="s">
        <v>329</v>
      </c>
      <c r="F40" s="286">
        <f>IF([1]VAN!$D40="Feuillus",11*1.25,15.5*1.25)</f>
        <v>13.75</v>
      </c>
      <c r="G40" s="285">
        <v>10</v>
      </c>
    </row>
    <row r="41" spans="2:7" x14ac:dyDescent="0.3">
      <c r="B41" s="283" t="s">
        <v>367</v>
      </c>
      <c r="C41" s="284">
        <v>0.52</v>
      </c>
      <c r="D41" s="282" t="s">
        <v>327</v>
      </c>
      <c r="E41" s="285">
        <v>300</v>
      </c>
      <c r="F41" s="286">
        <f>IF([1]VAN!$D41="Feuillus",11*1.25,15.5*1.25)</f>
        <v>13.75</v>
      </c>
      <c r="G41" s="285">
        <v>10</v>
      </c>
    </row>
    <row r="42" spans="2:7" x14ac:dyDescent="0.3">
      <c r="B42" s="283" t="s">
        <v>368</v>
      </c>
      <c r="C42" s="284">
        <v>0.75</v>
      </c>
      <c r="D42" s="282" t="s">
        <v>327</v>
      </c>
      <c r="E42" s="287" t="s">
        <v>329</v>
      </c>
      <c r="F42" s="286">
        <f>IF([1]VAN!$D42="Feuillus",11*1.25,15.5*1.25)</f>
        <v>13.75</v>
      </c>
      <c r="G42" s="285">
        <v>10</v>
      </c>
    </row>
    <row r="43" spans="2:7" x14ac:dyDescent="0.3">
      <c r="B43" s="283" t="s">
        <v>369</v>
      </c>
      <c r="C43" s="284">
        <v>0.52</v>
      </c>
      <c r="D43" s="282" t="s">
        <v>327</v>
      </c>
      <c r="E43" s="285">
        <v>50</v>
      </c>
      <c r="F43" s="286">
        <f>IF([1]VAN!$D43="Feuillus",11*1.25,15.5*1.25)</f>
        <v>13.75</v>
      </c>
      <c r="G43" s="285">
        <v>10</v>
      </c>
    </row>
    <row r="44" spans="2:7" x14ac:dyDescent="0.3">
      <c r="B44" s="283" t="s">
        <v>370</v>
      </c>
      <c r="C44" s="284">
        <v>0.35</v>
      </c>
      <c r="D44" s="282" t="s">
        <v>371</v>
      </c>
      <c r="E44" s="285">
        <v>42</v>
      </c>
      <c r="F44" s="286">
        <f>IF([1]VAN!$D44="Feuillus",11*1.25,15.5*1.25)</f>
        <v>19.375</v>
      </c>
      <c r="G44" s="285">
        <v>10</v>
      </c>
    </row>
    <row r="45" spans="2:7" x14ac:dyDescent="0.3">
      <c r="B45" s="283" t="s">
        <v>372</v>
      </c>
      <c r="C45" s="284">
        <v>0.37</v>
      </c>
      <c r="D45" s="282" t="s">
        <v>327</v>
      </c>
      <c r="E45" s="285">
        <v>17.5</v>
      </c>
      <c r="F45" s="286">
        <f>IF([1]VAN!$D45="Feuillus",11*1.25,15.5*1.25)</f>
        <v>13.75</v>
      </c>
      <c r="G45" s="285">
        <v>10</v>
      </c>
    </row>
    <row r="46" spans="2:7" x14ac:dyDescent="0.3">
      <c r="B46" s="283" t="s">
        <v>373</v>
      </c>
      <c r="C46" s="284">
        <v>0.45</v>
      </c>
      <c r="D46" s="282" t="s">
        <v>334</v>
      </c>
      <c r="E46" s="285">
        <v>30</v>
      </c>
      <c r="F46" s="286">
        <f>IF([1]VAN!$D46="Feuillus",11*1.25,15.5*1.25)</f>
        <v>19.375</v>
      </c>
      <c r="G46" s="285">
        <v>10</v>
      </c>
    </row>
    <row r="47" spans="2:7" x14ac:dyDescent="0.3">
      <c r="B47" s="283" t="s">
        <v>374</v>
      </c>
      <c r="C47" s="284">
        <v>0.39</v>
      </c>
      <c r="D47" s="282" t="s">
        <v>334</v>
      </c>
      <c r="E47" s="285">
        <v>30</v>
      </c>
      <c r="F47" s="286">
        <f>IF([1]VAN!$D47="Feuillus",11*1.25,15.5*1.25)</f>
        <v>19.375</v>
      </c>
      <c r="G47" s="285">
        <v>10</v>
      </c>
    </row>
    <row r="48" spans="2:7" x14ac:dyDescent="0.3">
      <c r="B48" s="283" t="s">
        <v>375</v>
      </c>
      <c r="C48" s="284">
        <v>0.44</v>
      </c>
      <c r="D48" s="282" t="s">
        <v>334</v>
      </c>
      <c r="E48" s="285">
        <v>30</v>
      </c>
      <c r="F48" s="286">
        <f>IF([1]VAN!$D48="Feuillus",11*1.25,15.5*1.25)</f>
        <v>19.375</v>
      </c>
      <c r="G48" s="285">
        <v>10</v>
      </c>
    </row>
    <row r="49" spans="2:7" x14ac:dyDescent="0.3">
      <c r="B49" s="283" t="s">
        <v>376</v>
      </c>
      <c r="C49" s="284">
        <v>0.46</v>
      </c>
      <c r="D49" s="282" t="s">
        <v>334</v>
      </c>
      <c r="E49" s="285">
        <v>30</v>
      </c>
      <c r="F49" s="286">
        <f>IF([1]VAN!$D49="Feuillus",11*1.25,15.5*1.25)</f>
        <v>19.375</v>
      </c>
      <c r="G49" s="285">
        <v>10</v>
      </c>
    </row>
    <row r="50" spans="2:7" ht="41.4" x14ac:dyDescent="0.3">
      <c r="B50" s="283" t="s">
        <v>377</v>
      </c>
      <c r="C50" s="284">
        <v>0.46</v>
      </c>
      <c r="D50" s="282" t="s">
        <v>378</v>
      </c>
      <c r="E50" s="285">
        <v>42</v>
      </c>
      <c r="F50" s="286">
        <f>IF([1]VAN!$D50="Feuillus",11*1.25,15.5*1.25)</f>
        <v>19.375</v>
      </c>
      <c r="G50" s="285">
        <v>10</v>
      </c>
    </row>
    <row r="51" spans="2:7" x14ac:dyDescent="0.3">
      <c r="B51" s="283" t="s">
        <v>379</v>
      </c>
      <c r="C51" s="284">
        <v>0.44</v>
      </c>
      <c r="D51" s="282" t="s">
        <v>334</v>
      </c>
      <c r="E51" s="285">
        <v>30</v>
      </c>
      <c r="F51" s="286">
        <f>IF([1]VAN!$D51="Feuillus",11*1.25,15.5*1.25)</f>
        <v>19.375</v>
      </c>
      <c r="G51" s="285">
        <v>10</v>
      </c>
    </row>
    <row r="52" spans="2:7" x14ac:dyDescent="0.3">
      <c r="B52" s="283" t="s">
        <v>380</v>
      </c>
      <c r="C52" s="284">
        <v>0.46</v>
      </c>
      <c r="D52" s="282" t="s">
        <v>334</v>
      </c>
      <c r="E52" s="285">
        <v>30</v>
      </c>
      <c r="F52" s="286">
        <f>IF([1]VAN!$D52="Feuillus",11*1.25,15.5*1.25)</f>
        <v>19.375</v>
      </c>
      <c r="G52" s="285">
        <v>10</v>
      </c>
    </row>
    <row r="53" spans="2:7" x14ac:dyDescent="0.3">
      <c r="B53" s="283" t="s">
        <v>381</v>
      </c>
      <c r="C53" s="284">
        <v>0.48</v>
      </c>
      <c r="D53" s="282" t="s">
        <v>334</v>
      </c>
      <c r="E53" s="285">
        <v>30</v>
      </c>
      <c r="F53" s="286">
        <f>IF([1]VAN!$D53="Feuillus",11*1.25,15.5*1.25)</f>
        <v>19.375</v>
      </c>
      <c r="G53" s="285">
        <v>10</v>
      </c>
    </row>
    <row r="54" spans="2:7" x14ac:dyDescent="0.3">
      <c r="B54" s="283" t="s">
        <v>382</v>
      </c>
      <c r="C54" s="284">
        <v>0.44</v>
      </c>
      <c r="D54" s="282" t="s">
        <v>334</v>
      </c>
      <c r="E54" s="285">
        <v>30</v>
      </c>
      <c r="F54" s="286">
        <f>IF([1]VAN!$D54="Feuillus",11*1.25,15.5*1.25)</f>
        <v>19.375</v>
      </c>
      <c r="G54" s="285">
        <v>10</v>
      </c>
    </row>
    <row r="55" spans="2:7" x14ac:dyDescent="0.3">
      <c r="B55" s="283" t="s">
        <v>383</v>
      </c>
      <c r="C55" s="284">
        <v>0.34</v>
      </c>
      <c r="D55" s="282" t="s">
        <v>334</v>
      </c>
      <c r="E55" s="285">
        <v>30</v>
      </c>
      <c r="F55" s="286">
        <f>IF([1]VAN!$D55="Feuillus",11*1.25,15.5*1.25)</f>
        <v>19.375</v>
      </c>
      <c r="G55" s="285">
        <v>10</v>
      </c>
    </row>
    <row r="56" spans="2:7" x14ac:dyDescent="0.3">
      <c r="B56" s="283" t="s">
        <v>384</v>
      </c>
      <c r="C56" s="284">
        <v>0.5</v>
      </c>
      <c r="D56" s="282" t="s">
        <v>327</v>
      </c>
      <c r="E56" s="285">
        <v>50</v>
      </c>
      <c r="F56" s="286">
        <f>IF([1]VAN!$D56="Feuillus",11*1.25,15.5*1.25)</f>
        <v>13.75</v>
      </c>
      <c r="G56" s="285">
        <v>10</v>
      </c>
    </row>
    <row r="57" spans="2:7" x14ac:dyDescent="0.3">
      <c r="B57" s="283" t="s">
        <v>385</v>
      </c>
      <c r="C57" s="284">
        <v>0.57999999999999996</v>
      </c>
      <c r="D57" s="282" t="s">
        <v>327</v>
      </c>
      <c r="E57" s="285">
        <v>70</v>
      </c>
      <c r="F57" s="286">
        <f>IF([1]VAN!$D57="Feuillus",11*1.25,15.5*1.25)</f>
        <v>13.75</v>
      </c>
      <c r="G57" s="285">
        <v>10</v>
      </c>
    </row>
    <row r="58" spans="2:7" x14ac:dyDescent="0.3">
      <c r="B58" s="283" t="s">
        <v>386</v>
      </c>
      <c r="C58" s="284">
        <v>0.37</v>
      </c>
      <c r="D58" s="282" t="s">
        <v>334</v>
      </c>
      <c r="E58" s="285">
        <v>44</v>
      </c>
      <c r="F58" s="286">
        <f>IF([1]VAN!$D58="Feuillus",11*1.25,15.5*1.25)</f>
        <v>19.375</v>
      </c>
      <c r="G58" s="285">
        <v>10</v>
      </c>
    </row>
    <row r="59" spans="2:7" x14ac:dyDescent="0.3">
      <c r="B59" s="283" t="s">
        <v>387</v>
      </c>
      <c r="C59" s="284">
        <v>0.37</v>
      </c>
      <c r="D59" s="282" t="s">
        <v>334</v>
      </c>
      <c r="E59" s="285">
        <v>44</v>
      </c>
      <c r="F59" s="286">
        <f>IF([1]VAN!$D59="Feuillus",11*1.25,15.5*1.25)</f>
        <v>19.375</v>
      </c>
      <c r="G59" s="285">
        <v>10</v>
      </c>
    </row>
    <row r="60" spans="2:7" x14ac:dyDescent="0.3">
      <c r="B60" s="283" t="s">
        <v>388</v>
      </c>
      <c r="C60" s="284">
        <v>0.38</v>
      </c>
      <c r="D60" s="282" t="s">
        <v>334</v>
      </c>
      <c r="E60" s="285">
        <v>37</v>
      </c>
      <c r="F60" s="286">
        <f>IF([1]VAN!$D60="Feuillus",11*1.25,15.5*1.25)</f>
        <v>19.375</v>
      </c>
      <c r="G60" s="285">
        <v>10</v>
      </c>
    </row>
    <row r="61" spans="2:7" x14ac:dyDescent="0.3">
      <c r="B61" s="283" t="s">
        <v>389</v>
      </c>
      <c r="C61" s="284">
        <v>0.36</v>
      </c>
      <c r="D61" s="282" t="s">
        <v>334</v>
      </c>
      <c r="E61" s="285">
        <v>44</v>
      </c>
      <c r="F61" s="286">
        <f>IF([1]VAN!$D61="Feuillus",11*1.25,15.5*1.25)</f>
        <v>19.375</v>
      </c>
      <c r="G61" s="285">
        <v>10</v>
      </c>
    </row>
    <row r="62" spans="2:7" x14ac:dyDescent="0.3">
      <c r="B62" s="283" t="s">
        <v>390</v>
      </c>
      <c r="C62" s="284">
        <v>0.37</v>
      </c>
      <c r="D62" s="282" t="s">
        <v>327</v>
      </c>
      <c r="E62" s="285">
        <v>25</v>
      </c>
      <c r="F62" s="286">
        <f>IF([1]VAN!$D62="Feuillus",11*1.25,15.5*1.25)</f>
        <v>13.75</v>
      </c>
      <c r="G62" s="285">
        <v>10</v>
      </c>
    </row>
    <row r="63" spans="2:7" x14ac:dyDescent="0.3">
      <c r="B63" s="283" t="s">
        <v>391</v>
      </c>
      <c r="C63" s="284">
        <v>0.53</v>
      </c>
      <c r="D63" s="282" t="s">
        <v>327</v>
      </c>
      <c r="E63" s="287" t="s">
        <v>329</v>
      </c>
      <c r="F63" s="286">
        <f>IF([1]VAN!$D63="Feuillus",11*1.25,15.5*1.25)</f>
        <v>13.75</v>
      </c>
      <c r="G63" s="285">
        <v>10</v>
      </c>
    </row>
    <row r="64" spans="2:7" x14ac:dyDescent="0.3">
      <c r="B64" s="283" t="s">
        <v>392</v>
      </c>
      <c r="C64" s="284">
        <v>0.43</v>
      </c>
      <c r="D64" s="282" t="s">
        <v>327</v>
      </c>
      <c r="E64" s="285">
        <v>50</v>
      </c>
      <c r="F64" s="286">
        <f>IF([1]VAN!$D64="Feuillus",11*1.25,15.5*1.25)</f>
        <v>13.75</v>
      </c>
      <c r="G64" s="285">
        <v>10</v>
      </c>
    </row>
    <row r="65" spans="2:7" x14ac:dyDescent="0.3">
      <c r="B65" s="283" t="s">
        <v>393</v>
      </c>
      <c r="C65" s="284">
        <v>0.38</v>
      </c>
      <c r="D65" s="282" t="s">
        <v>327</v>
      </c>
      <c r="E65" s="285">
        <v>25</v>
      </c>
      <c r="F65" s="286">
        <f>IF([1]VAN!$D65="Feuillus",11*1.25,15.5*1.25)</f>
        <v>13.75</v>
      </c>
      <c r="G65" s="285">
        <v>10</v>
      </c>
    </row>
    <row r="66" spans="2:7" x14ac:dyDescent="0.3">
      <c r="B66" s="290" t="s">
        <v>394</v>
      </c>
      <c r="C66" s="281">
        <v>0.42</v>
      </c>
      <c r="D66" s="282" t="s">
        <v>334</v>
      </c>
      <c r="E66" s="285">
        <v>44</v>
      </c>
      <c r="F66" s="286">
        <f>IF([1]VAN!$D66="Feuillus",11*1.25,15.5*1.25)</f>
        <v>19.375</v>
      </c>
      <c r="G66" s="285">
        <v>10</v>
      </c>
    </row>
    <row r="67" spans="2:7" x14ac:dyDescent="0.3">
      <c r="B67" s="290" t="s">
        <v>395</v>
      </c>
      <c r="C67" s="281">
        <v>0.56999999999999995</v>
      </c>
      <c r="D67" s="282" t="s">
        <v>327</v>
      </c>
      <c r="E67" s="287">
        <v>50</v>
      </c>
      <c r="F67" s="286">
        <f>IF([1]VAN!$D67="Feuillus",11*1.25,15.5*1.25)</f>
        <v>13.75</v>
      </c>
      <c r="G67" s="285">
        <v>10</v>
      </c>
    </row>
    <row r="68" spans="2:7" x14ac:dyDescent="0.3">
      <c r="B68" s="290" t="s">
        <v>396</v>
      </c>
      <c r="C68" s="281">
        <v>0.54</v>
      </c>
      <c r="D68" s="282"/>
      <c r="E68" s="285">
        <v>60</v>
      </c>
      <c r="F68" s="285"/>
      <c r="G68" s="285">
        <v>10</v>
      </c>
    </row>
    <row r="70" spans="2:7" x14ac:dyDescent="0.3">
      <c r="B70" s="291" t="s">
        <v>397</v>
      </c>
    </row>
    <row r="71" spans="2:7" x14ac:dyDescent="0.3">
      <c r="B71" s="291" t="s">
        <v>398</v>
      </c>
    </row>
    <row r="72" spans="2:7" x14ac:dyDescent="0.3">
      <c r="B72" s="291" t="s">
        <v>399</v>
      </c>
    </row>
    <row r="73" spans="2:7" x14ac:dyDescent="0.3">
      <c r="B73" s="291" t="s">
        <v>400</v>
      </c>
    </row>
    <row r="74" spans="2:7" x14ac:dyDescent="0.3">
      <c r="B74" s="291" t="s">
        <v>401</v>
      </c>
    </row>
    <row r="75" spans="2:7" x14ac:dyDescent="0.3">
      <c r="B75" s="291" t="s">
        <v>402</v>
      </c>
    </row>
    <row r="76" spans="2:7" x14ac:dyDescent="0.3">
      <c r="B76" s="291" t="s">
        <v>403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Valeur BO BI BE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M.</cp:lastModifiedBy>
  <dcterms:created xsi:type="dcterms:W3CDTF">2021-02-01T08:22:39Z</dcterms:created>
  <dcterms:modified xsi:type="dcterms:W3CDTF">2021-11-10T13:27:33Z</dcterms:modified>
</cp:coreProperties>
</file>