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Maurens-Scopont_08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6" l="1"/>
  <c r="E48" i="6"/>
  <c r="E17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34" i="2" a="1"/>
  <c r="BC34" i="2" s="1"/>
  <c r="BC84" i="2" a="1"/>
  <c r="BC84" i="2" s="1"/>
  <c r="BC18" i="2" a="1"/>
  <c r="BC18" i="2" s="1"/>
  <c r="BC181" i="2" a="1"/>
  <c r="BC181" i="2" s="1"/>
  <c r="BC65" i="2" a="1"/>
  <c r="BC65" i="2" s="1"/>
  <c r="BC38" i="2" a="1"/>
  <c r="BC38" i="2" s="1"/>
  <c r="BC83" i="2" a="1"/>
  <c r="BC83" i="2" s="1"/>
  <c r="BC114" i="2" a="1"/>
  <c r="BC114" i="2" s="1"/>
  <c r="BC7" i="2" a="1"/>
  <c r="BC7" i="2" s="1"/>
  <c r="BC126" i="2" a="1"/>
  <c r="BC126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AH62" i="2" a="1"/>
  <c r="AH62" i="2" s="1"/>
  <c r="AH151" i="2" a="1"/>
  <c r="AH151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<sst xmlns="http://schemas.openxmlformats.org/spreadsheetml/2006/main" count="1167" uniqueCount="321">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</sst>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1.8208693036718102</c:v>
                </c:pt>
                <c:pt idx="2">
                  <c:v>2.137741550225742</c:v>
                </c:pt>
                <c:pt idx="3">
                  <c:v>2.5099623024703637</c:v>
                </c:pt>
                <c:pt idx="4">
                  <c:v>2.9472333646042244</c:v>
                </c:pt>
                <c:pt idx="5">
                  <c:v>3.4609627322788175</c:v>
                </c:pt>
                <c:pt idx="6">
                  <c:v>4.0645655691878328</c:v>
                </c:pt>
                <c:pt idx="7">
                  <c:v>4.7738184272934721</c:v>
                </c:pt>
                <c:pt idx="8">
                  <c:v>5.6072761542149765</c:v>
                </c:pt>
                <c:pt idx="9">
                  <c:v>6.5867626102472654</c:v>
                </c:pt>
                <c:pt idx="10">
                  <c:v>7.7379482955643946</c:v>
                </c:pt>
                <c:pt idx="11">
                  <c:v>9.0910303187982731</c:v>
                </c:pt>
                <c:pt idx="12">
                  <c:v>10.681532884323472</c:v>
                </c:pt>
                <c:pt idx="13">
                  <c:v>12.551249711441775</c:v>
                </c:pt>
                <c:pt idx="14">
                  <c:v>14.74935361174302</c:v>
                </c:pt>
                <c:pt idx="15">
                  <c:v>17.333702944378299</c:v>
                </c:pt>
                <c:pt idx="16">
                  <c:v>20.372379964441798</c:v>
                </c:pt>
                <c:pt idx="17">
                  <c:v>23.945502320518433</c:v>
                </c:pt>
                <c:pt idx="18">
                  <c:v>28.14735631279909</c:v>
                </c:pt>
                <c:pt idx="19">
                  <c:v>33.088909192364341</c:v>
                </c:pt>
                <c:pt idx="20">
                  <c:v>38.900768000384808</c:v>
                </c:pt>
                <c:pt idx="21">
                  <c:v>45.736664490304413</c:v>
                </c:pt>
                <c:pt idx="22">
                  <c:v>53.777559873480278</c:v>
                </c:pt>
                <c:pt idx="23">
                  <c:v>63.236479864774658</c:v>
                </c:pt>
                <c:pt idx="24">
                  <c:v>74.364210233895065</c:v>
                </c:pt>
                <c:pt idx="25">
                  <c:v>87.4560063270646</c:v>
                </c:pt>
                <c:pt idx="26">
                  <c:v>102.85949744428051</c:v>
                </c:pt>
                <c:pt idx="27">
                  <c:v>120.98399928585489</c:v>
                </c:pt>
                <c:pt idx="28">
                  <c:v>142.3114857978627</c:v>
                </c:pt>
                <c:pt idx="29">
                  <c:v>167.4095166871823</c:v>
                </c:pt>
                <c:pt idx="30">
                  <c:v>196.94646986693661</c:v>
                </c:pt>
                <c:pt idx="31">
                  <c:v>67.704158651858691</c:v>
                </c:pt>
                <c:pt idx="32">
                  <c:v>85.039855457958325</c:v>
                </c:pt>
                <c:pt idx="33">
                  <c:v>102.28616417119139</c:v>
                </c:pt>
                <c:pt idx="34">
                  <c:v>119.46034912255978</c:v>
                </c:pt>
                <c:pt idx="35">
                  <c:v>136.57426731714023</c:v>
                </c:pt>
                <c:pt idx="36">
                  <c:v>153.63654643031646</c:v>
                </c:pt>
                <c:pt idx="37">
                  <c:v>170.65373458276906</c:v>
                </c:pt>
                <c:pt idx="38">
                  <c:v>187.6309640388051</c:v>
                </c:pt>
                <c:pt idx="39">
                  <c:v>204.5723607633868</c:v>
                </c:pt>
                <c:pt idx="40">
                  <c:v>221.48131062384252</c:v>
                </c:pt>
                <c:pt idx="41">
                  <c:v>238.36063977122186</c:v>
                </c:pt>
                <c:pt idx="42">
                  <c:v>255.21274111860615</c:v>
                </c:pt>
                <c:pt idx="43">
                  <c:v>272.03966559548536</c:v>
                </c:pt>
                <c:pt idx="44">
                  <c:v>288.84318960560438</c:v>
                </c:pt>
                <c:pt idx="45">
                  <c:v>305.6248659457442</c:v>
                </c:pt>
                <c:pt idx="46">
                  <c:v>216.92365327162653</c:v>
                </c:pt>
                <c:pt idx="47">
                  <c:v>236.21470036509356</c:v>
                </c:pt>
                <c:pt idx="48">
                  <c:v>255.46982514848074</c:v>
                </c:pt>
                <c:pt idx="49">
                  <c:v>274.6921156340324</c:v>
                </c:pt>
                <c:pt idx="50">
                  <c:v>293.88419220196329</c:v>
                </c:pt>
                <c:pt idx="51">
                  <c:v>313.04830498160578</c:v>
                </c:pt>
                <c:pt idx="52">
                  <c:v>332.18640610879294</c:v>
                </c:pt>
                <c:pt idx="53">
                  <c:v>351.30020444485336</c:v>
                </c:pt>
                <c:pt idx="54">
                  <c:v>370.39120775610098</c:v>
                </c:pt>
                <c:pt idx="55">
                  <c:v>389.4607557385973</c:v>
                </c:pt>
                <c:pt idx="56">
                  <c:v>408.51004623506941</c:v>
                </c:pt>
                <c:pt idx="57">
                  <c:v>427.54015630570802</c:v>
                </c:pt>
                <c:pt idx="58">
                  <c:v>446.55205935161422</c:v>
                </c:pt>
                <c:pt idx="59">
                  <c:v>465.54663917027915</c:v>
                </c:pt>
                <c:pt idx="60">
                  <c:v>484.52470159799037</c:v>
                </c:pt>
                <c:pt idx="61">
                  <c:v>390.39459129211582</c:v>
                </c:pt>
                <c:pt idx="62">
                  <c:v>402.99667972019148</c:v>
                </c:pt>
                <c:pt idx="63">
                  <c:v>415.59024663273067</c:v>
                </c:pt>
                <c:pt idx="64">
                  <c:v>428.1755866526799</c:v>
                </c:pt>
                <c:pt idx="65">
                  <c:v>440.75297566986848</c:v>
                </c:pt>
                <c:pt idx="66">
                  <c:v>453.32267254399648</c:v>
                </c:pt>
                <c:pt idx="67">
                  <c:v>465.88492060890081</c:v>
                </c:pt>
                <c:pt idx="68">
                  <c:v>478.4399490061308</c:v>
                </c:pt>
                <c:pt idx="69">
                  <c:v>490.98797387126501</c:v>
                </c:pt>
                <c:pt idx="70">
                  <c:v>503.52919939265121</c:v>
                </c:pt>
                <c:pt idx="71">
                  <c:v>516.06381875919317</c:v>
                </c:pt>
                <c:pt idx="72">
                  <c:v>528.59201501127768</c:v>
                </c:pt>
                <c:pt idx="73">
                  <c:v>541.11396180684676</c:v>
                </c:pt>
                <c:pt idx="74">
                  <c:v>553.6298241128884</c:v>
                </c:pt>
                <c:pt idx="75">
                  <c:v>566.13975883115825</c:v>
                </c:pt>
                <c:pt idx="76">
                  <c:v>578.64391536573578</c:v>
                </c:pt>
                <c:pt idx="77">
                  <c:v>591.14243613898577</c:v>
                </c:pt>
                <c:pt idx="78">
                  <c:v>603.63545706162972</c:v>
                </c:pt>
                <c:pt idx="79">
                  <c:v>616.12310796189456</c:v>
                </c:pt>
                <c:pt idx="80">
                  <c:v>628.60551297807217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0386832"/>
        <c:axId val="1200387920"/>
      </c:scatterChart>
      <c:valAx>
        <c:axId val="1200386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0387920"/>
        <c:crosses val="autoZero"/>
        <c:crossBetween val="midCat"/>
      </c:valAx>
      <c:valAx>
        <c:axId val="120038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0386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55072"/>
        <c:axId val="1322746368"/>
      </c:scatterChart>
      <c:valAx>
        <c:axId val="1322755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46368"/>
        <c:crosses val="autoZero"/>
        <c:crossBetween val="midCat"/>
      </c:valAx>
      <c:valAx>
        <c:axId val="13227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2.9409939060922938</c:v>
                </c:pt>
                <c:pt idx="2">
                  <c:v>3.3544946857388016</c:v>
                </c:pt>
                <c:pt idx="3">
                  <c:v>3.8263391746917113</c:v>
                </c:pt>
                <c:pt idx="4">
                  <c:v>4.3647869419987462</c:v>
                </c:pt>
                <c:pt idx="5">
                  <c:v>4.9792704885342234</c:v>
                </c:pt>
                <c:pt idx="6">
                  <c:v>5.680562296346892</c:v>
                </c:pt>
                <c:pt idx="7">
                  <c:v>6.4809657329309474</c:v>
                </c:pt>
                <c:pt idx="8">
                  <c:v>7.3945332253248957</c:v>
                </c:pt>
                <c:pt idx="9">
                  <c:v>8.437315608897153</c:v>
                </c:pt>
                <c:pt idx="10">
                  <c:v>9.6276471160715342</c:v>
                </c:pt>
                <c:pt idx="11">
                  <c:v>10.986471111226457</c:v>
                </c:pt>
                <c:pt idx="12">
                  <c:v>12.537712411178232</c:v>
                </c:pt>
                <c:pt idx="13">
                  <c:v>14.308702869316683</c:v>
                </c:pt>
                <c:pt idx="14">
                  <c:v>16.330667860802787</c:v>
                </c:pt>
                <c:pt idx="15">
                  <c:v>18.639282403660761</c:v>
                </c:pt>
                <c:pt idx="16">
                  <c:v>21.275306906009689</c:v>
                </c:pt>
                <c:pt idx="17">
                  <c:v>24.28531396586747</c:v>
                </c:pt>
                <c:pt idx="18">
                  <c:v>27.722519292996509</c:v>
                </c:pt>
                <c:pt idx="19">
                  <c:v>31.647731701990299</c:v>
                </c:pt>
                <c:pt idx="20">
                  <c:v>36.130439276374119</c:v>
                </c:pt>
                <c:pt idx="21">
                  <c:v>41.250051264004398</c:v>
                </c:pt>
                <c:pt idx="22">
                  <c:v>47.097318079236096</c:v>
                </c:pt>
                <c:pt idx="23">
                  <c:v>53.775955008396295</c:v>
                </c:pt>
                <c:pt idx="24">
                  <c:v>61.404498900662823</c:v>
                </c:pt>
                <c:pt idx="25">
                  <c:v>70.118431343590188</c:v>
                </c:pt>
                <c:pt idx="26">
                  <c:v>80.072606648035062</c:v>
                </c:pt>
                <c:pt idx="27">
                  <c:v>91.444028489016318</c:v>
                </c:pt>
                <c:pt idx="28">
                  <c:v>104.43502536770529</c:v>
                </c:pt>
                <c:pt idx="29">
                  <c:v>119.27688229046288</c:v>
                </c:pt>
                <c:pt idx="30">
                  <c:v>136.23399433545893</c:v>
                </c:pt>
                <c:pt idx="31">
                  <c:v>140.65596743833871</c:v>
                </c:pt>
                <c:pt idx="32">
                  <c:v>145.07460486529598</c:v>
                </c:pt>
                <c:pt idx="33">
                  <c:v>149.49002281670286</c:v>
                </c:pt>
                <c:pt idx="34">
                  <c:v>153.90233005028921</c:v>
                </c:pt>
                <c:pt idx="35">
                  <c:v>158.31162856255909</c:v>
                </c:pt>
                <c:pt idx="36">
                  <c:v>162.7180141901425</c:v>
                </c:pt>
                <c:pt idx="37">
                  <c:v>167.12157714245117</c:v>
                </c:pt>
                <c:pt idx="38">
                  <c:v>171.52240247513097</c:v>
                </c:pt>
                <c:pt idx="39">
                  <c:v>175.92057051227542</c:v>
                </c:pt>
                <c:pt idx="40">
                  <c:v>180.31615722411632</c:v>
                </c:pt>
                <c:pt idx="41">
                  <c:v>184.70923456588253</c:v>
                </c:pt>
                <c:pt idx="42">
                  <c:v>189.09987078266829</c:v>
                </c:pt>
                <c:pt idx="43">
                  <c:v>193.48813068444883</c:v>
                </c:pt>
                <c:pt idx="44">
                  <c:v>197.87407589479196</c:v>
                </c:pt>
                <c:pt idx="45">
                  <c:v>202.25776507632233</c:v>
                </c:pt>
                <c:pt idx="46">
                  <c:v>146.90002825576539</c:v>
                </c:pt>
                <c:pt idx="47">
                  <c:v>153.13774846403024</c:v>
                </c:pt>
                <c:pt idx="48">
                  <c:v>159.36942327810092</c:v>
                </c:pt>
                <c:pt idx="49">
                  <c:v>165.59532289289152</c:v>
                </c:pt>
                <c:pt idx="50">
                  <c:v>171.81569548617222</c:v>
                </c:pt>
                <c:pt idx="51">
                  <c:v>178.03076976297575</c:v>
                </c:pt>
                <c:pt idx="52">
                  <c:v>184.24075712541901</c:v>
                </c:pt>
                <c:pt idx="53">
                  <c:v>190.44585353412819</c:v>
                </c:pt>
                <c:pt idx="54">
                  <c:v>196.64624111393917</c:v>
                </c:pt>
                <c:pt idx="55">
                  <c:v>202.84208954613587</c:v>
                </c:pt>
                <c:pt idx="56">
                  <c:v>209.03355728139971</c:v>
                </c:pt>
                <c:pt idx="57">
                  <c:v>215.22079260130158</c:v>
                </c:pt>
                <c:pt idx="58">
                  <c:v>221.4039345511527</c:v>
                </c:pt>
                <c:pt idx="59">
                  <c:v>227.5831137630407</c:v>
                </c:pt>
                <c:pt idx="60">
                  <c:v>233.7584531846735</c:v>
                </c:pt>
                <c:pt idx="61">
                  <c:v>181.32678468222988</c:v>
                </c:pt>
                <c:pt idx="62">
                  <c:v>190.24104441466341</c:v>
                </c:pt>
                <c:pt idx="63">
                  <c:v>199.14557549022982</c:v>
                </c:pt>
                <c:pt idx="64">
                  <c:v>208.04087474827156</c:v>
                </c:pt>
                <c:pt idx="65">
                  <c:v>216.92739301713084</c:v>
                </c:pt>
                <c:pt idx="66">
                  <c:v>225.80554112703786</c:v>
                </c:pt>
                <c:pt idx="67">
                  <c:v>234.67569492658745</c:v>
                </c:pt>
                <c:pt idx="68">
                  <c:v>243.53819950013772</c:v>
                </c:pt>
                <c:pt idx="69">
                  <c:v>252.39337273847809</c:v>
                </c:pt>
                <c:pt idx="70">
                  <c:v>261.24150838162956</c:v>
                </c:pt>
                <c:pt idx="71">
                  <c:v>270.08287862742867</c:v>
                </c:pt>
                <c:pt idx="72">
                  <c:v>278.91773638034357</c:v>
                </c:pt>
                <c:pt idx="73">
                  <c:v>287.7463172002046</c:v>
                </c:pt>
                <c:pt idx="74">
                  <c:v>296.56884099906642</c:v>
                </c:pt>
                <c:pt idx="75">
                  <c:v>305.38551352543624</c:v>
                </c:pt>
                <c:pt idx="76">
                  <c:v>314.19652766801346</c:v>
                </c:pt>
                <c:pt idx="77">
                  <c:v>323.00206460544001</c:v>
                </c:pt>
                <c:pt idx="78">
                  <c:v>331.80229482404201</c:v>
                </c:pt>
                <c:pt idx="79">
                  <c:v>340.5973790218905</c:v>
                </c:pt>
                <c:pt idx="80">
                  <c:v>349.38746891454963</c:v>
                </c:pt>
                <c:pt idx="81">
                  <c:v>1.708394296311803E-12</c:v>
                </c:pt>
                <c:pt idx="82">
                  <c:v>1.708394296311803E-12</c:v>
                </c:pt>
                <c:pt idx="83">
                  <c:v>1.708394296311803E-12</c:v>
                </c:pt>
                <c:pt idx="84">
                  <c:v>1.708394296311803E-12</c:v>
                </c:pt>
                <c:pt idx="85">
                  <c:v>1.708394296311803E-12</c:v>
                </c:pt>
                <c:pt idx="86">
                  <c:v>1.708394296311803E-12</c:v>
                </c:pt>
                <c:pt idx="87">
                  <c:v>1.708394296311803E-12</c:v>
                </c:pt>
                <c:pt idx="88">
                  <c:v>1.708394296311803E-12</c:v>
                </c:pt>
                <c:pt idx="89">
                  <c:v>1.708394296311803E-12</c:v>
                </c:pt>
                <c:pt idx="90">
                  <c:v>1.708394296311803E-12</c:v>
                </c:pt>
                <c:pt idx="91">
                  <c:v>1.708394296311803E-12</c:v>
                </c:pt>
                <c:pt idx="92">
                  <c:v>1.708394296311803E-12</c:v>
                </c:pt>
                <c:pt idx="93">
                  <c:v>1.708394296311803E-12</c:v>
                </c:pt>
                <c:pt idx="94">
                  <c:v>1.708394296311803E-12</c:v>
                </c:pt>
                <c:pt idx="95">
                  <c:v>1.708394296311803E-12</c:v>
                </c:pt>
                <c:pt idx="96">
                  <c:v>1.708394296311803E-12</c:v>
                </c:pt>
                <c:pt idx="97">
                  <c:v>1.708394296311803E-12</c:v>
                </c:pt>
                <c:pt idx="98">
                  <c:v>1.708394296311803E-12</c:v>
                </c:pt>
                <c:pt idx="99">
                  <c:v>1.708394296311803E-12</c:v>
                </c:pt>
                <c:pt idx="100">
                  <c:v>1.708394296311803E-12</c:v>
                </c:pt>
                <c:pt idx="101">
                  <c:v>1.708394296311803E-12</c:v>
                </c:pt>
                <c:pt idx="102">
                  <c:v>1.708394296311803E-12</c:v>
                </c:pt>
                <c:pt idx="103">
                  <c:v>1.708394296311803E-12</c:v>
                </c:pt>
                <c:pt idx="104">
                  <c:v>1.708394296311803E-12</c:v>
                </c:pt>
                <c:pt idx="105">
                  <c:v>1.708394296311803E-12</c:v>
                </c:pt>
                <c:pt idx="106">
                  <c:v>1.708394296311803E-12</c:v>
                </c:pt>
                <c:pt idx="107">
                  <c:v>1.708394296311803E-12</c:v>
                </c:pt>
                <c:pt idx="108">
                  <c:v>1.708394296311803E-12</c:v>
                </c:pt>
                <c:pt idx="109">
                  <c:v>1.708394296311803E-12</c:v>
                </c:pt>
                <c:pt idx="110">
                  <c:v>1.708394296311803E-12</c:v>
                </c:pt>
                <c:pt idx="111">
                  <c:v>1.708394296311803E-12</c:v>
                </c:pt>
                <c:pt idx="112">
                  <c:v>1.708394296311803E-12</c:v>
                </c:pt>
                <c:pt idx="113">
                  <c:v>1.708394296311803E-12</c:v>
                </c:pt>
                <c:pt idx="114">
                  <c:v>1.708394296311803E-12</c:v>
                </c:pt>
                <c:pt idx="115">
                  <c:v>1.708394296311803E-12</c:v>
                </c:pt>
                <c:pt idx="116">
                  <c:v>1.708394296311803E-12</c:v>
                </c:pt>
                <c:pt idx="117">
                  <c:v>1.708394296311803E-12</c:v>
                </c:pt>
                <c:pt idx="118">
                  <c:v>1.708394296311803E-12</c:v>
                </c:pt>
                <c:pt idx="119">
                  <c:v>1.708394296311803E-12</c:v>
                </c:pt>
                <c:pt idx="120">
                  <c:v>1.708394296311803E-12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0170864"/>
        <c:axId val="1193677232"/>
      </c:scatterChart>
      <c:valAx>
        <c:axId val="1010170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3677232"/>
        <c:crosses val="autoZero"/>
        <c:crossBetween val="midCat"/>
      </c:valAx>
      <c:valAx>
        <c:axId val="119367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0170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2.7403889162124693</c:v>
                </c:pt>
                <c:pt idx="2">
                  <c:v>3.2504350561271327</c:v>
                </c:pt>
                <c:pt idx="3">
                  <c:v>3.8557618384912828</c:v>
                </c:pt>
                <c:pt idx="4">
                  <c:v>4.5742301501769331</c:v>
                </c:pt>
                <c:pt idx="5">
                  <c:v>5.4270598436503477</c:v>
                </c:pt>
                <c:pt idx="6">
                  <c:v>6.4394633314817504</c:v>
                </c:pt>
                <c:pt idx="7">
                  <c:v>7.6413990257941942</c:v>
                </c:pt>
                <c:pt idx="8">
                  <c:v>9.0684673490830043</c:v>
                </c:pt>
                <c:pt idx="9">
                  <c:v>10.762976362500501</c:v>
                </c:pt>
                <c:pt idx="10">
                  <c:v>12.775209200143957</c:v>
                </c:pt>
                <c:pt idx="11">
                  <c:v>15.16493162012434</c:v>
                </c:pt>
                <c:pt idx="12">
                  <c:v>18.003185272261874</c:v>
                </c:pt>
                <c:pt idx="13">
                  <c:v>21.374420960947436</c:v>
                </c:pt>
                <c:pt idx="14">
                  <c:v>25.37903651543321</c:v>
                </c:pt>
                <c:pt idx="15">
                  <c:v>30.13639618475267</c:v>
                </c:pt>
                <c:pt idx="16">
                  <c:v>35.788423127300902</c:v>
                </c:pt>
                <c:pt idx="17">
                  <c:v>42.503874014607099</c:v>
                </c:pt>
                <c:pt idx="18">
                  <c:v>50.483425549693237</c:v>
                </c:pt>
                <c:pt idx="19">
                  <c:v>59.965727449705717</c:v>
                </c:pt>
                <c:pt idx="20">
                  <c:v>71.234605919319264</c:v>
                </c:pt>
                <c:pt idx="21">
                  <c:v>84.627636750242317</c:v>
                </c:pt>
                <c:pt idx="22">
                  <c:v>100.54634900080931</c:v>
                </c:pt>
                <c:pt idx="23">
                  <c:v>119.46837002248988</c:v>
                </c:pt>
                <c:pt idx="24">
                  <c:v>141.96188193773793</c:v>
                </c:pt>
                <c:pt idx="25">
                  <c:v>168.70283035994262</c:v>
                </c:pt>
                <c:pt idx="26">
                  <c:v>200.49541035510507</c:v>
                </c:pt>
                <c:pt idx="27">
                  <c:v>238.29645496695525</c:v>
                </c:pt>
                <c:pt idx="28">
                  <c:v>283.24447115022775</c:v>
                </c:pt>
                <c:pt idx="29">
                  <c:v>336.69421036088426</c:v>
                </c:pt>
                <c:pt idx="30">
                  <c:v>400.25783072357081</c:v>
                </c:pt>
                <c:pt idx="31">
                  <c:v>299.75896552714943</c:v>
                </c:pt>
                <c:pt idx="32">
                  <c:v>307.44380837976354</c:v>
                </c:pt>
                <c:pt idx="33">
                  <c:v>315.12438381214378</c:v>
                </c:pt>
                <c:pt idx="34">
                  <c:v>322.80081060543085</c:v>
                </c:pt>
                <c:pt idx="35">
                  <c:v>330.47320142497347</c:v>
                </c:pt>
                <c:pt idx="36">
                  <c:v>338.14166327303155</c:v>
                </c:pt>
                <c:pt idx="37">
                  <c:v>345.80629789823917</c:v>
                </c:pt>
                <c:pt idx="38">
                  <c:v>353.4672021668448</c:v>
                </c:pt>
                <c:pt idx="39">
                  <c:v>361.1244684000672</c:v>
                </c:pt>
                <c:pt idx="40">
                  <c:v>368.77818468132654</c:v>
                </c:pt>
                <c:pt idx="41">
                  <c:v>376.42843513662393</c:v>
                </c:pt>
                <c:pt idx="42">
                  <c:v>384.0753001909265</c:v>
                </c:pt>
                <c:pt idx="43">
                  <c:v>391.71885680305644</c:v>
                </c:pt>
                <c:pt idx="44">
                  <c:v>399.35917868128263</c:v>
                </c:pt>
                <c:pt idx="45">
                  <c:v>406.99633648154401</c:v>
                </c:pt>
                <c:pt idx="46">
                  <c:v>251.86675839976999</c:v>
                </c:pt>
                <c:pt idx="47">
                  <c:v>259.25722709793098</c:v>
                </c:pt>
                <c:pt idx="48">
                  <c:v>266.64293590896938</c:v>
                </c:pt>
                <c:pt idx="49">
                  <c:v>274.0240354313429</c:v>
                </c:pt>
                <c:pt idx="50">
                  <c:v>281.40066747860021</c:v>
                </c:pt>
                <c:pt idx="51">
                  <c:v>288.77296581381114</c:v>
                </c:pt>
                <c:pt idx="52">
                  <c:v>296.14105680500541</c:v>
                </c:pt>
                <c:pt idx="53">
                  <c:v>303.50506001191172</c:v>
                </c:pt>
                <c:pt idx="54">
                  <c:v>310.86508871272775</c:v>
                </c:pt>
                <c:pt idx="55">
                  <c:v>318.22125037835241</c:v>
                </c:pt>
                <c:pt idx="56">
                  <c:v>325.57364710044357</c:v>
                </c:pt>
                <c:pt idx="57">
                  <c:v>332.92237597875578</c:v>
                </c:pt>
                <c:pt idx="58">
                  <c:v>340.26752947246928</c:v>
                </c:pt>
                <c:pt idx="59">
                  <c:v>347.60919571957578</c:v>
                </c:pt>
                <c:pt idx="60">
                  <c:v>354.94745882785463</c:v>
                </c:pt>
                <c:pt idx="61">
                  <c:v>199.202906567837</c:v>
                </c:pt>
                <c:pt idx="62">
                  <c:v>206.63251504537433</c:v>
                </c:pt>
                <c:pt idx="63">
                  <c:v>214.05595164825229</c:v>
                </c:pt>
                <c:pt idx="64">
                  <c:v>221.47346090562971</c:v>
                </c:pt>
                <c:pt idx="65">
                  <c:v>228.88526960653826</c:v>
                </c:pt>
                <c:pt idx="66">
                  <c:v>236.2915886325151</c:v>
                </c:pt>
                <c:pt idx="67">
                  <c:v>243.69261454815179</c:v>
                </c:pt>
                <c:pt idx="68">
                  <c:v>251.08853098807535</c:v>
                </c:pt>
                <c:pt idx="69">
                  <c:v>258.47950987177489</c:v>
                </c:pt>
                <c:pt idx="70">
                  <c:v>265.86571247205626</c:v>
                </c:pt>
                <c:pt idx="71">
                  <c:v>273.24729035842557</c:v>
                </c:pt>
                <c:pt idx="72">
                  <c:v>280.62438623309941</c:v>
                </c:pt>
                <c:pt idx="73">
                  <c:v>287.99713467442075</c:v>
                </c:pt>
                <c:pt idx="74">
                  <c:v>295.36566280009896</c:v>
                </c:pt>
                <c:pt idx="75">
                  <c:v>302.73009086074438</c:v>
                </c:pt>
                <c:pt idx="76">
                  <c:v>310.09053277258039</c:v>
                </c:pt>
                <c:pt idx="77">
                  <c:v>317.44709659688948</c:v>
                </c:pt>
                <c:pt idx="78">
                  <c:v>324.7998849726593</c:v>
                </c:pt>
                <c:pt idx="79">
                  <c:v>332.14899550797446</c:v>
                </c:pt>
                <c:pt idx="80">
                  <c:v>339.49452113493288</c:v>
                </c:pt>
                <c:pt idx="81">
                  <c:v>7.0503043097323991E-12</c:v>
                </c:pt>
                <c:pt idx="82">
                  <c:v>7.0503043097323991E-12</c:v>
                </c:pt>
                <c:pt idx="83">
                  <c:v>7.0503043097323991E-12</c:v>
                </c:pt>
                <c:pt idx="84">
                  <c:v>7.0503043097323991E-12</c:v>
                </c:pt>
                <c:pt idx="85">
                  <c:v>7.0503043097323991E-12</c:v>
                </c:pt>
                <c:pt idx="86">
                  <c:v>7.0503043097323991E-12</c:v>
                </c:pt>
                <c:pt idx="87">
                  <c:v>7.0503043097323991E-12</c:v>
                </c:pt>
                <c:pt idx="88">
                  <c:v>7.0503043097323991E-12</c:v>
                </c:pt>
                <c:pt idx="89">
                  <c:v>7.0503043097323991E-12</c:v>
                </c:pt>
                <c:pt idx="90">
                  <c:v>7.0503043097323991E-12</c:v>
                </c:pt>
                <c:pt idx="91">
                  <c:v>7.0503043097323991E-12</c:v>
                </c:pt>
                <c:pt idx="92">
                  <c:v>7.0503043097323991E-12</c:v>
                </c:pt>
                <c:pt idx="93">
                  <c:v>7.0503043097323991E-12</c:v>
                </c:pt>
                <c:pt idx="94">
                  <c:v>7.0503043097323991E-12</c:v>
                </c:pt>
                <c:pt idx="95">
                  <c:v>7.0503043097323991E-12</c:v>
                </c:pt>
                <c:pt idx="96">
                  <c:v>7.0503043097323991E-12</c:v>
                </c:pt>
                <c:pt idx="97">
                  <c:v>7.0503043097323991E-12</c:v>
                </c:pt>
                <c:pt idx="98">
                  <c:v>7.0503043097323991E-12</c:v>
                </c:pt>
                <c:pt idx="99">
                  <c:v>7.0503043097323991E-12</c:v>
                </c:pt>
                <c:pt idx="100">
                  <c:v>7.0503043097323991E-12</c:v>
                </c:pt>
                <c:pt idx="101">
                  <c:v>7.0503043097323991E-12</c:v>
                </c:pt>
                <c:pt idx="102">
                  <c:v>7.0503043097323991E-12</c:v>
                </c:pt>
                <c:pt idx="103">
                  <c:v>7.0503043097323991E-12</c:v>
                </c:pt>
                <c:pt idx="104">
                  <c:v>7.0503043097323991E-12</c:v>
                </c:pt>
                <c:pt idx="105">
                  <c:v>7.0503043097323991E-12</c:v>
                </c:pt>
                <c:pt idx="106">
                  <c:v>7.0503043097323991E-12</c:v>
                </c:pt>
                <c:pt idx="107">
                  <c:v>7.0503043097323991E-12</c:v>
                </c:pt>
                <c:pt idx="108">
                  <c:v>7.0503043097323991E-12</c:v>
                </c:pt>
                <c:pt idx="109">
                  <c:v>7.0503043097323991E-12</c:v>
                </c:pt>
                <c:pt idx="110">
                  <c:v>7.0503043097323991E-12</c:v>
                </c:pt>
                <c:pt idx="111">
                  <c:v>7.0503043097323991E-12</c:v>
                </c:pt>
                <c:pt idx="112">
                  <c:v>7.0503043097323991E-12</c:v>
                </c:pt>
                <c:pt idx="113">
                  <c:v>7.0503043097323991E-12</c:v>
                </c:pt>
                <c:pt idx="114">
                  <c:v>7.0503043097323991E-12</c:v>
                </c:pt>
                <c:pt idx="115">
                  <c:v>7.0503043097323991E-12</c:v>
                </c:pt>
                <c:pt idx="116">
                  <c:v>7.0503043097323991E-12</c:v>
                </c:pt>
                <c:pt idx="117">
                  <c:v>7.0503043097323991E-12</c:v>
                </c:pt>
                <c:pt idx="118">
                  <c:v>7.0503043097323991E-12</c:v>
                </c:pt>
                <c:pt idx="119">
                  <c:v>7.0503043097323991E-12</c:v>
                </c:pt>
                <c:pt idx="120">
                  <c:v>7.0503043097323991E-12</c:v>
                </c:pt>
                <c:pt idx="121">
                  <c:v>7.0503043097323991E-12</c:v>
                </c:pt>
                <c:pt idx="122">
                  <c:v>7.0503043097323991E-12</c:v>
                </c:pt>
                <c:pt idx="123">
                  <c:v>7.0503043097323991E-12</c:v>
                </c:pt>
                <c:pt idx="124">
                  <c:v>7.0503043097323991E-12</c:v>
                </c:pt>
                <c:pt idx="125">
                  <c:v>7.0503043097323991E-12</c:v>
                </c:pt>
                <c:pt idx="126">
                  <c:v>7.0503043097323991E-12</c:v>
                </c:pt>
                <c:pt idx="127">
                  <c:v>7.0503043097323991E-12</c:v>
                </c:pt>
                <c:pt idx="128">
                  <c:v>7.0503043097323991E-12</c:v>
                </c:pt>
                <c:pt idx="129">
                  <c:v>7.0503043097323991E-12</c:v>
                </c:pt>
                <c:pt idx="130">
                  <c:v>7.0503043097323991E-12</c:v>
                </c:pt>
                <c:pt idx="131">
                  <c:v>7.0503043097323991E-12</c:v>
                </c:pt>
                <c:pt idx="132">
                  <c:v>7.0503043097323991E-12</c:v>
                </c:pt>
                <c:pt idx="133">
                  <c:v>7.0503043097323991E-12</c:v>
                </c:pt>
                <c:pt idx="134">
                  <c:v>7.0503043097323991E-12</c:v>
                </c:pt>
                <c:pt idx="135">
                  <c:v>7.0503043097323991E-12</c:v>
                </c:pt>
                <c:pt idx="136">
                  <c:v>7.0503043097323991E-12</c:v>
                </c:pt>
                <c:pt idx="137">
                  <c:v>7.0503043097323991E-12</c:v>
                </c:pt>
                <c:pt idx="138">
                  <c:v>7.0503043097323991E-12</c:v>
                </c:pt>
                <c:pt idx="139">
                  <c:v>7.0503043097323991E-12</c:v>
                </c:pt>
                <c:pt idx="140">
                  <c:v>7.0503043097323991E-12</c:v>
                </c:pt>
                <c:pt idx="141">
                  <c:v>7.0503043097323991E-12</c:v>
                </c:pt>
                <c:pt idx="142">
                  <c:v>7.0503043097323991E-12</c:v>
                </c:pt>
                <c:pt idx="143">
                  <c:v>7.0503043097323991E-12</c:v>
                </c:pt>
                <c:pt idx="144">
                  <c:v>7.0503043097323991E-12</c:v>
                </c:pt>
                <c:pt idx="145">
                  <c:v>7.0503043097323991E-12</c:v>
                </c:pt>
                <c:pt idx="146">
                  <c:v>7.0503043097323991E-12</c:v>
                </c:pt>
                <c:pt idx="147">
                  <c:v>7.0503043097323991E-12</c:v>
                </c:pt>
                <c:pt idx="148">
                  <c:v>7.0503043097323991E-12</c:v>
                </c:pt>
                <c:pt idx="149">
                  <c:v>7.0503043097323991E-12</c:v>
                </c:pt>
                <c:pt idx="150">
                  <c:v>7.0503043097323991E-12</c:v>
                </c:pt>
                <c:pt idx="151">
                  <c:v>7.0503043097323991E-12</c:v>
                </c:pt>
                <c:pt idx="152">
                  <c:v>7.0503043097323991E-12</c:v>
                </c:pt>
                <c:pt idx="153">
                  <c:v>7.0503043097323991E-12</c:v>
                </c:pt>
                <c:pt idx="154">
                  <c:v>7.0503043097323991E-12</c:v>
                </c:pt>
                <c:pt idx="155">
                  <c:v>7.0503043097323991E-12</c:v>
                </c:pt>
                <c:pt idx="156">
                  <c:v>7.0503043097323991E-12</c:v>
                </c:pt>
                <c:pt idx="157">
                  <c:v>7.0503043097323991E-12</c:v>
                </c:pt>
                <c:pt idx="158">
                  <c:v>7.0503043097323991E-12</c:v>
                </c:pt>
                <c:pt idx="159">
                  <c:v>7.0503043097323991E-12</c:v>
                </c:pt>
                <c:pt idx="160">
                  <c:v>7.0503043097323991E-12</c:v>
                </c:pt>
                <c:pt idx="161">
                  <c:v>7.0503043097323991E-12</c:v>
                </c:pt>
                <c:pt idx="162">
                  <c:v>7.0503043097323991E-12</c:v>
                </c:pt>
                <c:pt idx="163">
                  <c:v>7.0503043097323991E-12</c:v>
                </c:pt>
                <c:pt idx="164">
                  <c:v>7.0503043097323991E-12</c:v>
                </c:pt>
                <c:pt idx="165">
                  <c:v>7.0503043097323991E-12</c:v>
                </c:pt>
                <c:pt idx="166">
                  <c:v>7.0503043097323991E-12</c:v>
                </c:pt>
                <c:pt idx="167">
                  <c:v>7.0503043097323991E-12</c:v>
                </c:pt>
                <c:pt idx="168">
                  <c:v>7.0503043097323991E-12</c:v>
                </c:pt>
                <c:pt idx="169">
                  <c:v>7.0503043097323991E-12</c:v>
                </c:pt>
                <c:pt idx="170">
                  <c:v>7.0503043097323991E-12</c:v>
                </c:pt>
                <c:pt idx="171">
                  <c:v>7.0503043097323991E-12</c:v>
                </c:pt>
                <c:pt idx="172">
                  <c:v>7.0503043097323991E-12</c:v>
                </c:pt>
                <c:pt idx="173">
                  <c:v>7.0503043097323991E-12</c:v>
                </c:pt>
                <c:pt idx="174">
                  <c:v>7.0503043097323991E-12</c:v>
                </c:pt>
                <c:pt idx="175">
                  <c:v>7.0503043097323991E-12</c:v>
                </c:pt>
                <c:pt idx="176">
                  <c:v>7.0503043097323991E-12</c:v>
                </c:pt>
                <c:pt idx="177">
                  <c:v>7.0503043097323991E-12</c:v>
                </c:pt>
                <c:pt idx="178">
                  <c:v>7.0503043097323991E-12</c:v>
                </c:pt>
                <c:pt idx="179">
                  <c:v>7.0503043097323991E-12</c:v>
                </c:pt>
                <c:pt idx="180">
                  <c:v>7.0503043097323991E-12</c:v>
                </c:pt>
                <c:pt idx="181">
                  <c:v>7.0503043097323991E-12</c:v>
                </c:pt>
                <c:pt idx="182">
                  <c:v>7.0503043097323991E-12</c:v>
                </c:pt>
                <c:pt idx="183">
                  <c:v>7.0503043097323991E-12</c:v>
                </c:pt>
                <c:pt idx="184">
                  <c:v>7.0503043097323991E-12</c:v>
                </c:pt>
                <c:pt idx="185">
                  <c:v>7.0503043097323991E-12</c:v>
                </c:pt>
                <c:pt idx="186">
                  <c:v>7.0503043097323991E-12</c:v>
                </c:pt>
                <c:pt idx="187">
                  <c:v>7.0503043097323991E-12</c:v>
                </c:pt>
                <c:pt idx="188">
                  <c:v>7.0503043097323991E-12</c:v>
                </c:pt>
                <c:pt idx="189">
                  <c:v>7.0503043097323991E-12</c:v>
                </c:pt>
                <c:pt idx="190">
                  <c:v>7.0503043097323991E-12</c:v>
                </c:pt>
                <c:pt idx="191">
                  <c:v>7.0503043097323991E-12</c:v>
                </c:pt>
                <c:pt idx="192">
                  <c:v>7.0503043097323991E-12</c:v>
                </c:pt>
                <c:pt idx="193">
                  <c:v>7.0503043097323991E-12</c:v>
                </c:pt>
                <c:pt idx="194">
                  <c:v>7.0503043097323991E-12</c:v>
                </c:pt>
                <c:pt idx="195">
                  <c:v>7.0503043097323991E-12</c:v>
                </c:pt>
                <c:pt idx="196">
                  <c:v>7.0503043097323991E-12</c:v>
                </c:pt>
                <c:pt idx="197">
                  <c:v>7.0503043097323991E-12</c:v>
                </c:pt>
                <c:pt idx="198">
                  <c:v>7.0503043097323991E-12</c:v>
                </c:pt>
                <c:pt idx="199">
                  <c:v>7.0503043097323991E-12</c:v>
                </c:pt>
                <c:pt idx="200">
                  <c:v>7.0503043097323991E-12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542672"/>
        <c:axId val="1328547024"/>
      </c:scatterChart>
      <c:valAx>
        <c:axId val="1328542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7024"/>
        <c:crosses val="autoZero"/>
        <c:crossBetween val="midCat"/>
      </c:valAx>
      <c:valAx>
        <c:axId val="13285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544848"/>
        <c:axId val="1328540496"/>
      </c:scatterChart>
      <c:valAx>
        <c:axId val="1328544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0496"/>
        <c:crosses val="autoZero"/>
        <c:crossBetween val="midCat"/>
      </c:valAx>
      <c:valAx>
        <c:axId val="132854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4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541584"/>
        <c:axId val="1328542128"/>
      </c:scatterChart>
      <c:valAx>
        <c:axId val="1328541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2128"/>
        <c:crosses val="autoZero"/>
        <c:crossBetween val="midCat"/>
      </c:valAx>
      <c:valAx>
        <c:axId val="132854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854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56160"/>
        <c:axId val="1322757248"/>
      </c:scatterChart>
      <c:valAx>
        <c:axId val="1322756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7248"/>
        <c:crosses val="autoZero"/>
        <c:crossBetween val="midCat"/>
      </c:valAx>
      <c:valAx>
        <c:axId val="132275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6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53984"/>
        <c:axId val="1322749632"/>
      </c:scatterChart>
      <c:valAx>
        <c:axId val="1322753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49632"/>
        <c:crosses val="autoZero"/>
        <c:crossBetween val="midCat"/>
      </c:valAx>
      <c:valAx>
        <c:axId val="1322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3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59968"/>
        <c:axId val="1322750720"/>
      </c:scatterChart>
      <c:valAx>
        <c:axId val="1322759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0720"/>
        <c:crosses val="autoZero"/>
        <c:crossBetween val="midCat"/>
      </c:valAx>
      <c:valAx>
        <c:axId val="132275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9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52352"/>
        <c:axId val="1322748000"/>
      </c:scatterChart>
      <c:valAx>
        <c:axId val="1322752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48000"/>
        <c:crosses val="autoZero"/>
        <c:crossBetween val="midCat"/>
      </c:valAx>
      <c:valAx>
        <c:axId val="13227480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2752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9" zoomScale="90" zoomScaleNormal="90" workbookViewId="0">
      <selection activeCell="D66" sqref="D66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8" t="s">
        <v>231</v>
      </c>
      <c r="B5" s="298"/>
      <c r="C5" s="26">
        <v>3.9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0.5</v>
      </c>
      <c r="D9" s="36">
        <f t="shared" ref="D9:D18" si="0">C9*$C$5</f>
        <v>1.95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0.25</v>
      </c>
      <c r="D10" s="36">
        <f t="shared" si="0"/>
        <v>0.97499999999999998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44</v>
      </c>
      <c r="C11" s="35">
        <v>0.25</v>
      </c>
      <c r="D11" s="36">
        <f t="shared" si="0"/>
        <v>0.97499999999999998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30</v>
      </c>
      <c r="B36" s="63">
        <v>148.5</v>
      </c>
      <c r="C36" s="63">
        <v>1</v>
      </c>
      <c r="D36" s="63">
        <v>112</v>
      </c>
      <c r="E36" s="54"/>
      <c r="F36" s="54">
        <v>0.5</v>
      </c>
      <c r="G36" s="54">
        <v>0.5</v>
      </c>
      <c r="H36" s="54"/>
      <c r="I36" s="52">
        <f>IFERROR(B36/A36,"")</f>
        <v>4.95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45</v>
      </c>
      <c r="B37" s="63">
        <v>233</v>
      </c>
      <c r="C37" s="63">
        <v>2</v>
      </c>
      <c r="D37" s="63">
        <v>84</v>
      </c>
      <c r="E37" s="54"/>
      <c r="F37" s="54"/>
      <c r="G37" s="54"/>
      <c r="H37" s="54"/>
      <c r="I37" s="56">
        <f t="shared" ref="I37:I55" si="1">IF(A37&lt;&gt;0,(B37-(B36-D36))/(A37-A36),"")</f>
        <v>13.1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60</v>
      </c>
      <c r="B38" s="63">
        <v>373.5</v>
      </c>
      <c r="C38" s="63">
        <v>3</v>
      </c>
      <c r="D38" s="63">
        <v>84</v>
      </c>
      <c r="E38" s="54"/>
      <c r="F38" s="54"/>
      <c r="G38" s="54"/>
      <c r="H38" s="54"/>
      <c r="I38" s="56">
        <f t="shared" si="1"/>
        <v>14.966666666666667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80</v>
      </c>
      <c r="B39" s="63">
        <v>487.5</v>
      </c>
      <c r="C39" s="63"/>
      <c r="D39" s="63">
        <v>487.5</v>
      </c>
      <c r="E39" s="54"/>
      <c r="F39" s="54"/>
      <c r="G39" s="54"/>
      <c r="H39" s="54"/>
      <c r="I39" s="52">
        <f t="shared" si="1"/>
        <v>9.9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v>60</v>
      </c>
      <c r="C62" s="63"/>
      <c r="D62" s="63">
        <v>0</v>
      </c>
      <c r="E62" s="54"/>
      <c r="F62" s="54"/>
      <c r="G62" s="54"/>
      <c r="H62" s="54"/>
      <c r="I62" s="56">
        <f>IFERROR(B62/A62,"")</f>
        <v>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45</v>
      </c>
      <c r="B63" s="63">
        <v>90</v>
      </c>
      <c r="C63" s="63">
        <v>1</v>
      </c>
      <c r="D63" s="63">
        <v>28</v>
      </c>
      <c r="E63" s="54"/>
      <c r="F63" s="54"/>
      <c r="G63" s="54"/>
      <c r="H63" s="54"/>
      <c r="I63" s="52">
        <f>IF(A63&lt;&gt;0,(B63-(B62-D62))/(A63-A62),"")</f>
        <v>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60</v>
      </c>
      <c r="B64" s="63">
        <v>104.4</v>
      </c>
      <c r="C64" s="63">
        <v>2</v>
      </c>
      <c r="D64" s="63">
        <v>28</v>
      </c>
      <c r="E64" s="54"/>
      <c r="F64" s="54"/>
      <c r="G64" s="54"/>
      <c r="H64" s="54"/>
      <c r="I64" s="52">
        <f>IF(A64&lt;&gt;0,(B64-(B63-D63))/(A64-A63),"")</f>
        <v>2.8266666666666671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80</v>
      </c>
      <c r="B65" s="63">
        <v>157.6</v>
      </c>
      <c r="C65" s="63"/>
      <c r="D65" s="63">
        <v>157.6</v>
      </c>
      <c r="E65" s="54"/>
      <c r="F65" s="54"/>
      <c r="G65" s="54"/>
      <c r="H65" s="54"/>
      <c r="I65" s="52">
        <f>IF(A65&lt;&gt;0,(B65-(B64-D64))/(A65-A64),"")</f>
        <v>4.0599999999999996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Robinier faux-acacia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v>203</v>
      </c>
      <c r="C88" s="63">
        <v>1</v>
      </c>
      <c r="D88" s="63">
        <v>56</v>
      </c>
      <c r="E88" s="54"/>
      <c r="F88" s="54">
        <v>0.5</v>
      </c>
      <c r="G88" s="54">
        <v>0.5</v>
      </c>
      <c r="H88" s="93"/>
      <c r="I88" s="56">
        <f>IFERROR(B88/A88,"")</f>
        <v>6.7666666666666666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45</v>
      </c>
      <c r="B89" s="63">
        <v>206.5</v>
      </c>
      <c r="C89" s="63">
        <v>2</v>
      </c>
      <c r="D89" s="63">
        <v>84</v>
      </c>
      <c r="E89" s="54"/>
      <c r="F89" s="54"/>
      <c r="G89" s="54"/>
      <c r="H89" s="93"/>
      <c r="I89" s="56">
        <f t="shared" ref="I89:I107" si="3">IF(A89&lt;&gt;0,(B89-(B88-D88))/(A89-A88),"")</f>
        <v>3.9666666666666668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60</v>
      </c>
      <c r="B90" s="63">
        <v>179.5</v>
      </c>
      <c r="C90" s="63">
        <v>3</v>
      </c>
      <c r="D90" s="63">
        <v>84</v>
      </c>
      <c r="E90" s="93"/>
      <c r="F90" s="93"/>
      <c r="G90" s="93"/>
      <c r="H90" s="93"/>
      <c r="I90" s="56">
        <f t="shared" si="3"/>
        <v>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80</v>
      </c>
      <c r="B91" s="63">
        <v>171.5</v>
      </c>
      <c r="C91" s="63"/>
      <c r="D91" s="63">
        <v>171.5</v>
      </c>
      <c r="E91" s="93"/>
      <c r="F91" s="93"/>
      <c r="G91" s="93"/>
      <c r="H91" s="93"/>
      <c r="I91" s="56">
        <f t="shared" si="3"/>
        <v>3.8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Pin laricio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Chêne pubescent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Robinier faux-acacia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190.92799938679798</v>
      </c>
      <c r="T3" s="62">
        <f>IF('Données projet'!E9&gt;30,$R$33-$H$33,LOOKUP('Données projet'!$E$9,$A$3:$A$203,R3:R203)-LOOKUP('Données projet'!$E$9,$A$3:$A$203,$H$3:$H$203))</f>
        <v>172.54286890368337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95.135996821969457</v>
      </c>
      <c r="AO3" s="62">
        <f>IF('Données projet'!E10&gt;30,$AM$33-$H$33,LOOKUP('Données projet'!$E$10,$A$3:$A$203,AM3:AM203)-LOOKUP('Données projet'!$E$10,$A$3:$A$203,$H$3:$H$203))</f>
        <v>111.83039337220566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168.44987180339865</v>
      </c>
      <c r="BJ3" s="62">
        <f>IF('Données projet'!E11&gt;30,$BH$33-$H$33,LOOKUP('Données projet'!$E$11,$A$3:$A$203,BH3:BH203)-LOOKUP('Données projet'!$E$11,$A$3:$A$203,$H$3:$H$203))</f>
        <v>375.85422976031748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4.95</v>
      </c>
      <c r="N4" s="14">
        <f>IF('Données projet'!$A$36&gt;35,N3+M4-V3,IF(A4&lt;'Données projet'!$A$36,$K$205^A4,IF(A4='Données projet'!$A$36,'Données projet'!$B$36,N3+M4-V3)))</f>
        <v>1.1813834479739271</v>
      </c>
      <c r="O4" s="14">
        <f>N4*VLOOKUP('Données projet'!$B$9,Paramètres!$A$1:$I$88,3,0)*VLOOKUP('Données projet'!$B$9,Paramètres!$A$1:$I$88,5,0)</f>
        <v>0.70646730188840845</v>
      </c>
      <c r="P4" s="14">
        <f>EXP(-1.0587+0.8836*LN(O4)+0.284)</f>
        <v>0.33900789639205664</v>
      </c>
      <c r="Q4" s="22">
        <f t="shared" ref="Q4:Q34" si="2">(O4+P4)*0.475*44/12</f>
        <v>1.8208693036718102</v>
      </c>
      <c r="R4" s="62">
        <f t="shared" si="0"/>
        <v>259.70975819256068</v>
      </c>
      <c r="S4" s="62">
        <f ca="1">AVERAGE(OFFSET($R$3,0,0,'Données projet'!$E$9+1,1))-AVERAGE(OFFSET($H$3,0,0,'Données projet'!$E$9+1,1))</f>
        <v>190.92799938679798</v>
      </c>
      <c r="T4" s="62">
        <f>$T$3</f>
        <v>172.54286890368337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</v>
      </c>
      <c r="AI4" s="14">
        <f>IF('Données projet'!$A$62&gt;35,AI3+AH4-AQ3,IF(A4&lt;'Données projet'!$A$62,$AF$205^A4,IF(A4='Données projet'!$A$62,'Données projet'!$B$62,AI3+AH4-AQ3)))</f>
        <v>1.1462298347576707</v>
      </c>
      <c r="AJ4" s="14">
        <f>AI4*VLOOKUP('Données projet'!$B$10,Paramètres!$A$1:$I$88,3,0)*VLOOKUP('Données projet'!$B$10,Paramètres!$A$1:$I$88,5,0)</f>
        <v>1.1622770524442783</v>
      </c>
      <c r="AK4" s="14">
        <f>EXP(-1.0587+0.8836*LN(AJ4)+0.284)</f>
        <v>0.52633188885273274</v>
      </c>
      <c r="AL4" s="22">
        <f t="shared" ref="AL4:AL67" si="4">(AJ4+AK4)*0.475*44/12</f>
        <v>2.9409939060922938</v>
      </c>
      <c r="AM4" s="62">
        <f t="shared" ref="AM4:AM67" si="5">AL4+(AD4+AE4)*44/12</f>
        <v>260.82988279498113</v>
      </c>
      <c r="AN4" s="62">
        <f ca="1">AVERAGE(OFFSET($AM$3,0,0,'Données projet'!$E$10+1,1))-AVERAGE(OFFSET($H$3,0,0,'Données projet'!$E$10+1,1))</f>
        <v>95.135996821969457</v>
      </c>
      <c r="AO4" s="62">
        <f>$AO$3</f>
        <v>111.83039337220566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6.7666666666666666</v>
      </c>
      <c r="BD4" s="13">
        <f>IF('Données projet'!$A$88&gt;35,BD3+BC4-BL3,IF(A4&lt;'Données projet'!$A$88,$BA$205^A4,IF(A4='Données projet'!$A$88,'Données projet'!$B$88,BD3+BC4-BL3)))</f>
        <v>1.1937586584854882</v>
      </c>
      <c r="BE4" s="14">
        <f>BD4*VLOOKUP('Données projet'!$B$11,Paramètres!$A$1:$I$88,3,0)*VLOOKUP('Données projet'!$B$11,Paramètres!$A$1:$I$88,5,0)</f>
        <v>1.0801128341976696</v>
      </c>
      <c r="BF4" s="14">
        <f>EXP(-1.0587+0.8836*LN(BE4)+0.284)</f>
        <v>0.49331620860374836</v>
      </c>
      <c r="BG4" s="22">
        <f t="shared" ref="BG4:BG67" si="7">(BE4+BF4)*0.475*44/12</f>
        <v>2.7403889162124693</v>
      </c>
      <c r="BH4" s="62">
        <f t="shared" ref="BH4:BH67" si="8">BG4+(AY4+AZ4)*44/12</f>
        <v>260.62927780510131</v>
      </c>
      <c r="BI4" s="62">
        <f ca="1">AVERAGE(OFFSET($BH$3,0,0,'Données projet'!$E$11+1,1))-AVERAGE(OFFSET($H$3,0,0,'Données projet'!$E$11+1,1))</f>
        <v>168.44987180339865</v>
      </c>
      <c r="BJ4" s="62">
        <f>$BJ$3</f>
        <v>375.85422976031748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4.95</v>
      </c>
      <c r="N5" s="14">
        <f>IF('Données projet'!$A$36&gt;35,N4+M5-V4,IF(A5&lt;'Données projet'!$A$36,$K$205^A5,IF(A5='Données projet'!$A$36,'Données projet'!$B$36,N4+M5-V4)))</f>
        <v>1.3956668511467647</v>
      </c>
      <c r="O5" s="14">
        <f>N5*VLOOKUP('Données projet'!$B$9,Paramètres!$A$1:$I$88,3,0)*VLOOKUP('Données projet'!$B$9,Paramètres!$A$1:$I$88,5,0)</f>
        <v>0.8346087769857653</v>
      </c>
      <c r="P5" s="14">
        <f t="shared" ref="P5:P68" si="33">EXP(-1.0587+0.8836*LN(O5)+0.284)</f>
        <v>0.39280263941178994</v>
      </c>
      <c r="Q5" s="22">
        <f t="shared" si="2"/>
        <v>2.137741550225742</v>
      </c>
      <c r="R5" s="62">
        <f t="shared" si="0"/>
        <v>261.24885266133691</v>
      </c>
      <c r="S5" s="62">
        <f ca="1">AVERAGE(OFFSET($R$3,0,0,'Données projet'!$E$9+1,1))-AVERAGE(OFFSET($H$3,0,0,'Données projet'!$E$9+1,1))</f>
        <v>190.92799938679798</v>
      </c>
      <c r="T5" s="62">
        <f t="shared" ref="T5:T68" si="34">$T$3</f>
        <v>172.54286890368337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</v>
      </c>
      <c r="AI5" s="14">
        <f>IF('Données projet'!$A$62&gt;35,AI4+AH5-AQ4,IF(A5&lt;'Données projet'!$A$62,$AF$205^A5,IF(A5='Données projet'!$A$62,'Données projet'!$B$62,AI4+AH5-AQ4)))</f>
        <v>1.313842834088597</v>
      </c>
      <c r="AJ5" s="14">
        <f>AI5*VLOOKUP('Données projet'!$B$10,Paramètres!$A$1:$I$88,3,0)*VLOOKUP('Données projet'!$B$10,Paramètres!$A$1:$I$88,5,0)</f>
        <v>1.3322366337658376</v>
      </c>
      <c r="AK5" s="14">
        <f t="shared" ref="AK5:AK68" si="35">EXP(-1.0587+0.8836*LN(AJ5)+0.284)</f>
        <v>0.593789023117685</v>
      </c>
      <c r="AL5" s="22">
        <f t="shared" si="4"/>
        <v>3.3544946857388016</v>
      </c>
      <c r="AM5" s="62">
        <f t="shared" si="5"/>
        <v>262.46560579684996</v>
      </c>
      <c r="AN5" s="62">
        <f ca="1">AVERAGE(OFFSET($AM$3,0,0,'Données projet'!$E$10+1,1))-AVERAGE(OFFSET($H$3,0,0,'Données projet'!$E$10+1,1))</f>
        <v>95.135996821969457</v>
      </c>
      <c r="AO5" s="62">
        <f t="shared" ref="AO5:AO68" si="36">$AO$3</f>
        <v>111.83039337220566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6.7666666666666666</v>
      </c>
      <c r="BD5" s="13">
        <f>IF('Données projet'!$A$88&gt;35,BD4+BC5-BL4,IF(A5&lt;'Données projet'!$A$88,$BA$205^A5,IF(A5='Données projet'!$A$88,'Données projet'!$B$88,BD4+BC5-BL4)))</f>
        <v>1.4250597347090725</v>
      </c>
      <c r="BE5" s="14">
        <f>BD5*VLOOKUP('Données projet'!$B$11,Paramètres!$A$1:$I$88,3,0)*VLOOKUP('Données projet'!$B$11,Paramètres!$A$1:$I$88,5,0)</f>
        <v>1.2893940479647688</v>
      </c>
      <c r="BF5" s="14">
        <f t="shared" ref="BF5:BF68" si="37">EXP(-1.0587+0.8836*LN(BE5)+0.284)</f>
        <v>0.57688445316085768</v>
      </c>
      <c r="BG5" s="22">
        <f t="shared" si="7"/>
        <v>3.2504350561271327</v>
      </c>
      <c r="BH5" s="62">
        <f t="shared" si="8"/>
        <v>262.36154616723826</v>
      </c>
      <c r="BI5" s="62">
        <f ca="1">AVERAGE(OFFSET($BH$3,0,0,'Données projet'!$E$11+1,1))-AVERAGE(OFFSET($H$3,0,0,'Données projet'!$E$11+1,1))</f>
        <v>168.44987180339865</v>
      </c>
      <c r="BJ5" s="62">
        <f t="shared" ref="BJ5:BJ68" si="38">$BJ$3</f>
        <v>375.85422976031748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4.95</v>
      </c>
      <c r="N6" s="14">
        <f>IF('Données projet'!$A$36&gt;35,N5+M6-V5,IF(A6&lt;'Données projet'!$A$36,$K$205^A6,IF(A6='Données projet'!$A$36,'Données projet'!$B$36,N5+M6-V5)))</f>
        <v>1.6488177168306786</v>
      </c>
      <c r="O6" s="14">
        <f>N6*VLOOKUP('Données projet'!$B$9,Paramètres!$A$1:$I$88,3,0)*VLOOKUP('Données projet'!$B$9,Paramètres!$A$1:$I$88,5,0)</f>
        <v>0.98599299466474588</v>
      </c>
      <c r="P6" s="14">
        <f t="shared" si="33"/>
        <v>0.45513368617948202</v>
      </c>
      <c r="Q6" s="22">
        <f t="shared" si="2"/>
        <v>2.5099623024703637</v>
      </c>
      <c r="R6" s="62">
        <f t="shared" si="0"/>
        <v>262.84329563580366</v>
      </c>
      <c r="S6" s="62">
        <f ca="1">AVERAGE(OFFSET($R$3,0,0,'Données projet'!$E$9+1,1))-AVERAGE(OFFSET($H$3,0,0,'Données projet'!$E$9+1,1))</f>
        <v>190.92799938679798</v>
      </c>
      <c r="T6" s="62">
        <f t="shared" si="34"/>
        <v>172.54286890368337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</v>
      </c>
      <c r="AI6" s="14">
        <f>IF('Données projet'!$A$62&gt;35,AI5+AH6-AQ5,IF(A6&lt;'Données projet'!$A$62,$AF$205^A6,IF(A6='Données projet'!$A$62,'Données projet'!$B$62,AI5+AH6-AQ5)))</f>
        <v>1.5059658546149224</v>
      </c>
      <c r="AJ6" s="14">
        <f>AI6*VLOOKUP('Données projet'!$B$10,Paramètres!$A$1:$I$88,3,0)*VLOOKUP('Données projet'!$B$10,Paramètres!$A$1:$I$88,5,0)</f>
        <v>1.5270493765795314</v>
      </c>
      <c r="AK6" s="14">
        <f t="shared" si="35"/>
        <v>0.66989177635350861</v>
      </c>
      <c r="AL6" s="22">
        <f t="shared" si="4"/>
        <v>3.8263391746917113</v>
      </c>
      <c r="AM6" s="62">
        <f t="shared" si="5"/>
        <v>264.15967250802504</v>
      </c>
      <c r="AN6" s="62">
        <f ca="1">AVERAGE(OFFSET($AM$3,0,0,'Données projet'!$E$10+1,1))-AVERAGE(OFFSET($H$3,0,0,'Données projet'!$E$10+1,1))</f>
        <v>95.135996821969457</v>
      </c>
      <c r="AO6" s="62">
        <f t="shared" si="36"/>
        <v>111.83039337220566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6.7666666666666666</v>
      </c>
      <c r="BD6" s="13">
        <f>IF('Données projet'!$A$88&gt;35,BD5+BC6-BL5,IF(A6&lt;'Données projet'!$A$88,$BA$205^A6,IF(A6='Données projet'!$A$88,'Données projet'!$B$88,BD5+BC6-BL5)))</f>
        <v>1.7011773971679882</v>
      </c>
      <c r="BE6" s="14">
        <f>BD6*VLOOKUP('Données projet'!$B$11,Paramètres!$A$1:$I$88,3,0)*VLOOKUP('Données projet'!$B$11,Paramètres!$A$1:$I$88,5,0)</f>
        <v>1.5392253089575956</v>
      </c>
      <c r="BF6" s="14">
        <f t="shared" si="37"/>
        <v>0.67460923945845186</v>
      </c>
      <c r="BG6" s="22">
        <f t="shared" si="7"/>
        <v>3.8557618384912828</v>
      </c>
      <c r="BH6" s="62">
        <f t="shared" si="8"/>
        <v>264.18909517182459</v>
      </c>
      <c r="BI6" s="62">
        <f ca="1">AVERAGE(OFFSET($BH$3,0,0,'Données projet'!$E$11+1,1))-AVERAGE(OFFSET($H$3,0,0,'Données projet'!$E$11+1,1))</f>
        <v>168.44987180339865</v>
      </c>
      <c r="BJ6" s="62">
        <f t="shared" si="38"/>
        <v>375.85422976031748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4.95</v>
      </c>
      <c r="N7" s="14">
        <f>IF('Données projet'!$A$36&gt;35,N6+M7-V6,IF(A7&lt;'Données projet'!$A$36,$K$205^A7,IF(A7='Données projet'!$A$36,'Données projet'!$B$36,N6+M7-V6)))</f>
        <v>1.9478859593899254</v>
      </c>
      <c r="O7" s="14">
        <f>N7*VLOOKUP('Données projet'!$B$9,Paramètres!$A$1:$I$88,3,0)*VLOOKUP('Données projet'!$B$9,Paramètres!$A$1:$I$88,5,0)</f>
        <v>1.1648358037151754</v>
      </c>
      <c r="P7" s="14">
        <f t="shared" si="33"/>
        <v>0.5273556017992117</v>
      </c>
      <c r="Q7" s="22">
        <f t="shared" si="2"/>
        <v>2.9472333646042244</v>
      </c>
      <c r="R7" s="62">
        <f t="shared" si="0"/>
        <v>264.50278892015979</v>
      </c>
      <c r="S7" s="62">
        <f ca="1">AVERAGE(OFFSET($R$3,0,0,'Données projet'!$E$9+1,1))-AVERAGE(OFFSET($H$3,0,0,'Données projet'!$E$9+1,1))</f>
        <v>190.92799938679798</v>
      </c>
      <c r="T7" s="62">
        <f t="shared" si="34"/>
        <v>172.54286890368337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</v>
      </c>
      <c r="AI7" s="14">
        <f>IF('Données projet'!$A$62&gt;35,AI6+AH7-AQ6,IF(A7&lt;'Données projet'!$A$62,$AF$205^A7,IF(A7='Données projet'!$A$62,'Données projet'!$B$62,AI6+AH7-AQ6)))</f>
        <v>1.7261829926859567</v>
      </c>
      <c r="AJ7" s="14">
        <f>AI7*VLOOKUP('Données projet'!$B$10,Paramètres!$A$1:$I$88,3,0)*VLOOKUP('Données projet'!$B$10,Paramètres!$A$1:$I$88,5,0)</f>
        <v>1.7503495545835599</v>
      </c>
      <c r="AK7" s="14">
        <f t="shared" si="35"/>
        <v>0.75574821115734725</v>
      </c>
      <c r="AL7" s="22">
        <f t="shared" si="4"/>
        <v>4.3647869419987462</v>
      </c>
      <c r="AM7" s="62">
        <f t="shared" si="5"/>
        <v>265.92034249755432</v>
      </c>
      <c r="AN7" s="62">
        <f ca="1">AVERAGE(OFFSET($AM$3,0,0,'Données projet'!$E$10+1,1))-AVERAGE(OFFSET($H$3,0,0,'Données projet'!$E$10+1,1))</f>
        <v>95.135996821969457</v>
      </c>
      <c r="AO7" s="62">
        <f t="shared" si="36"/>
        <v>111.83039337220566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6.7666666666666666</v>
      </c>
      <c r="BD7" s="13">
        <f>IF('Données projet'!$A$88&gt;35,BD6+BC7-BL6,IF(A7&lt;'Données projet'!$A$88,$BA$205^A7,IF(A7='Données projet'!$A$88,'Données projet'!$B$88,BD6+BC7-BL6)))</f>
        <v>2.0307952474890922</v>
      </c>
      <c r="BE7" s="14">
        <f>BD7*VLOOKUP('Données projet'!$B$11,Paramètres!$A$1:$I$88,3,0)*VLOOKUP('Données projet'!$B$11,Paramètres!$A$1:$I$88,5,0)</f>
        <v>1.8374635399281307</v>
      </c>
      <c r="BF7" s="14">
        <f t="shared" si="37"/>
        <v>0.78888869940790729</v>
      </c>
      <c r="BG7" s="22">
        <f t="shared" si="7"/>
        <v>4.5742301501769331</v>
      </c>
      <c r="BH7" s="62">
        <f t="shared" si="8"/>
        <v>266.1297857057325</v>
      </c>
      <c r="BI7" s="62">
        <f ca="1">AVERAGE(OFFSET($BH$3,0,0,'Données projet'!$E$11+1,1))-AVERAGE(OFFSET($H$3,0,0,'Données projet'!$E$11+1,1))</f>
        <v>168.44987180339865</v>
      </c>
      <c r="BJ7" s="62">
        <f t="shared" si="38"/>
        <v>375.85422976031748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4.95</v>
      </c>
      <c r="N8" s="14">
        <f>IF('Données projet'!$A$36&gt;35,N7+M8-V7,IF(A8&lt;'Données projet'!$A$36,$K$205^A8,IF(A8='Données projet'!$A$36,'Données projet'!$B$36,N7+M8-V7)))</f>
        <v>2.3012002309640711</v>
      </c>
      <c r="O8" s="14">
        <f>N8*VLOOKUP('Données projet'!$B$9,Paramètres!$A$1:$I$88,3,0)*VLOOKUP('Données projet'!$B$9,Paramètres!$A$1:$I$88,5,0)</f>
        <v>1.3761177381165148</v>
      </c>
      <c r="P8" s="14">
        <f t="shared" si="33"/>
        <v>0.61103789764165783</v>
      </c>
      <c r="Q8" s="22">
        <f t="shared" si="2"/>
        <v>3.4609627322788175</v>
      </c>
      <c r="R8" s="62">
        <f t="shared" si="0"/>
        <v>266.23874051005657</v>
      </c>
      <c r="S8" s="62">
        <f ca="1">AVERAGE(OFFSET($R$3,0,0,'Données projet'!$E$9+1,1))-AVERAGE(OFFSET($H$3,0,0,'Données projet'!$E$9+1,1))</f>
        <v>190.92799938679798</v>
      </c>
      <c r="T8" s="62">
        <f t="shared" si="34"/>
        <v>172.54286890368337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</v>
      </c>
      <c r="AI8" s="14">
        <f>IF('Données projet'!$A$62&gt;35,AI7+AH8-AQ7,IF(A8&lt;'Données projet'!$A$62,$AF$205^A8,IF(A8='Données projet'!$A$62,'Données projet'!$B$62,AI7+AH8-AQ7)))</f>
        <v>1.9786024464679255</v>
      </c>
      <c r="AJ8" s="14">
        <f>AI8*VLOOKUP('Données projet'!$B$10,Paramètres!$A$1:$I$88,3,0)*VLOOKUP('Données projet'!$B$10,Paramètres!$A$1:$I$88,5,0)</f>
        <v>2.0063028807184766</v>
      </c>
      <c r="AK8" s="14">
        <f t="shared" si="35"/>
        <v>0.85260840456433085</v>
      </c>
      <c r="AL8" s="22">
        <f t="shared" si="4"/>
        <v>4.9792704885342234</v>
      </c>
      <c r="AM8" s="62">
        <f t="shared" si="5"/>
        <v>267.75704826631198</v>
      </c>
      <c r="AN8" s="62">
        <f ca="1">AVERAGE(OFFSET($AM$3,0,0,'Données projet'!$E$10+1,1))-AVERAGE(OFFSET($H$3,0,0,'Données projet'!$E$10+1,1))</f>
        <v>95.135996821969457</v>
      </c>
      <c r="AO8" s="62">
        <f t="shared" si="36"/>
        <v>111.83039337220566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6.7666666666666666</v>
      </c>
      <c r="BD8" s="13">
        <f>IF('Données projet'!$A$88&gt;35,BD7+BC8-BL7,IF(A8&lt;'Données projet'!$A$88,$BA$205^A8,IF(A8='Données projet'!$A$88,'Données projet'!$B$88,BD7+BC8-BL7)))</f>
        <v>2.4242794103012839</v>
      </c>
      <c r="BE8" s="14">
        <f>BD8*VLOOKUP('Données projet'!$B$11,Paramètres!$A$1:$I$88,3,0)*VLOOKUP('Données projet'!$B$11,Paramètres!$A$1:$I$88,5,0)</f>
        <v>2.1934880104406016</v>
      </c>
      <c r="BF8" s="14">
        <f t="shared" si="37"/>
        <v>0.92252721079404798</v>
      </c>
      <c r="BG8" s="22">
        <f t="shared" si="7"/>
        <v>5.4270598436503477</v>
      </c>
      <c r="BH8" s="62">
        <f t="shared" si="8"/>
        <v>268.20483762142811</v>
      </c>
      <c r="BI8" s="62">
        <f ca="1">AVERAGE(OFFSET($BH$3,0,0,'Données projet'!$E$11+1,1))-AVERAGE(OFFSET($H$3,0,0,'Données projet'!$E$11+1,1))</f>
        <v>168.44987180339865</v>
      </c>
      <c r="BJ8" s="62">
        <f t="shared" si="38"/>
        <v>375.85422976031748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4.95</v>
      </c>
      <c r="N9" s="14">
        <f>IF('Données projet'!$A$36&gt;35,N8+M9-V8,IF(A9&lt;'Données projet'!$A$36,$K$205^A9,IF(A9='Données projet'!$A$36,'Données projet'!$B$36,N8+M9-V8)))</f>
        <v>2.7185998633347319</v>
      </c>
      <c r="O9" s="14">
        <f>N9*VLOOKUP('Données projet'!$B$9,Paramètres!$A$1:$I$88,3,0)*VLOOKUP('Données projet'!$B$9,Paramètres!$A$1:$I$88,5,0)</f>
        <v>1.6257227182741698</v>
      </c>
      <c r="P9" s="14">
        <f t="shared" si="33"/>
        <v>0.70799913963271988</v>
      </c>
      <c r="Q9" s="22">
        <f t="shared" si="2"/>
        <v>4.0645655691878328</v>
      </c>
      <c r="R9" s="62">
        <f t="shared" si="0"/>
        <v>268.06456556918783</v>
      </c>
      <c r="S9" s="62">
        <f ca="1">AVERAGE(OFFSET($R$3,0,0,'Données projet'!$E$9+1,1))-AVERAGE(OFFSET($H$3,0,0,'Données projet'!$E$9+1,1))</f>
        <v>190.92799938679798</v>
      </c>
      <c r="T9" s="62">
        <f t="shared" si="34"/>
        <v>172.54286890368337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</v>
      </c>
      <c r="AI9" s="14">
        <f>IF('Données projet'!$A$62&gt;35,AI8+AH9-AQ8,IF(A9&lt;'Données projet'!$A$62,$AF$205^A9,IF(A9='Données projet'!$A$62,'Données projet'!$B$62,AI8+AH9-AQ8)))</f>
        <v>2.2679331552660531</v>
      </c>
      <c r="AJ9" s="14">
        <f>AI9*VLOOKUP('Données projet'!$B$10,Paramètres!$A$1:$I$88,3,0)*VLOOKUP('Données projet'!$B$10,Paramètres!$A$1:$I$88,5,0)</f>
        <v>2.299684219439778</v>
      </c>
      <c r="AK9" s="14">
        <f t="shared" si="35"/>
        <v>0.96188264927614076</v>
      </c>
      <c r="AL9" s="22">
        <f t="shared" si="4"/>
        <v>5.680562296346892</v>
      </c>
      <c r="AM9" s="62">
        <f t="shared" si="5"/>
        <v>269.68056229634692</v>
      </c>
      <c r="AN9" s="62">
        <f ca="1">AVERAGE(OFFSET($AM$3,0,0,'Données projet'!$E$10+1,1))-AVERAGE(OFFSET($H$3,0,0,'Données projet'!$E$10+1,1))</f>
        <v>95.135996821969457</v>
      </c>
      <c r="AO9" s="62">
        <f t="shared" si="36"/>
        <v>111.83039337220566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6.7666666666666666</v>
      </c>
      <c r="BD9" s="13">
        <f>IF('Données projet'!$A$88&gt;35,BD8+BC9-BL8,IF(A9&lt;'Données projet'!$A$88,$BA$205^A9,IF(A9='Données projet'!$A$88,'Données projet'!$B$88,BD8+BC9-BL8)))</f>
        <v>2.8940045366352511</v>
      </c>
      <c r="BE9" s="14">
        <f>BD9*VLOOKUP('Données projet'!$B$11,Paramètres!$A$1:$I$88,3,0)*VLOOKUP('Données projet'!$B$11,Paramètres!$A$1:$I$88,5,0)</f>
        <v>2.6184953047475754</v>
      </c>
      <c r="BF9" s="14">
        <f t="shared" si="37"/>
        <v>1.0788042157204154</v>
      </c>
      <c r="BG9" s="22">
        <f t="shared" si="7"/>
        <v>6.4394633314817504</v>
      </c>
      <c r="BH9" s="62">
        <f t="shared" si="8"/>
        <v>270.43946333148176</v>
      </c>
      <c r="BI9" s="62">
        <f ca="1">AVERAGE(OFFSET($BH$3,0,0,'Données projet'!$E$11+1,1))-AVERAGE(OFFSET($H$3,0,0,'Données projet'!$E$11+1,1))</f>
        <v>168.44987180339865</v>
      </c>
      <c r="BJ9" s="62">
        <f t="shared" si="38"/>
        <v>375.85422976031748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4.95</v>
      </c>
      <c r="N10" s="14">
        <f>IF('Données projet'!$A$36&gt;35,N9+M10-V9,IF(A10&lt;'Données projet'!$A$36,$K$205^A10,IF(A10='Données projet'!$A$36,'Données projet'!$B$36,N9+M10-V9)))</f>
        <v>3.2117088802078326</v>
      </c>
      <c r="O10" s="14">
        <f>N10*VLOOKUP('Données projet'!$B$9,Paramètres!$A$1:$I$88,3,0)*VLOOKUP('Données projet'!$B$9,Paramètres!$A$1:$I$88,5,0)</f>
        <v>1.920601910364284</v>
      </c>
      <c r="P10" s="14">
        <f t="shared" si="33"/>
        <v>0.82034646894297258</v>
      </c>
      <c r="Q10" s="22">
        <f t="shared" si="2"/>
        <v>4.7738184272934721</v>
      </c>
      <c r="R10" s="62">
        <f t="shared" si="0"/>
        <v>269.99604064951569</v>
      </c>
      <c r="S10" s="62">
        <f ca="1">AVERAGE(OFFSET($R$3,0,0,'Données projet'!$E$9+1,1))-AVERAGE(OFFSET($H$3,0,0,'Données projet'!$E$9+1,1))</f>
        <v>190.92799938679798</v>
      </c>
      <c r="T10" s="62">
        <f t="shared" si="34"/>
        <v>172.54286890368337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</v>
      </c>
      <c r="AI10" s="14">
        <f>IF('Données projet'!$A$62&gt;35,AI9+AH10-AQ9,IF(A10&lt;'Données projet'!$A$62,$AF$205^A10,IF(A10='Données projet'!$A$62,'Données projet'!$B$62,AI9+AH10-AQ9)))</f>
        <v>2.5995726458020512</v>
      </c>
      <c r="AJ10" s="14">
        <f>AI10*VLOOKUP('Données projet'!$B$10,Paramètres!$A$1:$I$88,3,0)*VLOOKUP('Données projet'!$B$10,Paramètres!$A$1:$I$88,5,0)</f>
        <v>2.6359666628432801</v>
      </c>
      <c r="AK10" s="14">
        <f t="shared" si="35"/>
        <v>1.0851619876433884</v>
      </c>
      <c r="AL10" s="22">
        <f t="shared" si="4"/>
        <v>6.4809657329309474</v>
      </c>
      <c r="AM10" s="62">
        <f t="shared" si="5"/>
        <v>271.70318795515317</v>
      </c>
      <c r="AN10" s="62">
        <f ca="1">AVERAGE(OFFSET($AM$3,0,0,'Données projet'!$E$10+1,1))-AVERAGE(OFFSET($H$3,0,0,'Données projet'!$E$10+1,1))</f>
        <v>95.135996821969457</v>
      </c>
      <c r="AO10" s="62">
        <f t="shared" si="36"/>
        <v>111.83039337220566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6.7666666666666666</v>
      </c>
      <c r="BD10" s="13">
        <f>IF('Données projet'!$A$88&gt;35,BD9+BC10-BL9,IF(A10&lt;'Données projet'!$A$88,$BA$205^A10,IF(A10='Données projet'!$A$88,'Données projet'!$B$88,BD9+BC10-BL9)))</f>
        <v>3.4547429733046142</v>
      </c>
      <c r="BE10" s="14">
        <f>BD10*VLOOKUP('Données projet'!$B$11,Paramètres!$A$1:$I$88,3,0)*VLOOKUP('Données projet'!$B$11,Paramètres!$A$1:$I$88,5,0)</f>
        <v>3.1258514422460149</v>
      </c>
      <c r="BF10" s="14">
        <f t="shared" si="37"/>
        <v>1.2615546969659628</v>
      </c>
      <c r="BG10" s="22">
        <f t="shared" si="7"/>
        <v>7.6413990257941942</v>
      </c>
      <c r="BH10" s="62">
        <f t="shared" si="8"/>
        <v>272.86362124801644</v>
      </c>
      <c r="BI10" s="62">
        <f ca="1">AVERAGE(OFFSET($BH$3,0,0,'Données projet'!$E$11+1,1))-AVERAGE(OFFSET($H$3,0,0,'Données projet'!$E$11+1,1))</f>
        <v>168.44987180339865</v>
      </c>
      <c r="BJ10" s="62">
        <f t="shared" si="38"/>
        <v>375.85422976031748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4.95</v>
      </c>
      <c r="N11" s="14">
        <f>IF('Données projet'!$A$36&gt;35,N10+M11-V10,IF(A11&lt;'Données projet'!$A$36,$K$205^A11,IF(A11='Données projet'!$A$36,'Données projet'!$B$36,N10+M11-V10)))</f>
        <v>3.7942597107884102</v>
      </c>
      <c r="O11" s="14">
        <f>N11*VLOOKUP('Données projet'!$B$9,Paramètres!$A$1:$I$88,3,0)*VLOOKUP('Données projet'!$B$9,Paramètres!$A$1:$I$88,5,0)</f>
        <v>2.2689673070514695</v>
      </c>
      <c r="P11" s="14">
        <f t="shared" si="33"/>
        <v>0.95052139393320612</v>
      </c>
      <c r="Q11" s="22">
        <f t="shared" si="2"/>
        <v>5.6072761542149765</v>
      </c>
      <c r="R11" s="62">
        <f t="shared" si="0"/>
        <v>272.05172059865941</v>
      </c>
      <c r="S11" s="62">
        <f ca="1">AVERAGE(OFFSET($R$3,0,0,'Données projet'!$E$9+1,1))-AVERAGE(OFFSET($H$3,0,0,'Données projet'!$E$9+1,1))</f>
        <v>190.92799938679798</v>
      </c>
      <c r="T11" s="62">
        <f t="shared" si="34"/>
        <v>172.54286890368337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</v>
      </c>
      <c r="AI11" s="14">
        <f>IF('Données projet'!$A$62&gt;35,AI10+AH11-AQ10,IF(A11&lt;'Données projet'!$A$62,$AF$205^A11,IF(A11='Données projet'!$A$62,'Données projet'!$B$62,AI10+AH11-AQ10)))</f>
        <v>2.9797077242382453</v>
      </c>
      <c r="AJ11" s="14">
        <f>AI11*VLOOKUP('Données projet'!$B$10,Paramètres!$A$1:$I$88,3,0)*VLOOKUP('Données projet'!$B$10,Paramètres!$A$1:$I$88,5,0)</f>
        <v>3.0214236323775809</v>
      </c>
      <c r="AK11" s="14">
        <f t="shared" si="35"/>
        <v>1.2242413773783398</v>
      </c>
      <c r="AL11" s="22">
        <f t="shared" si="4"/>
        <v>7.3945332253248957</v>
      </c>
      <c r="AM11" s="62">
        <f t="shared" si="5"/>
        <v>273.83897766976935</v>
      </c>
      <c r="AN11" s="62">
        <f ca="1">AVERAGE(OFFSET($AM$3,0,0,'Données projet'!$E$10+1,1))-AVERAGE(OFFSET($H$3,0,0,'Données projet'!$E$10+1,1))</f>
        <v>95.135996821969457</v>
      </c>
      <c r="AO11" s="62">
        <f t="shared" si="36"/>
        <v>111.83039337220566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6.7666666666666666</v>
      </c>
      <c r="BD11" s="13">
        <f>IF('Données projet'!$A$88&gt;35,BD10+BC11-BL10,IF(A11&lt;'Données projet'!$A$88,$BA$205^A11,IF(A11='Données projet'!$A$88,'Données projet'!$B$88,BD10+BC11-BL10)))</f>
        <v>4.1241293372242831</v>
      </c>
      <c r="BE11" s="14">
        <f>BD11*VLOOKUP('Données projet'!$B$11,Paramètres!$A$1:$I$88,3,0)*VLOOKUP('Données projet'!$B$11,Paramètres!$A$1:$I$88,5,0)</f>
        <v>3.731512224320531</v>
      </c>
      <c r="BF11" s="14">
        <f t="shared" si="37"/>
        <v>1.4752632871146873</v>
      </c>
      <c r="BG11" s="22">
        <f t="shared" si="7"/>
        <v>9.0684673490830043</v>
      </c>
      <c r="BH11" s="62">
        <f t="shared" si="8"/>
        <v>275.51291179352745</v>
      </c>
      <c r="BI11" s="62">
        <f ca="1">AVERAGE(OFFSET($BH$3,0,0,'Données projet'!$E$11+1,1))-AVERAGE(OFFSET($H$3,0,0,'Données projet'!$E$11+1,1))</f>
        <v>168.44987180339865</v>
      </c>
      <c r="BJ11" s="62">
        <f t="shared" si="38"/>
        <v>375.85422976031748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4.95</v>
      </c>
      <c r="N12" s="14">
        <f>IF('Données projet'!$A$36&gt;35,N11+M12-V11,IF(A12&lt;'Données projet'!$A$36,$K$205^A12,IF(A12='Données projet'!$A$36,'Données projet'!$B$36,N11+M12-V11)))</f>
        <v>4.4824756196397679</v>
      </c>
      <c r="O12" s="14">
        <f>N12*VLOOKUP('Données projet'!$B$9,Paramètres!$A$1:$I$88,3,0)*VLOOKUP('Données projet'!$B$9,Paramètres!$A$1:$I$88,5,0)</f>
        <v>2.6805204205445814</v>
      </c>
      <c r="P12" s="14">
        <f t="shared" si="33"/>
        <v>1.1013528484969106</v>
      </c>
      <c r="Q12" s="22">
        <f t="shared" si="2"/>
        <v>6.5867626102472654</v>
      </c>
      <c r="R12" s="62">
        <f t="shared" si="0"/>
        <v>274.25342927691395</v>
      </c>
      <c r="S12" s="62">
        <f ca="1">AVERAGE(OFFSET($R$3,0,0,'Données projet'!$E$9+1,1))-AVERAGE(OFFSET($H$3,0,0,'Données projet'!$E$9+1,1))</f>
        <v>190.92799938679798</v>
      </c>
      <c r="T12" s="62">
        <f t="shared" si="34"/>
        <v>172.54286890368337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</v>
      </c>
      <c r="AI12" s="14">
        <f>IF('Données projet'!$A$62&gt;35,AI11+AH12-AQ11,IF(A12&lt;'Données projet'!$A$62,$AF$205^A12,IF(A12='Données projet'!$A$62,'Données projet'!$B$62,AI11+AH12-AQ11)))</f>
        <v>3.415429892379759</v>
      </c>
      <c r="AJ12" s="14">
        <f>AI12*VLOOKUP('Données projet'!$B$10,Paramètres!$A$1:$I$88,3,0)*VLOOKUP('Données projet'!$B$10,Paramètres!$A$1:$I$88,5,0)</f>
        <v>3.4632459108730758</v>
      </c>
      <c r="AK12" s="14">
        <f t="shared" si="35"/>
        <v>1.3811458262927538</v>
      </c>
      <c r="AL12" s="22">
        <f t="shared" si="4"/>
        <v>8.437315608897153</v>
      </c>
      <c r="AM12" s="62">
        <f t="shared" si="5"/>
        <v>276.10398227556385</v>
      </c>
      <c r="AN12" s="62">
        <f ca="1">AVERAGE(OFFSET($AM$3,0,0,'Données projet'!$E$10+1,1))-AVERAGE(OFFSET($H$3,0,0,'Données projet'!$E$10+1,1))</f>
        <v>95.135996821969457</v>
      </c>
      <c r="AO12" s="62">
        <f t="shared" si="36"/>
        <v>111.83039337220566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6.7666666666666666</v>
      </c>
      <c r="BD12" s="13">
        <f>IF('Données projet'!$A$88&gt;35,BD11+BC12-BL11,IF(A12&lt;'Données projet'!$A$88,$BA$205^A12,IF(A12='Données projet'!$A$88,'Données projet'!$B$88,BD11+BC12-BL11)))</f>
        <v>4.9232151050255055</v>
      </c>
      <c r="BE12" s="14">
        <f>BD12*VLOOKUP('Données projet'!$B$11,Paramètres!$A$1:$I$88,3,0)*VLOOKUP('Données projet'!$B$11,Paramètres!$A$1:$I$88,5,0)</f>
        <v>4.4545250270270769</v>
      </c>
      <c r="BF12" s="14">
        <f t="shared" si="37"/>
        <v>1.7251743198631624</v>
      </c>
      <c r="BG12" s="22">
        <f t="shared" si="7"/>
        <v>10.762976362500501</v>
      </c>
      <c r="BH12" s="62">
        <f t="shared" si="8"/>
        <v>278.42964302916721</v>
      </c>
      <c r="BI12" s="62">
        <f ca="1">AVERAGE(OFFSET($BH$3,0,0,'Données projet'!$E$11+1,1))-AVERAGE(OFFSET($H$3,0,0,'Données projet'!$E$11+1,1))</f>
        <v>168.44987180339865</v>
      </c>
      <c r="BJ12" s="62">
        <f t="shared" si="38"/>
        <v>375.85422976031748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4.95</v>
      </c>
      <c r="N13" s="14">
        <f>IF('Données projet'!$A$36&gt;35,N12+M13-V12,IF(A13&lt;'Données projet'!$A$36,$K$205^A13,IF(A13='Données projet'!$A$36,'Données projet'!$B$36,N12+M13-V12)))</f>
        <v>5.2955225029890949</v>
      </c>
      <c r="O13" s="14">
        <f>N13*VLOOKUP('Données projet'!$B$9,Paramètres!$A$1:$I$88,3,0)*VLOOKUP('Données projet'!$B$9,Paramètres!$A$1:$I$88,5,0)</f>
        <v>3.166722456787479</v>
      </c>
      <c r="P13" s="14">
        <f t="shared" si="33"/>
        <v>1.276118669852365</v>
      </c>
      <c r="Q13" s="22">
        <f t="shared" si="2"/>
        <v>7.7379482955643946</v>
      </c>
      <c r="R13" s="62">
        <f t="shared" si="0"/>
        <v>276.62683718445328</v>
      </c>
      <c r="S13" s="62">
        <f ca="1">AVERAGE(OFFSET($R$3,0,0,'Données projet'!$E$9+1,1))-AVERAGE(OFFSET($H$3,0,0,'Données projet'!$E$9+1,1))</f>
        <v>190.92799938679798</v>
      </c>
      <c r="T13" s="62">
        <f t="shared" si="34"/>
        <v>172.54286890368337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</v>
      </c>
      <c r="AI13" s="14">
        <f>IF('Données projet'!$A$62&gt;35,AI12+AH13-AQ12,IF(A13&lt;'Données projet'!$A$62,$AF$205^A13,IF(A13='Données projet'!$A$62,'Données projet'!$B$62,AI12+AH13-AQ12)))</f>
        <v>3.9148676411688599</v>
      </c>
      <c r="AJ13" s="14">
        <f>AI13*VLOOKUP('Données projet'!$B$10,Paramètres!$A$1:$I$88,3,0)*VLOOKUP('Données projet'!$B$10,Paramètres!$A$1:$I$88,5,0)</f>
        <v>3.9696757881452238</v>
      </c>
      <c r="AK13" s="14">
        <f t="shared" si="35"/>
        <v>1.5581598765848443</v>
      </c>
      <c r="AL13" s="22">
        <f t="shared" si="4"/>
        <v>9.6276471160715342</v>
      </c>
      <c r="AM13" s="62">
        <f t="shared" si="5"/>
        <v>278.51653600496041</v>
      </c>
      <c r="AN13" s="62">
        <f ca="1">AVERAGE(OFFSET($AM$3,0,0,'Données projet'!$E$10+1,1))-AVERAGE(OFFSET($H$3,0,0,'Données projet'!$E$10+1,1))</f>
        <v>95.135996821969457</v>
      </c>
      <c r="AO13" s="62">
        <f t="shared" si="36"/>
        <v>111.83039337220566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6.7666666666666666</v>
      </c>
      <c r="BD13" s="13">
        <f>IF('Données projet'!$A$88&gt;35,BD12+BC13-BL12,IF(A13&lt;'Données projet'!$A$88,$BA$205^A13,IF(A13='Données projet'!$A$88,'Données projet'!$B$88,BD12+BC13-BL12)))</f>
        <v>5.8771306592107404</v>
      </c>
      <c r="BE13" s="14">
        <f>BD13*VLOOKUP('Données projet'!$B$11,Paramètres!$A$1:$I$88,3,0)*VLOOKUP('Données projet'!$B$11,Paramètres!$A$1:$I$88,5,0)</f>
        <v>5.3176278204538781</v>
      </c>
      <c r="BF13" s="14">
        <f t="shared" si="37"/>
        <v>2.0174205241263845</v>
      </c>
      <c r="BG13" s="22">
        <f t="shared" si="7"/>
        <v>12.775209200143957</v>
      </c>
      <c r="BH13" s="62">
        <f t="shared" si="8"/>
        <v>281.66409808903279</v>
      </c>
      <c r="BI13" s="62">
        <f ca="1">AVERAGE(OFFSET($BH$3,0,0,'Données projet'!$E$11+1,1))-AVERAGE(OFFSET($H$3,0,0,'Données projet'!$E$11+1,1))</f>
        <v>168.44987180339865</v>
      </c>
      <c r="BJ13" s="62">
        <f t="shared" si="38"/>
        <v>375.85422976031748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4.95</v>
      </c>
      <c r="N14" s="14">
        <f>IF('Données projet'!$A$36&gt;35,N13+M14-V13,IF(A14&lt;'Données projet'!$A$36,$K$205^A14,IF(A14='Données projet'!$A$36,'Données projet'!$B$36,N13+M14-V13)))</f>
        <v>6.2560426334047774</v>
      </c>
      <c r="O14" s="14">
        <f>N14*VLOOKUP('Données projet'!$B$9,Paramètres!$A$1:$I$88,3,0)*VLOOKUP('Données projet'!$B$9,Paramètres!$A$1:$I$88,5,0)</f>
        <v>3.7411134947760569</v>
      </c>
      <c r="P14" s="14">
        <f t="shared" si="33"/>
        <v>1.4786168318066844</v>
      </c>
      <c r="Q14" s="22">
        <f t="shared" si="2"/>
        <v>9.0910303187982731</v>
      </c>
      <c r="R14" s="62">
        <f t="shared" si="0"/>
        <v>279.20214142990943</v>
      </c>
      <c r="S14" s="62">
        <f ca="1">AVERAGE(OFFSET($R$3,0,0,'Données projet'!$E$9+1,1))-AVERAGE(OFFSET($H$3,0,0,'Données projet'!$E$9+1,1))</f>
        <v>190.92799938679798</v>
      </c>
      <c r="T14" s="62">
        <f t="shared" si="34"/>
        <v>172.54286890368337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</v>
      </c>
      <c r="AI14" s="14">
        <f>IF('Données projet'!$A$62&gt;35,AI13+AH14-AQ13,IF(A14&lt;'Données projet'!$A$62,$AF$205^A14,IF(A14='Données projet'!$A$62,'Données projet'!$B$62,AI13+AH14-AQ13)))</f>
        <v>4.4873380894351342</v>
      </c>
      <c r="AJ14" s="14">
        <f>AI14*VLOOKUP('Données projet'!$B$10,Paramètres!$A$1:$I$88,3,0)*VLOOKUP('Données projet'!$B$10,Paramètres!$A$1:$I$88,5,0)</f>
        <v>4.5501608226872268</v>
      </c>
      <c r="AK14" s="14">
        <f t="shared" si="35"/>
        <v>1.7578608679691126</v>
      </c>
      <c r="AL14" s="22">
        <f t="shared" si="4"/>
        <v>10.986471111226457</v>
      </c>
      <c r="AM14" s="62">
        <f t="shared" si="5"/>
        <v>281.09758222233762</v>
      </c>
      <c r="AN14" s="62">
        <f ca="1">AVERAGE(OFFSET($AM$3,0,0,'Données projet'!$E$10+1,1))-AVERAGE(OFFSET($H$3,0,0,'Données projet'!$E$10+1,1))</f>
        <v>95.135996821969457</v>
      </c>
      <c r="AO14" s="62">
        <f t="shared" si="36"/>
        <v>111.83039337220566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6.7666666666666666</v>
      </c>
      <c r="BD14" s="13">
        <f>IF('Données projet'!$A$88&gt;35,BD13+BC14-BL13,IF(A14&lt;'Données projet'!$A$88,$BA$205^A14,IF(A14='Données projet'!$A$88,'Données projet'!$B$88,BD13+BC14-BL13)))</f>
        <v>7.015875611483346</v>
      </c>
      <c r="BE14" s="14">
        <f>BD14*VLOOKUP('Données projet'!$B$11,Paramètres!$A$1:$I$88,3,0)*VLOOKUP('Données projet'!$B$11,Paramètres!$A$1:$I$88,5,0)</f>
        <v>6.3479642532701313</v>
      </c>
      <c r="BF14" s="14">
        <f t="shared" si="37"/>
        <v>2.3591735190500627</v>
      </c>
      <c r="BG14" s="22">
        <f t="shared" si="7"/>
        <v>15.16493162012434</v>
      </c>
      <c r="BH14" s="62">
        <f t="shared" si="8"/>
        <v>285.27604273123546</v>
      </c>
      <c r="BI14" s="62">
        <f ca="1">AVERAGE(OFFSET($BH$3,0,0,'Données projet'!$E$11+1,1))-AVERAGE(OFFSET($H$3,0,0,'Données projet'!$E$11+1,1))</f>
        <v>168.44987180339865</v>
      </c>
      <c r="BJ14" s="62">
        <f t="shared" si="38"/>
        <v>375.85422976031748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4.95</v>
      </c>
      <c r="N15" s="14">
        <f>IF('Données projet'!$A$36&gt;35,N14+M15-V14,IF(A15&lt;'Données projet'!$A$36,$K$205^A15,IF(A15='Données projet'!$A$36,'Données projet'!$B$36,N14+M15-V14)))</f>
        <v>7.3907852169236232</v>
      </c>
      <c r="O15" s="14">
        <f>N15*VLOOKUP('Données projet'!$B$9,Paramètres!$A$1:$I$88,3,0)*VLOOKUP('Données projet'!$B$9,Paramètres!$A$1:$I$88,5,0)</f>
        <v>4.419689559720327</v>
      </c>
      <c r="P15" s="14">
        <f t="shared" si="33"/>
        <v>1.7132479815180295</v>
      </c>
      <c r="Q15" s="22">
        <f t="shared" si="2"/>
        <v>10.681532884323472</v>
      </c>
      <c r="R15" s="62">
        <f t="shared" si="0"/>
        <v>282.01486621765679</v>
      </c>
      <c r="S15" s="62">
        <f ca="1">AVERAGE(OFFSET($R$3,0,0,'Données projet'!$E$9+1,1))-AVERAGE(OFFSET($H$3,0,0,'Données projet'!$E$9+1,1))</f>
        <v>190.92799938679798</v>
      </c>
      <c r="T15" s="62">
        <f t="shared" si="34"/>
        <v>172.54286890368337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</v>
      </c>
      <c r="AI15" s="14">
        <f>IF('Données projet'!$A$62&gt;35,AI14+AH15-AQ14,IF(A15&lt;'Données projet'!$A$62,$AF$205^A15,IF(A15='Données projet'!$A$62,'Données projet'!$B$62,AI14+AH15-AQ14)))</f>
        <v>5.1435207967550358</v>
      </c>
      <c r="AJ15" s="14">
        <f>AI15*VLOOKUP('Données projet'!$B$10,Paramètres!$A$1:$I$88,3,0)*VLOOKUP('Données projet'!$B$10,Paramètres!$A$1:$I$88,5,0)</f>
        <v>5.215530087909606</v>
      </c>
      <c r="AK15" s="14">
        <f t="shared" si="35"/>
        <v>1.9831564639630626</v>
      </c>
      <c r="AL15" s="22">
        <f t="shared" si="4"/>
        <v>12.537712411178232</v>
      </c>
      <c r="AM15" s="62">
        <f t="shared" si="5"/>
        <v>283.87104574451155</v>
      </c>
      <c r="AN15" s="62">
        <f ca="1">AVERAGE(OFFSET($AM$3,0,0,'Données projet'!$E$10+1,1))-AVERAGE(OFFSET($H$3,0,0,'Données projet'!$E$10+1,1))</f>
        <v>95.135996821969457</v>
      </c>
      <c r="AO15" s="62">
        <f t="shared" si="36"/>
        <v>111.83039337220566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6.7666666666666666</v>
      </c>
      <c r="BD15" s="13">
        <f>IF('Données projet'!$A$88&gt;35,BD14+BC15-BL14,IF(A15&lt;'Données projet'!$A$88,$BA$205^A15,IF(A15='Données projet'!$A$88,'Données projet'!$B$88,BD14+BC15-BL14)))</f>
        <v>8.3752622580654137</v>
      </c>
      <c r="BE15" s="14">
        <f>BD15*VLOOKUP('Données projet'!$B$11,Paramètres!$A$1:$I$88,3,0)*VLOOKUP('Données projet'!$B$11,Paramètres!$A$1:$I$88,5,0)</f>
        <v>7.5779372910975855</v>
      </c>
      <c r="BF15" s="14">
        <f t="shared" si="37"/>
        <v>2.7588198030240645</v>
      </c>
      <c r="BG15" s="22">
        <f t="shared" si="7"/>
        <v>18.003185272261874</v>
      </c>
      <c r="BH15" s="62">
        <f t="shared" si="8"/>
        <v>289.33651860559519</v>
      </c>
      <c r="BI15" s="62">
        <f ca="1">AVERAGE(OFFSET($BH$3,0,0,'Données projet'!$E$11+1,1))-AVERAGE(OFFSET($H$3,0,0,'Données projet'!$E$11+1,1))</f>
        <v>168.44987180339865</v>
      </c>
      <c r="BJ15" s="62">
        <f t="shared" si="38"/>
        <v>375.85422976031748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4.95</v>
      </c>
      <c r="N16" s="14">
        <f>IF('Données projet'!$A$36&gt;35,N15+M16-V15,IF(A16&lt;'Données projet'!$A$36,$K$205^A16,IF(A16='Données projet'!$A$36,'Données projet'!$B$36,N15+M16-V15)))</f>
        <v>8.7313513228039596</v>
      </c>
      <c r="O16" s="14">
        <f>N16*VLOOKUP('Données projet'!$B$9,Paramètres!$A$1:$I$88,3,0)*VLOOKUP('Données projet'!$B$9,Paramètres!$A$1:$I$88,5,0)</f>
        <v>5.2213480910367682</v>
      </c>
      <c r="P16" s="14">
        <f t="shared" si="33"/>
        <v>1.9851110734274091</v>
      </c>
      <c r="Q16" s="22">
        <f t="shared" si="2"/>
        <v>12.551249711441775</v>
      </c>
      <c r="R16" s="62">
        <f t="shared" si="0"/>
        <v>285.1068052669973</v>
      </c>
      <c r="S16" s="62">
        <f ca="1">AVERAGE(OFFSET($R$3,0,0,'Données projet'!$E$9+1,1))-AVERAGE(OFFSET($H$3,0,0,'Données projet'!$E$9+1,1))</f>
        <v>190.92799938679798</v>
      </c>
      <c r="T16" s="62">
        <f t="shared" si="34"/>
        <v>172.54286890368337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</v>
      </c>
      <c r="AI16" s="14">
        <f>IF('Données projet'!$A$62&gt;35,AI15+AH16-AQ15,IF(A16&lt;'Données projet'!$A$62,$AF$205^A16,IF(A16='Données projet'!$A$62,'Données projet'!$B$62,AI15+AH16-AQ15)))</f>
        <v>5.8956569929371669</v>
      </c>
      <c r="AJ16" s="14">
        <f>AI16*VLOOKUP('Données projet'!$B$10,Paramètres!$A$1:$I$88,3,0)*VLOOKUP('Données projet'!$B$10,Paramètres!$A$1:$I$88,5,0)</f>
        <v>5.9781961908382879</v>
      </c>
      <c r="AK16" s="14">
        <f t="shared" si="35"/>
        <v>2.2373269877167452</v>
      </c>
      <c r="AL16" s="22">
        <f t="shared" si="4"/>
        <v>14.308702869316683</v>
      </c>
      <c r="AM16" s="62">
        <f t="shared" si="5"/>
        <v>286.86425842487222</v>
      </c>
      <c r="AN16" s="62">
        <f ca="1">AVERAGE(OFFSET($AM$3,0,0,'Données projet'!$E$10+1,1))-AVERAGE(OFFSET($H$3,0,0,'Données projet'!$E$10+1,1))</f>
        <v>95.135996821969457</v>
      </c>
      <c r="AO16" s="62">
        <f t="shared" si="36"/>
        <v>111.83039337220566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6.7666666666666666</v>
      </c>
      <c r="BD16" s="13">
        <f>IF('Données projet'!$A$88&gt;35,BD15+BC16-BL15,IF(A16&lt;'Données projet'!$A$88,$BA$205^A16,IF(A16='Données projet'!$A$88,'Données projet'!$B$88,BD15+BC16-BL15)))</f>
        <v>9.998041837652309</v>
      </c>
      <c r="BE16" s="14">
        <f>BD16*VLOOKUP('Données projet'!$B$11,Paramètres!$A$1:$I$88,3,0)*VLOOKUP('Données projet'!$B$11,Paramètres!$A$1:$I$88,5,0)</f>
        <v>9.0462282547078097</v>
      </c>
      <c r="BF16" s="14">
        <f t="shared" si="37"/>
        <v>3.2261665554055527</v>
      </c>
      <c r="BG16" s="22">
        <f t="shared" si="7"/>
        <v>21.374420960947436</v>
      </c>
      <c r="BH16" s="62">
        <f t="shared" si="8"/>
        <v>293.92997651650296</v>
      </c>
      <c r="BI16" s="62">
        <f ca="1">AVERAGE(OFFSET($BH$3,0,0,'Données projet'!$E$11+1,1))-AVERAGE(OFFSET($H$3,0,0,'Données projet'!$E$11+1,1))</f>
        <v>168.44987180339865</v>
      </c>
      <c r="BJ16" s="62">
        <f t="shared" si="38"/>
        <v>375.85422976031748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4.95</v>
      </c>
      <c r="N17" s="14">
        <f>IF('Données projet'!$A$36&gt;35,N16+M17-V16,IF(A17&lt;'Données projet'!$A$36,$K$205^A17,IF(A17='Données projet'!$A$36,'Données projet'!$B$36,N16+M17-V16)))</f>
        <v>10.315073931205852</v>
      </c>
      <c r="O17" s="14">
        <f>N17*VLOOKUP('Données projet'!$B$9,Paramètres!$A$1:$I$88,3,0)*VLOOKUP('Données projet'!$B$9,Paramètres!$A$1:$I$88,5,0)</f>
        <v>6.1684142108610995</v>
      </c>
      <c r="P17" s="14">
        <f t="shared" si="33"/>
        <v>2.300114178656425</v>
      </c>
      <c r="Q17" s="22">
        <f t="shared" si="2"/>
        <v>14.74935361174302</v>
      </c>
      <c r="R17" s="62">
        <f t="shared" si="0"/>
        <v>288.52713138952078</v>
      </c>
      <c r="S17" s="62">
        <f ca="1">AVERAGE(OFFSET($R$3,0,0,'Données projet'!$E$9+1,1))-AVERAGE(OFFSET($H$3,0,0,'Données projet'!$E$9+1,1))</f>
        <v>190.92799938679798</v>
      </c>
      <c r="T17" s="62">
        <f t="shared" si="34"/>
        <v>172.54286890368337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</v>
      </c>
      <c r="AI17" s="14">
        <f>IF('Données projet'!$A$62&gt;35,AI16+AH17-AQ16,IF(A17&lt;'Données projet'!$A$62,$AF$205^A17,IF(A17='Données projet'!$A$62,'Données projet'!$B$62,AI16+AH17-AQ16)))</f>
        <v>6.7577779408022742</v>
      </c>
      <c r="AJ17" s="14">
        <f>AI17*VLOOKUP('Données projet'!$B$10,Paramètres!$A$1:$I$88,3,0)*VLOOKUP('Données projet'!$B$10,Paramètres!$A$1:$I$88,5,0)</f>
        <v>6.8523868319735062</v>
      </c>
      <c r="AK17" s="14">
        <f t="shared" si="35"/>
        <v>2.5240731837984298</v>
      </c>
      <c r="AL17" s="22">
        <f t="shared" si="4"/>
        <v>16.330667860802787</v>
      </c>
      <c r="AM17" s="62">
        <f t="shared" si="5"/>
        <v>290.10844563858058</v>
      </c>
      <c r="AN17" s="62">
        <f ca="1">AVERAGE(OFFSET($AM$3,0,0,'Données projet'!$E$10+1,1))-AVERAGE(OFFSET($H$3,0,0,'Données projet'!$E$10+1,1))</f>
        <v>95.135996821969457</v>
      </c>
      <c r="AO17" s="62">
        <f t="shared" si="36"/>
        <v>111.83039337220566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6.7666666666666666</v>
      </c>
      <c r="BD17" s="13">
        <f>IF('Données projet'!$A$88&gt;35,BD16+BC17-BL16,IF(A17&lt;'Données projet'!$A$88,$BA$205^A17,IF(A17='Données projet'!$A$88,'Données projet'!$B$88,BD16+BC17-BL16)))</f>
        <v>11.935249011597607</v>
      </c>
      <c r="BE17" s="14">
        <f>BD17*VLOOKUP('Données projet'!$B$11,Paramètres!$A$1:$I$88,3,0)*VLOOKUP('Données projet'!$B$11,Paramètres!$A$1:$I$88,5,0)</f>
        <v>10.799013305693515</v>
      </c>
      <c r="BF17" s="14">
        <f t="shared" si="37"/>
        <v>3.7726823012537811</v>
      </c>
      <c r="BG17" s="22">
        <f t="shared" si="7"/>
        <v>25.37903651543321</v>
      </c>
      <c r="BH17" s="62">
        <f t="shared" si="8"/>
        <v>299.15681429321097</v>
      </c>
      <c r="BI17" s="62">
        <f ca="1">AVERAGE(OFFSET($BH$3,0,0,'Données projet'!$E$11+1,1))-AVERAGE(OFFSET($H$3,0,0,'Données projet'!$E$11+1,1))</f>
        <v>168.44987180339865</v>
      </c>
      <c r="BJ17" s="62">
        <f t="shared" si="38"/>
        <v>375.85422976031748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4.95</v>
      </c>
      <c r="N18" s="14">
        <f>IF('Données projet'!$A$36&gt;35,N17+M18-V17,IF(A18&lt;'Données projet'!$A$36,$K$205^A18,IF(A18='Données projet'!$A$36,'Données projet'!$B$36,N17+M18-V17)))</f>
        <v>12.186057606953939</v>
      </c>
      <c r="O18" s="14">
        <f>N18*VLOOKUP('Données projet'!$B$9,Paramètres!$A$1:$I$88,3,0)*VLOOKUP('Données projet'!$B$9,Paramètres!$A$1:$I$88,5,0)</f>
        <v>7.2872624489584563</v>
      </c>
      <c r="P18" s="14">
        <f t="shared" si="33"/>
        <v>2.665102877957314</v>
      </c>
      <c r="Q18" s="22">
        <f t="shared" si="2"/>
        <v>17.333702944378299</v>
      </c>
      <c r="R18" s="62">
        <f t="shared" si="0"/>
        <v>292.33370294437827</v>
      </c>
      <c r="S18" s="62">
        <f ca="1">AVERAGE(OFFSET($R$3,0,0,'Données projet'!$E$9+1,1))-AVERAGE(OFFSET($H$3,0,0,'Données projet'!$E$9+1,1))</f>
        <v>190.92799938679798</v>
      </c>
      <c r="T18" s="62">
        <f t="shared" si="34"/>
        <v>172.54286890368337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</v>
      </c>
      <c r="AI18" s="14">
        <f>IF('Données projet'!$A$62&gt;35,AI17+AH18-AQ17,IF(A18&lt;'Données projet'!$A$62,$AF$205^A18,IF(A18='Données projet'!$A$62,'Données projet'!$B$62,AI17+AH18-AQ17)))</f>
        <v>7.7459666924148243</v>
      </c>
      <c r="AJ18" s="14">
        <f>AI18*VLOOKUP('Données projet'!$B$10,Paramètres!$A$1:$I$88,3,0)*VLOOKUP('Données projet'!$B$10,Paramètres!$A$1:$I$88,5,0)</f>
        <v>7.8544102261086328</v>
      </c>
      <c r="AK18" s="14">
        <f t="shared" si="35"/>
        <v>2.8475701013520935</v>
      </c>
      <c r="AL18" s="22">
        <f t="shared" si="4"/>
        <v>18.639282403660761</v>
      </c>
      <c r="AM18" s="62">
        <f t="shared" si="5"/>
        <v>293.63928240366079</v>
      </c>
      <c r="AN18" s="62">
        <f ca="1">AVERAGE(OFFSET($AM$3,0,0,'Données projet'!$E$10+1,1))-AVERAGE(OFFSET($H$3,0,0,'Données projet'!$E$10+1,1))</f>
        <v>95.135996821969457</v>
      </c>
      <c r="AO18" s="62">
        <f t="shared" si="36"/>
        <v>111.83039337220566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6.7666666666666666</v>
      </c>
      <c r="BD18" s="13">
        <f>IF('Données projet'!$A$88&gt;35,BD17+BC18-BL17,IF(A18&lt;'Données projet'!$A$88,$BA$205^A18,IF(A18='Données projet'!$A$88,'Données projet'!$B$88,BD17+BC18-BL17)))</f>
        <v>14.247806848775008</v>
      </c>
      <c r="BE18" s="14">
        <f>BD18*VLOOKUP('Données projet'!$B$11,Paramètres!$A$1:$I$88,3,0)*VLOOKUP('Données projet'!$B$11,Paramètres!$A$1:$I$88,5,0)</f>
        <v>12.891415636771626</v>
      </c>
      <c r="BF18" s="14">
        <f t="shared" si="37"/>
        <v>4.4117783449045493</v>
      </c>
      <c r="BG18" s="22">
        <f t="shared" si="7"/>
        <v>30.13639618475267</v>
      </c>
      <c r="BH18" s="62">
        <f t="shared" si="8"/>
        <v>305.1363961847527</v>
      </c>
      <c r="BI18" s="62">
        <f ca="1">AVERAGE(OFFSET($BH$3,0,0,'Données projet'!$E$11+1,1))-AVERAGE(OFFSET($H$3,0,0,'Données projet'!$E$11+1,1))</f>
        <v>168.44987180339865</v>
      </c>
      <c r="BJ18" s="62">
        <f t="shared" si="38"/>
        <v>375.85422976031748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4.95</v>
      </c>
      <c r="N19" s="14">
        <f>IF('Données projet'!$A$36&gt;35,N18+M19-V18,IF(A19&lt;'Données projet'!$A$36,$K$205^A19,IF(A19='Données projet'!$A$36,'Données projet'!$B$36,N18+M19-V18)))</f>
        <v>14.396406752912149</v>
      </c>
      <c r="O19" s="14">
        <f>N19*VLOOKUP('Données projet'!$B$9,Paramètres!$A$1:$I$88,3,0)*VLOOKUP('Données projet'!$B$9,Paramètres!$A$1:$I$88,5,0)</f>
        <v>8.6090512382414666</v>
      </c>
      <c r="P19" s="14">
        <f t="shared" si="33"/>
        <v>3.0880090284236807</v>
      </c>
      <c r="Q19" s="22">
        <f t="shared" si="2"/>
        <v>20.372379964441798</v>
      </c>
      <c r="R19" s="62">
        <f t="shared" si="0"/>
        <v>296.59460218666402</v>
      </c>
      <c r="S19" s="62">
        <f ca="1">AVERAGE(OFFSET($R$3,0,0,'Données projet'!$E$9+1,1))-AVERAGE(OFFSET($H$3,0,0,'Données projet'!$E$9+1,1))</f>
        <v>190.92799938679798</v>
      </c>
      <c r="T19" s="62">
        <f t="shared" si="34"/>
        <v>172.54286890368337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</v>
      </c>
      <c r="AI19" s="14">
        <f>IF('Données projet'!$A$62&gt;35,AI18+AH19-AQ18,IF(A19&lt;'Données projet'!$A$62,$AF$205^A19,IF(A19='Données projet'!$A$62,'Données projet'!$B$62,AI18+AH19-AQ18)))</f>
        <v>8.8786581218850635</v>
      </c>
      <c r="AJ19" s="14">
        <f>AI19*VLOOKUP('Données projet'!$B$10,Paramètres!$A$1:$I$88,3,0)*VLOOKUP('Données projet'!$B$10,Paramètres!$A$1:$I$88,5,0)</f>
        <v>9.0029593355914539</v>
      </c>
      <c r="AK19" s="14">
        <f t="shared" si="35"/>
        <v>3.2125278831700923</v>
      </c>
      <c r="AL19" s="22">
        <f t="shared" si="4"/>
        <v>21.275306906009689</v>
      </c>
      <c r="AM19" s="62">
        <f t="shared" si="5"/>
        <v>297.49752912823192</v>
      </c>
      <c r="AN19" s="62">
        <f ca="1">AVERAGE(OFFSET($AM$3,0,0,'Données projet'!$E$10+1,1))-AVERAGE(OFFSET($H$3,0,0,'Données projet'!$E$10+1,1))</f>
        <v>95.135996821969457</v>
      </c>
      <c r="AO19" s="62">
        <f t="shared" si="36"/>
        <v>111.83039337220566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6.7666666666666666</v>
      </c>
      <c r="BD19" s="13">
        <f>IF('Données projet'!$A$88&gt;35,BD18+BC19-BL18,IF(A19&lt;'Données projet'!$A$88,$BA$205^A19,IF(A19='Données projet'!$A$88,'Données projet'!$B$88,BD18+BC19-BL18)))</f>
        <v>17.008442790154003</v>
      </c>
      <c r="BE19" s="14">
        <f>BD19*VLOOKUP('Données projet'!$B$11,Paramètres!$A$1:$I$88,3,0)*VLOOKUP('Données projet'!$B$11,Paramètres!$A$1:$I$88,5,0)</f>
        <v>15.389239036531341</v>
      </c>
      <c r="BF19" s="14">
        <f t="shared" si="37"/>
        <v>5.1591378786653479</v>
      </c>
      <c r="BG19" s="22">
        <f t="shared" si="7"/>
        <v>35.788423127300902</v>
      </c>
      <c r="BH19" s="62">
        <f t="shared" si="8"/>
        <v>312.01064534952314</v>
      </c>
      <c r="BI19" s="62">
        <f ca="1">AVERAGE(OFFSET($BH$3,0,0,'Données projet'!$E$11+1,1))-AVERAGE(OFFSET($H$3,0,0,'Données projet'!$E$11+1,1))</f>
        <v>168.44987180339865</v>
      </c>
      <c r="BJ19" s="62">
        <f t="shared" si="38"/>
        <v>375.85422976031748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4.95</v>
      </c>
      <c r="N20" s="14">
        <f>IF('Données projet'!$A$36&gt;35,N19+M20-V19,IF(A20&lt;'Données projet'!$A$36,$K$205^A20,IF(A20='Données projet'!$A$36,'Données projet'!$B$36,N19+M20-V19)))</f>
        <v>17.007676648190483</v>
      </c>
      <c r="O20" s="14">
        <f>N20*VLOOKUP('Données projet'!$B$9,Paramètres!$A$1:$I$88,3,0)*VLOOKUP('Données projet'!$B$9,Paramètres!$A$1:$I$88,5,0)</f>
        <v>10.170590635617909</v>
      </c>
      <c r="P20" s="14">
        <f t="shared" si="33"/>
        <v>3.5780231369285604</v>
      </c>
      <c r="Q20" s="22">
        <f t="shared" si="2"/>
        <v>23.945502320518433</v>
      </c>
      <c r="R20" s="62">
        <f t="shared" si="0"/>
        <v>301.38994676496287</v>
      </c>
      <c r="S20" s="62">
        <f ca="1">AVERAGE(OFFSET($R$3,0,0,'Données projet'!$E$9+1,1))-AVERAGE(OFFSET($H$3,0,0,'Données projet'!$E$9+1,1))</f>
        <v>190.92799938679798</v>
      </c>
      <c r="T20" s="62">
        <f t="shared" si="34"/>
        <v>172.54286890368337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</v>
      </c>
      <c r="AI20" s="14">
        <f>IF('Données projet'!$A$62&gt;35,AI19+AH20-AQ19,IF(A20&lt;'Données projet'!$A$62,$AF$205^A20,IF(A20='Données projet'!$A$62,'Données projet'!$B$62,AI19+AH20-AQ19)))</f>
        <v>10.176982831918167</v>
      </c>
      <c r="AJ20" s="14">
        <f>AI20*VLOOKUP('Données projet'!$B$10,Paramètres!$A$1:$I$88,3,0)*VLOOKUP('Données projet'!$B$10,Paramètres!$A$1:$I$88,5,0)</f>
        <v>10.319460591565022</v>
      </c>
      <c r="AK20" s="14">
        <f t="shared" si="35"/>
        <v>3.6242603457751517</v>
      </c>
      <c r="AL20" s="22">
        <f t="shared" si="4"/>
        <v>24.28531396586747</v>
      </c>
      <c r="AM20" s="62">
        <f t="shared" si="5"/>
        <v>301.72975841031194</v>
      </c>
      <c r="AN20" s="62">
        <f ca="1">AVERAGE(OFFSET($AM$3,0,0,'Données projet'!$E$10+1,1))-AVERAGE(OFFSET($H$3,0,0,'Données projet'!$E$10+1,1))</f>
        <v>95.135996821969457</v>
      </c>
      <c r="AO20" s="62">
        <f t="shared" si="36"/>
        <v>111.83039337220566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6.7666666666666666</v>
      </c>
      <c r="BD20" s="13">
        <f>IF('Données projet'!$A$88&gt;35,BD19+BC20-BL19,IF(A20&lt;'Données projet'!$A$88,$BA$205^A20,IF(A20='Données projet'!$A$88,'Données projet'!$B$88,BD19+BC20-BL19)))</f>
        <v>20.303975848101416</v>
      </c>
      <c r="BE20" s="14">
        <f>BD20*VLOOKUP('Données projet'!$B$11,Paramètres!$A$1:$I$88,3,0)*VLOOKUP('Données projet'!$B$11,Paramètres!$A$1:$I$88,5,0)</f>
        <v>18.371037347362158</v>
      </c>
      <c r="BF20" s="14">
        <f t="shared" si="37"/>
        <v>6.033100842842873</v>
      </c>
      <c r="BG20" s="22">
        <f t="shared" si="7"/>
        <v>42.503874014607099</v>
      </c>
      <c r="BH20" s="62">
        <f t="shared" si="8"/>
        <v>319.94831845905156</v>
      </c>
      <c r="BI20" s="62">
        <f ca="1">AVERAGE(OFFSET($BH$3,0,0,'Données projet'!$E$11+1,1))-AVERAGE(OFFSET($H$3,0,0,'Données projet'!$E$11+1,1))</f>
        <v>168.44987180339865</v>
      </c>
      <c r="BJ20" s="62">
        <f t="shared" si="38"/>
        <v>375.85422976031748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4.95</v>
      </c>
      <c r="N21" s="14">
        <f>IF('Données projet'!$A$36&gt;35,N20+M21-V20,IF(A21&lt;'Données projet'!$A$36,$K$205^A21,IF(A21='Données projet'!$A$36,'Données projet'!$B$36,N20+M21-V20)))</f>
        <v>20.09258768066492</v>
      </c>
      <c r="O21" s="14">
        <f>N21*VLOOKUP('Données projet'!$B$9,Paramètres!$A$1:$I$88,3,0)*VLOOKUP('Données projet'!$B$9,Paramètres!$A$1:$I$88,5,0)</f>
        <v>12.015367433037621</v>
      </c>
      <c r="P21" s="14">
        <f t="shared" si="33"/>
        <v>4.1457940862728595</v>
      </c>
      <c r="Q21" s="22">
        <f t="shared" si="2"/>
        <v>28.14735631279909</v>
      </c>
      <c r="R21" s="62">
        <f t="shared" si="0"/>
        <v>306.81402297946579</v>
      </c>
      <c r="S21" s="62">
        <f ca="1">AVERAGE(OFFSET($R$3,0,0,'Données projet'!$E$9+1,1))-AVERAGE(OFFSET($H$3,0,0,'Données projet'!$E$9+1,1))</f>
        <v>190.92799938679798</v>
      </c>
      <c r="T21" s="62">
        <f t="shared" si="34"/>
        <v>172.54286890368337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</v>
      </c>
      <c r="AI21" s="14">
        <f>IF('Données projet'!$A$62&gt;35,AI20+AH21-AQ20,IF(A21&lt;'Données projet'!$A$62,$AF$205^A21,IF(A21='Données projet'!$A$62,'Données projet'!$B$62,AI20+AH21-AQ20)))</f>
        <v>11.665161349761211</v>
      </c>
      <c r="AJ21" s="14">
        <f>AI21*VLOOKUP('Données projet'!$B$10,Paramètres!$A$1:$I$88,3,0)*VLOOKUP('Données projet'!$B$10,Paramètres!$A$1:$I$88,5,0)</f>
        <v>11.82847360865787</v>
      </c>
      <c r="AK21" s="14">
        <f t="shared" si="35"/>
        <v>4.0887623490434786</v>
      </c>
      <c r="AL21" s="22">
        <f t="shared" si="4"/>
        <v>27.722519292996509</v>
      </c>
      <c r="AM21" s="62">
        <f t="shared" si="5"/>
        <v>306.38918595966322</v>
      </c>
      <c r="AN21" s="62">
        <f ca="1">AVERAGE(OFFSET($AM$3,0,0,'Données projet'!$E$10+1,1))-AVERAGE(OFFSET($H$3,0,0,'Données projet'!$E$10+1,1))</f>
        <v>95.135996821969457</v>
      </c>
      <c r="AO21" s="62">
        <f t="shared" si="36"/>
        <v>111.83039337220566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6.7666666666666666</v>
      </c>
      <c r="BD21" s="13">
        <f>IF('Données projet'!$A$88&gt;35,BD20+BC21-BL20,IF(A21&lt;'Données projet'!$A$88,$BA$205^A21,IF(A21='Données projet'!$A$88,'Données projet'!$B$88,BD20+BC21-BL20)))</f>
        <v>24.238046970351302</v>
      </c>
      <c r="BE21" s="14">
        <f>BD21*VLOOKUP('Données projet'!$B$11,Paramètres!$A$1:$I$88,3,0)*VLOOKUP('Données projet'!$B$11,Paramètres!$A$1:$I$88,5,0)</f>
        <v>21.930584898773855</v>
      </c>
      <c r="BF21" s="14">
        <f t="shared" si="37"/>
        <v>7.0551139814327906</v>
      </c>
      <c r="BG21" s="22">
        <f t="shared" si="7"/>
        <v>50.483425549693237</v>
      </c>
      <c r="BH21" s="62">
        <f t="shared" si="8"/>
        <v>329.15009221635989</v>
      </c>
      <c r="BI21" s="62">
        <f ca="1">AVERAGE(OFFSET($BH$3,0,0,'Données projet'!$E$11+1,1))-AVERAGE(OFFSET($H$3,0,0,'Données projet'!$E$11+1,1))</f>
        <v>168.44987180339865</v>
      </c>
      <c r="BJ21" s="62">
        <f t="shared" si="38"/>
        <v>375.85422976031748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4.95</v>
      </c>
      <c r="N22" s="14">
        <f>IF('Données projet'!$A$36&gt;35,N21+M22-V21,IF(A22&lt;'Données projet'!$A$36,$K$205^A22,IF(A22='Données projet'!$A$36,'Données projet'!$B$36,N21+M22-V21)))</f>
        <v>23.737050512902371</v>
      </c>
      <c r="O22" s="14">
        <f>N22*VLOOKUP('Données projet'!$B$9,Paramètres!$A$1:$I$88,3,0)*VLOOKUP('Données projet'!$B$9,Paramètres!$A$1:$I$88,5,0)</f>
        <v>14.194756206715619</v>
      </c>
      <c r="P22" s="14">
        <f t="shared" si="33"/>
        <v>4.803660554450512</v>
      </c>
      <c r="Q22" s="22">
        <f t="shared" si="2"/>
        <v>33.088909192364341</v>
      </c>
      <c r="R22" s="62">
        <f t="shared" si="0"/>
        <v>312.97779808125318</v>
      </c>
      <c r="S22" s="62">
        <f ca="1">AVERAGE(OFFSET($R$3,0,0,'Données projet'!$E$9+1,1))-AVERAGE(OFFSET($H$3,0,0,'Données projet'!$E$9+1,1))</f>
        <v>190.92799938679798</v>
      </c>
      <c r="T22" s="62">
        <f t="shared" si="34"/>
        <v>172.54286890368337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</v>
      </c>
      <c r="AI22" s="14">
        <f>IF('Données projet'!$A$62&gt;35,AI21+AH22-AQ21,IF(A22&lt;'Données projet'!$A$62,$AF$205^A22,IF(A22='Données projet'!$A$62,'Données projet'!$B$62,AI21+AH22-AQ21)))</f>
        <v>13.370955966358361</v>
      </c>
      <c r="AJ22" s="14">
        <f>AI22*VLOOKUP('Données projet'!$B$10,Paramètres!$A$1:$I$88,3,0)*VLOOKUP('Données projet'!$B$10,Paramètres!$A$1:$I$88,5,0)</f>
        <v>13.55814934988738</v>
      </c>
      <c r="AK22" s="14">
        <f t="shared" si="35"/>
        <v>4.6127970818773854</v>
      </c>
      <c r="AL22" s="22">
        <f t="shared" si="4"/>
        <v>31.647731701990299</v>
      </c>
      <c r="AM22" s="62">
        <f t="shared" si="5"/>
        <v>311.53662059087918</v>
      </c>
      <c r="AN22" s="62">
        <f ca="1">AVERAGE(OFFSET($AM$3,0,0,'Données projet'!$E$10+1,1))-AVERAGE(OFFSET($H$3,0,0,'Données projet'!$E$10+1,1))</f>
        <v>95.135996821969457</v>
      </c>
      <c r="AO22" s="62">
        <f t="shared" si="36"/>
        <v>111.83039337220566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6.7666666666666666</v>
      </c>
      <c r="BD22" s="13">
        <f>IF('Données projet'!$A$88&gt;35,BD21+BC22-BL21,IF(A22&lt;'Données projet'!$A$88,$BA$205^A22,IF(A22='Données projet'!$A$88,'Données projet'!$B$88,BD21+BC22-BL21)))</f>
        <v>28.934378435634823</v>
      </c>
      <c r="BE22" s="14">
        <f>BD22*VLOOKUP('Données projet'!$B$11,Paramètres!$A$1:$I$88,3,0)*VLOOKUP('Données projet'!$B$11,Paramètres!$A$1:$I$88,5,0)</f>
        <v>26.179825608562389</v>
      </c>
      <c r="BF22" s="14">
        <f t="shared" si="37"/>
        <v>8.2502571376801317</v>
      </c>
      <c r="BG22" s="22">
        <f t="shared" si="7"/>
        <v>59.965727449705717</v>
      </c>
      <c r="BH22" s="62">
        <f t="shared" si="8"/>
        <v>339.85461633859455</v>
      </c>
      <c r="BI22" s="62">
        <f ca="1">AVERAGE(OFFSET($BH$3,0,0,'Données projet'!$E$11+1,1))-AVERAGE(OFFSET($H$3,0,0,'Données projet'!$E$11+1,1))</f>
        <v>168.44987180339865</v>
      </c>
      <c r="BJ22" s="62">
        <f t="shared" si="38"/>
        <v>375.85422976031748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4.95</v>
      </c>
      <c r="N23" s="14">
        <f>IF('Données projet'!$A$36&gt;35,N22+M23-V22,IF(A23&lt;'Données projet'!$A$36,$K$205^A23,IF(A23='Données projet'!$A$36,'Données projet'!$B$36,N22+M23-V22)))</f>
        <v>28.042558579663883</v>
      </c>
      <c r="O23" s="14">
        <f>N23*VLOOKUP('Données projet'!$B$9,Paramètres!$A$1:$I$88,3,0)*VLOOKUP('Données projet'!$B$9,Paramètres!$A$1:$I$88,5,0)</f>
        <v>16.769450030639003</v>
      </c>
      <c r="P23" s="14">
        <f t="shared" si="33"/>
        <v>5.5659191561848127</v>
      </c>
      <c r="Q23" s="22">
        <f t="shared" si="2"/>
        <v>38.900768000384808</v>
      </c>
      <c r="R23" s="62">
        <f t="shared" si="0"/>
        <v>320.01187911149594</v>
      </c>
      <c r="S23" s="62">
        <f ca="1">AVERAGE(OFFSET($R$3,0,0,'Données projet'!$E$9+1,1))-AVERAGE(OFFSET($H$3,0,0,'Données projet'!$E$9+1,1))</f>
        <v>190.92799938679798</v>
      </c>
      <c r="T23" s="62">
        <f t="shared" si="34"/>
        <v>172.54286890368337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</v>
      </c>
      <c r="AI23" s="14">
        <f>IF('Données projet'!$A$62&gt;35,AI22+AH23-AQ22,IF(A23&lt;'Données projet'!$A$62,$AF$205^A23,IF(A23='Données projet'!$A$62,'Données projet'!$B$62,AI22+AH23-AQ22)))</f>
        <v>15.326188647871033</v>
      </c>
      <c r="AJ23" s="14">
        <f>AI23*VLOOKUP('Données projet'!$B$10,Paramètres!$A$1:$I$88,3,0)*VLOOKUP('Données projet'!$B$10,Paramètres!$A$1:$I$88,5,0)</f>
        <v>15.540755288941231</v>
      </c>
      <c r="AK23" s="14">
        <f t="shared" si="35"/>
        <v>5.203994534814246</v>
      </c>
      <c r="AL23" s="22">
        <f t="shared" si="4"/>
        <v>36.130439276374119</v>
      </c>
      <c r="AM23" s="62">
        <f t="shared" si="5"/>
        <v>317.24155038748529</v>
      </c>
      <c r="AN23" s="62">
        <f ca="1">AVERAGE(OFFSET($AM$3,0,0,'Données projet'!$E$10+1,1))-AVERAGE(OFFSET($H$3,0,0,'Données projet'!$E$10+1,1))</f>
        <v>95.135996821969457</v>
      </c>
      <c r="AO23" s="62">
        <f t="shared" si="36"/>
        <v>111.83039337220566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6.7666666666666666</v>
      </c>
      <c r="BD23" s="13">
        <f>IF('Données projet'!$A$88&gt;35,BD22+BC23-BL22,IF(A23&lt;'Données projet'!$A$88,$BA$205^A23,IF(A23='Données projet'!$A$88,'Données projet'!$B$88,BD22+BC23-BL22)))</f>
        <v>34.540664785434863</v>
      </c>
      <c r="BE23" s="14">
        <f>BD23*VLOOKUP('Données projet'!$B$11,Paramètres!$A$1:$I$88,3,0)*VLOOKUP('Données projet'!$B$11,Paramètres!$A$1:$I$88,5,0)</f>
        <v>31.252393497861465</v>
      </c>
      <c r="BF23" s="14">
        <f t="shared" si="37"/>
        <v>9.6478587046184874</v>
      </c>
      <c r="BG23" s="22">
        <f t="shared" si="7"/>
        <v>71.234605919319264</v>
      </c>
      <c r="BH23" s="62">
        <f t="shared" si="8"/>
        <v>352.34571703043042</v>
      </c>
      <c r="BI23" s="62">
        <f ca="1">AVERAGE(OFFSET($BH$3,0,0,'Données projet'!$E$11+1,1))-AVERAGE(OFFSET($H$3,0,0,'Données projet'!$E$11+1,1))</f>
        <v>168.44987180339865</v>
      </c>
      <c r="BJ23" s="62">
        <f t="shared" si="38"/>
        <v>375.85422976031748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4.95</v>
      </c>
      <c r="N24" s="14">
        <f>IF('Données projet'!$A$36&gt;35,N23+M24-V23,IF(A24&lt;'Données projet'!$A$36,$K$205^A24,IF(A24='Données projet'!$A$36,'Données projet'!$B$36,N23+M24-V23)))</f>
        <v>33.129014544854151</v>
      </c>
      <c r="O24" s="14">
        <f>N24*VLOOKUP('Données projet'!$B$9,Paramètres!$A$1:$I$88,3,0)*VLOOKUP('Données projet'!$B$9,Paramètres!$A$1:$I$88,5,0)</f>
        <v>19.811150697822782</v>
      </c>
      <c r="P24" s="14">
        <f t="shared" si="33"/>
        <v>6.4491351339309535</v>
      </c>
      <c r="Q24" s="22">
        <f t="shared" si="2"/>
        <v>45.736664490304413</v>
      </c>
      <c r="R24" s="62">
        <f t="shared" si="0"/>
        <v>328.06999782363772</v>
      </c>
      <c r="S24" s="62">
        <f ca="1">AVERAGE(OFFSET($R$3,0,0,'Données projet'!$E$9+1,1))-AVERAGE(OFFSET($H$3,0,0,'Données projet'!$E$9+1,1))</f>
        <v>190.92799938679798</v>
      </c>
      <c r="T24" s="62">
        <f t="shared" si="34"/>
        <v>172.54286890368337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</v>
      </c>
      <c r="AI24" s="14">
        <f>IF('Données projet'!$A$62&gt;35,AI23+AH24-AQ23,IF(A24&lt;'Données projet'!$A$62,$AF$205^A24,IF(A24='Données projet'!$A$62,'Données projet'!$B$62,AI23+AH24-AQ23)))</f>
        <v>17.567334681314104</v>
      </c>
      <c r="AJ24" s="14">
        <f>AI24*VLOOKUP('Données projet'!$B$10,Paramètres!$A$1:$I$88,3,0)*VLOOKUP('Données projet'!$B$10,Paramètres!$A$1:$I$88,5,0)</f>
        <v>17.813277366852503</v>
      </c>
      <c r="AK24" s="14">
        <f t="shared" si="35"/>
        <v>5.8709625933414094</v>
      </c>
      <c r="AL24" s="22">
        <f t="shared" si="4"/>
        <v>41.250051264004398</v>
      </c>
      <c r="AM24" s="62">
        <f t="shared" si="5"/>
        <v>323.58338459733773</v>
      </c>
      <c r="AN24" s="62">
        <f ca="1">AVERAGE(OFFSET($AM$3,0,0,'Données projet'!$E$10+1,1))-AVERAGE(OFFSET($H$3,0,0,'Données projet'!$E$10+1,1))</f>
        <v>95.135996821969457</v>
      </c>
      <c r="AO24" s="62">
        <f t="shared" si="36"/>
        <v>111.83039337220566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6.7666666666666666</v>
      </c>
      <c r="BD24" s="13">
        <f>IF('Données projet'!$A$88&gt;35,BD23+BC24-BL23,IF(A24&lt;'Données projet'!$A$88,$BA$205^A24,IF(A24='Données projet'!$A$88,'Données projet'!$B$88,BD23+BC24-BL23)))</f>
        <v>41.233217657457672</v>
      </c>
      <c r="BE24" s="14">
        <f>BD24*VLOOKUP('Données projet'!$B$11,Paramètres!$A$1:$I$88,3,0)*VLOOKUP('Données projet'!$B$11,Paramètres!$A$1:$I$88,5,0)</f>
        <v>37.307815336467698</v>
      </c>
      <c r="BF24" s="14">
        <f t="shared" si="37"/>
        <v>11.282215333527896</v>
      </c>
      <c r="BG24" s="22">
        <f t="shared" si="7"/>
        <v>84.627636750242317</v>
      </c>
      <c r="BH24" s="62">
        <f t="shared" si="8"/>
        <v>366.9609700835756</v>
      </c>
      <c r="BI24" s="62">
        <f ca="1">AVERAGE(OFFSET($BH$3,0,0,'Données projet'!$E$11+1,1))-AVERAGE(OFFSET($H$3,0,0,'Données projet'!$E$11+1,1))</f>
        <v>168.44987180339865</v>
      </c>
      <c r="BJ24" s="62">
        <f t="shared" si="38"/>
        <v>375.85422976031748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4.95</v>
      </c>
      <c r="N25" s="14">
        <f>IF('Données projet'!$A$36&gt;35,N24+M25-V24,IF(A25&lt;'Données projet'!$A$36,$K$205^A25,IF(A25='Données projet'!$A$36,'Données projet'!$B$36,N24+M25-V24)))</f>
        <v>39.138069430978177</v>
      </c>
      <c r="O25" s="14">
        <f>N25*VLOOKUP('Données projet'!$B$9,Paramètres!$A$1:$I$88,3,0)*VLOOKUP('Données projet'!$B$9,Paramètres!$A$1:$I$88,5,0)</f>
        <v>23.404565519724951</v>
      </c>
      <c r="P25" s="14">
        <f t="shared" si="33"/>
        <v>7.4725023502158807</v>
      </c>
      <c r="Q25" s="22">
        <f t="shared" si="2"/>
        <v>53.777559873480278</v>
      </c>
      <c r="R25" s="62">
        <f t="shared" si="0"/>
        <v>337.33311542903584</v>
      </c>
      <c r="S25" s="62">
        <f ca="1">AVERAGE(OFFSET($R$3,0,0,'Données projet'!$E$9+1,1))-AVERAGE(OFFSET($H$3,0,0,'Données projet'!$E$9+1,1))</f>
        <v>190.92799938679798</v>
      </c>
      <c r="T25" s="62">
        <f t="shared" si="34"/>
        <v>172.54286890368337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</v>
      </c>
      <c r="AI25" s="14">
        <f>IF('Données projet'!$A$62&gt;35,AI24+AH25-AQ24,IF(A25&lt;'Données projet'!$A$62,$AF$205^A25,IF(A25='Données projet'!$A$62,'Données projet'!$B$62,AI24+AH25-AQ24)))</f>
        <v>20.13620312889536</v>
      </c>
      <c r="AJ25" s="14">
        <f>AI25*VLOOKUP('Données projet'!$B$10,Paramètres!$A$1:$I$88,3,0)*VLOOKUP('Données projet'!$B$10,Paramètres!$A$1:$I$88,5,0)</f>
        <v>20.418109972699895</v>
      </c>
      <c r="AK25" s="14">
        <f t="shared" si="35"/>
        <v>6.6234123694452345</v>
      </c>
      <c r="AL25" s="22">
        <f t="shared" si="4"/>
        <v>47.097318079236096</v>
      </c>
      <c r="AM25" s="62">
        <f t="shared" si="5"/>
        <v>330.65287363479166</v>
      </c>
      <c r="AN25" s="62">
        <f ca="1">AVERAGE(OFFSET($AM$3,0,0,'Données projet'!$E$10+1,1))-AVERAGE(OFFSET($H$3,0,0,'Données projet'!$E$10+1,1))</f>
        <v>95.135996821969457</v>
      </c>
      <c r="AO25" s="62">
        <f t="shared" si="36"/>
        <v>111.83039337220566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6.7666666666666666</v>
      </c>
      <c r="BD25" s="13">
        <f>IF('Données projet'!$A$88&gt;35,BD24+BC25-BL24,IF(A25&lt;'Données projet'!$A$88,$BA$205^A25,IF(A25='Données projet'!$A$88,'Données projet'!$B$88,BD24+BC25-BL24)))</f>
        <v>49.222510595806817</v>
      </c>
      <c r="BE25" s="14">
        <f>BD25*VLOOKUP('Données projet'!$B$11,Paramètres!$A$1:$I$88,3,0)*VLOOKUP('Données projet'!$B$11,Paramètres!$A$1:$I$88,5,0)</f>
        <v>44.536527587086006</v>
      </c>
      <c r="BF25" s="14">
        <f t="shared" si="37"/>
        <v>13.193433561704031</v>
      </c>
      <c r="BG25" s="22">
        <f t="shared" si="7"/>
        <v>100.54634900080931</v>
      </c>
      <c r="BH25" s="62">
        <f t="shared" si="8"/>
        <v>384.10190455636484</v>
      </c>
      <c r="BI25" s="62">
        <f ca="1">AVERAGE(OFFSET($BH$3,0,0,'Données projet'!$E$11+1,1))-AVERAGE(OFFSET($H$3,0,0,'Données projet'!$E$11+1,1))</f>
        <v>168.44987180339865</v>
      </c>
      <c r="BJ25" s="62">
        <f t="shared" si="38"/>
        <v>375.85422976031748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4.95</v>
      </c>
      <c r="N26" s="14">
        <f>IF('Données projet'!$A$36&gt;35,N25+M26-V25,IF(A26&lt;'Données projet'!$A$36,$K$205^A26,IF(A26='Données projet'!$A$36,'Données projet'!$B$36,N25+M26-V25)))</f>
        <v>46.237067411411957</v>
      </c>
      <c r="O26" s="14">
        <f>N26*VLOOKUP('Données projet'!$B$9,Paramètres!$A$1:$I$88,3,0)*VLOOKUP('Données projet'!$B$9,Paramètres!$A$1:$I$88,5,0)</f>
        <v>27.649766312024354</v>
      </c>
      <c r="P26" s="14">
        <f t="shared" si="33"/>
        <v>8.6582604045926796</v>
      </c>
      <c r="Q26" s="22">
        <f t="shared" si="2"/>
        <v>63.236479864774658</v>
      </c>
      <c r="R26" s="62">
        <f t="shared" si="0"/>
        <v>348.01425764255242</v>
      </c>
      <c r="S26" s="62">
        <f ca="1">AVERAGE(OFFSET($R$3,0,0,'Données projet'!$E$9+1,1))-AVERAGE(OFFSET($H$3,0,0,'Données projet'!$E$9+1,1))</f>
        <v>190.92799938679798</v>
      </c>
      <c r="T26" s="62">
        <f t="shared" si="34"/>
        <v>172.54286890368337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</v>
      </c>
      <c r="AI26" s="14">
        <f>IF('Données projet'!$A$62&gt;35,AI25+AH26-AQ25,IF(A26&lt;'Données projet'!$A$62,$AF$205^A26,IF(A26='Données projet'!$A$62,'Données projet'!$B$62,AI25+AH26-AQ25)))</f>
        <v>23.080716785080625</v>
      </c>
      <c r="AJ26" s="14">
        <f>AI26*VLOOKUP('Données projet'!$B$10,Paramètres!$A$1:$I$88,3,0)*VLOOKUP('Données projet'!$B$10,Paramètres!$A$1:$I$88,5,0)</f>
        <v>23.403846820071756</v>
      </c>
      <c r="AK26" s="14">
        <f t="shared" si="35"/>
        <v>7.472299596232336</v>
      </c>
      <c r="AL26" s="22">
        <f t="shared" si="4"/>
        <v>53.775955008396295</v>
      </c>
      <c r="AM26" s="62">
        <f t="shared" si="5"/>
        <v>338.55373278617407</v>
      </c>
      <c r="AN26" s="62">
        <f ca="1">AVERAGE(OFFSET($AM$3,0,0,'Données projet'!$E$10+1,1))-AVERAGE(OFFSET($H$3,0,0,'Données projet'!$E$10+1,1))</f>
        <v>95.135996821969457</v>
      </c>
      <c r="AO26" s="62">
        <f t="shared" si="36"/>
        <v>111.83039337220566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6.7666666666666666</v>
      </c>
      <c r="BD26" s="13">
        <f>IF('Données projet'!$A$88&gt;35,BD25+BC26-BL25,IF(A26&lt;'Données projet'!$A$88,$BA$205^A26,IF(A26='Données projet'!$A$88,'Données projet'!$B$88,BD25+BC26-BL25)))</f>
        <v>58.759798216138073</v>
      </c>
      <c r="BE26" s="14">
        <f>BD26*VLOOKUP('Données projet'!$B$11,Paramètres!$A$1:$I$88,3,0)*VLOOKUP('Données projet'!$B$11,Paramètres!$A$1:$I$88,5,0)</f>
        <v>53.165865425961734</v>
      </c>
      <c r="BF26" s="14">
        <f t="shared" si="37"/>
        <v>15.428414012788439</v>
      </c>
      <c r="BG26" s="22">
        <f t="shared" si="7"/>
        <v>119.46837002248988</v>
      </c>
      <c r="BH26" s="62">
        <f t="shared" si="8"/>
        <v>404.24614780026764</v>
      </c>
      <c r="BI26" s="62">
        <f ca="1">AVERAGE(OFFSET($BH$3,0,0,'Données projet'!$E$11+1,1))-AVERAGE(OFFSET($H$3,0,0,'Données projet'!$E$11+1,1))</f>
        <v>168.44987180339865</v>
      </c>
      <c r="BJ26" s="62">
        <f t="shared" si="38"/>
        <v>375.85422976031748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4.95</v>
      </c>
      <c r="N27" s="14">
        <f>IF('Données projet'!$A$36&gt;35,N26+M27-V26,IF(A27&lt;'Données projet'!$A$36,$K$205^A27,IF(A27='Données projet'!$A$36,'Données projet'!$B$36,N26+M27-V26)))</f>
        <v>54.623706122696767</v>
      </c>
      <c r="O27" s="14">
        <f>N27*VLOOKUP('Données projet'!$B$9,Paramètres!$A$1:$I$88,3,0)*VLOOKUP('Données projet'!$B$9,Paramètres!$A$1:$I$88,5,0)</f>
        <v>32.664976261372672</v>
      </c>
      <c r="P27" s="14">
        <f t="shared" si="33"/>
        <v>10.032177939906793</v>
      </c>
      <c r="Q27" s="22">
        <f t="shared" si="2"/>
        <v>74.364210233895065</v>
      </c>
      <c r="R27" s="62">
        <f t="shared" si="0"/>
        <v>360.36421023389505</v>
      </c>
      <c r="S27" s="62">
        <f ca="1">AVERAGE(OFFSET($R$3,0,0,'Données projet'!$E$9+1,1))-AVERAGE(OFFSET($H$3,0,0,'Données projet'!$E$9+1,1))</f>
        <v>190.92799938679798</v>
      </c>
      <c r="T27" s="62">
        <f t="shared" si="34"/>
        <v>172.54286890368337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</v>
      </c>
      <c r="AI27" s="14">
        <f>IF('Données projet'!$A$62&gt;35,AI26+AH27-AQ26,IF(A27&lt;'Données projet'!$A$62,$AF$205^A27,IF(A27='Données projet'!$A$62,'Données projet'!$B$62,AI26+AH27-AQ26)))</f>
        <v>26.455806186651554</v>
      </c>
      <c r="AJ27" s="14">
        <f>AI27*VLOOKUP('Données projet'!$B$10,Paramètres!$A$1:$I$88,3,0)*VLOOKUP('Données projet'!$B$10,Paramètres!$A$1:$I$88,5,0)</f>
        <v>26.826187473264678</v>
      </c>
      <c r="AK27" s="14">
        <f t="shared" si="35"/>
        <v>8.429984144340775</v>
      </c>
      <c r="AL27" s="22">
        <f t="shared" si="4"/>
        <v>61.404498900662823</v>
      </c>
      <c r="AM27" s="62">
        <f t="shared" si="5"/>
        <v>347.40449890066282</v>
      </c>
      <c r="AN27" s="62">
        <f ca="1">AVERAGE(OFFSET($AM$3,0,0,'Données projet'!$E$10+1,1))-AVERAGE(OFFSET($H$3,0,0,'Données projet'!$E$10+1,1))</f>
        <v>95.135996821969457</v>
      </c>
      <c r="AO27" s="62">
        <f t="shared" si="36"/>
        <v>111.83039337220566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6.7666666666666666</v>
      </c>
      <c r="BD27" s="13">
        <f>IF('Données projet'!$A$88&gt;35,BD26+BC27-BL26,IF(A27&lt;'Données projet'!$A$88,$BA$205^A27,IF(A27='Données projet'!$A$88,'Données projet'!$B$88,BD26+BC27-BL26)))</f>
        <v>70.145017891374962</v>
      </c>
      <c r="BE27" s="14">
        <f>BD27*VLOOKUP('Données projet'!$B$11,Paramètres!$A$1:$I$88,3,0)*VLOOKUP('Données projet'!$B$11,Paramètres!$A$1:$I$88,5,0)</f>
        <v>63.467212188116058</v>
      </c>
      <c r="BF27" s="14">
        <f t="shared" si="37"/>
        <v>18.042002321589926</v>
      </c>
      <c r="BG27" s="22">
        <f t="shared" si="7"/>
        <v>141.96188193773793</v>
      </c>
      <c r="BH27" s="62">
        <f t="shared" si="8"/>
        <v>427.96188193773793</v>
      </c>
      <c r="BI27" s="62">
        <f ca="1">AVERAGE(OFFSET($BH$3,0,0,'Données projet'!$E$11+1,1))-AVERAGE(OFFSET($H$3,0,0,'Données projet'!$E$11+1,1))</f>
        <v>168.44987180339865</v>
      </c>
      <c r="BJ27" s="62">
        <f t="shared" si="38"/>
        <v>375.85422976031748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4.95</v>
      </c>
      <c r="N28" s="14">
        <f>IF('Données projet'!$A$36&gt;35,N27+M28-V27,IF(A28&lt;'Données projet'!$A$36,$K$205^A28,IF(A28='Données projet'!$A$36,'Données projet'!$B$36,N27+M28-V27)))</f>
        <v>64.531542280346031</v>
      </c>
      <c r="O28" s="14">
        <f>N28*VLOOKUP('Données projet'!$B$9,Paramètres!$A$1:$I$88,3,0)*VLOOKUP('Données projet'!$B$9,Paramètres!$A$1:$I$88,5,0)</f>
        <v>38.58986228364693</v>
      </c>
      <c r="P28" s="14">
        <f t="shared" si="33"/>
        <v>11.624112640983469</v>
      </c>
      <c r="Q28" s="22">
        <f t="shared" si="2"/>
        <v>87.4560063270646</v>
      </c>
      <c r="R28" s="62">
        <f t="shared" si="0"/>
        <v>374.67822854928681</v>
      </c>
      <c r="S28" s="62">
        <f ca="1">AVERAGE(OFFSET($R$3,0,0,'Données projet'!$E$9+1,1))-AVERAGE(OFFSET($H$3,0,0,'Données projet'!$E$9+1,1))</f>
        <v>190.92799938679798</v>
      </c>
      <c r="T28" s="62">
        <f t="shared" si="34"/>
        <v>172.54286890368337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</v>
      </c>
      <c r="AI28" s="14">
        <f>IF('Données projet'!$A$62&gt;35,AI27+AH28-AQ27,IF(A28&lt;'Données projet'!$A$62,$AF$205^A28,IF(A28='Données projet'!$A$62,'Données projet'!$B$62,AI27+AH28-AQ27)))</f>
        <v>30.324434353706575</v>
      </c>
      <c r="AJ28" s="14">
        <f>AI28*VLOOKUP('Données projet'!$B$10,Paramètres!$A$1:$I$88,3,0)*VLOOKUP('Données projet'!$B$10,Paramètres!$A$1:$I$88,5,0)</f>
        <v>30.74897643465847</v>
      </c>
      <c r="AK28" s="14">
        <f t="shared" si="35"/>
        <v>9.510409982713881</v>
      </c>
      <c r="AL28" s="22">
        <f t="shared" si="4"/>
        <v>70.118431343590188</v>
      </c>
      <c r="AM28" s="62">
        <f t="shared" si="5"/>
        <v>357.34065356581243</v>
      </c>
      <c r="AN28" s="62">
        <f ca="1">AVERAGE(OFFSET($AM$3,0,0,'Données projet'!$E$10+1,1))-AVERAGE(OFFSET($H$3,0,0,'Données projet'!$E$10+1,1))</f>
        <v>95.135996821969457</v>
      </c>
      <c r="AO28" s="62">
        <f t="shared" si="36"/>
        <v>111.83039337220566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6.7666666666666666</v>
      </c>
      <c r="BD28" s="13">
        <f>IF('Données projet'!$A$88&gt;35,BD27+BC28-BL27,IF(A28&lt;'Données projet'!$A$88,$BA$205^A28,IF(A28='Données projet'!$A$88,'Données projet'!$B$88,BD27+BC28-BL27)))</f>
        <v>83.736222457448349</v>
      </c>
      <c r="BE28" s="14">
        <f>BD28*VLOOKUP('Données projet'!$B$11,Paramètres!$A$1:$I$88,3,0)*VLOOKUP('Données projet'!$B$11,Paramètres!$A$1:$I$88,5,0)</f>
        <v>75.764534079499271</v>
      </c>
      <c r="BF28" s="14">
        <f t="shared" si="37"/>
        <v>21.098335026687888</v>
      </c>
      <c r="BG28" s="22">
        <f t="shared" si="7"/>
        <v>168.70283035994262</v>
      </c>
      <c r="BH28" s="62">
        <f t="shared" si="8"/>
        <v>455.92505258216488</v>
      </c>
      <c r="BI28" s="62">
        <f ca="1">AVERAGE(OFFSET($BH$3,0,0,'Données projet'!$E$11+1,1))-AVERAGE(OFFSET($H$3,0,0,'Données projet'!$E$11+1,1))</f>
        <v>168.44987180339865</v>
      </c>
      <c r="BJ28" s="62">
        <f t="shared" si="38"/>
        <v>375.85422976031748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4.95</v>
      </c>
      <c r="N29" s="14">
        <f>IF('Données projet'!$A$36&gt;35,N28+M29-V28,IF(A29&lt;'Données projet'!$A$36,$K$205^A29,IF(A29='Données projet'!$A$36,'Données projet'!$B$36,N28+M29-V28)))</f>
        <v>76.236495922230446</v>
      </c>
      <c r="O29" s="14">
        <f>N29*VLOOKUP('Données projet'!$B$9,Paramètres!$A$1:$I$88,3,0)*VLOOKUP('Données projet'!$B$9,Paramètres!$A$1:$I$88,5,0)</f>
        <v>45.589424561493807</v>
      </c>
      <c r="P29" s="14">
        <f t="shared" si="33"/>
        <v>13.468660095509348</v>
      </c>
      <c r="Q29" s="22">
        <f t="shared" si="2"/>
        <v>102.85949744428051</v>
      </c>
      <c r="R29" s="62">
        <f t="shared" si="0"/>
        <v>391.30394188872498</v>
      </c>
      <c r="S29" s="62">
        <f ca="1">AVERAGE(OFFSET($R$3,0,0,'Données projet'!$E$9+1,1))-AVERAGE(OFFSET($H$3,0,0,'Données projet'!$E$9+1,1))</f>
        <v>190.92799938679798</v>
      </c>
      <c r="T29" s="62">
        <f t="shared" si="34"/>
        <v>172.54286890368337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</v>
      </c>
      <c r="AI29" s="14">
        <f>IF('Données projet'!$A$62&gt;35,AI28+AH29-AQ28,IF(A29&lt;'Données projet'!$A$62,$AF$205^A29,IF(A29='Données projet'!$A$62,'Données projet'!$B$62,AI28+AH29-AQ28)))</f>
        <v>34.75877137836892</v>
      </c>
      <c r="AJ29" s="14">
        <f>AI29*VLOOKUP('Données projet'!$B$10,Paramètres!$A$1:$I$88,3,0)*VLOOKUP('Données projet'!$B$10,Paramètres!$A$1:$I$88,5,0)</f>
        <v>35.245394177666086</v>
      </c>
      <c r="AK29" s="14">
        <f t="shared" si="35"/>
        <v>10.729308203980839</v>
      </c>
      <c r="AL29" s="22">
        <f t="shared" si="4"/>
        <v>80.072606648035062</v>
      </c>
      <c r="AM29" s="62">
        <f t="shared" si="5"/>
        <v>368.51705109247951</v>
      </c>
      <c r="AN29" s="62">
        <f ca="1">AVERAGE(OFFSET($AM$3,0,0,'Données projet'!$E$10+1,1))-AVERAGE(OFFSET($H$3,0,0,'Données projet'!$E$10+1,1))</f>
        <v>95.135996821969457</v>
      </c>
      <c r="AO29" s="62">
        <f t="shared" si="36"/>
        <v>111.83039337220566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6.7666666666666666</v>
      </c>
      <c r="BD29" s="13">
        <f>IF('Données projet'!$A$88&gt;35,BD28+BC29-BL28,IF(A29&lt;'Données projet'!$A$88,$BA$205^A29,IF(A29='Données projet'!$A$88,'Données projet'!$B$88,BD28+BC29-BL28)))</f>
        <v>99.960840587445958</v>
      </c>
      <c r="BE29" s="14">
        <f>BD29*VLOOKUP('Données projet'!$B$11,Paramètres!$A$1:$I$88,3,0)*VLOOKUP('Données projet'!$B$11,Paramètres!$A$1:$I$88,5,0)</f>
        <v>90.444568563521102</v>
      </c>
      <c r="BF29" s="14">
        <f t="shared" si="37"/>
        <v>24.672413458548821</v>
      </c>
      <c r="BG29" s="22">
        <f t="shared" si="7"/>
        <v>200.49541035510507</v>
      </c>
      <c r="BH29" s="62">
        <f t="shared" si="8"/>
        <v>488.93985479954949</v>
      </c>
      <c r="BI29" s="62">
        <f ca="1">AVERAGE(OFFSET($BH$3,0,0,'Données projet'!$E$11+1,1))-AVERAGE(OFFSET($H$3,0,0,'Données projet'!$E$11+1,1))</f>
        <v>168.44987180339865</v>
      </c>
      <c r="BJ29" s="62">
        <f t="shared" si="38"/>
        <v>375.85422976031748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4.95</v>
      </c>
      <c r="N30" s="14">
        <f>IF('Données projet'!$A$36&gt;35,N29+M30-V29,IF(A30&lt;'Données projet'!$A$36,$K$205^A30,IF(A30='Données projet'!$A$36,'Données projet'!$B$36,N29+M30-V29)))</f>
        <v>90.064534414054847</v>
      </c>
      <c r="O30" s="14">
        <f>N30*VLOOKUP('Données projet'!$B$9,Paramètres!$A$1:$I$88,3,0)*VLOOKUP('Données projet'!$B$9,Paramètres!$A$1:$I$88,5,0)</f>
        <v>53.858591579604806</v>
      </c>
      <c r="P30" s="14">
        <f t="shared" si="33"/>
        <v>15.605905618015232</v>
      </c>
      <c r="Q30" s="22">
        <f t="shared" si="2"/>
        <v>120.98399928585489</v>
      </c>
      <c r="R30" s="62">
        <f t="shared" si="0"/>
        <v>410.65066595252159</v>
      </c>
      <c r="S30" s="62">
        <f ca="1">AVERAGE(OFFSET($R$3,0,0,'Données projet'!$E$9+1,1))-AVERAGE(OFFSET($H$3,0,0,'Données projet'!$E$9+1,1))</f>
        <v>190.92799938679798</v>
      </c>
      <c r="T30" s="62">
        <f t="shared" si="34"/>
        <v>172.54286890368337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</v>
      </c>
      <c r="AI30" s="14">
        <f>IF('Données projet'!$A$62&gt;35,AI29+AH30-AQ29,IF(A30&lt;'Données projet'!$A$62,$AF$205^A30,IF(A30='Données projet'!$A$62,'Données projet'!$B$62,AI29+AH30-AQ29)))</f>
        <v>39.841540773407459</v>
      </c>
      <c r="AJ30" s="14">
        <f>AI30*VLOOKUP('Données projet'!$B$10,Paramètres!$A$1:$I$88,3,0)*VLOOKUP('Données projet'!$B$10,Paramètres!$A$1:$I$88,5,0)</f>
        <v>40.399322344235166</v>
      </c>
      <c r="AK30" s="14">
        <f t="shared" si="35"/>
        <v>12.10442607051105</v>
      </c>
      <c r="AL30" s="22">
        <f t="shared" si="4"/>
        <v>91.444028489016318</v>
      </c>
      <c r="AM30" s="62">
        <f t="shared" si="5"/>
        <v>381.110695155683</v>
      </c>
      <c r="AN30" s="62">
        <f ca="1">AVERAGE(OFFSET($AM$3,0,0,'Données projet'!$E$10+1,1))-AVERAGE(OFFSET($H$3,0,0,'Données projet'!$E$10+1,1))</f>
        <v>95.135996821969457</v>
      </c>
      <c r="AO30" s="62">
        <f t="shared" si="36"/>
        <v>111.83039337220566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6.7666666666666666</v>
      </c>
      <c r="BD30" s="13">
        <f>IF('Données projet'!$A$88&gt;35,BD29+BC30-BL29,IF(A30&lt;'Données projet'!$A$88,$BA$205^A30,IF(A30='Données projet'!$A$88,'Données projet'!$B$88,BD29+BC30-BL29)))</f>
        <v>119.32911896075123</v>
      </c>
      <c r="BE30" s="14">
        <f>BD30*VLOOKUP('Données projet'!$B$11,Paramètres!$A$1:$I$88,3,0)*VLOOKUP('Données projet'!$B$11,Paramètres!$A$1:$I$88,5,0)</f>
        <v>107.96898683568772</v>
      </c>
      <c r="BF30" s="14">
        <f t="shared" si="37"/>
        <v>28.851944245817698</v>
      </c>
      <c r="BG30" s="22">
        <f t="shared" si="7"/>
        <v>238.29645496695525</v>
      </c>
      <c r="BH30" s="62">
        <f t="shared" si="8"/>
        <v>527.96312163362199</v>
      </c>
      <c r="BI30" s="62">
        <f ca="1">AVERAGE(OFFSET($BH$3,0,0,'Données projet'!$E$11+1,1))-AVERAGE(OFFSET($H$3,0,0,'Données projet'!$E$11+1,1))</f>
        <v>168.44987180339865</v>
      </c>
      <c r="BJ30" s="62">
        <f t="shared" si="38"/>
        <v>375.85422976031748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4.95</v>
      </c>
      <c r="N31" s="14">
        <f>IF('Données projet'!$A$36&gt;35,N30+M31-V30,IF(A31&lt;'Données projet'!$A$36,$K$205^A31,IF(A31='Données projet'!$A$36,'Données projet'!$B$36,N30+M31-V30)))</f>
        <v>106.40075020624253</v>
      </c>
      <c r="O31" s="14">
        <f>N31*VLOOKUP('Données projet'!$B$9,Paramètres!$A$1:$I$88,3,0)*VLOOKUP('Données projet'!$B$9,Paramètres!$A$1:$I$88,5,0)</f>
        <v>63.627648623333037</v>
      </c>
      <c r="P31" s="14">
        <f t="shared" si="33"/>
        <v>18.082295375439802</v>
      </c>
      <c r="Q31" s="22">
        <f t="shared" si="2"/>
        <v>142.3114857978627</v>
      </c>
      <c r="R31" s="62">
        <f t="shared" si="0"/>
        <v>433.20037468675156</v>
      </c>
      <c r="S31" s="62">
        <f ca="1">AVERAGE(OFFSET($R$3,0,0,'Données projet'!$E$9+1,1))-AVERAGE(OFFSET($H$3,0,0,'Données projet'!$E$9+1,1))</f>
        <v>190.92799938679798</v>
      </c>
      <c r="T31" s="62">
        <f t="shared" si="34"/>
        <v>172.54286890368337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</v>
      </c>
      <c r="AI31" s="14">
        <f>IF('Données projet'!$A$62&gt;35,AI30+AH31-AQ30,IF(A31&lt;'Données projet'!$A$62,$AF$205^A31,IF(A31='Données projet'!$A$62,'Données projet'!$B$62,AI30+AH31-AQ30)))</f>
        <v>45.66756269719383</v>
      </c>
      <c r="AJ31" s="14">
        <f>AI31*VLOOKUP('Données projet'!$B$10,Paramètres!$A$1:$I$88,3,0)*VLOOKUP('Données projet'!$B$10,Paramètres!$A$1:$I$88,5,0)</f>
        <v>46.306908574954548</v>
      </c>
      <c r="AK31" s="14">
        <f t="shared" si="35"/>
        <v>13.655785416072414</v>
      </c>
      <c r="AL31" s="22">
        <f t="shared" si="4"/>
        <v>104.43502536770529</v>
      </c>
      <c r="AM31" s="62">
        <f t="shared" si="5"/>
        <v>395.32391425659415</v>
      </c>
      <c r="AN31" s="62">
        <f ca="1">AVERAGE(OFFSET($AM$3,0,0,'Données projet'!$E$10+1,1))-AVERAGE(OFFSET($H$3,0,0,'Données projet'!$E$10+1,1))</f>
        <v>95.135996821969457</v>
      </c>
      <c r="AO31" s="62">
        <f t="shared" si="36"/>
        <v>111.83039337220566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6.7666666666666666</v>
      </c>
      <c r="BD31" s="13">
        <f>IF('Données projet'!$A$88&gt;35,BD30+BC31-BL30,IF(A31&lt;'Données projet'!$A$88,$BA$205^A31,IF(A31='Données projet'!$A$88,'Données projet'!$B$88,BD30+BC31-BL30)))</f>
        <v>142.45016896884161</v>
      </c>
      <c r="BE31" s="14">
        <f>BD31*VLOOKUP('Données projet'!$B$11,Paramètres!$A$1:$I$88,3,0)*VLOOKUP('Données projet'!$B$11,Paramètres!$A$1:$I$88,5,0)</f>
        <v>128.88891288300789</v>
      </c>
      <c r="BF31" s="14">
        <f t="shared" si="37"/>
        <v>33.739491605161156</v>
      </c>
      <c r="BG31" s="22">
        <f t="shared" si="7"/>
        <v>283.24447115022775</v>
      </c>
      <c r="BH31" s="62">
        <f t="shared" si="8"/>
        <v>574.13336003911661</v>
      </c>
      <c r="BI31" s="62">
        <f ca="1">AVERAGE(OFFSET($BH$3,0,0,'Données projet'!$E$11+1,1))-AVERAGE(OFFSET($H$3,0,0,'Données projet'!$E$11+1,1))</f>
        <v>168.44987180339865</v>
      </c>
      <c r="BJ31" s="62">
        <f t="shared" si="38"/>
        <v>375.85422976031748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4.95</v>
      </c>
      <c r="N32" s="14">
        <f>IF('Données projet'!$A$36&gt;35,N31+M32-V31,IF(A32&lt;'Données projet'!$A$36,$K$205^A32,IF(A32='Données projet'!$A$36,'Données projet'!$B$36,N31+M32-V31)))</f>
        <v>125.70008514566335</v>
      </c>
      <c r="O32" s="14">
        <f>N32*VLOOKUP('Données projet'!$B$9,Paramètres!$A$1:$I$88,3,0)*VLOOKUP('Données projet'!$B$9,Paramètres!$A$1:$I$88,5,0)</f>
        <v>75.168650917106689</v>
      </c>
      <c r="P32" s="14">
        <f t="shared" si="33"/>
        <v>20.951645745390323</v>
      </c>
      <c r="Q32" s="22">
        <f t="shared" si="2"/>
        <v>167.4095166871823</v>
      </c>
      <c r="R32" s="62">
        <f t="shared" si="0"/>
        <v>459.52062779829345</v>
      </c>
      <c r="S32" s="62">
        <f ca="1">AVERAGE(OFFSET($R$3,0,0,'Données projet'!$E$9+1,1))-AVERAGE(OFFSET($H$3,0,0,'Données projet'!$E$9+1,1))</f>
        <v>190.92799938679798</v>
      </c>
      <c r="T32" s="62">
        <f t="shared" si="34"/>
        <v>172.54286890368337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</v>
      </c>
      <c r="AI32" s="14">
        <f>IF('Données projet'!$A$62&gt;35,AI31+AH32-AQ31,IF(A32&lt;'Données projet'!$A$62,$AF$205^A32,IF(A32='Données projet'!$A$62,'Données projet'!$B$62,AI31+AH32-AQ31)))</f>
        <v>52.34552284419005</v>
      </c>
      <c r="AJ32" s="14">
        <f>AI32*VLOOKUP('Données projet'!$B$10,Paramètres!$A$1:$I$88,3,0)*VLOOKUP('Données projet'!$B$10,Paramètres!$A$1:$I$88,5,0)</f>
        <v>53.078360164008721</v>
      </c>
      <c r="AK32" s="14">
        <f t="shared" si="35"/>
        <v>15.405974165443665</v>
      </c>
      <c r="AL32" s="22">
        <f t="shared" si="4"/>
        <v>119.27688229046288</v>
      </c>
      <c r="AM32" s="62">
        <f t="shared" si="5"/>
        <v>411.38799340157402</v>
      </c>
      <c r="AN32" s="62">
        <f ca="1">AVERAGE(OFFSET($AM$3,0,0,'Données projet'!$E$10+1,1))-AVERAGE(OFFSET($H$3,0,0,'Données projet'!$E$10+1,1))</f>
        <v>95.135996821969457</v>
      </c>
      <c r="AO32" s="62">
        <f t="shared" si="36"/>
        <v>111.83039337220566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6.7666666666666666</v>
      </c>
      <c r="BD32" s="13">
        <f>IF('Données projet'!$A$88&gt;35,BD31+BC32-BL31,IF(A32&lt;'Données projet'!$A$88,$BA$205^A32,IF(A32='Données projet'!$A$88,'Données projet'!$B$88,BD31+BC32-BL31)))</f>
        <v>170.0511226092755</v>
      </c>
      <c r="BE32" s="14">
        <f>BD32*VLOOKUP('Données projet'!$B$11,Paramètres!$A$1:$I$88,3,0)*VLOOKUP('Données projet'!$B$11,Paramètres!$A$1:$I$88,5,0)</f>
        <v>153.86225573687247</v>
      </c>
      <c r="BF32" s="14">
        <f t="shared" si="37"/>
        <v>39.454994231099406</v>
      </c>
      <c r="BG32" s="22">
        <f t="shared" si="7"/>
        <v>336.69421036088426</v>
      </c>
      <c r="BH32" s="62">
        <f t="shared" si="8"/>
        <v>628.8053214719954</v>
      </c>
      <c r="BI32" s="62">
        <f ca="1">AVERAGE(OFFSET($BH$3,0,0,'Données projet'!$E$11+1,1))-AVERAGE(OFFSET($H$3,0,0,'Données projet'!$E$11+1,1))</f>
        <v>168.44987180339865</v>
      </c>
      <c r="BJ32" s="62">
        <f t="shared" si="38"/>
        <v>375.85422976031748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148.5</v>
      </c>
      <c r="L33" s="13">
        <f>VLOOKUP(A33,'Données projet'!$A$35:$I$55,9,0)</f>
        <v>4.95</v>
      </c>
      <c r="M33" s="13">
        <f t="array" ref="M33">INDEX(L:L,MIN(IF(ISNUMBER(L33:L229),ROW(L33:L229),"")))</f>
        <v>4.95</v>
      </c>
      <c r="N33" s="14">
        <f>IF('Données projet'!$A$36&gt;35,N32+M33-V32,IF(A33&lt;'Données projet'!$A$36,$K$205^A33,IF(A33='Données projet'!$A$36,'Données projet'!$B$36,N32+M33-V32)))</f>
        <v>148.5</v>
      </c>
      <c r="O33" s="14">
        <f>N33*VLOOKUP('Données projet'!$B$9,Paramètres!$A$1:$I$88,3,0)*VLOOKUP('Données projet'!$B$9,Paramètres!$A$1:$I$88,5,0)</f>
        <v>88.803000000000011</v>
      </c>
      <c r="P33" s="14">
        <f t="shared" si="33"/>
        <v>24.276312842260264</v>
      </c>
      <c r="Q33" s="22">
        <f t="shared" si="2"/>
        <v>196.94646986693661</v>
      </c>
      <c r="R33" s="62">
        <f t="shared" si="0"/>
        <v>490.27980320026995</v>
      </c>
      <c r="S33" s="62">
        <f ca="1">AVERAGE(OFFSET($R$3,0,0,'Données projet'!$E$9+1,1))-AVERAGE(OFFSET($H$3,0,0,'Données projet'!$E$9+1,1))</f>
        <v>190.92799938679798</v>
      </c>
      <c r="T33" s="62">
        <f t="shared" si="34"/>
        <v>172.54286890368337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112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0.22500000000000001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19.912084337860808</v>
      </c>
      <c r="AB33" s="23">
        <f>EXP(-LN(2)/2)*AB32+(1-EXP(-LN(2)/2))/(LN(2)/2)*V33*Y33*VLOOKUP('Données projet'!$B$9,Paramètres!$A$1:$I$88,3,0)*0.475*44/12</f>
        <v>37.916195179566294</v>
      </c>
      <c r="AC33" s="24">
        <f t="shared" si="3"/>
        <v>57.828279517427106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60</v>
      </c>
      <c r="AG33" s="13">
        <f>VLOOKUP(A33,'Données projet'!$A$61:$I$81,9,0)</f>
        <v>2</v>
      </c>
      <c r="AH33" s="13">
        <f t="array" ref="AH33">INDEX(AG:AG,MIN(IF(ISNUMBER(AG33:AG229),ROW(AG33:AG229),"")))</f>
        <v>2</v>
      </c>
      <c r="AI33" s="14">
        <f>IF('Données projet'!$A$62&gt;35,AI32+AH33-AQ32,IF(A33&lt;'Données projet'!$A$62,$AF$205^A33,IF(A33='Données projet'!$A$62,'Données projet'!$B$62,AI32+AH33-AQ32)))</f>
        <v>60</v>
      </c>
      <c r="AJ33" s="14">
        <f>AI33*VLOOKUP('Données projet'!$B$10,Paramètres!$A$1:$I$88,3,0)*VLOOKUP('Données projet'!$B$10,Paramètres!$A$1:$I$88,5,0)</f>
        <v>60.84</v>
      </c>
      <c r="AK33" s="14">
        <f t="shared" si="35"/>
        <v>17.380475216531455</v>
      </c>
      <c r="AL33" s="22">
        <f t="shared" si="4"/>
        <v>136.23399433545893</v>
      </c>
      <c r="AM33" s="62">
        <f t="shared" si="5"/>
        <v>429.56732766879225</v>
      </c>
      <c r="AN33" s="62">
        <f ca="1">AVERAGE(OFFSET($AM$3,0,0,'Données projet'!$E$10+1,1))-AVERAGE(OFFSET($H$3,0,0,'Données projet'!$E$10+1,1))</f>
        <v>95.135996821969457</v>
      </c>
      <c r="AO33" s="62">
        <f t="shared" si="36"/>
        <v>111.83039337220566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203</v>
      </c>
      <c r="BB33" s="13">
        <f>VLOOKUP(A33,'Données projet'!$A$87:$I$107,9,0)</f>
        <v>6.7666666666666666</v>
      </c>
      <c r="BC33" s="13">
        <f t="array" ref="BC33">INDEX(BB:BB,MIN(IF(ISNUMBER(BB33:BB229),ROW(BB33:BB229),"")))</f>
        <v>6.7666666666666666</v>
      </c>
      <c r="BD33" s="13">
        <f>IF('Données projet'!$A$88&gt;35,BD32+BC33-BL32,IF(A33&lt;'Données projet'!$A$88,$BA$205^A33,IF(A33='Données projet'!$A$88,'Données projet'!$B$88,BD32+BC33-BL32)))</f>
        <v>203</v>
      </c>
      <c r="BE33" s="14">
        <f>BD33*VLOOKUP('Données projet'!$B$11,Paramètres!$A$1:$I$88,3,0)*VLOOKUP('Données projet'!$B$11,Paramètres!$A$1:$I$88,5,0)</f>
        <v>183.67439999999999</v>
      </c>
      <c r="BF33" s="14">
        <f t="shared" si="37"/>
        <v>46.138708549418673</v>
      </c>
      <c r="BG33" s="22">
        <f t="shared" si="7"/>
        <v>400.25783072357081</v>
      </c>
      <c r="BH33" s="62">
        <f t="shared" si="8"/>
        <v>693.59116405690406</v>
      </c>
      <c r="BI33" s="62">
        <f ca="1">AVERAGE(OFFSET($BH$3,0,0,'Données projet'!$E$11+1,1))-AVERAGE(OFFSET($H$3,0,0,'Données projet'!$E$11+1,1))</f>
        <v>168.44987180339865</v>
      </c>
      <c r="BJ33" s="62">
        <f t="shared" si="38"/>
        <v>375.85422976031748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8.3688470405501914</v>
      </c>
      <c r="BR33" s="23">
        <f>EXP(-LN(2)/2)*BR32+(1-EXP(-LN(2)/2))/(LN(2)/2)*BL33*BO33*VLOOKUP('Données projet'!$B$11,Paramètres!$A$1:$I$88,3,0)*0.475*44/12</f>
        <v>23.903688265378747</v>
      </c>
      <c r="BS33" s="24">
        <f t="shared" si="9"/>
        <v>32.27253530592894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13.1</v>
      </c>
      <c r="N34" s="14">
        <f>IF('Données projet'!$A$36&gt;35,N33+M34-V33,IF(A34&lt;'Données projet'!$A$36,$K$205^A34,IF(A34='Données projet'!$A$36,'Données projet'!$B$36,N33+M34-V33)))</f>
        <v>49.599999999999994</v>
      </c>
      <c r="O34" s="14">
        <f>N34*VLOOKUP('Données projet'!$B$9,Paramètres!$A$1:$I$88,3,0)*VLOOKUP('Données projet'!$B$9,Paramètres!$A$1:$I$88,5,0)</f>
        <v>29.660799999999998</v>
      </c>
      <c r="P34" s="14">
        <f t="shared" si="33"/>
        <v>9.2124011398231733</v>
      </c>
      <c r="Q34" s="22">
        <f t="shared" si="2"/>
        <v>67.704158651858691</v>
      </c>
      <c r="R34" s="62">
        <f t="shared" si="0"/>
        <v>361.03749198519199</v>
      </c>
      <c r="S34" s="62">
        <f ca="1">AVERAGE(OFFSET($R$3,0,0,'Données projet'!$E$9+1,1))-AVERAGE(OFFSET($H$3,0,0,'Données projet'!$E$9+1,1))</f>
        <v>190.92799938679798</v>
      </c>
      <c r="T34" s="62">
        <f t="shared" si="34"/>
        <v>172.54286890368337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19.367587344510998</v>
      </c>
      <c r="AB34" s="23">
        <f>EXP(-LN(2)/2)*AB33+(1-EXP(-LN(2)/2))/(LN(2)/2)*V34*Y34*VLOOKUP('Données projet'!$B$9,Paramètres!$A$1:$I$88,3,0)*0.475*44/12</f>
        <v>26.810798728264015</v>
      </c>
      <c r="AC34" s="24">
        <f t="shared" si="3"/>
        <v>46.178386072775012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</v>
      </c>
      <c r="AI34" s="14">
        <f>IF('Données projet'!$A$62&gt;35,AI33+AH34-AQ33,IF(A34&lt;'Données projet'!$A$62,$AF$205^A34,IF(A34='Données projet'!$A$62,'Données projet'!$B$62,AI33+AH34-AQ33)))</f>
        <v>62</v>
      </c>
      <c r="AJ34" s="14">
        <f>AI34*VLOOKUP('Données projet'!$B$10,Paramètres!$A$1:$I$88,3,0)*VLOOKUP('Données projet'!$B$10,Paramètres!$A$1:$I$88,5,0)</f>
        <v>62.868000000000009</v>
      </c>
      <c r="AK34" s="14">
        <f t="shared" si="35"/>
        <v>17.891407141629873</v>
      </c>
      <c r="AL34" s="22">
        <f t="shared" si="4"/>
        <v>140.65596743833871</v>
      </c>
      <c r="AM34" s="62">
        <f t="shared" si="5"/>
        <v>433.98930077167199</v>
      </c>
      <c r="AN34" s="62">
        <f ca="1">AVERAGE(OFFSET($AM$3,0,0,'Données projet'!$E$10+1,1))-AVERAGE(OFFSET($H$3,0,0,'Données projet'!$E$10+1,1))</f>
        <v>95.135996821969457</v>
      </c>
      <c r="AO34" s="62">
        <f t="shared" si="36"/>
        <v>111.83039337220566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3.9666666666666668</v>
      </c>
      <c r="BD34" s="13">
        <f>IF('Données projet'!$A$88&gt;35,BD33+BC34-BL33,IF(A34&lt;'Données projet'!$A$88,$BA$205^A34,IF(A34='Données projet'!$A$88,'Données projet'!$B$88,BD33+BC34-BL33)))</f>
        <v>150.96666666666667</v>
      </c>
      <c r="BE34" s="14">
        <f>BD34*VLOOKUP('Données projet'!$B$11,Paramètres!$A$1:$I$88,3,0)*VLOOKUP('Données projet'!$B$11,Paramètres!$A$1:$I$88,5,0)</f>
        <v>136.59464</v>
      </c>
      <c r="BF34" s="14">
        <f t="shared" si="37"/>
        <v>35.515770828985332</v>
      </c>
      <c r="BG34" s="22">
        <f t="shared" si="7"/>
        <v>299.75896552714943</v>
      </c>
      <c r="BH34" s="62">
        <f t="shared" si="8"/>
        <v>593.09229886048274</v>
      </c>
      <c r="BI34" s="62">
        <f ca="1">AVERAGE(OFFSET($BH$3,0,0,'Données projet'!$E$11+1,1))-AVERAGE(OFFSET($H$3,0,0,'Données projet'!$E$11+1,1))</f>
        <v>168.44987180339865</v>
      </c>
      <c r="BJ34" s="62">
        <f t="shared" si="38"/>
        <v>375.85422976031748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8.1400004781278081</v>
      </c>
      <c r="BR34" s="23">
        <f>EXP(-LN(2)/2)*BR33+(1-EXP(-LN(2)/2))/(LN(2)/2)*BL34*BO34*VLOOKUP('Données projet'!$B$11,Paramètres!$A$1:$I$88,3,0)*0.475*44/12</f>
        <v>16.902460067818616</v>
      </c>
      <c r="BS34" s="24">
        <f t="shared" si="9"/>
        <v>25.042460545946426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13.1</v>
      </c>
      <c r="N35" s="14">
        <f>IF('Données projet'!$A$36&gt;35,N34+M35-V34,IF(A35&lt;'Données projet'!$A$36,$K$205^A35,IF(A35='Données projet'!$A$36,'Données projet'!$B$36,N34+M35-V34)))</f>
        <v>62.699999999999996</v>
      </c>
      <c r="O35" s="14">
        <f>N35*VLOOKUP('Données projet'!$B$9,Paramètres!$A$1:$I$88,3,0)*VLOOKUP('Données projet'!$B$9,Paramètres!$A$1:$I$88,5,0)</f>
        <v>37.494599999999998</v>
      </c>
      <c r="P35" s="14">
        <f t="shared" si="33"/>
        <v>11.332111267727282</v>
      </c>
      <c r="Q35" s="22">
        <f t="shared" ref="Q35:Q66" si="53">(O35+P35)*0.475*44/12</f>
        <v>85.039855457958325</v>
      </c>
      <c r="R35" s="62">
        <f t="shared" si="0"/>
        <v>378.37318879129162</v>
      </c>
      <c r="S35" s="62">
        <f ca="1">AVERAGE(OFFSET($R$3,0,0,'Données projet'!$E$9+1,1))-AVERAGE(OFFSET($H$3,0,0,'Données projet'!$E$9+1,1))</f>
        <v>190.92799938679798</v>
      </c>
      <c r="T35" s="62">
        <f t="shared" si="34"/>
        <v>172.54286890368337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18.837979650078193</v>
      </c>
      <c r="AB35" s="23">
        <f>EXP(-LN(2)/2)*AB34+(1-EXP(-LN(2)/2))/(LN(2)/2)*V35*Y35*VLOOKUP('Données projet'!$B$9,Paramètres!$A$1:$I$88,3,0)*0.475*44/12</f>
        <v>18.958097589783151</v>
      </c>
      <c r="AC35" s="24">
        <f t="shared" si="3"/>
        <v>37.796077239861347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</v>
      </c>
      <c r="AI35" s="14">
        <f>IF('Données projet'!$A$62&gt;35,AI34+AH35-AQ34,IF(A35&lt;'Données projet'!$A$62,$AF$205^A35,IF(A35='Données projet'!$A$62,'Données projet'!$B$62,AI34+AH35-AQ34)))</f>
        <v>64</v>
      </c>
      <c r="AJ35" s="14">
        <f>AI35*VLOOKUP('Données projet'!$B$10,Paramètres!$A$1:$I$88,3,0)*VLOOKUP('Données projet'!$B$10,Paramètres!$A$1:$I$88,5,0)</f>
        <v>64.896000000000001</v>
      </c>
      <c r="AK35" s="14">
        <f t="shared" si="35"/>
        <v>18.400423846102964</v>
      </c>
      <c r="AL35" s="22">
        <f t="shared" si="4"/>
        <v>145.07460486529598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95.135996821969457</v>
      </c>
      <c r="AO35" s="62">
        <f t="shared" si="36"/>
        <v>111.83039337220566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3.9666666666666668</v>
      </c>
      <c r="BD35" s="13">
        <f>IF('Données projet'!$A$88&gt;35,BD34+BC35-BL34,IF(A35&lt;'Données projet'!$A$88,$BA$205^A35,IF(A35='Données projet'!$A$88,'Données projet'!$B$88,BD34+BC35-BL34)))</f>
        <v>154.93333333333334</v>
      </c>
      <c r="BE35" s="14">
        <f>BD35*VLOOKUP('Données projet'!$B$11,Paramètres!$A$1:$I$88,3,0)*VLOOKUP('Données projet'!$B$11,Paramètres!$A$1:$I$88,5,0)</f>
        <v>140.18368000000001</v>
      </c>
      <c r="BF35" s="14">
        <f t="shared" si="37"/>
        <v>36.339080792208712</v>
      </c>
      <c r="BG35" s="22">
        <f t="shared" si="7"/>
        <v>307.44380837976354</v>
      </c>
      <c r="BH35" s="62">
        <f t="shared" si="8"/>
        <v>600.77714171309685</v>
      </c>
      <c r="BI35" s="62">
        <f ca="1">AVERAGE(OFFSET($BH$3,0,0,'Données projet'!$E$11+1,1))-AVERAGE(OFFSET($H$3,0,0,'Données projet'!$E$11+1,1))</f>
        <v>168.44987180339865</v>
      </c>
      <c r="BJ35" s="62">
        <f t="shared" si="38"/>
        <v>375.85422976031748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7.9174117369893819</v>
      </c>
      <c r="BR35" s="23">
        <f>EXP(-LN(2)/2)*BR34+(1-EXP(-LN(2)/2))/(LN(2)/2)*BL35*BO35*VLOOKUP('Données projet'!$B$11,Paramètres!$A$1:$I$88,3,0)*0.475*44/12</f>
        <v>11.951844132689375</v>
      </c>
      <c r="BS35" s="24">
        <f t="shared" si="9"/>
        <v>19.869255869678756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13.1</v>
      </c>
      <c r="N36" s="14">
        <f>IF('Données projet'!$A$36&gt;35,N35+M36-V35,IF(A36&lt;'Données projet'!$A$36,$K$205^A36,IF(A36='Données projet'!$A$36,'Données projet'!$B$36,N35+M36-V35)))</f>
        <v>75.8</v>
      </c>
      <c r="O36" s="14">
        <f>N36*VLOOKUP('Données projet'!$B$9,Paramètres!$A$1:$I$88,3,0)*VLOOKUP('Données projet'!$B$9,Paramètres!$A$1:$I$88,5,0)</f>
        <v>45.328400000000002</v>
      </c>
      <c r="P36" s="14">
        <f t="shared" si="33"/>
        <v>13.400498088722333</v>
      </c>
      <c r="Q36" s="22">
        <f t="shared" si="53"/>
        <v>102.28616417119139</v>
      </c>
      <c r="R36" s="62">
        <f t="shared" si="0"/>
        <v>395.6194975045247</v>
      </c>
      <c r="S36" s="62">
        <f ca="1">AVERAGE(OFFSET($R$3,0,0,'Données projet'!$E$9+1,1))-AVERAGE(OFFSET($H$3,0,0,'Données projet'!$E$9+1,1))</f>
        <v>190.92799938679798</v>
      </c>
      <c r="T36" s="62">
        <f t="shared" si="34"/>
        <v>172.54286890368337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18.322854105900511</v>
      </c>
      <c r="AB36" s="23">
        <f>EXP(-LN(2)/2)*AB35+(1-EXP(-LN(2)/2))/(LN(2)/2)*V36*Y36*VLOOKUP('Données projet'!$B$9,Paramètres!$A$1:$I$88,3,0)*0.475*44/12</f>
        <v>13.405399364132009</v>
      </c>
      <c r="AC36" s="24">
        <f t="shared" si="3"/>
        <v>31.72825347003252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</v>
      </c>
      <c r="AI36" s="14">
        <f>IF('Données projet'!$A$62&gt;35,AI35+AH36-AQ35,IF(A36&lt;'Données projet'!$A$62,$AF$205^A36,IF(A36='Données projet'!$A$62,'Données projet'!$B$62,AI35+AH36-AQ35)))</f>
        <v>66</v>
      </c>
      <c r="AJ36" s="14">
        <f>AI36*VLOOKUP('Données projet'!$B$10,Paramètres!$A$1:$I$88,3,0)*VLOOKUP('Données projet'!$B$10,Paramètres!$A$1:$I$88,5,0)</f>
        <v>66.924000000000007</v>
      </c>
      <c r="AK36" s="14">
        <f t="shared" si="35"/>
        <v>18.90759204786767</v>
      </c>
      <c r="AL36" s="22">
        <f t="shared" si="4"/>
        <v>149.49002281670286</v>
      </c>
      <c r="AM36" s="62">
        <f t="shared" si="5"/>
        <v>442.82335615003615</v>
      </c>
      <c r="AN36" s="62">
        <f ca="1">AVERAGE(OFFSET($AM$3,0,0,'Données projet'!$E$10+1,1))-AVERAGE(OFFSET($H$3,0,0,'Données projet'!$E$10+1,1))</f>
        <v>95.135996821969457</v>
      </c>
      <c r="AO36" s="62">
        <f t="shared" si="36"/>
        <v>111.83039337220566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3.9666666666666668</v>
      </c>
      <c r="BD36" s="13">
        <f>IF('Données projet'!$A$88&gt;35,BD35+BC36-BL35,IF(A36&lt;'Données projet'!$A$88,$BA$205^A36,IF(A36='Données projet'!$A$88,'Données projet'!$B$88,BD35+BC36-BL35)))</f>
        <v>158.9</v>
      </c>
      <c r="BE36" s="14">
        <f>BD36*VLOOKUP('Données projet'!$B$11,Paramètres!$A$1:$I$88,3,0)*VLOOKUP('Données projet'!$B$11,Paramètres!$A$1:$I$88,5,0)</f>
        <v>143.77271999999999</v>
      </c>
      <c r="BF36" s="14">
        <f t="shared" si="37"/>
        <v>37.159940561996464</v>
      </c>
      <c r="BG36" s="22">
        <f t="shared" si="7"/>
        <v>315.12438381214378</v>
      </c>
      <c r="BH36" s="62">
        <f t="shared" si="8"/>
        <v>608.45771714547709</v>
      </c>
      <c r="BI36" s="62">
        <f ca="1">AVERAGE(OFFSET($BH$3,0,0,'Données projet'!$E$11+1,1))-AVERAGE(OFFSET($H$3,0,0,'Données projet'!$E$11+1,1))</f>
        <v>168.44987180339865</v>
      </c>
      <c r="BJ36" s="62">
        <f t="shared" si="38"/>
        <v>375.85422976031748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7.7009096966828192</v>
      </c>
      <c r="BR36" s="23">
        <f>EXP(-LN(2)/2)*BR35+(1-EXP(-LN(2)/2))/(LN(2)/2)*BL36*BO36*VLOOKUP('Données projet'!$B$11,Paramètres!$A$1:$I$88,3,0)*0.475*44/12</f>
        <v>8.451230033909308</v>
      </c>
      <c r="BS36" s="24">
        <f t="shared" si="9"/>
        <v>16.152139730592125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13.1</v>
      </c>
      <c r="N37" s="14">
        <f>IF('Données projet'!$A$36&gt;35,N36+M37-V36,IF(A37&lt;'Données projet'!$A$36,$K$205^A37,IF(A37='Données projet'!$A$36,'Données projet'!$B$36,N36+M37-V36)))</f>
        <v>88.899999999999991</v>
      </c>
      <c r="O37" s="14">
        <f>N37*VLOOKUP('Données projet'!$B$9,Paramètres!$A$1:$I$88,3,0)*VLOOKUP('Données projet'!$B$9,Paramètres!$A$1:$I$88,5,0)</f>
        <v>53.162199999999999</v>
      </c>
      <c r="P37" s="14">
        <f t="shared" si="33"/>
        <v>15.427474137354887</v>
      </c>
      <c r="Q37" s="22">
        <f t="shared" si="53"/>
        <v>119.46034912255978</v>
      </c>
      <c r="R37" s="62">
        <f t="shared" si="0"/>
        <v>412.79368245589308</v>
      </c>
      <c r="S37" s="62">
        <f ca="1">AVERAGE(OFFSET($R$3,0,0,'Données projet'!$E$9+1,1))-AVERAGE(OFFSET($H$3,0,0,'Données projet'!$E$9+1,1))</f>
        <v>190.92799938679798</v>
      </c>
      <c r="T37" s="62">
        <f t="shared" si="34"/>
        <v>172.54286890368337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17.82181469681764</v>
      </c>
      <c r="AB37" s="23">
        <f>EXP(-LN(2)/2)*AB36+(1-EXP(-LN(2)/2))/(LN(2)/2)*V37*Y37*VLOOKUP('Données projet'!$B$9,Paramètres!$A$1:$I$88,3,0)*0.475*44/12</f>
        <v>9.4790487948915771</v>
      </c>
      <c r="AC37" s="24">
        <f t="shared" si="3"/>
        <v>27.300863491709215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</v>
      </c>
      <c r="AI37" s="14">
        <f>IF('Données projet'!$A$62&gt;35,AI36+AH37-AQ36,IF(A37&lt;'Données projet'!$A$62,$AF$205^A37,IF(A37='Données projet'!$A$62,'Données projet'!$B$62,AI36+AH37-AQ36)))</f>
        <v>68</v>
      </c>
      <c r="AJ37" s="14">
        <f>AI37*VLOOKUP('Données projet'!$B$10,Paramètres!$A$1:$I$88,3,0)*VLOOKUP('Données projet'!$B$10,Paramètres!$A$1:$I$88,5,0)</f>
        <v>68.952000000000012</v>
      </c>
      <c r="AK37" s="14">
        <f t="shared" si="35"/>
        <v>19.412974191553594</v>
      </c>
      <c r="AL37" s="22">
        <f t="shared" si="4"/>
        <v>153.90233005028921</v>
      </c>
      <c r="AM37" s="62">
        <f t="shared" si="5"/>
        <v>447.23566338362252</v>
      </c>
      <c r="AN37" s="62">
        <f ca="1">AVERAGE(OFFSET($AM$3,0,0,'Données projet'!$E$10+1,1))-AVERAGE(OFFSET($H$3,0,0,'Données projet'!$E$10+1,1))</f>
        <v>95.135996821969457</v>
      </c>
      <c r="AO37" s="62">
        <f t="shared" si="36"/>
        <v>111.83039337220566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3.9666666666666668</v>
      </c>
      <c r="BD37" s="13">
        <f>IF('Données projet'!$A$88&gt;35,BD36+BC37-BL36,IF(A37&lt;'Données projet'!$A$88,$BA$205^A37,IF(A37='Données projet'!$A$88,'Données projet'!$B$88,BD36+BC37-BL36)))</f>
        <v>162.86666666666667</v>
      </c>
      <c r="BE37" s="14">
        <f>BD37*VLOOKUP('Données projet'!$B$11,Paramètres!$A$1:$I$88,3,0)*VLOOKUP('Données projet'!$B$11,Paramètres!$A$1:$I$88,5,0)</f>
        <v>147.36176</v>
      </c>
      <c r="BF37" s="14">
        <f t="shared" si="37"/>
        <v>37.978418338046424</v>
      </c>
      <c r="BG37" s="22">
        <f t="shared" si="7"/>
        <v>322.80081060543085</v>
      </c>
      <c r="BH37" s="62">
        <f t="shared" si="8"/>
        <v>616.13414393876417</v>
      </c>
      <c r="BI37" s="62">
        <f ca="1">AVERAGE(OFFSET($BH$3,0,0,'Données projet'!$E$11+1,1))-AVERAGE(OFFSET($H$3,0,0,'Données projet'!$E$11+1,1))</f>
        <v>168.44987180339865</v>
      </c>
      <c r="BJ37" s="62">
        <f t="shared" si="38"/>
        <v>375.85422976031748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7.4903279160537872</v>
      </c>
      <c r="BR37" s="23">
        <f>EXP(-LN(2)/2)*BR36+(1-EXP(-LN(2)/2))/(LN(2)/2)*BL37*BO37*VLOOKUP('Données projet'!$B$11,Paramètres!$A$1:$I$88,3,0)*0.475*44/12</f>
        <v>5.9759220663446877</v>
      </c>
      <c r="BS37" s="24">
        <f t="shared" si="9"/>
        <v>13.466249982398475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13.1</v>
      </c>
      <c r="N38" s="14">
        <f>IF('Données projet'!$A$36&gt;35,N37+M38-V37,IF(A38&lt;'Données projet'!$A$36,$K$205^A38,IF(A38='Données projet'!$A$36,'Données projet'!$B$36,N37+M38-V37)))</f>
        <v>101.99999999999999</v>
      </c>
      <c r="O38" s="14">
        <f>N38*VLOOKUP('Données projet'!$B$9,Paramètres!$A$1:$I$88,3,0)*VLOOKUP('Données projet'!$B$9,Paramètres!$A$1:$I$88,5,0)</f>
        <v>60.995999999999995</v>
      </c>
      <c r="P38" s="14">
        <f t="shared" si="33"/>
        <v>17.419847263429808</v>
      </c>
      <c r="Q38" s="22">
        <f t="shared" si="53"/>
        <v>136.57426731714023</v>
      </c>
      <c r="R38" s="62">
        <f t="shared" si="0"/>
        <v>429.90760065047357</v>
      </c>
      <c r="S38" s="62">
        <f ca="1">AVERAGE(OFFSET($R$3,0,0,'Données projet'!$E$9+1,1))-AVERAGE(OFFSET($H$3,0,0,'Données projet'!$E$9+1,1))</f>
        <v>190.92799938679798</v>
      </c>
      <c r="T38" s="62">
        <f t="shared" si="34"/>
        <v>172.54286890368337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17.334476236724658</v>
      </c>
      <c r="AB38" s="23">
        <f>EXP(-LN(2)/2)*AB37+(1-EXP(-LN(2)/2))/(LN(2)/2)*V38*Y38*VLOOKUP('Données projet'!$B$9,Paramètres!$A$1:$I$88,3,0)*0.475*44/12</f>
        <v>6.7026996820660063</v>
      </c>
      <c r="AC38" s="24">
        <f t="shared" si="3"/>
        <v>24.037175918790666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</v>
      </c>
      <c r="AI38" s="14">
        <f>IF('Données projet'!$A$62&gt;35,AI37+AH38-AQ37,IF(A38&lt;'Données projet'!$A$62,$AF$205^A38,IF(A38='Données projet'!$A$62,'Données projet'!$B$62,AI37+AH38-AQ37)))</f>
        <v>70</v>
      </c>
      <c r="AJ38" s="14">
        <f>AI38*VLOOKUP('Données projet'!$B$10,Paramètres!$A$1:$I$88,3,0)*VLOOKUP('Données projet'!$B$10,Paramètres!$A$1:$I$88,5,0)</f>
        <v>70.98</v>
      </c>
      <c r="AK38" s="14">
        <f t="shared" si="35"/>
        <v>19.916628839746853</v>
      </c>
      <c r="AL38" s="22">
        <f t="shared" si="4"/>
        <v>158.31162856255909</v>
      </c>
      <c r="AM38" s="62">
        <f t="shared" si="5"/>
        <v>451.64496189589238</v>
      </c>
      <c r="AN38" s="62">
        <f ca="1">AVERAGE(OFFSET($AM$3,0,0,'Données projet'!$E$10+1,1))-AVERAGE(OFFSET($H$3,0,0,'Données projet'!$E$10+1,1))</f>
        <v>95.135996821969457</v>
      </c>
      <c r="AO38" s="62">
        <f t="shared" si="36"/>
        <v>111.83039337220566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3.9666666666666668</v>
      </c>
      <c r="BD38" s="13">
        <f>IF('Données projet'!$A$88&gt;35,BD37+BC38-BL37,IF(A38&lt;'Données projet'!$A$88,$BA$205^A38,IF(A38='Données projet'!$A$88,'Données projet'!$B$88,BD37+BC38-BL37)))</f>
        <v>166.83333333333334</v>
      </c>
      <c r="BE38" s="14">
        <f>BD38*VLOOKUP('Données projet'!$B$11,Paramètres!$A$1:$I$88,3,0)*VLOOKUP('Données projet'!$B$11,Paramètres!$A$1:$I$88,5,0)</f>
        <v>150.95080000000002</v>
      </c>
      <c r="BF38" s="14">
        <f t="shared" si="37"/>
        <v>38.794578808597166</v>
      </c>
      <c r="BG38" s="22">
        <f t="shared" si="7"/>
        <v>330.47320142497347</v>
      </c>
      <c r="BH38" s="62">
        <f t="shared" si="8"/>
        <v>623.80653475830673</v>
      </c>
      <c r="BI38" s="62">
        <f ca="1">AVERAGE(OFFSET($BH$3,0,0,'Données projet'!$E$11+1,1))-AVERAGE(OFFSET($H$3,0,0,'Données projet'!$E$11+1,1))</f>
        <v>168.44987180339865</v>
      </c>
      <c r="BJ38" s="62">
        <f t="shared" si="38"/>
        <v>375.85422976031748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7.2855045052900707</v>
      </c>
      <c r="BR38" s="23">
        <f>EXP(-LN(2)/2)*BR37+(1-EXP(-LN(2)/2))/(LN(2)/2)*BL38*BO38*VLOOKUP('Données projet'!$B$11,Paramètres!$A$1:$I$88,3,0)*0.475*44/12</f>
        <v>4.225615016954654</v>
      </c>
      <c r="BS38" s="24">
        <f t="shared" si="9"/>
        <v>11.511119522244725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13.1</v>
      </c>
      <c r="N39" s="14">
        <f>IF('Données projet'!$A$36&gt;35,N38+M39-V38,IF(A39&lt;'Données projet'!$A$36,$K$205^A39,IF(A39='Données projet'!$A$36,'Données projet'!$B$36,N38+M39-V38)))</f>
        <v>115.09999999999998</v>
      </c>
      <c r="O39" s="14">
        <f>N39*VLOOKUP('Données projet'!$B$9,Paramètres!$A$1:$I$88,3,0)*VLOOKUP('Données projet'!$B$9,Paramètres!$A$1:$I$88,5,0)</f>
        <v>68.829799999999992</v>
      </c>
      <c r="P39" s="14">
        <f t="shared" si="33"/>
        <v>19.38257115616257</v>
      </c>
      <c r="Q39" s="22">
        <f t="shared" si="53"/>
        <v>153.63654643031646</v>
      </c>
      <c r="R39" s="62">
        <f t="shared" si="0"/>
        <v>446.96987976364977</v>
      </c>
      <c r="S39" s="62">
        <f ca="1">AVERAGE(OFFSET($R$3,0,0,'Données projet'!$E$9+1,1))-AVERAGE(OFFSET($H$3,0,0,'Données projet'!$E$9+1,1))</f>
        <v>190.92799938679798</v>
      </c>
      <c r="T39" s="62">
        <f t="shared" si="34"/>
        <v>172.54286890368337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16.860464072450934</v>
      </c>
      <c r="AB39" s="23">
        <f>EXP(-LN(2)/2)*AB38+(1-EXP(-LN(2)/2))/(LN(2)/2)*V39*Y39*VLOOKUP('Données projet'!$B$9,Paramètres!$A$1:$I$88,3,0)*0.475*44/12</f>
        <v>4.7395243974457895</v>
      </c>
      <c r="AC39" s="24">
        <f t="shared" si="3"/>
        <v>21.599988469896722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</v>
      </c>
      <c r="AI39" s="14">
        <f>IF('Données projet'!$A$62&gt;35,AI38+AH39-AQ38,IF(A39&lt;'Données projet'!$A$62,$AF$205^A39,IF(A39='Données projet'!$A$62,'Données projet'!$B$62,AI38+AH39-AQ38)))</f>
        <v>72</v>
      </c>
      <c r="AJ39" s="14">
        <f>AI39*VLOOKUP('Données projet'!$B$10,Paramètres!$A$1:$I$88,3,0)*VLOOKUP('Données projet'!$B$10,Paramètres!$A$1:$I$88,5,0)</f>
        <v>73.00800000000001</v>
      </c>
      <c r="AK39" s="14">
        <f t="shared" si="35"/>
        <v>20.418611018263636</v>
      </c>
      <c r="AL39" s="22">
        <f t="shared" si="4"/>
        <v>162.7180141901425</v>
      </c>
      <c r="AM39" s="62">
        <f t="shared" si="5"/>
        <v>456.05134752347578</v>
      </c>
      <c r="AN39" s="62">
        <f ca="1">AVERAGE(OFFSET($AM$3,0,0,'Données projet'!$E$10+1,1))-AVERAGE(OFFSET($H$3,0,0,'Données projet'!$E$10+1,1))</f>
        <v>95.135996821969457</v>
      </c>
      <c r="AO39" s="62">
        <f t="shared" si="36"/>
        <v>111.83039337220566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3.9666666666666668</v>
      </c>
      <c r="BD39" s="13">
        <f>IF('Données projet'!$A$88&gt;35,BD38+BC39-BL38,IF(A39&lt;'Données projet'!$A$88,$BA$205^A39,IF(A39='Données projet'!$A$88,'Données projet'!$B$88,BD38+BC39-BL38)))</f>
        <v>170.8</v>
      </c>
      <c r="BE39" s="14">
        <f>BD39*VLOOKUP('Données projet'!$B$11,Paramètres!$A$1:$I$88,3,0)*VLOOKUP('Données projet'!$B$11,Paramètres!$A$1:$I$88,5,0)</f>
        <v>154.53984</v>
      </c>
      <c r="BF39" s="14">
        <f t="shared" si="37"/>
        <v>39.608483410353038</v>
      </c>
      <c r="BG39" s="22">
        <f t="shared" si="7"/>
        <v>338.14166327303155</v>
      </c>
      <c r="BH39" s="62">
        <f t="shared" si="8"/>
        <v>631.47499660636481</v>
      </c>
      <c r="BI39" s="62">
        <f ca="1">AVERAGE(OFFSET($BH$3,0,0,'Données projet'!$E$11+1,1))-AVERAGE(OFFSET($H$3,0,0,'Données projet'!$E$11+1,1))</f>
        <v>168.44987180339865</v>
      </c>
      <c r="BJ39" s="62">
        <f t="shared" si="38"/>
        <v>375.85422976031748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7.0862820014648831</v>
      </c>
      <c r="BR39" s="23">
        <f>EXP(-LN(2)/2)*BR38+(1-EXP(-LN(2)/2))/(LN(2)/2)*BL39*BO39*VLOOKUP('Données projet'!$B$11,Paramètres!$A$1:$I$88,3,0)*0.475*44/12</f>
        <v>2.9879610331723438</v>
      </c>
      <c r="BS39" s="24">
        <f t="shared" si="9"/>
        <v>10.074243034637227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13.1</v>
      </c>
      <c r="N40" s="14">
        <f>IF('Données projet'!$A$36&gt;35,N39+M40-V39,IF(A40&lt;'Données projet'!$A$36,$K$205^A40,IF(A40='Données projet'!$A$36,'Données projet'!$B$36,N39+M40-V39)))</f>
        <v>128.19999999999999</v>
      </c>
      <c r="O40" s="14">
        <f>N40*VLOOKUP('Données projet'!$B$9,Paramètres!$A$1:$I$88,3,0)*VLOOKUP('Données projet'!$B$9,Paramètres!$A$1:$I$88,5,0)</f>
        <v>76.663599999999988</v>
      </c>
      <c r="P40" s="14">
        <f t="shared" si="33"/>
        <v>21.319405502068378</v>
      </c>
      <c r="Q40" s="22">
        <f t="shared" si="53"/>
        <v>170.65373458276906</v>
      </c>
      <c r="R40" s="62">
        <f t="shared" si="0"/>
        <v>463.98706791610238</v>
      </c>
      <c r="S40" s="62">
        <f ca="1">AVERAGE(OFFSET($R$3,0,0,'Données projet'!$E$9+1,1))-AVERAGE(OFFSET($H$3,0,0,'Données projet'!$E$9+1,1))</f>
        <v>190.92799938679798</v>
      </c>
      <c r="T40" s="62">
        <f t="shared" si="34"/>
        <v>172.54286890368337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16.399413795736493</v>
      </c>
      <c r="AB40" s="23">
        <f>EXP(-LN(2)/2)*AB39+(1-EXP(-LN(2)/2))/(LN(2)/2)*V40*Y40*VLOOKUP('Données projet'!$B$9,Paramètres!$A$1:$I$88,3,0)*0.475*44/12</f>
        <v>3.3513498410330036</v>
      </c>
      <c r="AC40" s="24">
        <f t="shared" si="3"/>
        <v>19.750763636769495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</v>
      </c>
      <c r="AI40" s="14">
        <f>IF('Données projet'!$A$62&gt;35,AI39+AH40-AQ39,IF(A40&lt;'Données projet'!$A$62,$AF$205^A40,IF(A40='Données projet'!$A$62,'Données projet'!$B$62,AI39+AH40-AQ39)))</f>
        <v>74</v>
      </c>
      <c r="AJ40" s="14">
        <f>AI40*VLOOKUP('Données projet'!$B$10,Paramètres!$A$1:$I$88,3,0)*VLOOKUP('Données projet'!$B$10,Paramètres!$A$1:$I$88,5,0)</f>
        <v>75.036000000000001</v>
      </c>
      <c r="AK40" s="14">
        <f t="shared" si="35"/>
        <v>20.918972521981534</v>
      </c>
      <c r="AL40" s="22">
        <f t="shared" si="4"/>
        <v>167.12157714245117</v>
      </c>
      <c r="AM40" s="62">
        <f t="shared" si="5"/>
        <v>460.45491047578446</v>
      </c>
      <c r="AN40" s="62">
        <f ca="1">AVERAGE(OFFSET($AM$3,0,0,'Données projet'!$E$10+1,1))-AVERAGE(OFFSET($H$3,0,0,'Données projet'!$E$10+1,1))</f>
        <v>95.135996821969457</v>
      </c>
      <c r="AO40" s="62">
        <f t="shared" si="36"/>
        <v>111.83039337220566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3.9666666666666668</v>
      </c>
      <c r="BD40" s="13">
        <f>IF('Données projet'!$A$88&gt;35,BD39+BC40-BL39,IF(A40&lt;'Données projet'!$A$88,$BA$205^A40,IF(A40='Données projet'!$A$88,'Données projet'!$B$88,BD39+BC40-BL39)))</f>
        <v>174.76666666666668</v>
      </c>
      <c r="BE40" s="14">
        <f>BD40*VLOOKUP('Données projet'!$B$11,Paramètres!$A$1:$I$88,3,0)*VLOOKUP('Données projet'!$B$11,Paramètres!$A$1:$I$88,5,0)</f>
        <v>158.12888000000001</v>
      </c>
      <c r="BF40" s="14">
        <f t="shared" si="37"/>
        <v>40.420190563582295</v>
      </c>
      <c r="BG40" s="22">
        <f t="shared" si="7"/>
        <v>345.80629789823917</v>
      </c>
      <c r="BH40" s="62">
        <f t="shared" si="8"/>
        <v>639.13963123157248</v>
      </c>
      <c r="BI40" s="62">
        <f ca="1">AVERAGE(OFFSET($BH$3,0,0,'Données projet'!$E$11+1,1))-AVERAGE(OFFSET($H$3,0,0,'Données projet'!$E$11+1,1))</f>
        <v>168.44987180339865</v>
      </c>
      <c r="BJ40" s="62">
        <f t="shared" si="38"/>
        <v>375.85422976031748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6.8925072474834517</v>
      </c>
      <c r="BR40" s="23">
        <f>EXP(-LN(2)/2)*BR39+(1-EXP(-LN(2)/2))/(LN(2)/2)*BL40*BO40*VLOOKUP('Données projet'!$B$11,Paramètres!$A$1:$I$88,3,0)*0.475*44/12</f>
        <v>2.112807508477327</v>
      </c>
      <c r="BS40" s="24">
        <f t="shared" si="9"/>
        <v>9.0053147559607787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13.1</v>
      </c>
      <c r="N41" s="14">
        <f>IF('Données projet'!$A$36&gt;35,N40+M41-V40,IF(A41&lt;'Données projet'!$A$36,$K$205^A41,IF(A41='Données projet'!$A$36,'Données projet'!$B$36,N40+M41-V40)))</f>
        <v>141.29999999999998</v>
      </c>
      <c r="O41" s="14">
        <f>N41*VLOOKUP('Données projet'!$B$9,Paramètres!$A$1:$I$88,3,0)*VLOOKUP('Données projet'!$B$9,Paramètres!$A$1:$I$88,5,0)</f>
        <v>84.497399999999985</v>
      </c>
      <c r="P41" s="14">
        <f t="shared" si="33"/>
        <v>23.233297055773296</v>
      </c>
      <c r="Q41" s="22">
        <f t="shared" si="53"/>
        <v>187.6309640388051</v>
      </c>
      <c r="R41" s="62">
        <f t="shared" si="0"/>
        <v>480.96429737213839</v>
      </c>
      <c r="S41" s="62">
        <f ca="1">AVERAGE(OFFSET($R$3,0,0,'Données projet'!$E$9+1,1))-AVERAGE(OFFSET($H$3,0,0,'Données projet'!$E$9+1,1))</f>
        <v>190.92799938679798</v>
      </c>
      <c r="T41" s="62">
        <f t="shared" si="34"/>
        <v>172.54286890368337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15.950970963084389</v>
      </c>
      <c r="AB41" s="23">
        <f>EXP(-LN(2)/2)*AB40+(1-EXP(-LN(2)/2))/(LN(2)/2)*V41*Y41*VLOOKUP('Données projet'!$B$9,Paramètres!$A$1:$I$88,3,0)*0.475*44/12</f>
        <v>2.3697621987228952</v>
      </c>
      <c r="AC41" s="24">
        <f t="shared" si="3"/>
        <v>18.320733161807283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</v>
      </c>
      <c r="AI41" s="14">
        <f>IF('Données projet'!$A$62&gt;35,AI40+AH41-AQ40,IF(A41&lt;'Données projet'!$A$62,$AF$205^A41,IF(A41='Données projet'!$A$62,'Données projet'!$B$62,AI40+AH41-AQ40)))</f>
        <v>76</v>
      </c>
      <c r="AJ41" s="14">
        <f>AI41*VLOOKUP('Données projet'!$B$10,Paramètres!$A$1:$I$88,3,0)*VLOOKUP('Données projet'!$B$10,Paramètres!$A$1:$I$88,5,0)</f>
        <v>77.064000000000007</v>
      </c>
      <c r="AK41" s="14">
        <f t="shared" si="35"/>
        <v>21.417762186678065</v>
      </c>
      <c r="AL41" s="22">
        <f t="shared" si="4"/>
        <v>171.52240247513097</v>
      </c>
      <c r="AM41" s="62">
        <f t="shared" si="5"/>
        <v>464.85573580846426</v>
      </c>
      <c r="AN41" s="62">
        <f ca="1">AVERAGE(OFFSET($AM$3,0,0,'Données projet'!$E$10+1,1))-AVERAGE(OFFSET($H$3,0,0,'Données projet'!$E$10+1,1))</f>
        <v>95.135996821969457</v>
      </c>
      <c r="AO41" s="62">
        <f t="shared" si="36"/>
        <v>111.83039337220566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3.9666666666666668</v>
      </c>
      <c r="BD41" s="13">
        <f>IF('Données projet'!$A$88&gt;35,BD40+BC41-BL40,IF(A41&lt;'Données projet'!$A$88,$BA$205^A41,IF(A41='Données projet'!$A$88,'Données projet'!$B$88,BD40+BC41-BL40)))</f>
        <v>178.73333333333335</v>
      </c>
      <c r="BE41" s="14">
        <f>BD41*VLOOKUP('Données projet'!$B$11,Paramètres!$A$1:$I$88,3,0)*VLOOKUP('Données projet'!$B$11,Paramètres!$A$1:$I$88,5,0)</f>
        <v>161.71792000000002</v>
      </c>
      <c r="BF41" s="14">
        <f t="shared" si="37"/>
        <v>41.229755885269732</v>
      </c>
      <c r="BG41" s="22">
        <f t="shared" si="7"/>
        <v>353.4672021668448</v>
      </c>
      <c r="BH41" s="62">
        <f t="shared" si="8"/>
        <v>646.80053550017806</v>
      </c>
      <c r="BI41" s="62">
        <f ca="1">AVERAGE(OFFSET($BH$3,0,0,'Données projet'!$E$11+1,1))-AVERAGE(OFFSET($H$3,0,0,'Données projet'!$E$11+1,1))</f>
        <v>168.44987180339865</v>
      </c>
      <c r="BJ41" s="62">
        <f t="shared" si="38"/>
        <v>375.85422976031748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6.7040312743398136</v>
      </c>
      <c r="BR41" s="23">
        <f>EXP(-LN(2)/2)*BR40+(1-EXP(-LN(2)/2))/(LN(2)/2)*BL41*BO41*VLOOKUP('Données projet'!$B$11,Paramètres!$A$1:$I$88,3,0)*0.475*44/12</f>
        <v>1.4939805165861719</v>
      </c>
      <c r="BS41" s="24">
        <f t="shared" si="9"/>
        <v>8.1980117909259853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</v>
      </c>
      <c r="N42" s="14">
        <f>IF('Données projet'!$A$36&gt;35,N41+M42-V41,IF(A42&lt;'Données projet'!$A$36,$K$205^A42,IF(A42='Données projet'!$A$36,'Données projet'!$B$36,N41+M42-V41)))</f>
        <v>154.39999999999998</v>
      </c>
      <c r="O42" s="14">
        <f>N42*VLOOKUP('Données projet'!$B$9,Paramètres!$A$1:$I$88,3,0)*VLOOKUP('Données projet'!$B$9,Paramètres!$A$1:$I$88,5,0)</f>
        <v>92.331199999999981</v>
      </c>
      <c r="P42" s="14">
        <f t="shared" si="33"/>
        <v>25.126614792375239</v>
      </c>
      <c r="Q42" s="22">
        <f t="shared" si="53"/>
        <v>204.5723607633868</v>
      </c>
      <c r="R42" s="62">
        <f t="shared" si="0"/>
        <v>497.90569409672014</v>
      </c>
      <c r="S42" s="62">
        <f ca="1">AVERAGE(OFFSET($R$3,0,0,'Données projet'!$E$9+1,1))-AVERAGE(OFFSET($H$3,0,0,'Données projet'!$E$9+1,1))</f>
        <v>190.92799938679798</v>
      </c>
      <c r="T42" s="62">
        <f t="shared" si="34"/>
        <v>172.54286890368337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15.51479082327374</v>
      </c>
      <c r="AB42" s="23">
        <f>EXP(-LN(2)/2)*AB41+(1-EXP(-LN(2)/2))/(LN(2)/2)*V42*Y42*VLOOKUP('Données projet'!$B$9,Paramètres!$A$1:$I$88,3,0)*0.475*44/12</f>
        <v>1.675674920516502</v>
      </c>
      <c r="AC42" s="24">
        <f t="shared" si="3"/>
        <v>17.190465743790242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</v>
      </c>
      <c r="AI42" s="14">
        <f>IF('Données projet'!$A$62&gt;35,AI41+AH42-AQ41,IF(A42&lt;'Données projet'!$A$62,$AF$205^A42,IF(A42='Données projet'!$A$62,'Données projet'!$B$62,AI41+AH42-AQ41)))</f>
        <v>78</v>
      </c>
      <c r="AJ42" s="14">
        <f>AI42*VLOOKUP('Données projet'!$B$10,Paramètres!$A$1:$I$88,3,0)*VLOOKUP('Données projet'!$B$10,Paramètres!$A$1:$I$88,5,0)</f>
        <v>79.092000000000013</v>
      </c>
      <c r="AK42" s="14">
        <f t="shared" si="35"/>
        <v>21.915026131450009</v>
      </c>
      <c r="AL42" s="22">
        <f t="shared" si="4"/>
        <v>175.92057051227542</v>
      </c>
      <c r="AM42" s="62">
        <f t="shared" si="5"/>
        <v>469.25390384560876</v>
      </c>
      <c r="AN42" s="62">
        <f ca="1">AVERAGE(OFFSET($AM$3,0,0,'Données projet'!$E$10+1,1))-AVERAGE(OFFSET($H$3,0,0,'Données projet'!$E$10+1,1))</f>
        <v>95.135996821969457</v>
      </c>
      <c r="AO42" s="62">
        <f t="shared" si="36"/>
        <v>111.83039337220566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3.9666666666666668</v>
      </c>
      <c r="BD42" s="13">
        <f>IF('Données projet'!$A$88&gt;35,BD41+BC42-BL41,IF(A42&lt;'Données projet'!$A$88,$BA$205^A42,IF(A42='Données projet'!$A$88,'Données projet'!$B$88,BD41+BC42-BL41)))</f>
        <v>182.70000000000002</v>
      </c>
      <c r="BE42" s="14">
        <f>BD42*VLOOKUP('Données projet'!$B$11,Paramètres!$A$1:$I$88,3,0)*VLOOKUP('Données projet'!$B$11,Paramètres!$A$1:$I$88,5,0)</f>
        <v>165.30696000000003</v>
      </c>
      <c r="BF42" s="14">
        <f t="shared" si="37"/>
        <v>42.037232382813684</v>
      </c>
      <c r="BG42" s="22">
        <f t="shared" si="7"/>
        <v>361.1244684000672</v>
      </c>
      <c r="BH42" s="62">
        <f t="shared" si="8"/>
        <v>654.45780173340052</v>
      </c>
      <c r="BI42" s="62">
        <f ca="1">AVERAGE(OFFSET($BH$3,0,0,'Données projet'!$E$11+1,1))-AVERAGE(OFFSET($H$3,0,0,'Données projet'!$E$11+1,1))</f>
        <v>168.44987180339865</v>
      </c>
      <c r="BJ42" s="62">
        <f t="shared" si="38"/>
        <v>375.85422976031748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6.5207091865933089</v>
      </c>
      <c r="BR42" s="23">
        <f>EXP(-LN(2)/2)*BR41+(1-EXP(-LN(2)/2))/(LN(2)/2)*BL42*BO42*VLOOKUP('Données projet'!$B$11,Paramètres!$A$1:$I$88,3,0)*0.475*44/12</f>
        <v>1.0564037542386635</v>
      </c>
      <c r="BS42" s="24">
        <f t="shared" si="9"/>
        <v>7.577112940831972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13.1</v>
      </c>
      <c r="N43" s="14">
        <f>IF('Données projet'!$A$36&gt;35,N42+M43-V42,IF(A43&lt;'Données projet'!$A$36,$K$205^A43,IF(A43='Données projet'!$A$36,'Données projet'!$B$36,N42+M43-V42)))</f>
        <v>167.49999999999997</v>
      </c>
      <c r="O43" s="14">
        <f>N43*VLOOKUP('Données projet'!$B$9,Paramètres!$A$1:$I$88,3,0)*VLOOKUP('Données projet'!$B$9,Paramètres!$A$1:$I$88,5,0)</f>
        <v>100.16500000000001</v>
      </c>
      <c r="P43" s="14">
        <f t="shared" si="33"/>
        <v>27.001302750531593</v>
      </c>
      <c r="Q43" s="22">
        <f t="shared" si="53"/>
        <v>221.48131062384252</v>
      </c>
      <c r="R43" s="62">
        <f t="shared" si="0"/>
        <v>514.8146439571758</v>
      </c>
      <c r="S43" s="62">
        <f ca="1">AVERAGE(OFFSET($R$3,0,0,'Données projet'!$E$9+1,1))-AVERAGE(OFFSET($H$3,0,0,'Données projet'!$E$9+1,1))</f>
        <v>190.92799938679798</v>
      </c>
      <c r="T43" s="62">
        <f t="shared" si="34"/>
        <v>172.54286890368337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15.090538052323931</v>
      </c>
      <c r="AB43" s="23">
        <f>EXP(-LN(2)/2)*AB42+(1-EXP(-LN(2)/2))/(LN(2)/2)*V43*Y43*VLOOKUP('Données projet'!$B$9,Paramètres!$A$1:$I$88,3,0)*0.475*44/12</f>
        <v>1.1848810993614476</v>
      </c>
      <c r="AC43" s="24">
        <f t="shared" si="3"/>
        <v>16.275419151685377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</v>
      </c>
      <c r="AI43" s="14">
        <f>IF('Données projet'!$A$62&gt;35,AI42+AH43-AQ42,IF(A43&lt;'Données projet'!$A$62,$AF$205^A43,IF(A43='Données projet'!$A$62,'Données projet'!$B$62,AI42+AH43-AQ42)))</f>
        <v>80</v>
      </c>
      <c r="AJ43" s="14">
        <f>AI43*VLOOKUP('Données projet'!$B$10,Paramètres!$A$1:$I$88,3,0)*VLOOKUP('Données projet'!$B$10,Paramètres!$A$1:$I$88,5,0)</f>
        <v>81.12</v>
      </c>
      <c r="AK43" s="14">
        <f t="shared" si="35"/>
        <v>22.410807975569174</v>
      </c>
      <c r="AL43" s="22">
        <f t="shared" si="4"/>
        <v>180.31615722411632</v>
      </c>
      <c r="AM43" s="62">
        <f t="shared" si="5"/>
        <v>473.64949055744967</v>
      </c>
      <c r="AN43" s="62">
        <f ca="1">AVERAGE(OFFSET($AM$3,0,0,'Données projet'!$E$10+1,1))-AVERAGE(OFFSET($H$3,0,0,'Données projet'!$E$10+1,1))</f>
        <v>95.135996821969457</v>
      </c>
      <c r="AO43" s="62">
        <f t="shared" si="36"/>
        <v>111.83039337220566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3.9666666666666668</v>
      </c>
      <c r="BD43" s="13">
        <f>IF('Données projet'!$A$88&gt;35,BD42+BC43-BL42,IF(A43&lt;'Données projet'!$A$88,$BA$205^A43,IF(A43='Données projet'!$A$88,'Données projet'!$B$88,BD42+BC43-BL42)))</f>
        <v>186.66666666666669</v>
      </c>
      <c r="BE43" s="14">
        <f>BD43*VLOOKUP('Données projet'!$B$11,Paramètres!$A$1:$I$88,3,0)*VLOOKUP('Données projet'!$B$11,Paramètres!$A$1:$I$88,5,0)</f>
        <v>168.89600000000002</v>
      </c>
      <c r="BF43" s="14">
        <f t="shared" si="37"/>
        <v>42.842670630426674</v>
      </c>
      <c r="BG43" s="22">
        <f t="shared" si="7"/>
        <v>368.77818468132654</v>
      </c>
      <c r="BH43" s="62">
        <f t="shared" si="8"/>
        <v>662.11151801465985</v>
      </c>
      <c r="BI43" s="62">
        <f ca="1">AVERAGE(OFFSET($BH$3,0,0,'Données projet'!$E$11+1,1))-AVERAGE(OFFSET($H$3,0,0,'Données projet'!$E$11+1,1))</f>
        <v>168.44987180339865</v>
      </c>
      <c r="BJ43" s="62">
        <f t="shared" si="38"/>
        <v>375.85422976031748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6.342400050976722</v>
      </c>
      <c r="BR43" s="23">
        <f>EXP(-LN(2)/2)*BR42+(1-EXP(-LN(2)/2))/(LN(2)/2)*BL43*BO43*VLOOKUP('Données projet'!$B$11,Paramètres!$A$1:$I$88,3,0)*0.475*44/12</f>
        <v>0.74699025829308596</v>
      </c>
      <c r="BS43" s="24">
        <f t="shared" si="9"/>
        <v>7.0893903092698078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</v>
      </c>
      <c r="N44" s="14">
        <f>IF('Données projet'!$A$36&gt;35,N43+M44-V43,IF(A44&lt;'Données projet'!$A$36,$K$205^A44,IF(A44='Données projet'!$A$36,'Données projet'!$B$36,N43+M44-V43)))</f>
        <v>180.59999999999997</v>
      </c>
      <c r="O44" s="14">
        <f>N44*VLOOKUP('Données projet'!$B$9,Paramètres!$A$1:$I$88,3,0)*VLOOKUP('Données projet'!$B$9,Paramètres!$A$1:$I$88,5,0)</f>
        <v>107.99879999999999</v>
      </c>
      <c r="P44" s="14">
        <f t="shared" si="33"/>
        <v>28.858983600701585</v>
      </c>
      <c r="Q44" s="22">
        <f t="shared" si="53"/>
        <v>238.36063977122186</v>
      </c>
      <c r="R44" s="62">
        <f t="shared" si="0"/>
        <v>531.6939731045552</v>
      </c>
      <c r="S44" s="62">
        <f ca="1">AVERAGE(OFFSET($R$3,0,0,'Données projet'!$E$9+1,1))-AVERAGE(OFFSET($H$3,0,0,'Données projet'!$E$9+1,1))</f>
        <v>190.92799938679798</v>
      </c>
      <c r="T44" s="62">
        <f t="shared" si="34"/>
        <v>172.54286890368337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14.677886495706227</v>
      </c>
      <c r="AB44" s="23">
        <f>EXP(-LN(2)/2)*AB43+(1-EXP(-LN(2)/2))/(LN(2)/2)*V44*Y44*VLOOKUP('Données projet'!$B$9,Paramètres!$A$1:$I$88,3,0)*0.475*44/12</f>
        <v>0.83783746025825101</v>
      </c>
      <c r="AC44" s="24">
        <f t="shared" si="3"/>
        <v>15.515723955964479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</v>
      </c>
      <c r="AI44" s="14">
        <f>IF('Données projet'!$A$62&gt;35,AI43+AH44-AQ43,IF(A44&lt;'Données projet'!$A$62,$AF$205^A44,IF(A44='Données projet'!$A$62,'Données projet'!$B$62,AI43+AH44-AQ43)))</f>
        <v>82</v>
      </c>
      <c r="AJ44" s="14">
        <f>AI44*VLOOKUP('Données projet'!$B$10,Paramètres!$A$1:$I$88,3,0)*VLOOKUP('Données projet'!$B$10,Paramètres!$A$1:$I$88,5,0)</f>
        <v>83.14800000000001</v>
      </c>
      <c r="AK44" s="14">
        <f t="shared" si="35"/>
        <v>22.905149033042591</v>
      </c>
      <c r="AL44" s="22">
        <f t="shared" si="4"/>
        <v>184.70923456588253</v>
      </c>
      <c r="AM44" s="62">
        <f t="shared" si="5"/>
        <v>478.04256789921584</v>
      </c>
      <c r="AN44" s="62">
        <f ca="1">AVERAGE(OFFSET($AM$3,0,0,'Données projet'!$E$10+1,1))-AVERAGE(OFFSET($H$3,0,0,'Données projet'!$E$10+1,1))</f>
        <v>95.135996821969457</v>
      </c>
      <c r="AO44" s="62">
        <f t="shared" si="36"/>
        <v>111.83039337220566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3.9666666666666668</v>
      </c>
      <c r="BD44" s="13">
        <f>IF('Données projet'!$A$88&gt;35,BD43+BC44-BL43,IF(A44&lt;'Données projet'!$A$88,$BA$205^A44,IF(A44='Données projet'!$A$88,'Données projet'!$B$88,BD43+BC44-BL43)))</f>
        <v>190.63333333333335</v>
      </c>
      <c r="BE44" s="14">
        <f>BD44*VLOOKUP('Données projet'!$B$11,Paramètres!$A$1:$I$88,3,0)*VLOOKUP('Données projet'!$B$11,Paramètres!$A$1:$I$88,5,0)</f>
        <v>172.48504000000003</v>
      </c>
      <c r="BF44" s="14">
        <f t="shared" si="37"/>
        <v>43.646118930119009</v>
      </c>
      <c r="BG44" s="22">
        <f t="shared" si="7"/>
        <v>376.42843513662393</v>
      </c>
      <c r="BH44" s="62">
        <f t="shared" si="8"/>
        <v>669.76176846995725</v>
      </c>
      <c r="BI44" s="62">
        <f ca="1">AVERAGE(OFFSET($BH$3,0,0,'Données projet'!$E$11+1,1))-AVERAGE(OFFSET($H$3,0,0,'Données projet'!$E$11+1,1))</f>
        <v>168.44987180339865</v>
      </c>
      <c r="BJ44" s="62">
        <f t="shared" si="38"/>
        <v>375.85422976031748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6.1689667880504402</v>
      </c>
      <c r="BR44" s="23">
        <f>EXP(-LN(2)/2)*BR43+(1-EXP(-LN(2)/2))/(LN(2)/2)*BL44*BO44*VLOOKUP('Données projet'!$B$11,Paramètres!$A$1:$I$88,3,0)*0.475*44/12</f>
        <v>0.52820187711933175</v>
      </c>
      <c r="BS44" s="24">
        <f t="shared" si="9"/>
        <v>6.6971686651697722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13.1</v>
      </c>
      <c r="N45" s="14">
        <f>IF('Données projet'!$A$36&gt;35,N44+M45-V44,IF(A45&lt;'Données projet'!$A$36,$K$205^A45,IF(A45='Données projet'!$A$36,'Données projet'!$B$36,N44+M45-V44)))</f>
        <v>193.69999999999996</v>
      </c>
      <c r="O45" s="14">
        <f>N45*VLOOKUP('Données projet'!$B$9,Paramètres!$A$1:$I$88,3,0)*VLOOKUP('Données projet'!$B$9,Paramètres!$A$1:$I$88,5,0)</f>
        <v>115.83259999999999</v>
      </c>
      <c r="P45" s="14">
        <f t="shared" si="33"/>
        <v>30.701031264271492</v>
      </c>
      <c r="Q45" s="22">
        <f t="shared" si="53"/>
        <v>255.21274111860615</v>
      </c>
      <c r="R45" s="62">
        <f t="shared" si="0"/>
        <v>548.54607445193949</v>
      </c>
      <c r="S45" s="62">
        <f ca="1">AVERAGE(OFFSET($R$3,0,0,'Données projet'!$E$9+1,1))-AVERAGE(OFFSET($H$3,0,0,'Données projet'!$E$9+1,1))</f>
        <v>190.92799938679798</v>
      </c>
      <c r="T45" s="62">
        <f t="shared" si="34"/>
        <v>172.54286890368337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14.276518917604637</v>
      </c>
      <c r="AB45" s="23">
        <f>EXP(-LN(2)/2)*AB44+(1-EXP(-LN(2)/2))/(LN(2)/2)*V45*Y45*VLOOKUP('Données projet'!$B$9,Paramètres!$A$1:$I$88,3,0)*0.475*44/12</f>
        <v>0.59244054968072379</v>
      </c>
      <c r="AC45" s="24">
        <f t="shared" si="3"/>
        <v>14.868959467285361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</v>
      </c>
      <c r="AI45" s="14">
        <f>IF('Données projet'!$A$62&gt;35,AI44+AH45-AQ44,IF(A45&lt;'Données projet'!$A$62,$AF$205^A45,IF(A45='Données projet'!$A$62,'Données projet'!$B$62,AI44+AH45-AQ44)))</f>
        <v>84</v>
      </c>
      <c r="AJ45" s="14">
        <f>AI45*VLOOKUP('Données projet'!$B$10,Paramètres!$A$1:$I$88,3,0)*VLOOKUP('Données projet'!$B$10,Paramètres!$A$1:$I$88,5,0)</f>
        <v>85.176000000000002</v>
      </c>
      <c r="AK45" s="14">
        <f t="shared" si="35"/>
        <v>23.398088487656441</v>
      </c>
      <c r="AL45" s="22">
        <f t="shared" si="4"/>
        <v>189.09987078266829</v>
      </c>
      <c r="AM45" s="62">
        <f t="shared" si="5"/>
        <v>482.4332041160016</v>
      </c>
      <c r="AN45" s="62">
        <f ca="1">AVERAGE(OFFSET($AM$3,0,0,'Données projet'!$E$10+1,1))-AVERAGE(OFFSET($H$3,0,0,'Données projet'!$E$10+1,1))</f>
        <v>95.135996821969457</v>
      </c>
      <c r="AO45" s="62">
        <f t="shared" si="36"/>
        <v>111.83039337220566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3.9666666666666668</v>
      </c>
      <c r="BD45" s="13">
        <f>IF('Données projet'!$A$88&gt;35,BD44+BC45-BL44,IF(A45&lt;'Données projet'!$A$88,$BA$205^A45,IF(A45='Données projet'!$A$88,'Données projet'!$B$88,BD44+BC45-BL44)))</f>
        <v>194.60000000000002</v>
      </c>
      <c r="BE45" s="14">
        <f>BD45*VLOOKUP('Données projet'!$B$11,Paramètres!$A$1:$I$88,3,0)*VLOOKUP('Données projet'!$B$11,Paramètres!$A$1:$I$88,5,0)</f>
        <v>176.07408000000001</v>
      </c>
      <c r="BF45" s="14">
        <f t="shared" si="37"/>
        <v>44.447623458905149</v>
      </c>
      <c r="BG45" s="22">
        <f t="shared" si="7"/>
        <v>384.0753001909265</v>
      </c>
      <c r="BH45" s="62">
        <f t="shared" si="8"/>
        <v>677.40863352425981</v>
      </c>
      <c r="BI45" s="62">
        <f ca="1">AVERAGE(OFFSET($BH$3,0,0,'Données projet'!$E$11+1,1))-AVERAGE(OFFSET($H$3,0,0,'Données projet'!$E$11+1,1))</f>
        <v>168.44987180339865</v>
      </c>
      <c r="BJ45" s="62">
        <f t="shared" si="38"/>
        <v>375.85422976031748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6.0002760668193371</v>
      </c>
      <c r="BR45" s="23">
        <f>EXP(-LN(2)/2)*BR44+(1-EXP(-LN(2)/2))/(LN(2)/2)*BL45*BO45*VLOOKUP('Données projet'!$B$11,Paramètres!$A$1:$I$88,3,0)*0.475*44/12</f>
        <v>0.37349512914654298</v>
      </c>
      <c r="BS45" s="24">
        <f t="shared" si="9"/>
        <v>6.3737711959658805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13.1</v>
      </c>
      <c r="N46" s="14">
        <f>IF('Données projet'!$A$36&gt;35,N45+M46-V45,IF(A46&lt;'Données projet'!$A$36,$K$205^A46,IF(A46='Données projet'!$A$36,'Données projet'!$B$36,N45+M46-V45)))</f>
        <v>206.79999999999995</v>
      </c>
      <c r="O46" s="14">
        <f>N46*VLOOKUP('Données projet'!$B$9,Paramètres!$A$1:$I$88,3,0)*VLOOKUP('Données projet'!$B$9,Paramètres!$A$1:$I$88,5,0)</f>
        <v>123.66639999999998</v>
      </c>
      <c r="P46" s="14">
        <f t="shared" si="33"/>
        <v>32.528623308412676</v>
      </c>
      <c r="Q46" s="22">
        <f t="shared" si="53"/>
        <v>272.03966559548536</v>
      </c>
      <c r="R46" s="62">
        <f t="shared" si="0"/>
        <v>565.37299892881867</v>
      </c>
      <c r="S46" s="62">
        <f ca="1">AVERAGE(OFFSET($R$3,0,0,'Données projet'!$E$9+1,1))-AVERAGE(OFFSET($H$3,0,0,'Données projet'!$E$9+1,1))</f>
        <v>190.92799938679798</v>
      </c>
      <c r="T46" s="62">
        <f t="shared" si="34"/>
        <v>172.54286890368337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13.886126757033237</v>
      </c>
      <c r="AB46" s="23">
        <f>EXP(-LN(2)/2)*AB45+(1-EXP(-LN(2)/2))/(LN(2)/2)*V46*Y46*VLOOKUP('Données projet'!$B$9,Paramètres!$A$1:$I$88,3,0)*0.475*44/12</f>
        <v>0.41891873012912551</v>
      </c>
      <c r="AC46" s="24">
        <f t="shared" si="3"/>
        <v>14.305045487162362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</v>
      </c>
      <c r="AI46" s="14">
        <f>IF('Données projet'!$A$62&gt;35,AI45+AH46-AQ45,IF(A46&lt;'Données projet'!$A$62,$AF$205^A46,IF(A46='Données projet'!$A$62,'Données projet'!$B$62,AI45+AH46-AQ45)))</f>
        <v>86</v>
      </c>
      <c r="AJ46" s="14">
        <f>AI46*VLOOKUP('Données projet'!$B$10,Paramètres!$A$1:$I$88,3,0)*VLOOKUP('Données projet'!$B$10,Paramètres!$A$1:$I$88,5,0)</f>
        <v>87.204000000000008</v>
      </c>
      <c r="AK46" s="14">
        <f t="shared" si="35"/>
        <v>23.889663550879717</v>
      </c>
      <c r="AL46" s="22">
        <f t="shared" si="4"/>
        <v>193.48813068444883</v>
      </c>
      <c r="AM46" s="62">
        <f t="shared" si="5"/>
        <v>486.82146401778215</v>
      </c>
      <c r="AN46" s="62">
        <f ca="1">AVERAGE(OFFSET($AM$3,0,0,'Données projet'!$E$10+1,1))-AVERAGE(OFFSET($H$3,0,0,'Données projet'!$E$10+1,1))</f>
        <v>95.135996821969457</v>
      </c>
      <c r="AO46" s="62">
        <f t="shared" si="36"/>
        <v>111.83039337220566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3.9666666666666668</v>
      </c>
      <c r="BD46" s="13">
        <f>IF('Données projet'!$A$88&gt;35,BD45+BC46-BL45,IF(A46&lt;'Données projet'!$A$88,$BA$205^A46,IF(A46='Données projet'!$A$88,'Données projet'!$B$88,BD45+BC46-BL45)))</f>
        <v>198.56666666666669</v>
      </c>
      <c r="BE46" s="14">
        <f>BD46*VLOOKUP('Données projet'!$B$11,Paramètres!$A$1:$I$88,3,0)*VLOOKUP('Données projet'!$B$11,Paramètres!$A$1:$I$88,5,0)</f>
        <v>179.66311999999999</v>
      </c>
      <c r="BF46" s="14">
        <f t="shared" si="37"/>
        <v>45.247228403668764</v>
      </c>
      <c r="BG46" s="22">
        <f t="shared" si="7"/>
        <v>391.71885680305644</v>
      </c>
      <c r="BH46" s="62">
        <f t="shared" si="8"/>
        <v>685.05219013638975</v>
      </c>
      <c r="BI46" s="62">
        <f ca="1">AVERAGE(OFFSET($BH$3,0,0,'Données projet'!$E$11+1,1))-AVERAGE(OFFSET($H$3,0,0,'Données projet'!$E$11+1,1))</f>
        <v>168.44987180339865</v>
      </c>
      <c r="BJ46" s="62">
        <f t="shared" si="38"/>
        <v>375.85422976031748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5.8361982022313574</v>
      </c>
      <c r="BR46" s="23">
        <f>EXP(-LN(2)/2)*BR45+(1-EXP(-LN(2)/2))/(LN(2)/2)*BL46*BO46*VLOOKUP('Données projet'!$B$11,Paramètres!$A$1:$I$88,3,0)*0.475*44/12</f>
        <v>0.26410093855966588</v>
      </c>
      <c r="BS46" s="24">
        <f t="shared" si="9"/>
        <v>6.100299140791023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13.1</v>
      </c>
      <c r="N47" s="14">
        <f>IF('Données projet'!$A$36&gt;35,N46+M47-V46,IF(A47&lt;'Données projet'!$A$36,$K$205^A47,IF(A47='Données projet'!$A$36,'Données projet'!$B$36,N46+M47-V46)))</f>
        <v>219.89999999999995</v>
      </c>
      <c r="O47" s="14">
        <f>N47*VLOOKUP('Données projet'!$B$9,Paramètres!$A$1:$I$88,3,0)*VLOOKUP('Données projet'!$B$9,Paramètres!$A$1:$I$88,5,0)</f>
        <v>131.50019999999998</v>
      </c>
      <c r="P47" s="14">
        <f t="shared" si="33"/>
        <v>34.342779677858999</v>
      </c>
      <c r="Q47" s="22">
        <f t="shared" si="53"/>
        <v>288.84318960560438</v>
      </c>
      <c r="R47" s="62">
        <f t="shared" si="0"/>
        <v>582.17652293893775</v>
      </c>
      <c r="S47" s="62">
        <f ca="1">AVERAGE(OFFSET($R$3,0,0,'Données projet'!$E$9+1,1))-AVERAGE(OFFSET($H$3,0,0,'Données projet'!$E$9+1,1))</f>
        <v>190.92799938679798</v>
      </c>
      <c r="T47" s="62">
        <f t="shared" si="34"/>
        <v>172.54286890368337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13.506409890622495</v>
      </c>
      <c r="AB47" s="23">
        <f>EXP(-LN(2)/2)*AB46+(1-EXP(-LN(2)/2))/(LN(2)/2)*V47*Y47*VLOOKUP('Données projet'!$B$9,Paramètres!$A$1:$I$88,3,0)*0.475*44/12</f>
        <v>0.2962202748403619</v>
      </c>
      <c r="AC47" s="24">
        <f t="shared" si="3"/>
        <v>13.802630165462856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</v>
      </c>
      <c r="AI47" s="14">
        <f>IF('Données projet'!$A$62&gt;35,AI46+AH47-AQ46,IF(A47&lt;'Données projet'!$A$62,$AF$205^A47,IF(A47='Données projet'!$A$62,'Données projet'!$B$62,AI46+AH47-AQ46)))</f>
        <v>88</v>
      </c>
      <c r="AJ47" s="14">
        <f>AI47*VLOOKUP('Données projet'!$B$10,Paramètres!$A$1:$I$88,3,0)*VLOOKUP('Données projet'!$B$10,Paramètres!$A$1:$I$88,5,0)</f>
        <v>89.232000000000014</v>
      </c>
      <c r="AK47" s="14">
        <f t="shared" si="35"/>
        <v>24.379909604665222</v>
      </c>
      <c r="AL47" s="22">
        <f t="shared" si="4"/>
        <v>197.87407589479196</v>
      </c>
      <c r="AM47" s="62">
        <f t="shared" si="5"/>
        <v>491.20740922812524</v>
      </c>
      <c r="AN47" s="62">
        <f ca="1">AVERAGE(OFFSET($AM$3,0,0,'Données projet'!$E$10+1,1))-AVERAGE(OFFSET($H$3,0,0,'Données projet'!$E$10+1,1))</f>
        <v>95.135996821969457</v>
      </c>
      <c r="AO47" s="62">
        <f t="shared" si="36"/>
        <v>111.83039337220566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3.9666666666666668</v>
      </c>
      <c r="BD47" s="13">
        <f>IF('Données projet'!$A$88&gt;35,BD46+BC47-BL46,IF(A47&lt;'Données projet'!$A$88,$BA$205^A47,IF(A47='Données projet'!$A$88,'Données projet'!$B$88,BD46+BC47-BL46)))</f>
        <v>202.53333333333336</v>
      </c>
      <c r="BE47" s="14">
        <f>BD47*VLOOKUP('Données projet'!$B$11,Paramètres!$A$1:$I$88,3,0)*VLOOKUP('Données projet'!$B$11,Paramètres!$A$1:$I$88,5,0)</f>
        <v>183.25216</v>
      </c>
      <c r="BF47" s="14">
        <f t="shared" si="37"/>
        <v>46.04497608494696</v>
      </c>
      <c r="BG47" s="22">
        <f t="shared" si="7"/>
        <v>399.35917868128263</v>
      </c>
      <c r="BH47" s="62">
        <f t="shared" si="8"/>
        <v>692.69251201461589</v>
      </c>
      <c r="BI47" s="62">
        <f ca="1">AVERAGE(OFFSET($BH$3,0,0,'Données projet'!$E$11+1,1))-AVERAGE(OFFSET($H$3,0,0,'Données projet'!$E$11+1,1))</f>
        <v>168.44987180339865</v>
      </c>
      <c r="BJ47" s="62">
        <f t="shared" si="38"/>
        <v>375.85422976031748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5.6766070554790167</v>
      </c>
      <c r="BR47" s="23">
        <f>EXP(-LN(2)/2)*BR46+(1-EXP(-LN(2)/2))/(LN(2)/2)*BL47*BO47*VLOOKUP('Données projet'!$B$11,Paramètres!$A$1:$I$88,3,0)*0.475*44/12</f>
        <v>0.18674756457327149</v>
      </c>
      <c r="BS47" s="24">
        <f t="shared" si="9"/>
        <v>5.8633546200522879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233</v>
      </c>
      <c r="L48" s="13">
        <f>VLOOKUP(A48,'Données projet'!$A$35:$I$55,9,0)</f>
        <v>13.1</v>
      </c>
      <c r="M48" s="13">
        <f t="array" ref="M48">INDEX(L:L,MIN(IF(ISNUMBER(L48:L244),ROW(L48:L244),"")))</f>
        <v>13.1</v>
      </c>
      <c r="N48" s="14">
        <f>IF('Données projet'!$A$36&gt;35,N47+M48-V47,IF(A48&lt;'Données projet'!$A$36,$K$205^A48,IF(A48='Données projet'!$A$36,'Données projet'!$B$36,N47+M48-V47)))</f>
        <v>232.99999999999994</v>
      </c>
      <c r="O48" s="14">
        <f>N48*VLOOKUP('Données projet'!$B$9,Paramètres!$A$1:$I$88,3,0)*VLOOKUP('Données projet'!$B$9,Paramètres!$A$1:$I$88,5,0)</f>
        <v>139.33399999999997</v>
      </c>
      <c r="P48" s="14">
        <f t="shared" si="33"/>
        <v>36.144391930570869</v>
      </c>
      <c r="Q48" s="22">
        <f t="shared" si="53"/>
        <v>305.6248659457442</v>
      </c>
      <c r="R48" s="62">
        <f t="shared" si="0"/>
        <v>598.95819927907746</v>
      </c>
      <c r="S48" s="62">
        <f ca="1">AVERAGE(OFFSET($R$3,0,0,'Données projet'!$E$9+1,1))-AVERAGE(OFFSET($H$3,0,0,'Données projet'!$E$9+1,1))</f>
        <v>190.92799938679798</v>
      </c>
      <c r="T48" s="62">
        <f t="shared" si="34"/>
        <v>172.54286890368337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84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13.137076401892196</v>
      </c>
      <c r="AB48" s="23">
        <f>EXP(-LN(2)/2)*AB47+(1-EXP(-LN(2)/2))/(LN(2)/2)*V48*Y48*VLOOKUP('Données projet'!$B$9,Paramètres!$A$1:$I$88,3,0)*0.475*44/12</f>
        <v>0.20945936506456275</v>
      </c>
      <c r="AC48" s="24">
        <f t="shared" si="3"/>
        <v>13.346535766956759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90</v>
      </c>
      <c r="AG48" s="13">
        <f>VLOOKUP(A48,'Données projet'!$A$61:$I$81,9,0)</f>
        <v>2</v>
      </c>
      <c r="AH48" s="13">
        <f t="array" ref="AH48">INDEX(AG:AG,MIN(IF(ISNUMBER(AG48:AG244),ROW(AG48:AG244),"")))</f>
        <v>2</v>
      </c>
      <c r="AI48" s="14">
        <f>IF('Données projet'!$A$62&gt;35,AI47+AH48-AQ47,IF(A48&lt;'Données projet'!$A$62,$AF$205^A48,IF(A48='Données projet'!$A$62,'Données projet'!$B$62,AI47+AH48-AQ47)))</f>
        <v>90</v>
      </c>
      <c r="AJ48" s="14">
        <f>AI48*VLOOKUP('Données projet'!$B$10,Paramètres!$A$1:$I$88,3,0)*VLOOKUP('Données projet'!$B$10,Paramètres!$A$1:$I$88,5,0)</f>
        <v>91.26</v>
      </c>
      <c r="AK48" s="14">
        <f t="shared" si="35"/>
        <v>24.868860330902777</v>
      </c>
      <c r="AL48" s="22">
        <f t="shared" si="4"/>
        <v>202.25776507632233</v>
      </c>
      <c r="AM48" s="62">
        <f t="shared" si="5"/>
        <v>495.59109840965561</v>
      </c>
      <c r="AN48" s="62">
        <f ca="1">AVERAGE(OFFSET($AM$3,0,0,'Données projet'!$E$10+1,1))-AVERAGE(OFFSET($H$3,0,0,'Données projet'!$E$10+1,1))</f>
        <v>95.135996821969457</v>
      </c>
      <c r="AO48" s="62">
        <f t="shared" si="36"/>
        <v>111.83039337220566</v>
      </c>
      <c r="AP48" s="16">
        <f>IF(ISNA(VLOOKUP(A48,'Données projet'!$A$61:$I$81,3,0)),0,VLOOKUP(A48,'Données projet'!$A$61:$I$81,3,0))</f>
        <v>1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206.5</v>
      </c>
      <c r="BB48" s="13">
        <f>VLOOKUP(A48,'Données projet'!$A$87:$I$107,9,0)</f>
        <v>3.9666666666666668</v>
      </c>
      <c r="BC48" s="13">
        <f t="array" ref="BC48">INDEX(BB:BB,MIN(IF(ISNUMBER(BB48:BB244),ROW(BB48:BB244),"")))</f>
        <v>3.9666666666666668</v>
      </c>
      <c r="BD48" s="13">
        <f>IF('Données projet'!$A$88&gt;35,BD47+BC48-BL47,IF(A48&lt;'Données projet'!$A$88,$BA$205^A48,IF(A48='Données projet'!$A$88,'Données projet'!$B$88,BD47+BC48-BL47)))</f>
        <v>206.50000000000003</v>
      </c>
      <c r="BE48" s="14">
        <f>BD48*VLOOKUP('Données projet'!$B$11,Paramètres!$A$1:$I$88,3,0)*VLOOKUP('Données projet'!$B$11,Paramètres!$A$1:$I$88,5,0)</f>
        <v>186.84120000000001</v>
      </c>
      <c r="BF48" s="14">
        <f t="shared" si="37"/>
        <v>46.840907070742965</v>
      </c>
      <c r="BG48" s="22">
        <f t="shared" si="7"/>
        <v>406.99633648154401</v>
      </c>
      <c r="BH48" s="62">
        <f t="shared" si="8"/>
        <v>700.32966981487732</v>
      </c>
      <c r="BI48" s="62">
        <f ca="1">AVERAGE(OFFSET($BH$3,0,0,'Données projet'!$E$11+1,1))-AVERAGE(OFFSET($H$3,0,0,'Données projet'!$E$11+1,1))</f>
        <v>168.44987180339865</v>
      </c>
      <c r="BJ48" s="62">
        <f t="shared" si="38"/>
        <v>375.85422976031748</v>
      </c>
      <c r="BK48" s="16">
        <f>IF(ISNA(VLOOKUP(A48,'Données projet'!$A$87:$I$107,3,0)),0,VLOOKUP(A48,'Données projet'!$A$87:$I$107,3,0))</f>
        <v>2</v>
      </c>
      <c r="BL48" s="16">
        <f>IF(ISNA(VLOOKUP(A48,'Données projet'!$A$87:$I$107,4,0)),0,VLOOKUP(A48,'Données projet'!$A$87:$I$107,4,0))</f>
        <v>84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5.5213799370271524</v>
      </c>
      <c r="BR48" s="23">
        <f>EXP(-LN(2)/2)*BR47+(1-EXP(-LN(2)/2))/(LN(2)/2)*BL48*BO48*VLOOKUP('Données projet'!$B$11,Paramètres!$A$1:$I$88,3,0)*0.475*44/12</f>
        <v>0.13205046927983294</v>
      </c>
      <c r="BS48" s="24">
        <f t="shared" si="9"/>
        <v>5.6534304063069856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14.966666666666667</v>
      </c>
      <c r="N49" s="14">
        <f>IF('Données projet'!$A$36&gt;35,N48+M49-V48,IF(A49&lt;'Données projet'!$A$36,$K$205^A49,IF(A49='Données projet'!$A$36,'Données projet'!$B$36,N48+M49-V48)))</f>
        <v>163.96666666666661</v>
      </c>
      <c r="O49" s="14">
        <f>N49*VLOOKUP('Données projet'!$B$9,Paramètres!$A$1:$I$88,3,0)*VLOOKUP('Données projet'!$B$9,Paramètres!$A$1:$I$88,5,0)</f>
        <v>98.052066666666633</v>
      </c>
      <c r="P49" s="14">
        <f t="shared" si="33"/>
        <v>26.497399326611777</v>
      </c>
      <c r="Q49" s="22">
        <f t="shared" si="53"/>
        <v>216.92365327162653</v>
      </c>
      <c r="R49" s="62">
        <f t="shared" si="0"/>
        <v>510.25698660495982</v>
      </c>
      <c r="S49" s="62">
        <f ca="1">AVERAGE(OFFSET($R$3,0,0,'Données projet'!$E$9+1,1))-AVERAGE(OFFSET($H$3,0,0,'Données projet'!$E$9+1,1))</f>
        <v>190.92799938679798</v>
      </c>
      <c r="T49" s="62">
        <f t="shared" si="34"/>
        <v>172.54286890368337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12.777842356833631</v>
      </c>
      <c r="AB49" s="23">
        <f>EXP(-LN(2)/2)*AB48+(1-EXP(-LN(2)/2))/(LN(2)/2)*V49*Y49*VLOOKUP('Données projet'!$B$9,Paramètres!$A$1:$I$88,3,0)*0.475*44/12</f>
        <v>0.14811013742018095</v>
      </c>
      <c r="AC49" s="24">
        <f t="shared" si="3"/>
        <v>12.925952494253812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2.8266666666666671</v>
      </c>
      <c r="AI49" s="14">
        <f>IF('Données projet'!$A$62&gt;35,AI48+AH49-AQ48,IF(A49&lt;'Données projet'!$A$62,$AF$205^A49,IF(A49='Données projet'!$A$62,'Données projet'!$B$62,AI48+AH49-AQ48)))</f>
        <v>64.826666666666668</v>
      </c>
      <c r="AJ49" s="14">
        <f>AI49*VLOOKUP('Données projet'!$B$10,Paramètres!$A$1:$I$88,3,0)*VLOOKUP('Données projet'!$B$10,Paramètres!$A$1:$I$88,5,0)</f>
        <v>65.734240000000014</v>
      </c>
      <c r="AK49" s="14">
        <f t="shared" si="35"/>
        <v>18.61027383106147</v>
      </c>
      <c r="AL49" s="22">
        <f t="shared" si="4"/>
        <v>146.90002825576539</v>
      </c>
      <c r="AM49" s="62">
        <f t="shared" si="5"/>
        <v>440.23336158909871</v>
      </c>
      <c r="AN49" s="62">
        <f ca="1">AVERAGE(OFFSET($AM$3,0,0,'Données projet'!$E$10+1,1))-AVERAGE(OFFSET($H$3,0,0,'Données projet'!$E$10+1,1))</f>
        <v>95.135996821969457</v>
      </c>
      <c r="AO49" s="62">
        <f t="shared" si="36"/>
        <v>111.83039337220566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3.8</v>
      </c>
      <c r="BD49" s="13">
        <f>IF('Données projet'!$A$88&gt;35,BD48+BC49-BL48,IF(A49&lt;'Données projet'!$A$88,$BA$205^A49,IF(A49='Données projet'!$A$88,'Données projet'!$B$88,BD48+BC49-BL48)))</f>
        <v>126.30000000000004</v>
      </c>
      <c r="BE49" s="14">
        <f>BD49*VLOOKUP('Données projet'!$B$11,Paramètres!$A$1:$I$88,3,0)*VLOOKUP('Données projet'!$B$11,Paramètres!$A$1:$I$88,5,0)</f>
        <v>114.27624000000003</v>
      </c>
      <c r="BF49" s="14">
        <f t="shared" si="37"/>
        <v>30.336252861111916</v>
      </c>
      <c r="BG49" s="22">
        <f t="shared" si="7"/>
        <v>251.86675839976999</v>
      </c>
      <c r="BH49" s="62">
        <f t="shared" si="8"/>
        <v>545.20009173310336</v>
      </c>
      <c r="BI49" s="62">
        <f ca="1">AVERAGE(OFFSET($BH$3,0,0,'Données projet'!$E$11+1,1))-AVERAGE(OFFSET($H$3,0,0,'Données projet'!$E$11+1,1))</f>
        <v>168.44987180339865</v>
      </c>
      <c r="BJ49" s="62">
        <f t="shared" si="38"/>
        <v>375.85422976031748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5.370397512292393</v>
      </c>
      <c r="BR49" s="23">
        <f>EXP(-LN(2)/2)*BR48+(1-EXP(-LN(2)/2))/(LN(2)/2)*BL49*BO49*VLOOKUP('Données projet'!$B$11,Paramètres!$A$1:$I$88,3,0)*0.475*44/12</f>
        <v>9.3373782286635745E-2</v>
      </c>
      <c r="BS49" s="24">
        <f t="shared" si="9"/>
        <v>5.4637712945790291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14.966666666666667</v>
      </c>
      <c r="N50" s="14">
        <f>IF('Données projet'!$A$36&gt;35,N49+M50-V49,IF(A50&lt;'Données projet'!$A$36,$K$205^A50,IF(A50='Données projet'!$A$36,'Données projet'!$B$36,N49+M50-V49)))</f>
        <v>178.93333333333328</v>
      </c>
      <c r="O50" s="14">
        <f>N50*VLOOKUP('Données projet'!$B$9,Paramètres!$A$1:$I$88,3,0)*VLOOKUP('Données projet'!$B$9,Paramètres!$A$1:$I$88,5,0)</f>
        <v>107.0021333333333</v>
      </c>
      <c r="P50" s="14">
        <f t="shared" si="33"/>
        <v>28.623531948060158</v>
      </c>
      <c r="Q50" s="22">
        <f t="shared" si="53"/>
        <v>236.21470036509356</v>
      </c>
      <c r="R50" s="62">
        <f t="shared" si="0"/>
        <v>529.54803369842693</v>
      </c>
      <c r="S50" s="62">
        <f ca="1">AVERAGE(OFFSET($R$3,0,0,'Données projet'!$E$9+1,1))-AVERAGE(OFFSET($H$3,0,0,'Données projet'!$E$9+1,1))</f>
        <v>190.92799938679798</v>
      </c>
      <c r="T50" s="62">
        <f t="shared" si="34"/>
        <v>172.54286890368337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12.428431585628489</v>
      </c>
      <c r="AB50" s="23">
        <f>EXP(-LN(2)/2)*AB49+(1-EXP(-LN(2)/2))/(LN(2)/2)*V50*Y50*VLOOKUP('Données projet'!$B$9,Paramètres!$A$1:$I$88,3,0)*0.475*44/12</f>
        <v>0.10472968253228138</v>
      </c>
      <c r="AC50" s="24">
        <f t="shared" si="3"/>
        <v>12.533161268160772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2.8266666666666671</v>
      </c>
      <c r="AI50" s="14">
        <f>IF('Données projet'!$A$62&gt;35,AI49+AH50-AQ49,IF(A50&lt;'Données projet'!$A$62,$AF$205^A50,IF(A50='Données projet'!$A$62,'Données projet'!$B$62,AI49+AH50-AQ49)))</f>
        <v>67.653333333333336</v>
      </c>
      <c r="AJ50" s="14">
        <f>AI50*VLOOKUP('Données projet'!$B$10,Paramètres!$A$1:$I$88,3,0)*VLOOKUP('Données projet'!$B$10,Paramètres!$A$1:$I$88,5,0)</f>
        <v>68.600480000000005</v>
      </c>
      <c r="AK50" s="14">
        <f t="shared" si="35"/>
        <v>19.325499979347505</v>
      </c>
      <c r="AL50" s="22">
        <f t="shared" si="4"/>
        <v>153.13774846403024</v>
      </c>
      <c r="AM50" s="62">
        <f t="shared" si="5"/>
        <v>446.47108179736358</v>
      </c>
      <c r="AN50" s="62">
        <f ca="1">AVERAGE(OFFSET($AM$3,0,0,'Données projet'!$E$10+1,1))-AVERAGE(OFFSET($H$3,0,0,'Données projet'!$E$10+1,1))</f>
        <v>95.135996821969457</v>
      </c>
      <c r="AO50" s="62">
        <f t="shared" si="36"/>
        <v>111.83039337220566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3.8</v>
      </c>
      <c r="BD50" s="13">
        <f>IF('Données projet'!$A$88&gt;35,BD49+BC50-BL49,IF(A50&lt;'Données projet'!$A$88,$BA$205^A50,IF(A50='Données projet'!$A$88,'Données projet'!$B$88,BD49+BC50-BL49)))</f>
        <v>130.10000000000005</v>
      </c>
      <c r="BE50" s="14">
        <f>BD50*VLOOKUP('Données projet'!$B$11,Paramètres!$A$1:$I$88,3,0)*VLOOKUP('Données projet'!$B$11,Paramètres!$A$1:$I$88,5,0)</f>
        <v>117.71448000000005</v>
      </c>
      <c r="BF50" s="14">
        <f t="shared" si="37"/>
        <v>31.141344171060783</v>
      </c>
      <c r="BG50" s="22">
        <f t="shared" si="7"/>
        <v>259.25722709793098</v>
      </c>
      <c r="BH50" s="62">
        <f t="shared" si="8"/>
        <v>552.59056043126429</v>
      </c>
      <c r="BI50" s="62">
        <f ca="1">AVERAGE(OFFSET($BH$3,0,0,'Données projet'!$E$11+1,1))-AVERAGE(OFFSET($H$3,0,0,'Données projet'!$E$11+1,1))</f>
        <v>168.44987180339865</v>
      </c>
      <c r="BJ50" s="62">
        <f t="shared" si="38"/>
        <v>375.85422976031748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5.2235437099018265</v>
      </c>
      <c r="BR50" s="23">
        <f>EXP(-LN(2)/2)*BR49+(1-EXP(-LN(2)/2))/(LN(2)/2)*BL50*BO50*VLOOKUP('Données projet'!$B$11,Paramètres!$A$1:$I$88,3,0)*0.475*44/12</f>
        <v>6.6025234639916469E-2</v>
      </c>
      <c r="BS50" s="24">
        <f t="shared" si="9"/>
        <v>5.2895689445417426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14.966666666666667</v>
      </c>
      <c r="N51" s="14">
        <f>IF('Données projet'!$A$36&gt;35,N50+M51-V50,IF(A51&lt;'Données projet'!$A$36,$K$205^A51,IF(A51='Données projet'!$A$36,'Données projet'!$B$36,N50+M51-V50)))</f>
        <v>193.89999999999995</v>
      </c>
      <c r="O51" s="14">
        <f>N51*VLOOKUP('Données projet'!$B$9,Paramètres!$A$1:$I$88,3,0)*VLOOKUP('Données projet'!$B$9,Paramètres!$A$1:$I$88,5,0)</f>
        <v>115.95219999999998</v>
      </c>
      <c r="P51" s="14">
        <f t="shared" si="33"/>
        <v>30.729039319701915</v>
      </c>
      <c r="Q51" s="22">
        <f t="shared" si="53"/>
        <v>255.46982514848074</v>
      </c>
      <c r="R51" s="62">
        <f t="shared" si="0"/>
        <v>548.80315848181408</v>
      </c>
      <c r="S51" s="62">
        <f ca="1">AVERAGE(OFFSET($R$3,0,0,'Données projet'!$E$9+1,1))-AVERAGE(OFFSET($H$3,0,0,'Données projet'!$E$9+1,1))</f>
        <v>190.92799938679798</v>
      </c>
      <c r="T51" s="62">
        <f t="shared" si="34"/>
        <v>172.54286890368337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12.088575470336666</v>
      </c>
      <c r="AB51" s="23">
        <f>EXP(-LN(2)/2)*AB50+(1-EXP(-LN(2)/2))/(LN(2)/2)*V51*Y51*VLOOKUP('Données projet'!$B$9,Paramètres!$A$1:$I$88,3,0)*0.475*44/12</f>
        <v>7.4055068710090474E-2</v>
      </c>
      <c r="AC51" s="24">
        <f t="shared" si="3"/>
        <v>12.162630539046756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2.8266666666666671</v>
      </c>
      <c r="AI51" s="14">
        <f>IF('Données projet'!$A$62&gt;35,AI50+AH51-AQ50,IF(A51&lt;'Données projet'!$A$62,$AF$205^A51,IF(A51='Données projet'!$A$62,'Données projet'!$B$62,AI50+AH51-AQ50)))</f>
        <v>70.48</v>
      </c>
      <c r="AJ51" s="14">
        <f>AI51*VLOOKUP('Données projet'!$B$10,Paramètres!$A$1:$I$88,3,0)*VLOOKUP('Données projet'!$B$10,Paramètres!$A$1:$I$88,5,0)</f>
        <v>71.466720000000009</v>
      </c>
      <c r="AK51" s="14">
        <f t="shared" si="35"/>
        <v>20.037255087904846</v>
      </c>
      <c r="AL51" s="22">
        <f t="shared" si="4"/>
        <v>159.36942327810092</v>
      </c>
      <c r="AM51" s="62">
        <f t="shared" si="5"/>
        <v>452.70275661143421</v>
      </c>
      <c r="AN51" s="62">
        <f ca="1">AVERAGE(OFFSET($AM$3,0,0,'Données projet'!$E$10+1,1))-AVERAGE(OFFSET($H$3,0,0,'Données projet'!$E$10+1,1))</f>
        <v>95.135996821969457</v>
      </c>
      <c r="AO51" s="62">
        <f t="shared" si="36"/>
        <v>111.83039337220566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3.8</v>
      </c>
      <c r="BD51" s="13">
        <f>IF('Données projet'!$A$88&gt;35,BD50+BC51-BL50,IF(A51&lt;'Données projet'!$A$88,$BA$205^A51,IF(A51='Données projet'!$A$88,'Données projet'!$B$88,BD50+BC51-BL50)))</f>
        <v>133.90000000000006</v>
      </c>
      <c r="BE51" s="14">
        <f>BD51*VLOOKUP('Données projet'!$B$11,Paramètres!$A$1:$I$88,3,0)*VLOOKUP('Données projet'!$B$11,Paramètres!$A$1:$I$88,5,0)</f>
        <v>121.15272000000006</v>
      </c>
      <c r="BF51" s="14">
        <f t="shared" si="37"/>
        <v>31.943702531465636</v>
      </c>
      <c r="BG51" s="22">
        <f t="shared" si="7"/>
        <v>266.64293590896938</v>
      </c>
      <c r="BH51" s="62">
        <f t="shared" si="8"/>
        <v>559.97626924230269</v>
      </c>
      <c r="BI51" s="62">
        <f ca="1">AVERAGE(OFFSET($BH$3,0,0,'Données projet'!$E$11+1,1))-AVERAGE(OFFSET($H$3,0,0,'Données projet'!$E$11+1,1))</f>
        <v>168.44987180339865</v>
      </c>
      <c r="BJ51" s="62">
        <f t="shared" si="38"/>
        <v>375.85422976031748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5.0807056324603357</v>
      </c>
      <c r="BR51" s="23">
        <f>EXP(-LN(2)/2)*BR50+(1-EXP(-LN(2)/2))/(LN(2)/2)*BL51*BO51*VLOOKUP('Données projet'!$B$11,Paramètres!$A$1:$I$88,3,0)*0.475*44/12</f>
        <v>4.6686891143317873E-2</v>
      </c>
      <c r="BS51" s="24">
        <f t="shared" si="9"/>
        <v>5.1273925236036533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14.966666666666667</v>
      </c>
      <c r="N52" s="14">
        <f>IF('Données projet'!$A$36&gt;35,N51+M52-V51,IF(A52&lt;'Données projet'!$A$36,$K$205^A52,IF(A52='Données projet'!$A$36,'Données projet'!$B$36,N51+M52-V51)))</f>
        <v>208.86666666666662</v>
      </c>
      <c r="O52" s="14">
        <f>N52*VLOOKUP('Données projet'!$B$9,Paramètres!$A$1:$I$88,3,0)*VLOOKUP('Données projet'!$B$9,Paramètres!$A$1:$I$88,5,0)</f>
        <v>124.90226666666665</v>
      </c>
      <c r="P52" s="14">
        <f t="shared" si="33"/>
        <v>32.815694462921336</v>
      </c>
      <c r="Q52" s="22">
        <f t="shared" si="53"/>
        <v>274.6921156340324</v>
      </c>
      <c r="R52" s="62">
        <f t="shared" si="0"/>
        <v>568.02544896736572</v>
      </c>
      <c r="S52" s="62">
        <f ca="1">AVERAGE(OFFSET($R$3,0,0,'Données projet'!$E$9+1,1))-AVERAGE(OFFSET($H$3,0,0,'Données projet'!$E$9+1,1))</f>
        <v>190.92799938679798</v>
      </c>
      <c r="T52" s="62">
        <f t="shared" si="34"/>
        <v>172.54286890368337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11.758012738389755</v>
      </c>
      <c r="AB52" s="23">
        <f>EXP(-LN(2)/2)*AB51+(1-EXP(-LN(2)/2))/(LN(2)/2)*V52*Y52*VLOOKUP('Données projet'!$B$9,Paramètres!$A$1:$I$88,3,0)*0.475*44/12</f>
        <v>5.2364841266140688E-2</v>
      </c>
      <c r="AC52" s="24">
        <f t="shared" si="3"/>
        <v>11.810377579655896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2.8266666666666671</v>
      </c>
      <c r="AI52" s="14">
        <f>IF('Données projet'!$A$62&gt;35,AI51+AH52-AQ51,IF(A52&lt;'Données projet'!$A$62,$AF$205^A52,IF(A52='Données projet'!$A$62,'Données projet'!$B$62,AI51+AH52-AQ51)))</f>
        <v>73.306666666666672</v>
      </c>
      <c r="AJ52" s="14">
        <f>AI52*VLOOKUP('Données projet'!$B$10,Paramètres!$A$1:$I$88,3,0)*VLOOKUP('Données projet'!$B$10,Paramètres!$A$1:$I$88,5,0)</f>
        <v>74.332960000000014</v>
      </c>
      <c r="AK52" s="14">
        <f t="shared" si="35"/>
        <v>20.745694292569301</v>
      </c>
      <c r="AL52" s="22">
        <f t="shared" si="4"/>
        <v>165.59532289289152</v>
      </c>
      <c r="AM52" s="62">
        <f t="shared" si="5"/>
        <v>458.9286562262248</v>
      </c>
      <c r="AN52" s="62">
        <f ca="1">AVERAGE(OFFSET($AM$3,0,0,'Données projet'!$E$10+1,1))-AVERAGE(OFFSET($H$3,0,0,'Données projet'!$E$10+1,1))</f>
        <v>95.135996821969457</v>
      </c>
      <c r="AO52" s="62">
        <f t="shared" si="36"/>
        <v>111.83039337220566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3.8</v>
      </c>
      <c r="BD52" s="13">
        <f>IF('Données projet'!$A$88&gt;35,BD51+BC52-BL51,IF(A52&lt;'Données projet'!$A$88,$BA$205^A52,IF(A52='Données projet'!$A$88,'Données projet'!$B$88,BD51+BC52-BL51)))</f>
        <v>137.70000000000007</v>
      </c>
      <c r="BE52" s="14">
        <f>BD52*VLOOKUP('Données projet'!$B$11,Paramètres!$A$1:$I$88,3,0)*VLOOKUP('Données projet'!$B$11,Paramètres!$A$1:$I$88,5,0)</f>
        <v>124.59096000000007</v>
      </c>
      <c r="BF52" s="14">
        <f t="shared" si="37"/>
        <v>32.743414410340357</v>
      </c>
      <c r="BG52" s="22">
        <f t="shared" si="7"/>
        <v>274.0240354313429</v>
      </c>
      <c r="BH52" s="62">
        <f t="shared" si="8"/>
        <v>567.35736876467627</v>
      </c>
      <c r="BI52" s="62">
        <f ca="1">AVERAGE(OFFSET($BH$3,0,0,'Données projet'!$E$11+1,1))-AVERAGE(OFFSET($H$3,0,0,'Données projet'!$E$11+1,1))</f>
        <v>168.44987180339865</v>
      </c>
      <c r="BJ52" s="62">
        <f t="shared" si="38"/>
        <v>375.85422976031748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4.9417734697580107</v>
      </c>
      <c r="BR52" s="23">
        <f>EXP(-LN(2)/2)*BR51+(1-EXP(-LN(2)/2))/(LN(2)/2)*BL52*BO52*VLOOKUP('Données projet'!$B$11,Paramètres!$A$1:$I$88,3,0)*0.475*44/12</f>
        <v>3.3012617319958235E-2</v>
      </c>
      <c r="BS52" s="24">
        <f t="shared" si="9"/>
        <v>4.9747860870779688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14.966666666666667</v>
      </c>
      <c r="N53" s="14">
        <f>IF('Données projet'!$A$36&gt;35,N52+M53-V52,IF(A53&lt;'Données projet'!$A$36,$K$205^A53,IF(A53='Données projet'!$A$36,'Données projet'!$B$36,N52+M53-V52)))</f>
        <v>223.83333333333329</v>
      </c>
      <c r="O53" s="14">
        <f>N53*VLOOKUP('Données projet'!$B$9,Paramètres!$A$1:$I$88,3,0)*VLOOKUP('Données projet'!$B$9,Paramètres!$A$1:$I$88,5,0)</f>
        <v>133.85233333333332</v>
      </c>
      <c r="P53" s="14">
        <f t="shared" si="33"/>
        <v>34.88500190224368</v>
      </c>
      <c r="Q53" s="22">
        <f t="shared" si="53"/>
        <v>293.88419220196329</v>
      </c>
      <c r="R53" s="62">
        <f t="shared" si="0"/>
        <v>587.21752553529655</v>
      </c>
      <c r="S53" s="62">
        <f ca="1">AVERAGE(OFFSET($R$3,0,0,'Données projet'!$E$9+1,1))-AVERAGE(OFFSET($H$3,0,0,'Données projet'!$E$9+1,1))</f>
        <v>190.92799938679798</v>
      </c>
      <c r="T53" s="62">
        <f t="shared" si="34"/>
        <v>172.54286890368337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11.43648926173147</v>
      </c>
      <c r="AB53" s="23">
        <f>EXP(-LN(2)/2)*AB52+(1-EXP(-LN(2)/2))/(LN(2)/2)*V53*Y53*VLOOKUP('Données projet'!$B$9,Paramètres!$A$1:$I$88,3,0)*0.475*44/12</f>
        <v>3.7027534355045237E-2</v>
      </c>
      <c r="AC53" s="24">
        <f t="shared" si="3"/>
        <v>11.473516796086516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2.8266666666666671</v>
      </c>
      <c r="AI53" s="14">
        <f>IF('Données projet'!$A$62&gt;35,AI52+AH53-AQ52,IF(A53&lt;'Données projet'!$A$62,$AF$205^A53,IF(A53='Données projet'!$A$62,'Données projet'!$B$62,AI52+AH53-AQ52)))</f>
        <v>76.13333333333334</v>
      </c>
      <c r="AJ53" s="14">
        <f>AI53*VLOOKUP('Données projet'!$B$10,Paramètres!$A$1:$I$88,3,0)*VLOOKUP('Données projet'!$B$10,Paramètres!$A$1:$I$88,5,0)</f>
        <v>77.199200000000005</v>
      </c>
      <c r="AK53" s="14">
        <f t="shared" si="35"/>
        <v>21.450960087754392</v>
      </c>
      <c r="AL53" s="22">
        <f t="shared" si="4"/>
        <v>171.81569548617222</v>
      </c>
      <c r="AM53" s="62">
        <f t="shared" si="5"/>
        <v>465.14902881950553</v>
      </c>
      <c r="AN53" s="62">
        <f ca="1">AVERAGE(OFFSET($AM$3,0,0,'Données projet'!$E$10+1,1))-AVERAGE(OFFSET($H$3,0,0,'Données projet'!$E$10+1,1))</f>
        <v>95.135996821969457</v>
      </c>
      <c r="AO53" s="62">
        <f t="shared" si="36"/>
        <v>111.83039337220566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3.8</v>
      </c>
      <c r="BD53" s="13">
        <f>IF('Données projet'!$A$88&gt;35,BD52+BC53-BL52,IF(A53&lt;'Données projet'!$A$88,$BA$205^A53,IF(A53='Données projet'!$A$88,'Données projet'!$B$88,BD52+BC53-BL52)))</f>
        <v>141.50000000000009</v>
      </c>
      <c r="BE53" s="14">
        <f>BD53*VLOOKUP('Données projet'!$B$11,Paramètres!$A$1:$I$88,3,0)*VLOOKUP('Données projet'!$B$11,Paramètres!$A$1:$I$88,5,0)</f>
        <v>128.02920000000009</v>
      </c>
      <c r="BF53" s="14">
        <f t="shared" si="37"/>
        <v>33.54056123173212</v>
      </c>
      <c r="BG53" s="22">
        <f t="shared" si="7"/>
        <v>281.40066747860021</v>
      </c>
      <c r="BH53" s="62">
        <f t="shared" si="8"/>
        <v>574.73400081193358</v>
      </c>
      <c r="BI53" s="62">
        <f ca="1">AVERAGE(OFFSET($BH$3,0,0,'Données projet'!$E$11+1,1))-AVERAGE(OFFSET($H$3,0,0,'Données projet'!$E$11+1,1))</f>
        <v>168.44987180339865</v>
      </c>
      <c r="BJ53" s="62">
        <f t="shared" si="38"/>
        <v>375.85422976031748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4.8066404143509054</v>
      </c>
      <c r="BR53" s="23">
        <f>EXP(-LN(2)/2)*BR52+(1-EXP(-LN(2)/2))/(LN(2)/2)*BL53*BO53*VLOOKUP('Données projet'!$B$11,Paramètres!$A$1:$I$88,3,0)*0.475*44/12</f>
        <v>2.3343445571658936E-2</v>
      </c>
      <c r="BS53" s="24">
        <f t="shared" si="9"/>
        <v>4.8299838599225646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14.966666666666667</v>
      </c>
      <c r="N54" s="14">
        <f>IF('Données projet'!$A$36&gt;35,N53+M54-V53,IF(A54&lt;'Données projet'!$A$36,$K$205^A54,IF(A54='Données projet'!$A$36,'Données projet'!$B$36,N53+M54-V53)))</f>
        <v>238.79999999999995</v>
      </c>
      <c r="O54" s="14">
        <f>N54*VLOOKUP('Données projet'!$B$9,Paramètres!$A$1:$I$88,3,0)*VLOOKUP('Données projet'!$B$9,Paramètres!$A$1:$I$88,5,0)</f>
        <v>142.80239999999998</v>
      </c>
      <c r="P54" s="14">
        <f t="shared" si="33"/>
        <v>36.938253577955479</v>
      </c>
      <c r="Q54" s="22">
        <f t="shared" si="53"/>
        <v>313.04830498160578</v>
      </c>
      <c r="R54" s="62">
        <f t="shared" si="0"/>
        <v>606.3816383149391</v>
      </c>
      <c r="S54" s="62">
        <f ca="1">AVERAGE(OFFSET($R$3,0,0,'Données projet'!$E$9+1,1))-AVERAGE(OFFSET($H$3,0,0,'Données projet'!$E$9+1,1))</f>
        <v>190.92799938679798</v>
      </c>
      <c r="T54" s="62">
        <f t="shared" si="34"/>
        <v>172.54286890368337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11.123757861450592</v>
      </c>
      <c r="AB54" s="23">
        <f>EXP(-LN(2)/2)*AB53+(1-EXP(-LN(2)/2))/(LN(2)/2)*V54*Y54*VLOOKUP('Données projet'!$B$9,Paramètres!$A$1:$I$88,3,0)*0.475*44/12</f>
        <v>2.6182420633070344E-2</v>
      </c>
      <c r="AC54" s="24">
        <f t="shared" si="3"/>
        <v>11.149940282083662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2.8266666666666671</v>
      </c>
      <c r="AI54" s="14">
        <f>IF('Données projet'!$A$62&gt;35,AI53+AH54-AQ53,IF(A54&lt;'Données projet'!$A$62,$AF$205^A54,IF(A54='Données projet'!$A$62,'Données projet'!$B$62,AI53+AH54-AQ53)))</f>
        <v>78.960000000000008</v>
      </c>
      <c r="AJ54" s="14">
        <f>AI54*VLOOKUP('Données projet'!$B$10,Paramètres!$A$1:$I$88,3,0)*VLOOKUP('Données projet'!$B$10,Paramètres!$A$1:$I$88,5,0)</f>
        <v>80.065440000000009</v>
      </c>
      <c r="AK54" s="14">
        <f t="shared" si="35"/>
        <v>22.153183787354507</v>
      </c>
      <c r="AL54" s="22">
        <f t="shared" si="4"/>
        <v>178.03076976297575</v>
      </c>
      <c r="AM54" s="62">
        <f t="shared" si="5"/>
        <v>471.36410309630907</v>
      </c>
      <c r="AN54" s="62">
        <f ca="1">AVERAGE(OFFSET($AM$3,0,0,'Données projet'!$E$10+1,1))-AVERAGE(OFFSET($H$3,0,0,'Données projet'!$E$10+1,1))</f>
        <v>95.135996821969457</v>
      </c>
      <c r="AO54" s="62">
        <f t="shared" si="36"/>
        <v>111.83039337220566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3.8</v>
      </c>
      <c r="BD54" s="13">
        <f>IF('Données projet'!$A$88&gt;35,BD53+BC54-BL53,IF(A54&lt;'Données projet'!$A$88,$BA$205^A54,IF(A54='Données projet'!$A$88,'Données projet'!$B$88,BD53+BC54-BL53)))</f>
        <v>145.3000000000001</v>
      </c>
      <c r="BE54" s="14">
        <f>BD54*VLOOKUP('Données projet'!$B$11,Paramètres!$A$1:$I$88,3,0)*VLOOKUP('Données projet'!$B$11,Paramètres!$A$1:$I$88,5,0)</f>
        <v>131.46744000000007</v>
      </c>
      <c r="BF54" s="14">
        <f t="shared" si="37"/>
        <v>34.335219797403468</v>
      </c>
      <c r="BG54" s="22">
        <f t="shared" si="7"/>
        <v>288.77296581381114</v>
      </c>
      <c r="BH54" s="62">
        <f t="shared" si="8"/>
        <v>582.10629914714445</v>
      </c>
      <c r="BI54" s="62">
        <f ca="1">AVERAGE(OFFSET($BH$3,0,0,'Données projet'!$E$11+1,1))-AVERAGE(OFFSET($H$3,0,0,'Données projet'!$E$11+1,1))</f>
        <v>168.44987180339865</v>
      </c>
      <c r="BJ54" s="62">
        <f t="shared" si="38"/>
        <v>375.85422976031748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4.6752025794502465</v>
      </c>
      <c r="BR54" s="23">
        <f>EXP(-LN(2)/2)*BR53+(1-EXP(-LN(2)/2))/(LN(2)/2)*BL54*BO54*VLOOKUP('Données projet'!$B$11,Paramètres!$A$1:$I$88,3,0)*0.475*44/12</f>
        <v>1.6506308659979117E-2</v>
      </c>
      <c r="BS54" s="24">
        <f t="shared" si="9"/>
        <v>4.6917088881102256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14.966666666666667</v>
      </c>
      <c r="N55" s="14">
        <f>IF('Données projet'!$A$36&gt;35,N54+M55-V54,IF(A55&lt;'Données projet'!$A$36,$K$205^A55,IF(A55='Données projet'!$A$36,'Données projet'!$B$36,N54+M55-V54)))</f>
        <v>253.76666666666662</v>
      </c>
      <c r="O55" s="14">
        <f>N55*VLOOKUP('Données projet'!$B$9,Paramètres!$A$1:$I$88,3,0)*VLOOKUP('Données projet'!$B$9,Paramètres!$A$1:$I$88,5,0)</f>
        <v>151.75246666666663</v>
      </c>
      <c r="P55" s="14">
        <f t="shared" si="33"/>
        <v>38.976570333597266</v>
      </c>
      <c r="Q55" s="22">
        <f t="shared" si="53"/>
        <v>332.18640610879294</v>
      </c>
      <c r="R55" s="62">
        <f t="shared" si="0"/>
        <v>625.51973944212625</v>
      </c>
      <c r="S55" s="62">
        <f ca="1">AVERAGE(OFFSET($R$3,0,0,'Données projet'!$E$9+1,1))-AVERAGE(OFFSET($H$3,0,0,'Données projet'!$E$9+1,1))</f>
        <v>190.92799938679798</v>
      </c>
      <c r="T55" s="62">
        <f t="shared" si="34"/>
        <v>172.54286890368337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10.819578117756224</v>
      </c>
      <c r="AB55" s="23">
        <f>EXP(-LN(2)/2)*AB54+(1-EXP(-LN(2)/2))/(LN(2)/2)*V55*Y55*VLOOKUP('Données projet'!$B$9,Paramètres!$A$1:$I$88,3,0)*0.475*44/12</f>
        <v>1.8513767177522619E-2</v>
      </c>
      <c r="AC55" s="24">
        <f t="shared" si="3"/>
        <v>10.838091884933746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2.8266666666666671</v>
      </c>
      <c r="AI55" s="14">
        <f>IF('Données projet'!$A$62&gt;35,AI54+AH55-AQ54,IF(A55&lt;'Données projet'!$A$62,$AF$205^A55,IF(A55='Données projet'!$A$62,'Données projet'!$B$62,AI54+AH55-AQ54)))</f>
        <v>81.786666666666676</v>
      </c>
      <c r="AJ55" s="14">
        <f>AI55*VLOOKUP('Données projet'!$B$10,Paramètres!$A$1:$I$88,3,0)*VLOOKUP('Données projet'!$B$10,Paramètres!$A$1:$I$88,5,0)</f>
        <v>82.931680000000014</v>
      </c>
      <c r="AK55" s="14">
        <f t="shared" si="35"/>
        <v>22.852486770575499</v>
      </c>
      <c r="AL55" s="22">
        <f t="shared" si="4"/>
        <v>184.24075712541901</v>
      </c>
      <c r="AM55" s="62">
        <f t="shared" si="5"/>
        <v>477.57409045875232</v>
      </c>
      <c r="AN55" s="62">
        <f ca="1">AVERAGE(OFFSET($AM$3,0,0,'Données projet'!$E$10+1,1))-AVERAGE(OFFSET($H$3,0,0,'Données projet'!$E$10+1,1))</f>
        <v>95.135996821969457</v>
      </c>
      <c r="AO55" s="62">
        <f t="shared" si="36"/>
        <v>111.83039337220566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3.8</v>
      </c>
      <c r="BD55" s="13">
        <f>IF('Données projet'!$A$88&gt;35,BD54+BC55-BL54,IF(A55&lt;'Données projet'!$A$88,$BA$205^A55,IF(A55='Données projet'!$A$88,'Données projet'!$B$88,BD54+BC55-BL54)))</f>
        <v>149.10000000000011</v>
      </c>
      <c r="BE55" s="14">
        <f>BD55*VLOOKUP('Données projet'!$B$11,Paramètres!$A$1:$I$88,3,0)*VLOOKUP('Données projet'!$B$11,Paramètres!$A$1:$I$88,5,0)</f>
        <v>134.90568000000007</v>
      </c>
      <c r="BF55" s="14">
        <f t="shared" si="37"/>
        <v>35.127462663160927</v>
      </c>
      <c r="BG55" s="22">
        <f t="shared" si="7"/>
        <v>296.14105680500541</v>
      </c>
      <c r="BH55" s="62">
        <f t="shared" si="8"/>
        <v>589.47439013833878</v>
      </c>
      <c r="BI55" s="62">
        <f ca="1">AVERAGE(OFFSET($BH$3,0,0,'Données projet'!$E$11+1,1))-AVERAGE(OFFSET($H$3,0,0,'Données projet'!$E$11+1,1))</f>
        <v>168.44987180339865</v>
      </c>
      <c r="BJ55" s="62">
        <f t="shared" si="38"/>
        <v>375.85422976031748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4.5473589190569612</v>
      </c>
      <c r="BR55" s="23">
        <f>EXP(-LN(2)/2)*BR54+(1-EXP(-LN(2)/2))/(LN(2)/2)*BL55*BO55*VLOOKUP('Données projet'!$B$11,Paramètres!$A$1:$I$88,3,0)*0.475*44/12</f>
        <v>1.1671722785829468E-2</v>
      </c>
      <c r="BS55" s="24">
        <f t="shared" si="9"/>
        <v>4.5590306418427904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14.966666666666667</v>
      </c>
      <c r="N56" s="14">
        <f>IF('Données projet'!$A$36&gt;35,N55+M56-V55,IF(A56&lt;'Données projet'!$A$36,$K$205^A56,IF(A56='Données projet'!$A$36,'Données projet'!$B$36,N55+M56-V55)))</f>
        <v>268.73333333333329</v>
      </c>
      <c r="O56" s="14">
        <f>N56*VLOOKUP('Données projet'!$B$9,Paramètres!$A$1:$I$88,3,0)*VLOOKUP('Données projet'!$B$9,Paramètres!$A$1:$I$88,5,0)</f>
        <v>160.70253333333332</v>
      </c>
      <c r="P56" s="14">
        <f t="shared" si="33"/>
        <v>41.000933333568156</v>
      </c>
      <c r="Q56" s="22">
        <f t="shared" si="53"/>
        <v>351.30020444485336</v>
      </c>
      <c r="R56" s="62">
        <f t="shared" si="0"/>
        <v>644.63353777818668</v>
      </c>
      <c r="S56" s="62">
        <f ca="1">AVERAGE(OFFSET($R$3,0,0,'Données projet'!$E$9+1,1))-AVERAGE(OFFSET($H$3,0,0,'Données projet'!$E$9+1,1))</f>
        <v>190.92799938679798</v>
      </c>
      <c r="T56" s="62">
        <f t="shared" si="34"/>
        <v>172.54286890368337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10.523716185149295</v>
      </c>
      <c r="AB56" s="23">
        <f>EXP(-LN(2)/2)*AB55+(1-EXP(-LN(2)/2))/(LN(2)/2)*V56*Y56*VLOOKUP('Données projet'!$B$9,Paramètres!$A$1:$I$88,3,0)*0.475*44/12</f>
        <v>1.3091210316535172E-2</v>
      </c>
      <c r="AC56" s="24">
        <f t="shared" si="3"/>
        <v>10.53680739546583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2.8266666666666671</v>
      </c>
      <c r="AI56" s="14">
        <f>IF('Données projet'!$A$62&gt;35,AI55+AH56-AQ55,IF(A56&lt;'Données projet'!$A$62,$AF$205^A56,IF(A56='Données projet'!$A$62,'Données projet'!$B$62,AI55+AH56-AQ55)))</f>
        <v>84.613333333333344</v>
      </c>
      <c r="AJ56" s="14">
        <f>AI56*VLOOKUP('Données projet'!$B$10,Paramètres!$A$1:$I$88,3,0)*VLOOKUP('Données projet'!$B$10,Paramètres!$A$1:$I$88,5,0)</f>
        <v>85.797920000000005</v>
      </c>
      <c r="AK56" s="14">
        <f t="shared" si="35"/>
        <v>23.548981550695597</v>
      </c>
      <c r="AL56" s="22">
        <f t="shared" si="4"/>
        <v>190.44585353412819</v>
      </c>
      <c r="AM56" s="62">
        <f t="shared" si="5"/>
        <v>483.77918686746148</v>
      </c>
      <c r="AN56" s="62">
        <f ca="1">AVERAGE(OFFSET($AM$3,0,0,'Données projet'!$E$10+1,1))-AVERAGE(OFFSET($H$3,0,0,'Données projet'!$E$10+1,1))</f>
        <v>95.135996821969457</v>
      </c>
      <c r="AO56" s="62">
        <f t="shared" si="36"/>
        <v>111.83039337220566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3.8</v>
      </c>
      <c r="BD56" s="13">
        <f>IF('Données projet'!$A$88&gt;35,BD55+BC56-BL55,IF(A56&lt;'Données projet'!$A$88,$BA$205^A56,IF(A56='Données projet'!$A$88,'Données projet'!$B$88,BD55+BC56-BL55)))</f>
        <v>152.90000000000012</v>
      </c>
      <c r="BE56" s="14">
        <f>BD56*VLOOKUP('Données projet'!$B$11,Paramètres!$A$1:$I$88,3,0)*VLOOKUP('Données projet'!$B$11,Paramètres!$A$1:$I$88,5,0)</f>
        <v>138.34392000000011</v>
      </c>
      <c r="BF56" s="14">
        <f t="shared" si="37"/>
        <v>35.917358475738695</v>
      </c>
      <c r="BG56" s="22">
        <f t="shared" si="7"/>
        <v>303.50506001191172</v>
      </c>
      <c r="BH56" s="62">
        <f t="shared" si="8"/>
        <v>596.83839334524509</v>
      </c>
      <c r="BI56" s="62">
        <f ca="1">AVERAGE(OFFSET($BH$3,0,0,'Données projet'!$E$11+1,1))-AVERAGE(OFFSET($H$3,0,0,'Données projet'!$E$11+1,1))</f>
        <v>168.44987180339865</v>
      </c>
      <c r="BJ56" s="62">
        <f t="shared" si="38"/>
        <v>375.85422976031748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4.4230111502801366</v>
      </c>
      <c r="BR56" s="23">
        <f>EXP(-LN(2)/2)*BR55+(1-EXP(-LN(2)/2))/(LN(2)/2)*BL56*BO56*VLOOKUP('Données projet'!$B$11,Paramètres!$A$1:$I$88,3,0)*0.475*44/12</f>
        <v>8.2531543299895586E-3</v>
      </c>
      <c r="BS56" s="24">
        <f t="shared" si="9"/>
        <v>4.4312643046101261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14.966666666666667</v>
      </c>
      <c r="N57" s="14">
        <f>IF('Données projet'!$A$36&gt;35,N56+M57-V56,IF(A57&lt;'Données projet'!$A$36,$K$205^A57,IF(A57='Données projet'!$A$36,'Données projet'!$B$36,N56+M57-V56)))</f>
        <v>283.69999999999993</v>
      </c>
      <c r="O57" s="14">
        <f>N57*VLOOKUP('Données projet'!$B$9,Paramètres!$A$1:$I$88,3,0)*VLOOKUP('Données projet'!$B$9,Paramètres!$A$1:$I$88,5,0)</f>
        <v>169.65259999999998</v>
      </c>
      <c r="P57" s="14">
        <f t="shared" si="33"/>
        <v>43.012208281014964</v>
      </c>
      <c r="Q57" s="22">
        <f t="shared" si="53"/>
        <v>370.39120775610098</v>
      </c>
      <c r="R57" s="62">
        <f t="shared" si="0"/>
        <v>663.7245410894343</v>
      </c>
      <c r="S57" s="62">
        <f ca="1">AVERAGE(OFFSET($R$3,0,0,'Données projet'!$E$9+1,1))-AVERAGE(OFFSET($H$3,0,0,'Données projet'!$E$9+1,1))</f>
        <v>190.92799938679798</v>
      </c>
      <c r="T57" s="62">
        <f t="shared" si="34"/>
        <v>172.54286890368337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10.235944612648206</v>
      </c>
      <c r="AB57" s="23">
        <f>EXP(-LN(2)/2)*AB56+(1-EXP(-LN(2)/2))/(LN(2)/2)*V57*Y57*VLOOKUP('Données projet'!$B$9,Paramètres!$A$1:$I$88,3,0)*0.475*44/12</f>
        <v>9.2568835887613093E-3</v>
      </c>
      <c r="AC57" s="24">
        <f t="shared" si="3"/>
        <v>10.245201496236968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2.8266666666666671</v>
      </c>
      <c r="AI57" s="14">
        <f>IF('Données projet'!$A$62&gt;35,AI56+AH57-AQ56,IF(A57&lt;'Données projet'!$A$62,$AF$205^A57,IF(A57='Données projet'!$A$62,'Données projet'!$B$62,AI56+AH57-AQ56)))</f>
        <v>87.440000000000012</v>
      </c>
      <c r="AJ57" s="14">
        <f>AI57*VLOOKUP('Données projet'!$B$10,Paramètres!$A$1:$I$88,3,0)*VLOOKUP('Données projet'!$B$10,Paramètres!$A$1:$I$88,5,0)</f>
        <v>88.664160000000024</v>
      </c>
      <c r="AK57" s="14">
        <f t="shared" si="35"/>
        <v>24.242772696998546</v>
      </c>
      <c r="AL57" s="22">
        <f t="shared" si="4"/>
        <v>196.64624111393917</v>
      </c>
      <c r="AM57" s="62">
        <f t="shared" si="5"/>
        <v>489.97957444727251</v>
      </c>
      <c r="AN57" s="62">
        <f ca="1">AVERAGE(OFFSET($AM$3,0,0,'Données projet'!$E$10+1,1))-AVERAGE(OFFSET($H$3,0,0,'Données projet'!$E$10+1,1))</f>
        <v>95.135996821969457</v>
      </c>
      <c r="AO57" s="62">
        <f t="shared" si="36"/>
        <v>111.83039337220566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3.8</v>
      </c>
      <c r="BD57" s="13">
        <f>IF('Données projet'!$A$88&gt;35,BD56+BC57-BL56,IF(A57&lt;'Données projet'!$A$88,$BA$205^A57,IF(A57='Données projet'!$A$88,'Données projet'!$B$88,BD56+BC57-BL56)))</f>
        <v>156.70000000000013</v>
      </c>
      <c r="BE57" s="14">
        <f>BD57*VLOOKUP('Données projet'!$B$11,Paramètres!$A$1:$I$88,3,0)*VLOOKUP('Données projet'!$B$11,Paramètres!$A$1:$I$88,5,0)</f>
        <v>141.78216000000012</v>
      </c>
      <c r="BF57" s="14">
        <f t="shared" si="37"/>
        <v>36.704972275250235</v>
      </c>
      <c r="BG57" s="22">
        <f t="shared" si="7"/>
        <v>310.86508871272775</v>
      </c>
      <c r="BH57" s="62">
        <f t="shared" si="8"/>
        <v>604.19842204606107</v>
      </c>
      <c r="BI57" s="62">
        <f ca="1">AVERAGE(OFFSET($BH$3,0,0,'Données projet'!$E$11+1,1))-AVERAGE(OFFSET($H$3,0,0,'Données projet'!$E$11+1,1))</f>
        <v>168.44987180339865</v>
      </c>
      <c r="BJ57" s="62">
        <f t="shared" si="38"/>
        <v>375.85422976031748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4.302063677779679</v>
      </c>
      <c r="BR57" s="23">
        <f>EXP(-LN(2)/2)*BR56+(1-EXP(-LN(2)/2))/(LN(2)/2)*BL57*BO57*VLOOKUP('Données projet'!$B$11,Paramètres!$A$1:$I$88,3,0)*0.475*44/12</f>
        <v>5.8358613929147341E-3</v>
      </c>
      <c r="BS57" s="24">
        <f t="shared" si="9"/>
        <v>4.3078995391725936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14.966666666666667</v>
      </c>
      <c r="N58" s="14">
        <f>IF('Données projet'!$A$36&gt;35,N57+M58-V57,IF(A58&lt;'Données projet'!$A$36,$K$205^A58,IF(A58='Données projet'!$A$36,'Données projet'!$B$36,N57+M58-V57)))</f>
        <v>298.66666666666657</v>
      </c>
      <c r="O58" s="14">
        <f>N58*VLOOKUP('Données projet'!$B$9,Paramètres!$A$1:$I$88,3,0)*VLOOKUP('Données projet'!$B$9,Paramètres!$A$1:$I$88,5,0)</f>
        <v>178.60266666666664</v>
      </c>
      <c r="P58" s="14">
        <f t="shared" si="33"/>
        <v>45.011164379417956</v>
      </c>
      <c r="Q58" s="22">
        <f t="shared" si="53"/>
        <v>389.4607557385973</v>
      </c>
      <c r="R58" s="62">
        <f t="shared" si="0"/>
        <v>682.79408907193056</v>
      </c>
      <c r="S58" s="62">
        <f ca="1">AVERAGE(OFFSET($R$3,0,0,'Données projet'!$E$9+1,1))-AVERAGE(OFFSET($H$3,0,0,'Données projet'!$E$9+1,1))</f>
        <v>190.92799938679798</v>
      </c>
      <c r="T58" s="62">
        <f t="shared" si="34"/>
        <v>172.54286890368337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9.9560421689304075</v>
      </c>
      <c r="AB58" s="23">
        <f>EXP(-LN(2)/2)*AB57+(1-EXP(-LN(2)/2))/(LN(2)/2)*V58*Y58*VLOOKUP('Données projet'!$B$9,Paramètres!$A$1:$I$88,3,0)*0.475*44/12</f>
        <v>6.545605158267586E-3</v>
      </c>
      <c r="AC58" s="24">
        <f t="shared" si="3"/>
        <v>9.962587774088675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2.8266666666666671</v>
      </c>
      <c r="AI58" s="14">
        <f>IF('Données projet'!$A$62&gt;35,AI57+AH58-AQ57,IF(A58&lt;'Données projet'!$A$62,$AF$205^A58,IF(A58='Données projet'!$A$62,'Données projet'!$B$62,AI57+AH58-AQ57)))</f>
        <v>90.26666666666668</v>
      </c>
      <c r="AJ58" s="14">
        <f>AI58*VLOOKUP('Données projet'!$B$10,Paramètres!$A$1:$I$88,3,0)*VLOOKUP('Données projet'!$B$10,Paramètres!$A$1:$I$88,5,0)</f>
        <v>91.530400000000029</v>
      </c>
      <c r="AK58" s="14">
        <f t="shared" si="35"/>
        <v>24.933957634144967</v>
      </c>
      <c r="AL58" s="22">
        <f t="shared" si="4"/>
        <v>202.84208954613587</v>
      </c>
      <c r="AM58" s="62">
        <f t="shared" si="5"/>
        <v>496.17542287946918</v>
      </c>
      <c r="AN58" s="62">
        <f ca="1">AVERAGE(OFFSET($AM$3,0,0,'Données projet'!$E$10+1,1))-AVERAGE(OFFSET($H$3,0,0,'Données projet'!$E$10+1,1))</f>
        <v>95.135996821969457</v>
      </c>
      <c r="AO58" s="62">
        <f t="shared" si="36"/>
        <v>111.83039337220566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3.8</v>
      </c>
      <c r="BD58" s="13">
        <f>IF('Données projet'!$A$88&gt;35,BD57+BC58-BL57,IF(A58&lt;'Données projet'!$A$88,$BA$205^A58,IF(A58='Données projet'!$A$88,'Données projet'!$B$88,BD57+BC58-BL57)))</f>
        <v>160.50000000000014</v>
      </c>
      <c r="BE58" s="14">
        <f>BD58*VLOOKUP('Données projet'!$B$11,Paramètres!$A$1:$I$88,3,0)*VLOOKUP('Données projet'!$B$11,Paramètres!$A$1:$I$88,5,0)</f>
        <v>145.22040000000013</v>
      </c>
      <c r="BF58" s="14">
        <f t="shared" si="37"/>
        <v>37.490365767474984</v>
      </c>
      <c r="BG58" s="22">
        <f t="shared" si="7"/>
        <v>318.22125037835241</v>
      </c>
      <c r="BH58" s="62">
        <f t="shared" si="8"/>
        <v>611.55458371168572</v>
      </c>
      <c r="BI58" s="62">
        <f ca="1">AVERAGE(OFFSET($BH$3,0,0,'Données projet'!$E$11+1,1))-AVERAGE(OFFSET($H$3,0,0,'Données projet'!$E$11+1,1))</f>
        <v>168.44987180339865</v>
      </c>
      <c r="BJ58" s="62">
        <f t="shared" si="38"/>
        <v>375.85422976031748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4.1844235202750975</v>
      </c>
      <c r="BR58" s="23">
        <f>EXP(-LN(2)/2)*BR57+(1-EXP(-LN(2)/2))/(LN(2)/2)*BL58*BO58*VLOOKUP('Données projet'!$B$11,Paramètres!$A$1:$I$88,3,0)*0.475*44/12</f>
        <v>4.1265771649947793E-3</v>
      </c>
      <c r="BS58" s="24">
        <f t="shared" si="9"/>
        <v>4.1885500974400927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14.966666666666667</v>
      </c>
      <c r="N59" s="14">
        <f>IF('Données projet'!$A$36&gt;35,N58+M59-V58,IF(A59&lt;'Données projet'!$A$36,$K$205^A59,IF(A59='Données projet'!$A$36,'Données projet'!$B$36,N58+M59-V58)))</f>
        <v>313.63333333333321</v>
      </c>
      <c r="O59" s="14">
        <f>N59*VLOOKUP('Données projet'!$B$9,Paramètres!$A$1:$I$88,3,0)*VLOOKUP('Données projet'!$B$9,Paramètres!$A$1:$I$88,5,0)</f>
        <v>187.55273333333326</v>
      </c>
      <c r="P59" s="14">
        <f t="shared" si="33"/>
        <v>46.998489385366881</v>
      </c>
      <c r="Q59" s="22">
        <f t="shared" si="53"/>
        <v>408.51004623506941</v>
      </c>
      <c r="R59" s="62">
        <f t="shared" si="0"/>
        <v>701.84337956840272</v>
      </c>
      <c r="S59" s="62">
        <f ca="1">AVERAGE(OFFSET($R$3,0,0,'Données projet'!$E$9+1,1))-AVERAGE(OFFSET($H$3,0,0,'Données projet'!$E$9+1,1))</f>
        <v>190.92799938679798</v>
      </c>
      <c r="T59" s="62">
        <f t="shared" si="34"/>
        <v>172.54286890368337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9.6837936722555025</v>
      </c>
      <c r="AB59" s="23">
        <f>EXP(-LN(2)/2)*AB58+(1-EXP(-LN(2)/2))/(LN(2)/2)*V59*Y59*VLOOKUP('Données projet'!$B$9,Paramètres!$A$1:$I$88,3,0)*0.475*44/12</f>
        <v>4.6284417943806546E-3</v>
      </c>
      <c r="AC59" s="24">
        <f t="shared" si="3"/>
        <v>9.6884221140498834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2.8266666666666671</v>
      </c>
      <c r="AI59" s="14">
        <f>IF('Données projet'!$A$62&gt;35,AI58+AH59-AQ58,IF(A59&lt;'Données projet'!$A$62,$AF$205^A59,IF(A59='Données projet'!$A$62,'Données projet'!$B$62,AI58+AH59-AQ58)))</f>
        <v>93.093333333333348</v>
      </c>
      <c r="AJ59" s="14">
        <f>AI59*VLOOKUP('Données projet'!$B$10,Paramètres!$A$1:$I$88,3,0)*VLOOKUP('Données projet'!$B$10,Paramètres!$A$1:$I$88,5,0)</f>
        <v>94.396640000000019</v>
      </c>
      <c r="AK59" s="14">
        <f t="shared" si="35"/>
        <v>25.622627338602687</v>
      </c>
      <c r="AL59" s="22">
        <f t="shared" si="4"/>
        <v>209.03355728139971</v>
      </c>
      <c r="AM59" s="62">
        <f t="shared" si="5"/>
        <v>502.36689061473305</v>
      </c>
      <c r="AN59" s="62">
        <f ca="1">AVERAGE(OFFSET($AM$3,0,0,'Données projet'!$E$10+1,1))-AVERAGE(OFFSET($H$3,0,0,'Données projet'!$E$10+1,1))</f>
        <v>95.135996821969457</v>
      </c>
      <c r="AO59" s="62">
        <f t="shared" si="36"/>
        <v>111.83039337220566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3.8</v>
      </c>
      <c r="BD59" s="13">
        <f>IF('Données projet'!$A$88&gt;35,BD58+BC59-BL58,IF(A59&lt;'Données projet'!$A$88,$BA$205^A59,IF(A59='Données projet'!$A$88,'Données projet'!$B$88,BD58+BC59-BL58)))</f>
        <v>164.30000000000015</v>
      </c>
      <c r="BE59" s="14">
        <f>BD59*VLOOKUP('Données projet'!$B$11,Paramètres!$A$1:$I$88,3,0)*VLOOKUP('Données projet'!$B$11,Paramètres!$A$1:$I$88,5,0)</f>
        <v>148.65864000000013</v>
      </c>
      <c r="BF59" s="14">
        <f t="shared" si="37"/>
        <v>38.273597569632543</v>
      </c>
      <c r="BG59" s="22">
        <f t="shared" si="7"/>
        <v>325.57364710044357</v>
      </c>
      <c r="BH59" s="62">
        <f t="shared" si="8"/>
        <v>618.90698043377688</v>
      </c>
      <c r="BI59" s="62">
        <f ca="1">AVERAGE(OFFSET($BH$3,0,0,'Données projet'!$E$11+1,1))-AVERAGE(OFFSET($H$3,0,0,'Données projet'!$E$11+1,1))</f>
        <v>168.44987180339865</v>
      </c>
      <c r="BJ59" s="62">
        <f t="shared" si="38"/>
        <v>375.85422976031748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4.0700002390639058</v>
      </c>
      <c r="BR59" s="23">
        <f>EXP(-LN(2)/2)*BR58+(1-EXP(-LN(2)/2))/(LN(2)/2)*BL59*BO59*VLOOKUP('Données projet'!$B$11,Paramètres!$A$1:$I$88,3,0)*0.475*44/12</f>
        <v>2.917930696457367E-3</v>
      </c>
      <c r="BS59" s="24">
        <f t="shared" si="9"/>
        <v>4.0729181697603636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14.966666666666667</v>
      </c>
      <c r="N60" s="14">
        <f>IF('Données projet'!$A$36&gt;35,N59+M60-V59,IF(A60&lt;'Données projet'!$A$36,$K$205^A60,IF(A60='Données projet'!$A$36,'Données projet'!$B$36,N59+M60-V59)))</f>
        <v>328.59999999999985</v>
      </c>
      <c r="O60" s="14">
        <f>N60*VLOOKUP('Données projet'!$B$9,Paramètres!$A$1:$I$88,3,0)*VLOOKUP('Données projet'!$B$9,Paramètres!$A$1:$I$88,5,0)</f>
        <v>196.50279999999995</v>
      </c>
      <c r="P60" s="14">
        <f t="shared" si="33"/>
        <v>48.97480170662665</v>
      </c>
      <c r="Q60" s="22">
        <f t="shared" si="53"/>
        <v>427.54015630570802</v>
      </c>
      <c r="R60" s="62">
        <f t="shared" si="0"/>
        <v>720.87348963904128</v>
      </c>
      <c r="S60" s="62">
        <f ca="1">AVERAGE(OFFSET($R$3,0,0,'Données projet'!$E$9+1,1))-AVERAGE(OFFSET($H$3,0,0,'Données projet'!$E$9+1,1))</f>
        <v>190.92799938679798</v>
      </c>
      <c r="T60" s="62">
        <f t="shared" si="34"/>
        <v>172.54286890368337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9.4189898250391</v>
      </c>
      <c r="AB60" s="23">
        <f>EXP(-LN(2)/2)*AB59+(1-EXP(-LN(2)/2))/(LN(2)/2)*V60*Y60*VLOOKUP('Données projet'!$B$9,Paramètres!$A$1:$I$88,3,0)*0.475*44/12</f>
        <v>3.272802579133793E-3</v>
      </c>
      <c r="AC60" s="24">
        <f t="shared" si="3"/>
        <v>9.4222626276182346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2.8266666666666671</v>
      </c>
      <c r="AI60" s="14">
        <f>IF('Données projet'!$A$62&gt;35,AI59+AH60-AQ59,IF(A60&lt;'Données projet'!$A$62,$AF$205^A60,IF(A60='Données projet'!$A$62,'Données projet'!$B$62,AI59+AH60-AQ59)))</f>
        <v>95.920000000000016</v>
      </c>
      <c r="AJ60" s="14">
        <f>AI60*VLOOKUP('Données projet'!$B$10,Paramètres!$A$1:$I$88,3,0)*VLOOKUP('Données projet'!$B$10,Paramètres!$A$1:$I$88,5,0)</f>
        <v>97.262880000000024</v>
      </c>
      <c r="AK60" s="14">
        <f t="shared" si="35"/>
        <v>26.308866948115732</v>
      </c>
      <c r="AL60" s="22">
        <f t="shared" si="4"/>
        <v>215.22079260130158</v>
      </c>
      <c r="AM60" s="62">
        <f t="shared" si="5"/>
        <v>508.5541259346349</v>
      </c>
      <c r="AN60" s="62">
        <f ca="1">AVERAGE(OFFSET($AM$3,0,0,'Données projet'!$E$10+1,1))-AVERAGE(OFFSET($H$3,0,0,'Données projet'!$E$10+1,1))</f>
        <v>95.135996821969457</v>
      </c>
      <c r="AO60" s="62">
        <f t="shared" si="36"/>
        <v>111.83039337220566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3.8</v>
      </c>
      <c r="BD60" s="13">
        <f>IF('Données projet'!$A$88&gt;35,BD59+BC60-BL59,IF(A60&lt;'Données projet'!$A$88,$BA$205^A60,IF(A60='Données projet'!$A$88,'Données projet'!$B$88,BD59+BC60-BL59)))</f>
        <v>168.10000000000016</v>
      </c>
      <c r="BE60" s="14">
        <f>BD60*VLOOKUP('Données projet'!$B$11,Paramètres!$A$1:$I$88,3,0)*VLOOKUP('Données projet'!$B$11,Paramètres!$A$1:$I$88,5,0)</f>
        <v>152.09688000000014</v>
      </c>
      <c r="BF60" s="14">
        <f t="shared" si="37"/>
        <v>39.054723432778296</v>
      </c>
      <c r="BG60" s="22">
        <f t="shared" si="7"/>
        <v>332.92237597875578</v>
      </c>
      <c r="BH60" s="62">
        <f t="shared" si="8"/>
        <v>626.25570931208904</v>
      </c>
      <c r="BI60" s="62">
        <f ca="1">AVERAGE(OFFSET($BH$3,0,0,'Données projet'!$E$11+1,1))-AVERAGE(OFFSET($H$3,0,0,'Données projet'!$E$11+1,1))</f>
        <v>168.44987180339865</v>
      </c>
      <c r="BJ60" s="62">
        <f t="shared" si="38"/>
        <v>375.85422976031748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3.9587058684946927</v>
      </c>
      <c r="BR60" s="23">
        <f>EXP(-LN(2)/2)*BR59+(1-EXP(-LN(2)/2))/(LN(2)/2)*BL60*BO60*VLOOKUP('Données projet'!$B$11,Paramètres!$A$1:$I$88,3,0)*0.475*44/12</f>
        <v>2.0632885824973897E-3</v>
      </c>
      <c r="BS60" s="24">
        <f t="shared" si="9"/>
        <v>3.9607691570771903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14.966666666666667</v>
      </c>
      <c r="N61" s="14">
        <f>IF('Données projet'!$A$36&gt;35,N60+M61-V60,IF(A61&lt;'Données projet'!$A$36,$K$205^A61,IF(A61='Données projet'!$A$36,'Données projet'!$B$36,N60+M61-V60)))</f>
        <v>343.56666666666649</v>
      </c>
      <c r="O61" s="14">
        <f>N61*VLOOKUP('Données projet'!$B$9,Paramètres!$A$1:$I$88,3,0)*VLOOKUP('Données projet'!$B$9,Paramètres!$A$1:$I$88,5,0)</f>
        <v>205.45286666666658</v>
      </c>
      <c r="P61" s="14">
        <f t="shared" si="33"/>
        <v>50.940660233781792</v>
      </c>
      <c r="Q61" s="22">
        <f t="shared" si="53"/>
        <v>446.55205935161422</v>
      </c>
      <c r="R61" s="62">
        <f t="shared" si="0"/>
        <v>739.88539268494753</v>
      </c>
      <c r="S61" s="62">
        <f ca="1">AVERAGE(OFFSET($R$3,0,0,'Données projet'!$E$9+1,1))-AVERAGE(OFFSET($H$3,0,0,'Données projet'!$E$9+1,1))</f>
        <v>190.92799938679798</v>
      </c>
      <c r="T61" s="62">
        <f t="shared" si="34"/>
        <v>172.54286890368337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9.1614270529502591</v>
      </c>
      <c r="AB61" s="23">
        <f>EXP(-LN(2)/2)*AB60+(1-EXP(-LN(2)/2))/(LN(2)/2)*V61*Y61*VLOOKUP('Données projet'!$B$9,Paramètres!$A$1:$I$88,3,0)*0.475*44/12</f>
        <v>2.3142208971903273E-3</v>
      </c>
      <c r="AC61" s="24">
        <f t="shared" si="3"/>
        <v>9.1637412738474495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2.8266666666666671</v>
      </c>
      <c r="AI61" s="14">
        <f>IF('Données projet'!$A$62&gt;35,AI60+AH61-AQ60,IF(A61&lt;'Données projet'!$A$62,$AF$205^A61,IF(A61='Données projet'!$A$62,'Données projet'!$B$62,AI60+AH61-AQ60)))</f>
        <v>98.746666666666684</v>
      </c>
      <c r="AJ61" s="14">
        <f>AI61*VLOOKUP('Données projet'!$B$10,Paramètres!$A$1:$I$88,3,0)*VLOOKUP('Données projet'!$B$10,Paramètres!$A$1:$I$88,5,0)</f>
        <v>100.12912000000003</v>
      </c>
      <c r="AK61" s="14">
        <f t="shared" si="35"/>
        <v>26.992756297312528</v>
      </c>
      <c r="AL61" s="22">
        <f t="shared" si="4"/>
        <v>221.4039345511527</v>
      </c>
      <c r="AM61" s="62">
        <f t="shared" si="5"/>
        <v>514.73726788448607</v>
      </c>
      <c r="AN61" s="62">
        <f ca="1">AVERAGE(OFFSET($AM$3,0,0,'Données projet'!$E$10+1,1))-AVERAGE(OFFSET($H$3,0,0,'Données projet'!$E$10+1,1))</f>
        <v>95.135996821969457</v>
      </c>
      <c r="AO61" s="62">
        <f t="shared" si="36"/>
        <v>111.83039337220566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3.8</v>
      </c>
      <c r="BD61" s="13">
        <f>IF('Données projet'!$A$88&gt;35,BD60+BC61-BL60,IF(A61&lt;'Données projet'!$A$88,$BA$205^A61,IF(A61='Données projet'!$A$88,'Données projet'!$B$88,BD60+BC61-BL60)))</f>
        <v>171.90000000000018</v>
      </c>
      <c r="BE61" s="14">
        <f>BD61*VLOOKUP('Données projet'!$B$11,Paramètres!$A$1:$I$88,3,0)*VLOOKUP('Données projet'!$B$11,Paramètres!$A$1:$I$88,5,0)</f>
        <v>155.53512000000015</v>
      </c>
      <c r="BF61" s="14">
        <f t="shared" si="37"/>
        <v>39.8337964435229</v>
      </c>
      <c r="BG61" s="22">
        <f t="shared" si="7"/>
        <v>340.26752947246928</v>
      </c>
      <c r="BH61" s="62">
        <f t="shared" si="8"/>
        <v>633.60086280580254</v>
      </c>
      <c r="BI61" s="62">
        <f ca="1">AVERAGE(OFFSET($BH$3,0,0,'Données projet'!$E$11+1,1))-AVERAGE(OFFSET($H$3,0,0,'Données projet'!$E$11+1,1))</f>
        <v>168.44987180339865</v>
      </c>
      <c r="BJ61" s="62">
        <f t="shared" si="38"/>
        <v>375.85422976031748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3.8504548483414114</v>
      </c>
      <c r="BR61" s="23">
        <f>EXP(-LN(2)/2)*BR60+(1-EXP(-LN(2)/2))/(LN(2)/2)*BL61*BO61*VLOOKUP('Données projet'!$B$11,Paramètres!$A$1:$I$88,3,0)*0.475*44/12</f>
        <v>1.4589653482286835E-3</v>
      </c>
      <c r="BS61" s="24">
        <f t="shared" si="9"/>
        <v>3.8519138136896403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14.966666666666667</v>
      </c>
      <c r="N62" s="14">
        <f>IF('Données projet'!$A$36&gt;35,N61+M62-V61,IF(A62&lt;'Données projet'!$A$36,$K$205^A62,IF(A62='Données projet'!$A$36,'Données projet'!$B$36,N61+M62-V61)))</f>
        <v>358.53333333333313</v>
      </c>
      <c r="O62" s="14">
        <f>N62*VLOOKUP('Données projet'!$B$9,Paramètres!$A$1:$I$88,3,0)*VLOOKUP('Données projet'!$B$9,Paramètres!$A$1:$I$88,5,0)</f>
        <v>214.40293333333321</v>
      </c>
      <c r="P62" s="14">
        <f t="shared" si="33"/>
        <v>52.896572410367789</v>
      </c>
      <c r="Q62" s="22">
        <f t="shared" si="53"/>
        <v>465.54663917027915</v>
      </c>
      <c r="R62" s="62">
        <f t="shared" si="0"/>
        <v>758.87997250361241</v>
      </c>
      <c r="S62" s="62">
        <f ca="1">AVERAGE(OFFSET($R$3,0,0,'Données projet'!$E$9+1,1))-AVERAGE(OFFSET($H$3,0,0,'Données projet'!$E$9+1,1))</f>
        <v>190.92799938679798</v>
      </c>
      <c r="T62" s="62">
        <f t="shared" si="34"/>
        <v>172.54286890368337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8.9109073484088235</v>
      </c>
      <c r="AB62" s="23">
        <f>EXP(-LN(2)/2)*AB61+(1-EXP(-LN(2)/2))/(LN(2)/2)*V62*Y62*VLOOKUP('Données projet'!$B$9,Paramètres!$A$1:$I$88,3,0)*0.475*44/12</f>
        <v>1.6364012895668965E-3</v>
      </c>
      <c r="AC62" s="24">
        <f t="shared" si="3"/>
        <v>8.9125437496983899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2.8266666666666671</v>
      </c>
      <c r="AI62" s="14">
        <f>IF('Données projet'!$A$62&gt;35,AI61+AH62-AQ61,IF(A62&lt;'Données projet'!$A$62,$AF$205^A62,IF(A62='Données projet'!$A$62,'Données projet'!$B$62,AI61+AH62-AQ61)))</f>
        <v>101.57333333333335</v>
      </c>
      <c r="AJ62" s="14">
        <f>AI62*VLOOKUP('Données projet'!$B$10,Paramètres!$A$1:$I$88,3,0)*VLOOKUP('Données projet'!$B$10,Paramètres!$A$1:$I$88,5,0)</f>
        <v>102.99536000000002</v>
      </c>
      <c r="AK62" s="14">
        <f t="shared" si="35"/>
        <v>27.674370390262588</v>
      </c>
      <c r="AL62" s="22">
        <f t="shared" si="4"/>
        <v>227.5831137630407</v>
      </c>
      <c r="AM62" s="62">
        <f t="shared" si="5"/>
        <v>520.91644709637399</v>
      </c>
      <c r="AN62" s="62">
        <f ca="1">AVERAGE(OFFSET($AM$3,0,0,'Données projet'!$E$10+1,1))-AVERAGE(OFFSET($H$3,0,0,'Données projet'!$E$10+1,1))</f>
        <v>95.135996821969457</v>
      </c>
      <c r="AO62" s="62">
        <f t="shared" si="36"/>
        <v>111.83039337220566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3.8</v>
      </c>
      <c r="BD62" s="13">
        <f>IF('Données projet'!$A$88&gt;35,BD61+BC62-BL61,IF(A62&lt;'Données projet'!$A$88,$BA$205^A62,IF(A62='Données projet'!$A$88,'Données projet'!$B$88,BD61+BC62-BL61)))</f>
        <v>175.70000000000019</v>
      </c>
      <c r="BE62" s="14">
        <f>BD62*VLOOKUP('Données projet'!$B$11,Paramètres!$A$1:$I$88,3,0)*VLOOKUP('Données projet'!$B$11,Paramètres!$A$1:$I$88,5,0)</f>
        <v>158.97336000000016</v>
      </c>
      <c r="BF62" s="14">
        <f t="shared" si="37"/>
        <v>40.610867207411793</v>
      </c>
      <c r="BG62" s="22">
        <f t="shared" si="7"/>
        <v>347.60919571957578</v>
      </c>
      <c r="BH62" s="62">
        <f t="shared" si="8"/>
        <v>640.94252905290909</v>
      </c>
      <c r="BI62" s="62">
        <f ca="1">AVERAGE(OFFSET($BH$3,0,0,'Données projet'!$E$11+1,1))-AVERAGE(OFFSET($H$3,0,0,'Données projet'!$E$11+1,1))</f>
        <v>168.44987180339865</v>
      </c>
      <c r="BJ62" s="62">
        <f t="shared" si="38"/>
        <v>375.85422976031748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3.7451639580268954</v>
      </c>
      <c r="BR62" s="23">
        <f>EXP(-LN(2)/2)*BR61+(1-EXP(-LN(2)/2))/(LN(2)/2)*BL62*BO62*VLOOKUP('Données projet'!$B$11,Paramètres!$A$1:$I$88,3,0)*0.475*44/12</f>
        <v>1.0316442912486948E-3</v>
      </c>
      <c r="BS62" s="24">
        <f t="shared" si="9"/>
        <v>3.746195602318144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373.5</v>
      </c>
      <c r="L63" s="13">
        <f>VLOOKUP(A63,'Données projet'!$A$35:$I$55,9,0)</f>
        <v>14.966666666666667</v>
      </c>
      <c r="M63" s="13">
        <f t="array" ref="M63">INDEX(L:L,MIN(IF(ISNUMBER(L63:L259),ROW(L63:L259),"")))</f>
        <v>14.966666666666667</v>
      </c>
      <c r="N63" s="14">
        <f>IF('Données projet'!$A$36&gt;35,N62+M63-V62,IF(A63&lt;'Données projet'!$A$36,$K$205^A63,IF(A63='Données projet'!$A$36,'Données projet'!$B$36,N62+M63-V62)))</f>
        <v>373.49999999999977</v>
      </c>
      <c r="O63" s="14">
        <f>N63*VLOOKUP('Données projet'!$B$9,Paramètres!$A$1:$I$88,3,0)*VLOOKUP('Données projet'!$B$9,Paramètres!$A$1:$I$88,5,0)</f>
        <v>223.35299999999989</v>
      </c>
      <c r="P63" s="14">
        <f t="shared" si="33"/>
        <v>54.843000917506586</v>
      </c>
      <c r="Q63" s="22">
        <f t="shared" si="53"/>
        <v>484.52470159799037</v>
      </c>
      <c r="R63" s="62">
        <f t="shared" si="0"/>
        <v>777.85803493132369</v>
      </c>
      <c r="S63" s="62">
        <f ca="1">AVERAGE(OFFSET($R$3,0,0,'Données projet'!$E$9+1,1))-AVERAGE(OFFSET($H$3,0,0,'Données projet'!$E$9+1,1))</f>
        <v>190.92799938679798</v>
      </c>
      <c r="T63" s="62">
        <f t="shared" si="34"/>
        <v>172.54286890368337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84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8.6672381183623326</v>
      </c>
      <c r="AB63" s="23">
        <f>EXP(-LN(2)/2)*AB62+(1-EXP(-LN(2)/2))/(LN(2)/2)*V63*Y63*VLOOKUP('Données projet'!$B$9,Paramètres!$A$1:$I$88,3,0)*0.475*44/12</f>
        <v>1.1571104485951637E-3</v>
      </c>
      <c r="AC63" s="24">
        <f t="shared" si="3"/>
        <v>8.6683952288109278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104.4</v>
      </c>
      <c r="AG63" s="13">
        <f>VLOOKUP(A63,'Données projet'!$A$61:$I$81,9,0)</f>
        <v>2.8266666666666671</v>
      </c>
      <c r="AH63" s="13">
        <f t="array" ref="AH63">INDEX(AG:AG,MIN(IF(ISNUMBER(AG63:AG259),ROW(AG63:AG259),"")))</f>
        <v>2.8266666666666671</v>
      </c>
      <c r="AI63" s="14">
        <f>IF('Données projet'!$A$62&gt;35,AI62+AH63-AQ62,IF(A63&lt;'Données projet'!$A$62,$AF$205^A63,IF(A63='Données projet'!$A$62,'Données projet'!$B$62,AI62+AH63-AQ62)))</f>
        <v>104.40000000000002</v>
      </c>
      <c r="AJ63" s="14">
        <f>AI63*VLOOKUP('Données projet'!$B$10,Paramètres!$A$1:$I$88,3,0)*VLOOKUP('Données projet'!$B$10,Paramètres!$A$1:$I$88,5,0)</f>
        <v>105.86160000000002</v>
      </c>
      <c r="AK63" s="14">
        <f t="shared" si="35"/>
        <v>28.353779818951288</v>
      </c>
      <c r="AL63" s="22">
        <f t="shared" si="4"/>
        <v>233.7584531846735</v>
      </c>
      <c r="AM63" s="62">
        <f t="shared" si="5"/>
        <v>527.09178651800676</v>
      </c>
      <c r="AN63" s="62">
        <f ca="1">AVERAGE(OFFSET($AM$3,0,0,'Données projet'!$E$10+1,1))-AVERAGE(OFFSET($H$3,0,0,'Données projet'!$E$10+1,1))</f>
        <v>95.135996821969457</v>
      </c>
      <c r="AO63" s="62">
        <f t="shared" si="36"/>
        <v>111.83039337220566</v>
      </c>
      <c r="AP63" s="16">
        <f>IF(ISNA(VLOOKUP(A63,'Données projet'!$A$61:$I$81,3,0)),0,VLOOKUP(A63,'Données projet'!$A$61:$I$81,3,0))</f>
        <v>2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179.5</v>
      </c>
      <c r="BB63" s="13">
        <f>VLOOKUP(A63,'Données projet'!$A$87:$I$107,9,0)</f>
        <v>3.8</v>
      </c>
      <c r="BC63" s="13">
        <f t="array" ref="BC63">INDEX(BB:BB,MIN(IF(ISNUMBER(BB63:BB259),ROW(BB63:BB259),"")))</f>
        <v>3.8</v>
      </c>
      <c r="BD63" s="13">
        <f>IF('Données projet'!$A$88&gt;35,BD62+BC63-BL62,IF(A63&lt;'Données projet'!$A$88,$BA$205^A63,IF(A63='Données projet'!$A$88,'Données projet'!$B$88,BD62+BC63-BL62)))</f>
        <v>179.5000000000002</v>
      </c>
      <c r="BE63" s="14">
        <f>BD63*VLOOKUP('Données projet'!$B$11,Paramètres!$A$1:$I$88,3,0)*VLOOKUP('Données projet'!$B$11,Paramètres!$A$1:$I$88,5,0)</f>
        <v>162.41160000000019</v>
      </c>
      <c r="BF63" s="14">
        <f t="shared" si="37"/>
        <v>41.385984015992882</v>
      </c>
      <c r="BG63" s="22">
        <f t="shared" si="7"/>
        <v>354.94745882785463</v>
      </c>
      <c r="BH63" s="62">
        <f t="shared" si="8"/>
        <v>648.28079216118795</v>
      </c>
      <c r="BI63" s="62">
        <f ca="1">AVERAGE(OFFSET($BH$3,0,0,'Données projet'!$E$11+1,1))-AVERAGE(OFFSET($H$3,0,0,'Données projet'!$E$11+1,1))</f>
        <v>168.44987180339865</v>
      </c>
      <c r="BJ63" s="62">
        <f t="shared" si="38"/>
        <v>375.85422976031748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84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3.6427522526450371</v>
      </c>
      <c r="BR63" s="23">
        <f>EXP(-LN(2)/2)*BR62+(1-EXP(-LN(2)/2))/(LN(2)/2)*BL63*BO63*VLOOKUP('Données projet'!$B$11,Paramètres!$A$1:$I$88,3,0)*0.475*44/12</f>
        <v>7.2948267411434176E-4</v>
      </c>
      <c r="BS63" s="24">
        <f t="shared" si="9"/>
        <v>3.6434817353191513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9.9</v>
      </c>
      <c r="N64" s="14">
        <f>IF('Données projet'!$A$36&gt;35,N63+M64-V63,IF(A64&lt;'Données projet'!$A$36,$K$205^A64,IF(A64='Données projet'!$A$36,'Données projet'!$B$36,N63+M64-V63)))</f>
        <v>299.39999999999975</v>
      </c>
      <c r="O64" s="14">
        <f>N64*VLOOKUP('Données projet'!$B$9,Paramètres!$A$1:$I$88,3,0)*VLOOKUP('Données projet'!$B$9,Paramètres!$A$1:$I$88,5,0)</f>
        <v>179.04119999999989</v>
      </c>
      <c r="P64" s="14">
        <f t="shared" si="33"/>
        <v>45.108804569635964</v>
      </c>
      <c r="Q64" s="22">
        <f t="shared" si="53"/>
        <v>390.39459129211582</v>
      </c>
      <c r="R64" s="62">
        <f t="shared" si="0"/>
        <v>683.72792462544908</v>
      </c>
      <c r="S64" s="62">
        <f ca="1">AVERAGE(OFFSET($R$3,0,0,'Données projet'!$E$9+1,1))-AVERAGE(OFFSET($H$3,0,0,'Données projet'!$E$9+1,1))</f>
        <v>190.92799938679798</v>
      </c>
      <c r="T64" s="62">
        <f t="shared" si="34"/>
        <v>172.54286890368337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8.4302320362254708</v>
      </c>
      <c r="AB64" s="23">
        <f>EXP(-LN(2)/2)*AB63+(1-EXP(-LN(2)/2))/(LN(2)/2)*V64*Y64*VLOOKUP('Données projet'!$B$9,Paramètres!$A$1:$I$88,3,0)*0.475*44/12</f>
        <v>8.1820064478344825E-4</v>
      </c>
      <c r="AC64" s="24">
        <f t="shared" si="3"/>
        <v>8.431050236870254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4.0599999999999996</v>
      </c>
      <c r="AI64" s="14">
        <f>IF('Données projet'!$A$62&gt;35,AI63+AH64-AQ63,IF(A64&lt;'Données projet'!$A$62,$AF$205^A64,IF(A64='Données projet'!$A$62,'Données projet'!$B$62,AI63+AH64-AQ63)))</f>
        <v>80.460000000000022</v>
      </c>
      <c r="AJ64" s="14">
        <f>AI64*VLOOKUP('Données projet'!$B$10,Paramètres!$A$1:$I$88,3,0)*VLOOKUP('Données projet'!$B$10,Paramètres!$A$1:$I$88,5,0)</f>
        <v>81.586440000000024</v>
      </c>
      <c r="AK64" s="14">
        <f t="shared" si="35"/>
        <v>22.524632544820964</v>
      </c>
      <c r="AL64" s="22">
        <f t="shared" si="4"/>
        <v>181.32678468222988</v>
      </c>
      <c r="AM64" s="62">
        <f t="shared" si="5"/>
        <v>474.66011801556317</v>
      </c>
      <c r="AN64" s="62">
        <f ca="1">AVERAGE(OFFSET($AM$3,0,0,'Données projet'!$E$10+1,1))-AVERAGE(OFFSET($H$3,0,0,'Données projet'!$E$10+1,1))</f>
        <v>95.135996821969457</v>
      </c>
      <c r="AO64" s="62">
        <f t="shared" si="36"/>
        <v>111.83039337220566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3.8</v>
      </c>
      <c r="BD64" s="13">
        <f>IF('Données projet'!$A$88&gt;35,BD63+BC64-BL63,IF(A64&lt;'Données projet'!$A$88,$BA$205^A64,IF(A64='Données projet'!$A$88,'Données projet'!$B$88,BD63+BC64-BL63)))</f>
        <v>99.30000000000021</v>
      </c>
      <c r="BE64" s="14">
        <f>BD64*VLOOKUP('Données projet'!$B$11,Paramètres!$A$1:$I$88,3,0)*VLOOKUP('Données projet'!$B$11,Paramètres!$A$1:$I$88,5,0)</f>
        <v>89.846640000000178</v>
      </c>
      <c r="BF64" s="14">
        <f t="shared" si="37"/>
        <v>24.528234584403847</v>
      </c>
      <c r="BG64" s="22">
        <f t="shared" si="7"/>
        <v>199.202906567837</v>
      </c>
      <c r="BH64" s="62">
        <f t="shared" si="8"/>
        <v>492.53623990117035</v>
      </c>
      <c r="BI64" s="62">
        <f ca="1">AVERAGE(OFFSET($BH$3,0,0,'Données projet'!$E$11+1,1))-AVERAGE(OFFSET($H$3,0,0,'Données projet'!$E$11+1,1))</f>
        <v>168.44987180339865</v>
      </c>
      <c r="BJ64" s="62">
        <f t="shared" si="38"/>
        <v>375.85422976031748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3.5431410007324433</v>
      </c>
      <c r="BR64" s="23">
        <f>EXP(-LN(2)/2)*BR63+(1-EXP(-LN(2)/2))/(LN(2)/2)*BL64*BO64*VLOOKUP('Données projet'!$B$11,Paramètres!$A$1:$I$88,3,0)*0.475*44/12</f>
        <v>5.1582214562434742E-4</v>
      </c>
      <c r="BS64" s="24">
        <f t="shared" si="9"/>
        <v>3.5436568228780678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9.9</v>
      </c>
      <c r="N65" s="14">
        <f>IF('Données projet'!$A$36&gt;35,N64+M65-V64,IF(A65&lt;'Données projet'!$A$36,$K$205^A65,IF(A65='Données projet'!$A$36,'Données projet'!$B$36,N64+M65-V64)))</f>
        <v>309.29999999999973</v>
      </c>
      <c r="O65" s="14">
        <f>N65*VLOOKUP('Données projet'!$B$9,Paramètres!$A$1:$I$88,3,0)*VLOOKUP('Données projet'!$B$9,Paramètres!$A$1:$I$88,5,0)</f>
        <v>184.96139999999986</v>
      </c>
      <c r="P65" s="14">
        <f t="shared" si="33"/>
        <v>46.424253427861302</v>
      </c>
      <c r="Q65" s="22">
        <f t="shared" si="53"/>
        <v>402.99667972019148</v>
      </c>
      <c r="R65" s="62">
        <f t="shared" si="0"/>
        <v>696.33001305352479</v>
      </c>
      <c r="S65" s="62">
        <f ca="1">AVERAGE(OFFSET($R$3,0,0,'Données projet'!$E$9+1,1))-AVERAGE(OFFSET($H$3,0,0,'Données projet'!$E$9+1,1))</f>
        <v>190.92799938679798</v>
      </c>
      <c r="T65" s="62">
        <f t="shared" si="34"/>
        <v>172.54286890368337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8.1997068978682499</v>
      </c>
      <c r="AB65" s="23">
        <f>EXP(-LN(2)/2)*AB64+(1-EXP(-LN(2)/2))/(LN(2)/2)*V65*Y65*VLOOKUP('Données projet'!$B$9,Paramètres!$A$1:$I$88,3,0)*0.475*44/12</f>
        <v>5.7855522429758183E-4</v>
      </c>
      <c r="AC65" s="24">
        <f t="shared" si="3"/>
        <v>8.2002854530925475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4.0599999999999996</v>
      </c>
      <c r="AI65" s="14">
        <f>IF('Données projet'!$A$62&gt;35,AI64+AH65-AQ64,IF(A65&lt;'Données projet'!$A$62,$AF$205^A65,IF(A65='Données projet'!$A$62,'Données projet'!$B$62,AI64+AH65-AQ64)))</f>
        <v>84.520000000000024</v>
      </c>
      <c r="AJ65" s="14">
        <f>AI65*VLOOKUP('Données projet'!$B$10,Paramètres!$A$1:$I$88,3,0)*VLOOKUP('Données projet'!$B$10,Paramètres!$A$1:$I$88,5,0)</f>
        <v>85.703280000000035</v>
      </c>
      <c r="AK65" s="14">
        <f t="shared" si="35"/>
        <v>23.526027797892837</v>
      </c>
      <c r="AL65" s="22">
        <f t="shared" si="4"/>
        <v>190.24104441466341</v>
      </c>
      <c r="AM65" s="62">
        <f t="shared" si="5"/>
        <v>483.57437774799672</v>
      </c>
      <c r="AN65" s="62">
        <f ca="1">AVERAGE(OFFSET($AM$3,0,0,'Données projet'!$E$10+1,1))-AVERAGE(OFFSET($H$3,0,0,'Données projet'!$E$10+1,1))</f>
        <v>95.135996821969457</v>
      </c>
      <c r="AO65" s="62">
        <f t="shared" si="36"/>
        <v>111.83039337220566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3.8</v>
      </c>
      <c r="BD65" s="13">
        <f>IF('Données projet'!$A$88&gt;35,BD64+BC65-BL64,IF(A65&lt;'Données projet'!$A$88,$BA$205^A65,IF(A65='Données projet'!$A$88,'Données projet'!$B$88,BD64+BC65-BL64)))</f>
        <v>103.10000000000021</v>
      </c>
      <c r="BE65" s="14">
        <f>BD65*VLOOKUP('Données projet'!$B$11,Paramètres!$A$1:$I$88,3,0)*VLOOKUP('Données projet'!$B$11,Paramètres!$A$1:$I$88,5,0)</f>
        <v>93.284880000000186</v>
      </c>
      <c r="BF65" s="14">
        <f t="shared" si="37"/>
        <v>25.355798494951603</v>
      </c>
      <c r="BG65" s="22">
        <f t="shared" si="7"/>
        <v>206.63251504537433</v>
      </c>
      <c r="BH65" s="62">
        <f t="shared" si="8"/>
        <v>499.96584837870762</v>
      </c>
      <c r="BI65" s="62">
        <f ca="1">AVERAGE(OFFSET($BH$3,0,0,'Données projet'!$E$11+1,1))-AVERAGE(OFFSET($H$3,0,0,'Données projet'!$E$11+1,1))</f>
        <v>168.44987180339865</v>
      </c>
      <c r="BJ65" s="62">
        <f t="shared" si="38"/>
        <v>375.85422976031748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3.4462536237417272</v>
      </c>
      <c r="BR65" s="23">
        <f>EXP(-LN(2)/2)*BR64+(1-EXP(-LN(2)/2))/(LN(2)/2)*BL65*BO65*VLOOKUP('Données projet'!$B$11,Paramètres!$A$1:$I$88,3,0)*0.475*44/12</f>
        <v>3.6474133705717088E-4</v>
      </c>
      <c r="BS65" s="24">
        <f t="shared" si="9"/>
        <v>3.4466183650787845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9.9</v>
      </c>
      <c r="N66" s="14">
        <f>IF('Données projet'!$A$36&gt;35,N65+M66-V65,IF(A66&lt;'Données projet'!$A$36,$K$205^A66,IF(A66='Données projet'!$A$36,'Données projet'!$B$36,N65+M66-V65)))</f>
        <v>319.1999999999997</v>
      </c>
      <c r="O66" s="14">
        <f>N66*VLOOKUP('Données projet'!$B$9,Paramètres!$A$1:$I$88,3,0)*VLOOKUP('Données projet'!$B$9,Paramètres!$A$1:$I$88,5,0)</f>
        <v>190.88159999999985</v>
      </c>
      <c r="P66" s="14">
        <f t="shared" si="33"/>
        <v>47.734809549893384</v>
      </c>
      <c r="Q66" s="22">
        <f t="shared" si="53"/>
        <v>415.59024663273067</v>
      </c>
      <c r="R66" s="62">
        <f t="shared" si="0"/>
        <v>708.92357996606393</v>
      </c>
      <c r="S66" s="62">
        <f ca="1">AVERAGE(OFFSET($R$3,0,0,'Données projet'!$E$9+1,1))-AVERAGE(OFFSET($H$3,0,0,'Données projet'!$E$9+1,1))</f>
        <v>190.92799938679798</v>
      </c>
      <c r="T66" s="62">
        <f t="shared" si="34"/>
        <v>172.54286890368337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7.9754854815421972</v>
      </c>
      <c r="AB66" s="23">
        <f>EXP(-LN(2)/2)*AB65+(1-EXP(-LN(2)/2))/(LN(2)/2)*V66*Y66*VLOOKUP('Données projet'!$B$9,Paramètres!$A$1:$I$88,3,0)*0.475*44/12</f>
        <v>4.0910032239172413E-4</v>
      </c>
      <c r="AC66" s="24">
        <f t="shared" si="3"/>
        <v>7.9758945818645888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4.0599999999999996</v>
      </c>
      <c r="AI66" s="14">
        <f>IF('Données projet'!$A$62&gt;35,AI65+AH66-AQ65,IF(A66&lt;'Données projet'!$A$62,$AF$205^A66,IF(A66='Données projet'!$A$62,'Données projet'!$B$62,AI65+AH66-AQ65)))</f>
        <v>88.580000000000027</v>
      </c>
      <c r="AJ66" s="14">
        <f>AI66*VLOOKUP('Données projet'!$B$10,Paramètres!$A$1:$I$88,3,0)*VLOOKUP('Données projet'!$B$10,Paramètres!$A$1:$I$88,5,0)</f>
        <v>89.820120000000031</v>
      </c>
      <c r="AK66" s="14">
        <f t="shared" si="35"/>
        <v>24.521837219270672</v>
      </c>
      <c r="AL66" s="22">
        <f t="shared" si="4"/>
        <v>199.14557549022982</v>
      </c>
      <c r="AM66" s="62">
        <f t="shared" si="5"/>
        <v>492.47890882356313</v>
      </c>
      <c r="AN66" s="62">
        <f ca="1">AVERAGE(OFFSET($AM$3,0,0,'Données projet'!$E$10+1,1))-AVERAGE(OFFSET($H$3,0,0,'Données projet'!$E$10+1,1))</f>
        <v>95.135996821969457</v>
      </c>
      <c r="AO66" s="62">
        <f t="shared" si="36"/>
        <v>111.83039337220566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3.8</v>
      </c>
      <c r="BD66" s="13">
        <f>IF('Données projet'!$A$88&gt;35,BD65+BC66-BL65,IF(A66&lt;'Données projet'!$A$88,$BA$205^A66,IF(A66='Données projet'!$A$88,'Données projet'!$B$88,BD65+BC66-BL65)))</f>
        <v>106.9000000000002</v>
      </c>
      <c r="BE66" s="14">
        <f>BD66*VLOOKUP('Données projet'!$B$11,Paramètres!$A$1:$I$88,3,0)*VLOOKUP('Données projet'!$B$11,Paramètres!$A$1:$I$88,5,0)</f>
        <v>96.723120000000179</v>
      </c>
      <c r="BF66" s="14">
        <f t="shared" si="37"/>
        <v>26.179818745407843</v>
      </c>
      <c r="BG66" s="22">
        <f t="shared" si="7"/>
        <v>214.05595164825229</v>
      </c>
      <c r="BH66" s="62">
        <f t="shared" si="8"/>
        <v>507.3892849815856</v>
      </c>
      <c r="BI66" s="62">
        <f ca="1">AVERAGE(OFFSET($BH$3,0,0,'Données projet'!$E$11+1,1))-AVERAGE(OFFSET($H$3,0,0,'Données projet'!$E$11+1,1))</f>
        <v>168.44987180339865</v>
      </c>
      <c r="BJ66" s="62">
        <f t="shared" si="38"/>
        <v>375.85422976031748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3.3520156371699081</v>
      </c>
      <c r="BR66" s="23">
        <f>EXP(-LN(2)/2)*BR65+(1-EXP(-LN(2)/2))/(LN(2)/2)*BL66*BO66*VLOOKUP('Données projet'!$B$11,Paramètres!$A$1:$I$88,3,0)*0.475*44/12</f>
        <v>2.5791107281217371E-4</v>
      </c>
      <c r="BS66" s="24">
        <f t="shared" si="9"/>
        <v>3.3522735482427204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9.9</v>
      </c>
      <c r="N67" s="14">
        <f>IF('Données projet'!$A$36&gt;35,N66+M67-V66,IF(A67&lt;'Données projet'!$A$36,$K$205^A67,IF(A67='Données projet'!$A$36,'Données projet'!$B$36,N66+M67-V66)))</f>
        <v>329.09999999999968</v>
      </c>
      <c r="O67" s="14">
        <f>N67*VLOOKUP('Données projet'!$B$9,Paramètres!$A$1:$I$88,3,0)*VLOOKUP('Données projet'!$B$9,Paramètres!$A$1:$I$88,5,0)</f>
        <v>196.80179999999982</v>
      </c>
      <c r="P67" s="14">
        <f t="shared" si="33"/>
        <v>49.040642097232684</v>
      </c>
      <c r="Q67" s="22">
        <f t="shared" ref="Q67:Q98" si="54">(O67+P67)*0.475*44/12</f>
        <v>428.1755866526799</v>
      </c>
      <c r="R67" s="62">
        <f t="shared" ref="R67:R130" si="55">Q67+(I67+J67)*44/12</f>
        <v>721.50891998601321</v>
      </c>
      <c r="S67" s="62">
        <f ca="1">AVERAGE(OFFSET($R$3,0,0,'Données projet'!$E$9+1,1))-AVERAGE(OFFSET($H$3,0,0,'Données projet'!$E$9+1,1))</f>
        <v>190.92799938679798</v>
      </c>
      <c r="T67" s="62">
        <f t="shared" si="34"/>
        <v>172.54286890368337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7.7573954116368729</v>
      </c>
      <c r="AB67" s="23">
        <f>EXP(-LN(2)/2)*AB66+(1-EXP(-LN(2)/2))/(LN(2)/2)*V67*Y67*VLOOKUP('Données projet'!$B$9,Paramètres!$A$1:$I$88,3,0)*0.475*44/12</f>
        <v>2.8927761214879091E-4</v>
      </c>
      <c r="AC67" s="24">
        <f t="shared" si="3"/>
        <v>7.7576846892490217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4.0599999999999996</v>
      </c>
      <c r="AI67" s="14">
        <f>IF('Données projet'!$A$62&gt;35,AI66+AH67-AQ66,IF(A67&lt;'Données projet'!$A$62,$AF$205^A67,IF(A67='Données projet'!$A$62,'Données projet'!$B$62,AI66+AH67-AQ66)))</f>
        <v>92.640000000000029</v>
      </c>
      <c r="AJ67" s="14">
        <f>AI67*VLOOKUP('Données projet'!$B$10,Paramètres!$A$1:$I$88,3,0)*VLOOKUP('Données projet'!$B$10,Paramètres!$A$1:$I$88,5,0)</f>
        <v>93.936960000000042</v>
      </c>
      <c r="AK67" s="14">
        <f t="shared" si="35"/>
        <v>25.512346075562579</v>
      </c>
      <c r="AL67" s="22">
        <f t="shared" si="4"/>
        <v>208.04087474827156</v>
      </c>
      <c r="AM67" s="62">
        <f t="shared" si="5"/>
        <v>501.37420808160488</v>
      </c>
      <c r="AN67" s="62">
        <f ca="1">AVERAGE(OFFSET($AM$3,0,0,'Données projet'!$E$10+1,1))-AVERAGE(OFFSET($H$3,0,0,'Données projet'!$E$10+1,1))</f>
        <v>95.135996821969457</v>
      </c>
      <c r="AO67" s="62">
        <f t="shared" si="36"/>
        <v>111.83039337220566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3.8</v>
      </c>
      <c r="BD67" s="13">
        <f>IF('Données projet'!$A$88&gt;35,BD66+BC67-BL66,IF(A67&lt;'Données projet'!$A$88,$BA$205^A67,IF(A67='Données projet'!$A$88,'Données projet'!$B$88,BD66+BC67-BL66)))</f>
        <v>110.7000000000002</v>
      </c>
      <c r="BE67" s="14">
        <f>BD67*VLOOKUP('Données projet'!$B$11,Paramètres!$A$1:$I$88,3,0)*VLOOKUP('Données projet'!$B$11,Paramètres!$A$1:$I$88,5,0)</f>
        <v>100.16136000000019</v>
      </c>
      <c r="BF67" s="14">
        <f t="shared" si="37"/>
        <v>27.000435735289592</v>
      </c>
      <c r="BG67" s="22">
        <f t="shared" si="7"/>
        <v>221.47346090562971</v>
      </c>
      <c r="BH67" s="62">
        <f t="shared" si="8"/>
        <v>514.80679423896299</v>
      </c>
      <c r="BI67" s="62">
        <f ca="1">AVERAGE(OFFSET($BH$3,0,0,'Données projet'!$E$11+1,1))-AVERAGE(OFFSET($H$3,0,0,'Données projet'!$E$11+1,1))</f>
        <v>168.44987180339865</v>
      </c>
      <c r="BJ67" s="62">
        <f t="shared" si="38"/>
        <v>375.85422976031748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3.2603545932966558</v>
      </c>
      <c r="BR67" s="23">
        <f>EXP(-LN(2)/2)*BR66+(1-EXP(-LN(2)/2))/(LN(2)/2)*BL67*BO67*VLOOKUP('Données projet'!$B$11,Paramètres!$A$1:$I$88,3,0)*0.475*44/12</f>
        <v>1.8237066852858544E-4</v>
      </c>
      <c r="BS67" s="24">
        <f t="shared" si="9"/>
        <v>3.2605369639651842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9.9</v>
      </c>
      <c r="N68" s="14">
        <f>IF('Données projet'!$A$36&gt;35,N67+M68-V67,IF(A68&lt;'Données projet'!$A$36,$K$205^A68,IF(A68='Données projet'!$A$36,'Données projet'!$B$36,N67+M68-V67)))</f>
        <v>338.99999999999966</v>
      </c>
      <c r="O68" s="14">
        <f>N68*VLOOKUP('Données projet'!$B$9,Paramètres!$A$1:$I$88,3,0)*VLOOKUP('Données projet'!$B$9,Paramètres!$A$1:$I$88,5,0)</f>
        <v>202.72199999999981</v>
      </c>
      <c r="P68" s="14">
        <f t="shared" si="33"/>
        <v>50.341909475522797</v>
      </c>
      <c r="Q68" s="22">
        <f t="shared" si="54"/>
        <v>440.75297566986848</v>
      </c>
      <c r="R68" s="62">
        <f t="shared" si="55"/>
        <v>734.08630900320179</v>
      </c>
      <c r="S68" s="62">
        <f ca="1">AVERAGE(OFFSET($R$3,0,0,'Données projet'!$E$9+1,1))-AVERAGE(OFFSET($H$3,0,0,'Données projet'!$E$9+1,1))</f>
        <v>190.92799938679798</v>
      </c>
      <c r="T68" s="62">
        <f t="shared" si="34"/>
        <v>172.54286890368337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7.5452690261619679</v>
      </c>
      <c r="AB68" s="23">
        <f>EXP(-LN(2)/2)*AB67+(1-EXP(-LN(2)/2))/(LN(2)/2)*V68*Y68*VLOOKUP('Données projet'!$B$9,Paramètres!$A$1:$I$88,3,0)*0.475*44/12</f>
        <v>2.0455016119586206E-4</v>
      </c>
      <c r="AC68" s="24">
        <f t="shared" ref="AC68:AC131" si="57">SUM(Z68:AB68)</f>
        <v>7.5454735763231637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4.0599999999999996</v>
      </c>
      <c r="AI68" s="14">
        <f>IF('Données projet'!$A$62&gt;35,AI67+AH68-AQ67,IF(A68&lt;'Données projet'!$A$62,$AF$205^A68,IF(A68='Données projet'!$A$62,'Données projet'!$B$62,AI67+AH68-AQ67)))</f>
        <v>96.700000000000031</v>
      </c>
      <c r="AJ68" s="14">
        <f>AI68*VLOOKUP('Données projet'!$B$10,Paramètres!$A$1:$I$88,3,0)*VLOOKUP('Données projet'!$B$10,Paramètres!$A$1:$I$88,5,0)</f>
        <v>98.053800000000038</v>
      </c>
      <c r="AK68" s="14">
        <f t="shared" si="35"/>
        <v>26.497813215577487</v>
      </c>
      <c r="AL68" s="22">
        <f t="shared" ref="AL68:AL131" si="58">(AJ68+AK68)*0.475*44/12</f>
        <v>216.92739301713084</v>
      </c>
      <c r="AM68" s="62">
        <f t="shared" ref="AM68:AM131" si="59">AL68+(AD68+AE68)*44/12</f>
        <v>510.26072635046415</v>
      </c>
      <c r="AN68" s="62">
        <f ca="1">AVERAGE(OFFSET($AM$3,0,0,'Données projet'!$E$10+1,1))-AVERAGE(OFFSET($H$3,0,0,'Données projet'!$E$10+1,1))</f>
        <v>95.135996821969457</v>
      </c>
      <c r="AO68" s="62">
        <f t="shared" si="36"/>
        <v>111.83039337220566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3.8</v>
      </c>
      <c r="BD68" s="13">
        <f>IF('Données projet'!$A$88&gt;35,BD67+BC68-BL67,IF(A68&lt;'Données projet'!$A$88,$BA$205^A68,IF(A68='Données projet'!$A$88,'Données projet'!$B$88,BD67+BC68-BL67)))</f>
        <v>114.5000000000002</v>
      </c>
      <c r="BE68" s="14">
        <f>BD68*VLOOKUP('Données projet'!$B$11,Paramètres!$A$1:$I$88,3,0)*VLOOKUP('Données projet'!$B$11,Paramètres!$A$1:$I$88,5,0)</f>
        <v>103.59960000000018</v>
      </c>
      <c r="BF68" s="14">
        <f t="shared" si="37"/>
        <v>27.817779678394992</v>
      </c>
      <c r="BG68" s="22">
        <f t="shared" ref="BG68:BG131" si="61">(BE68+BF68)*0.475*44/12</f>
        <v>228.88526960653826</v>
      </c>
      <c r="BH68" s="62">
        <f t="shared" ref="BH68:BH131" si="62">BG68+(AY68+AZ68)*44/12</f>
        <v>522.21860293987152</v>
      </c>
      <c r="BI68" s="62">
        <f ca="1">AVERAGE(OFFSET($BH$3,0,0,'Données projet'!$E$11+1,1))-AVERAGE(OFFSET($H$3,0,0,'Données projet'!$E$11+1,1))</f>
        <v>168.44987180339865</v>
      </c>
      <c r="BJ68" s="62">
        <f t="shared" si="38"/>
        <v>375.85422976031748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3.1712000254883623</v>
      </c>
      <c r="BR68" s="23">
        <f>EXP(-LN(2)/2)*BR67+(1-EXP(-LN(2)/2))/(LN(2)/2)*BL68*BO68*VLOOKUP('Données projet'!$B$11,Paramètres!$A$1:$I$88,3,0)*0.475*44/12</f>
        <v>1.2895553640608685E-4</v>
      </c>
      <c r="BS68" s="24">
        <f t="shared" ref="BS68:BS131" si="63">SUM(BP68:BR68)</f>
        <v>3.1713289810247685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9.9</v>
      </c>
      <c r="N69" s="14">
        <f>IF('Données projet'!$A$36&gt;35,N68+M69-V68,IF(A69&lt;'Données projet'!$A$36,$K$205^A69,IF(A69='Données projet'!$A$36,'Données projet'!$B$36,N68+M69-V68)))</f>
        <v>348.89999999999964</v>
      </c>
      <c r="O69" s="14">
        <f>N69*VLOOKUP('Données projet'!$B$9,Paramètres!$A$1:$I$88,3,0)*VLOOKUP('Données projet'!$B$9,Paramètres!$A$1:$I$88,5,0)</f>
        <v>208.64219999999978</v>
      </c>
      <c r="P69" s="14">
        <f t="shared" ref="P69:P132" si="87">EXP(-1.0587+0.8836*LN(O69)+0.284)</f>
        <v>51.638760312342718</v>
      </c>
      <c r="Q69" s="22">
        <f t="shared" si="54"/>
        <v>453.32267254399648</v>
      </c>
      <c r="R69" s="62">
        <f t="shared" si="55"/>
        <v>746.65600587732979</v>
      </c>
      <c r="S69" s="62">
        <f ca="1">AVERAGE(OFFSET($R$3,0,0,'Données projet'!$E$9+1,1))-AVERAGE(OFFSET($H$3,0,0,'Données projet'!$E$9+1,1))</f>
        <v>190.92799938679798</v>
      </c>
      <c r="T69" s="62">
        <f t="shared" ref="T69:T132" si="88">$T$3</f>
        <v>172.54286890368337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7.3389432478531154</v>
      </c>
      <c r="AB69" s="23">
        <f>EXP(-LN(2)/2)*AB68+(1-EXP(-LN(2)/2))/(LN(2)/2)*V69*Y69*VLOOKUP('Données projet'!$B$9,Paramètres!$A$1:$I$88,3,0)*0.475*44/12</f>
        <v>1.4463880607439546E-4</v>
      </c>
      <c r="AC69" s="24">
        <f t="shared" si="57"/>
        <v>7.3390878866591898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4.0599999999999996</v>
      </c>
      <c r="AI69" s="14">
        <f>IF('Données projet'!$A$62&gt;35,AI68+AH69-AQ68,IF(A69&lt;'Données projet'!$A$62,$AF$205^A69,IF(A69='Données projet'!$A$62,'Données projet'!$B$62,AI68+AH69-AQ68)))</f>
        <v>100.76000000000003</v>
      </c>
      <c r="AJ69" s="14">
        <f>AI69*VLOOKUP('Données projet'!$B$10,Paramètres!$A$1:$I$88,3,0)*VLOOKUP('Données projet'!$B$10,Paramètres!$A$1:$I$88,5,0)</f>
        <v>102.17064000000005</v>
      </c>
      <c r="AK69" s="14">
        <f t="shared" ref="AK69:AK132" si="89">EXP(-1.0587+0.8836*LN(AJ69)+0.284)</f>
        <v>27.478474522701145</v>
      </c>
      <c r="AL69" s="22">
        <f t="shared" si="58"/>
        <v>225.80554112703786</v>
      </c>
      <c r="AM69" s="62">
        <f t="shared" si="59"/>
        <v>519.1388744603712</v>
      </c>
      <c r="AN69" s="62">
        <f ca="1">AVERAGE(OFFSET($AM$3,0,0,'Données projet'!$E$10+1,1))-AVERAGE(OFFSET($H$3,0,0,'Données projet'!$E$10+1,1))</f>
        <v>95.135996821969457</v>
      </c>
      <c r="AO69" s="62">
        <f t="shared" ref="AO69:AO132" si="90">$AO$3</f>
        <v>111.83039337220566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118.3000000000002</v>
      </c>
      <c r="BE69" s="14">
        <f>BD69*VLOOKUP('Données projet'!$B$11,Paramètres!$A$1:$I$88,3,0)*VLOOKUP('Données projet'!$B$11,Paramètres!$A$1:$I$88,5,0)</f>
        <v>107.03784000000016</v>
      </c>
      <c r="BF69" s="14">
        <f t="shared" ref="BF69:BF132" si="91">EXP(-1.0587+0.8836*LN(BE69)+0.284)</f>
        <v>28.631971655032434</v>
      </c>
      <c r="BG69" s="22">
        <f t="shared" si="61"/>
        <v>236.2915886325151</v>
      </c>
      <c r="BH69" s="62">
        <f t="shared" si="62"/>
        <v>529.62492196584844</v>
      </c>
      <c r="BI69" s="62">
        <f ca="1">AVERAGE(OFFSET($BH$3,0,0,'Données projet'!$E$11+1,1))-AVERAGE(OFFSET($H$3,0,0,'Données projet'!$E$11+1,1))</f>
        <v>168.44987180339865</v>
      </c>
      <c r="BJ69" s="62">
        <f t="shared" ref="BJ69:BJ132" si="92">$BJ$3</f>
        <v>375.85422976031748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3.0844833940252214</v>
      </c>
      <c r="BR69" s="23">
        <f>EXP(-LN(2)/2)*BR68+(1-EXP(-LN(2)/2))/(LN(2)/2)*BL69*BO69*VLOOKUP('Données projet'!$B$11,Paramètres!$A$1:$I$88,3,0)*0.475*44/12</f>
        <v>9.118533426429272E-5</v>
      </c>
      <c r="BS69" s="24">
        <f t="shared" si="63"/>
        <v>3.0845745793594856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9.9</v>
      </c>
      <c r="N70" s="14">
        <f>IF('Données projet'!$A$36&gt;35,N69+M70-V69,IF(A70&lt;'Données projet'!$A$36,$K$205^A70,IF(A70='Données projet'!$A$36,'Données projet'!$B$36,N69+M70-V69)))</f>
        <v>358.79999999999961</v>
      </c>
      <c r="O70" s="14">
        <f>N70*VLOOKUP('Données projet'!$B$9,Paramètres!$A$1:$I$88,3,0)*VLOOKUP('Données projet'!$B$9,Paramètres!$A$1:$I$88,5,0)</f>
        <v>214.5623999999998</v>
      </c>
      <c r="P70" s="14">
        <f t="shared" si="87"/>
        <v>52.931334320900163</v>
      </c>
      <c r="Q70" s="22">
        <f t="shared" si="54"/>
        <v>465.88492060890081</v>
      </c>
      <c r="R70" s="62">
        <f t="shared" si="55"/>
        <v>759.21825394223413</v>
      </c>
      <c r="S70" s="62">
        <f ca="1">AVERAGE(OFFSET($R$3,0,0,'Données projet'!$E$9+1,1))-AVERAGE(OFFSET($H$3,0,0,'Données projet'!$E$9+1,1))</f>
        <v>190.92799938679798</v>
      </c>
      <c r="T70" s="62">
        <f t="shared" si="88"/>
        <v>172.54286890368337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7.1382594588023203</v>
      </c>
      <c r="AB70" s="23">
        <f>EXP(-LN(2)/2)*AB69+(1-EXP(-LN(2)/2))/(LN(2)/2)*V70*Y70*VLOOKUP('Données projet'!$B$9,Paramètres!$A$1:$I$88,3,0)*0.475*44/12</f>
        <v>1.0227508059793103E-4</v>
      </c>
      <c r="AC70" s="24">
        <f t="shared" si="57"/>
        <v>7.1383617338829186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4.0599999999999996</v>
      </c>
      <c r="AI70" s="14">
        <f>IF('Données projet'!$A$62&gt;35,AI69+AH70-AQ69,IF(A70&lt;'Données projet'!$A$62,$AF$205^A70,IF(A70='Données projet'!$A$62,'Données projet'!$B$62,AI69+AH70-AQ69)))</f>
        <v>104.82000000000004</v>
      </c>
      <c r="AJ70" s="14">
        <f>AI70*VLOOKUP('Données projet'!$B$10,Paramètres!$A$1:$I$88,3,0)*VLOOKUP('Données projet'!$B$10,Paramètres!$A$1:$I$88,5,0)</f>
        <v>106.28748000000004</v>
      </c>
      <c r="AK70" s="14">
        <f t="shared" si="89"/>
        <v>28.454545795169786</v>
      </c>
      <c r="AL70" s="22">
        <f t="shared" si="58"/>
        <v>234.67569492658745</v>
      </c>
      <c r="AM70" s="62">
        <f t="shared" si="59"/>
        <v>528.0090282599208</v>
      </c>
      <c r="AN70" s="62">
        <f ca="1">AVERAGE(OFFSET($AM$3,0,0,'Données projet'!$E$10+1,1))-AVERAGE(OFFSET($H$3,0,0,'Données projet'!$E$10+1,1))</f>
        <v>95.135996821969457</v>
      </c>
      <c r="AO70" s="62">
        <f t="shared" si="90"/>
        <v>111.83039337220566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122.10000000000019</v>
      </c>
      <c r="BE70" s="14">
        <f>BD70*VLOOKUP('Données projet'!$B$11,Paramètres!$A$1:$I$88,3,0)*VLOOKUP('Données projet'!$B$11,Paramètres!$A$1:$I$88,5,0)</f>
        <v>110.47608000000018</v>
      </c>
      <c r="BF70" s="14">
        <f t="shared" si="91"/>
        <v>29.443124525254412</v>
      </c>
      <c r="BG70" s="22">
        <f t="shared" si="61"/>
        <v>243.69261454815179</v>
      </c>
      <c r="BH70" s="62">
        <f t="shared" si="62"/>
        <v>537.02594788148508</v>
      </c>
      <c r="BI70" s="62">
        <f ca="1">AVERAGE(OFFSET($BH$3,0,0,'Données projet'!$E$11+1,1))-AVERAGE(OFFSET($H$3,0,0,'Données projet'!$E$11+1,1))</f>
        <v>168.44987180339865</v>
      </c>
      <c r="BJ70" s="62">
        <f t="shared" si="92"/>
        <v>375.85422976031748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3.0001380334096699</v>
      </c>
      <c r="BR70" s="23">
        <f>EXP(-LN(2)/2)*BR69+(1-EXP(-LN(2)/2))/(LN(2)/2)*BL70*BO70*VLOOKUP('Données projet'!$B$11,Paramètres!$A$1:$I$88,3,0)*0.475*44/12</f>
        <v>6.4477768203043427E-5</v>
      </c>
      <c r="BS70" s="24">
        <f t="shared" si="63"/>
        <v>3.0002025111778727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9.9</v>
      </c>
      <c r="N71" s="14">
        <f>IF('Données projet'!$A$36&gt;35,N70+M71-V70,IF(A71&lt;'Données projet'!$A$36,$K$205^A71,IF(A71='Données projet'!$A$36,'Données projet'!$B$36,N70+M71-V70)))</f>
        <v>368.69999999999959</v>
      </c>
      <c r="O71" s="14">
        <f>N71*VLOOKUP('Données projet'!$B$9,Paramètres!$A$1:$I$88,3,0)*VLOOKUP('Données projet'!$B$9,Paramètres!$A$1:$I$88,5,0)</f>
        <v>220.48259999999976</v>
      </c>
      <c r="P71" s="14">
        <f t="shared" si="87"/>
        <v>54.219763065721303</v>
      </c>
      <c r="Q71" s="22">
        <f t="shared" si="54"/>
        <v>478.4399490061308</v>
      </c>
      <c r="R71" s="62">
        <f t="shared" si="55"/>
        <v>771.77328233946412</v>
      </c>
      <c r="S71" s="62">
        <f ca="1">AVERAGE(OFFSET($R$3,0,0,'Données projet'!$E$9+1,1))-AVERAGE(OFFSET($H$3,0,0,'Données projet'!$E$9+1,1))</f>
        <v>190.92799938679798</v>
      </c>
      <c r="T71" s="62">
        <f t="shared" si="88"/>
        <v>172.54286890368337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6.9430633785166203</v>
      </c>
      <c r="AB71" s="23">
        <f>EXP(-LN(2)/2)*AB70+(1-EXP(-LN(2)/2))/(LN(2)/2)*V71*Y71*VLOOKUP('Données projet'!$B$9,Paramètres!$A$1:$I$88,3,0)*0.475*44/12</f>
        <v>7.2319403037197729E-5</v>
      </c>
      <c r="AC71" s="24">
        <f t="shared" si="57"/>
        <v>6.943135697919657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4.0599999999999996</v>
      </c>
      <c r="AI71" s="14">
        <f>IF('Données projet'!$A$62&gt;35,AI70+AH71-AQ70,IF(A71&lt;'Données projet'!$A$62,$AF$205^A71,IF(A71='Données projet'!$A$62,'Données projet'!$B$62,AI70+AH71-AQ70)))</f>
        <v>108.88000000000004</v>
      </c>
      <c r="AJ71" s="14">
        <f>AI71*VLOOKUP('Données projet'!$B$10,Paramètres!$A$1:$I$88,3,0)*VLOOKUP('Données projet'!$B$10,Paramètres!$A$1:$I$88,5,0)</f>
        <v>110.40432000000006</v>
      </c>
      <c r="AK71" s="14">
        <f t="shared" si="89"/>
        <v>29.42622516754318</v>
      </c>
      <c r="AL71" s="22">
        <f t="shared" si="58"/>
        <v>243.53819950013772</v>
      </c>
      <c r="AM71" s="62">
        <f t="shared" si="59"/>
        <v>536.87153283347106</v>
      </c>
      <c r="AN71" s="62">
        <f ca="1">AVERAGE(OFFSET($AM$3,0,0,'Données projet'!$E$10+1,1))-AVERAGE(OFFSET($H$3,0,0,'Données projet'!$E$10+1,1))</f>
        <v>95.135996821969457</v>
      </c>
      <c r="AO71" s="62">
        <f t="shared" si="90"/>
        <v>111.83039337220566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125.90000000000019</v>
      </c>
      <c r="BE71" s="14">
        <f>BD71*VLOOKUP('Données projet'!$B$11,Paramètres!$A$1:$I$88,3,0)*VLOOKUP('Données projet'!$B$11,Paramètres!$A$1:$I$88,5,0)</f>
        <v>113.91432000000017</v>
      </c>
      <c r="BF71" s="14">
        <f t="shared" si="91"/>
        <v>30.25134372521056</v>
      </c>
      <c r="BG71" s="22">
        <f t="shared" si="61"/>
        <v>251.08853098807535</v>
      </c>
      <c r="BH71" s="62">
        <f t="shared" si="62"/>
        <v>544.42186432140863</v>
      </c>
      <c r="BI71" s="62">
        <f ca="1">AVERAGE(OFFSET($BH$3,0,0,'Données projet'!$E$11+1,1))-AVERAGE(OFFSET($H$3,0,0,'Données projet'!$E$11+1,1))</f>
        <v>168.44987180339865</v>
      </c>
      <c r="BJ71" s="62">
        <f t="shared" si="92"/>
        <v>375.85422976031748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2.91809910111568</v>
      </c>
      <c r="BR71" s="23">
        <f>EXP(-LN(2)/2)*BR70+(1-EXP(-LN(2)/2))/(LN(2)/2)*BL71*BO71*VLOOKUP('Données projet'!$B$11,Paramètres!$A$1:$I$88,3,0)*0.475*44/12</f>
        <v>4.559266713214636E-5</v>
      </c>
      <c r="BS71" s="24">
        <f t="shared" si="63"/>
        <v>2.9181446937828124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9.9</v>
      </c>
      <c r="N72" s="14">
        <f>IF('Données projet'!$A$36&gt;35,N71+M72-V71,IF(A72&lt;'Données projet'!$A$36,$K$205^A72,IF(A72='Données projet'!$A$36,'Données projet'!$B$36,N71+M72-V71)))</f>
        <v>378.59999999999957</v>
      </c>
      <c r="O72" s="14">
        <f>N72*VLOOKUP('Données projet'!$B$9,Paramètres!$A$1:$I$88,3,0)*VLOOKUP('Données projet'!$B$9,Paramètres!$A$1:$I$88,5,0)</f>
        <v>226.40279999999976</v>
      </c>
      <c r="P72" s="14">
        <f t="shared" si="87"/>
        <v>55.504170643788783</v>
      </c>
      <c r="Q72" s="22">
        <f t="shared" si="54"/>
        <v>490.98797387126501</v>
      </c>
      <c r="R72" s="62">
        <f t="shared" si="55"/>
        <v>784.32130720459827</v>
      </c>
      <c r="S72" s="62">
        <f ca="1">AVERAGE(OFFSET($R$3,0,0,'Données projet'!$E$9+1,1))-AVERAGE(OFFSET($H$3,0,0,'Données projet'!$E$9+1,1))</f>
        <v>190.92799938679798</v>
      </c>
      <c r="T72" s="62">
        <f t="shared" si="88"/>
        <v>172.54286890368337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6.753204945311249</v>
      </c>
      <c r="AB72" s="23">
        <f>EXP(-LN(2)/2)*AB71+(1-EXP(-LN(2)/2))/(LN(2)/2)*V72*Y72*VLOOKUP('Données projet'!$B$9,Paramètres!$A$1:$I$88,3,0)*0.475*44/12</f>
        <v>5.1137540298965516E-5</v>
      </c>
      <c r="AC72" s="24">
        <f t="shared" si="57"/>
        <v>6.7532560828515482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4.0599999999999996</v>
      </c>
      <c r="AI72" s="14">
        <f>IF('Données projet'!$A$62&gt;35,AI71+AH72-AQ71,IF(A72&lt;'Données projet'!$A$62,$AF$205^A72,IF(A72='Données projet'!$A$62,'Données projet'!$B$62,AI71+AH72-AQ71)))</f>
        <v>112.94000000000004</v>
      </c>
      <c r="AJ72" s="14">
        <f>AI72*VLOOKUP('Données projet'!$B$10,Paramètres!$A$1:$I$88,3,0)*VLOOKUP('Données projet'!$B$10,Paramètres!$A$1:$I$88,5,0)</f>
        <v>114.52116000000005</v>
      </c>
      <c r="AK72" s="14">
        <f t="shared" si="89"/>
        <v>30.393695160848623</v>
      </c>
      <c r="AL72" s="22">
        <f t="shared" si="58"/>
        <v>252.39337273847809</v>
      </c>
      <c r="AM72" s="62">
        <f t="shared" si="59"/>
        <v>545.72670607181135</v>
      </c>
      <c r="AN72" s="62">
        <f ca="1">AVERAGE(OFFSET($AM$3,0,0,'Données projet'!$E$10+1,1))-AVERAGE(OFFSET($H$3,0,0,'Données projet'!$E$10+1,1))</f>
        <v>95.135996821969457</v>
      </c>
      <c r="AO72" s="62">
        <f t="shared" si="90"/>
        <v>111.83039337220566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129.70000000000019</v>
      </c>
      <c r="BE72" s="14">
        <f>BD72*VLOOKUP('Données projet'!$B$11,Paramètres!$A$1:$I$88,3,0)*VLOOKUP('Données projet'!$B$11,Paramètres!$A$1:$I$88,5,0)</f>
        <v>117.35256000000015</v>
      </c>
      <c r="BF72" s="14">
        <f t="shared" si="91"/>
        <v>31.056727964655302</v>
      </c>
      <c r="BG72" s="22">
        <f t="shared" si="61"/>
        <v>258.47950987177489</v>
      </c>
      <c r="BH72" s="62">
        <f t="shared" si="62"/>
        <v>551.81284320510827</v>
      </c>
      <c r="BI72" s="62">
        <f ca="1">AVERAGE(OFFSET($BH$3,0,0,'Données projet'!$E$11+1,1))-AVERAGE(OFFSET($H$3,0,0,'Données projet'!$E$11+1,1))</f>
        <v>168.44987180339865</v>
      </c>
      <c r="BJ72" s="62">
        <f t="shared" si="92"/>
        <v>375.85422976031748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2.8383035277395097</v>
      </c>
      <c r="BR72" s="23">
        <f>EXP(-LN(2)/2)*BR71+(1-EXP(-LN(2)/2))/(LN(2)/2)*BL72*BO72*VLOOKUP('Données projet'!$B$11,Paramètres!$A$1:$I$88,3,0)*0.475*44/12</f>
        <v>3.2238884101521713E-5</v>
      </c>
      <c r="BS72" s="24">
        <f t="shared" si="63"/>
        <v>2.8383357666236111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9.9</v>
      </c>
      <c r="N73" s="14">
        <f>IF('Données projet'!$A$36&gt;35,N72+M73-V72,IF(A73&lt;'Données projet'!$A$36,$K$205^A73,IF(A73='Données projet'!$A$36,'Données projet'!$B$36,N72+M73-V72)))</f>
        <v>388.49999999999955</v>
      </c>
      <c r="O73" s="14">
        <f>N73*VLOOKUP('Données projet'!$B$9,Paramètres!$A$1:$I$88,3,0)*VLOOKUP('Données projet'!$B$9,Paramètres!$A$1:$I$88,5,0)</f>
        <v>232.32299999999975</v>
      </c>
      <c r="P73" s="14">
        <f t="shared" si="87"/>
        <v>56.784674292431575</v>
      </c>
      <c r="Q73" s="22">
        <f t="shared" si="54"/>
        <v>503.52919939265121</v>
      </c>
      <c r="R73" s="62">
        <f t="shared" si="55"/>
        <v>796.86253272598447</v>
      </c>
      <c r="S73" s="62">
        <f ca="1">AVERAGE(OFFSET($R$3,0,0,'Données projet'!$E$9+1,1))-AVERAGE(OFFSET($H$3,0,0,'Données projet'!$E$9+1,1))</f>
        <v>190.92799938679798</v>
      </c>
      <c r="T73" s="62">
        <f t="shared" si="88"/>
        <v>172.54286890368337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6.5685382009460991</v>
      </c>
      <c r="AB73" s="23">
        <f>EXP(-LN(2)/2)*AB72+(1-EXP(-LN(2)/2))/(LN(2)/2)*V73*Y73*VLOOKUP('Données projet'!$B$9,Paramètres!$A$1:$I$88,3,0)*0.475*44/12</f>
        <v>3.6159701518598864E-5</v>
      </c>
      <c r="AC73" s="24">
        <f t="shared" si="57"/>
        <v>6.5685743606476175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4.0599999999999996</v>
      </c>
      <c r="AI73" s="14">
        <f>IF('Données projet'!$A$62&gt;35,AI72+AH73-AQ72,IF(A73&lt;'Données projet'!$A$62,$AF$205^A73,IF(A73='Données projet'!$A$62,'Données projet'!$B$62,AI72+AH73-AQ72)))</f>
        <v>117.00000000000004</v>
      </c>
      <c r="AJ73" s="14">
        <f>AI73*VLOOKUP('Données projet'!$B$10,Paramètres!$A$1:$I$88,3,0)*VLOOKUP('Données projet'!$B$10,Paramètres!$A$1:$I$88,5,0)</f>
        <v>118.63800000000005</v>
      </c>
      <c r="AK73" s="14">
        <f t="shared" si="89"/>
        <v>31.357124429643715</v>
      </c>
      <c r="AL73" s="22">
        <f t="shared" si="58"/>
        <v>261.24150838162956</v>
      </c>
      <c r="AM73" s="62">
        <f t="shared" si="59"/>
        <v>554.57484171496287</v>
      </c>
      <c r="AN73" s="62">
        <f ca="1">AVERAGE(OFFSET($AM$3,0,0,'Données projet'!$E$10+1,1))-AVERAGE(OFFSET($H$3,0,0,'Données projet'!$E$10+1,1))</f>
        <v>95.135996821969457</v>
      </c>
      <c r="AO73" s="62">
        <f t="shared" si="90"/>
        <v>111.83039337220566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133.5000000000002</v>
      </c>
      <c r="BE73" s="14">
        <f>BD73*VLOOKUP('Données projet'!$B$11,Paramètres!$A$1:$I$88,3,0)*VLOOKUP('Données projet'!$B$11,Paramètres!$A$1:$I$88,5,0)</f>
        <v>120.79080000000017</v>
      </c>
      <c r="BF73" s="14">
        <f t="shared" si="91"/>
        <v>31.859369840414871</v>
      </c>
      <c r="BG73" s="22">
        <f t="shared" si="61"/>
        <v>265.86571247205626</v>
      </c>
      <c r="BH73" s="62">
        <f t="shared" si="62"/>
        <v>559.19904580538957</v>
      </c>
      <c r="BI73" s="62">
        <f ca="1">AVERAGE(OFFSET($BH$3,0,0,'Données projet'!$E$11+1,1))-AVERAGE(OFFSET($H$3,0,0,'Données projet'!$E$11+1,1))</f>
        <v>168.44987180339865</v>
      </c>
      <c r="BJ73" s="62">
        <f t="shared" si="92"/>
        <v>375.85422976031748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2.7606899685135771</v>
      </c>
      <c r="BR73" s="23">
        <f>EXP(-LN(2)/2)*BR72+(1-EXP(-LN(2)/2))/(LN(2)/2)*BL73*BO73*VLOOKUP('Données projet'!$B$11,Paramètres!$A$1:$I$88,3,0)*0.475*44/12</f>
        <v>2.279633356607318E-5</v>
      </c>
      <c r="BS73" s="24">
        <f t="shared" si="63"/>
        <v>2.7607127648471432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9.9</v>
      </c>
      <c r="N74" s="14">
        <f>IF('Données projet'!$A$36&gt;35,N73+M74-V73,IF(A74&lt;'Données projet'!$A$36,$K$205^A74,IF(A74='Données projet'!$A$36,'Données projet'!$B$36,N73+M74-V73)))</f>
        <v>398.39999999999952</v>
      </c>
      <c r="O74" s="14">
        <f>N74*VLOOKUP('Données projet'!$B$9,Paramètres!$A$1:$I$88,3,0)*VLOOKUP('Données projet'!$B$9,Paramètres!$A$1:$I$88,5,0)</f>
        <v>238.24319999999972</v>
      </c>
      <c r="P74" s="14">
        <f t="shared" si="87"/>
        <v>58.061384933508336</v>
      </c>
      <c r="Q74" s="22">
        <f t="shared" si="54"/>
        <v>516.06381875919317</v>
      </c>
      <c r="R74" s="62">
        <f t="shared" si="55"/>
        <v>809.39715209252654</v>
      </c>
      <c r="S74" s="62">
        <f ca="1">AVERAGE(OFFSET($R$3,0,0,'Données projet'!$E$9+1,1))-AVERAGE(OFFSET($H$3,0,0,'Données projet'!$E$9+1,1))</f>
        <v>190.92799938679798</v>
      </c>
      <c r="T74" s="62">
        <f t="shared" si="88"/>
        <v>172.54286890368337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6.3889211784168163</v>
      </c>
      <c r="AB74" s="23">
        <f>EXP(-LN(2)/2)*AB73+(1-EXP(-LN(2)/2))/(LN(2)/2)*V74*Y74*VLOOKUP('Données projet'!$B$9,Paramètres!$A$1:$I$88,3,0)*0.475*44/12</f>
        <v>2.5568770149482758E-5</v>
      </c>
      <c r="AC74" s="24">
        <f t="shared" si="57"/>
        <v>6.3889467471869654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4.0599999999999996</v>
      </c>
      <c r="AI74" s="14">
        <f>IF('Données projet'!$A$62&gt;35,AI73+AH74-AQ73,IF(A74&lt;'Données projet'!$A$62,$AF$205^A74,IF(A74='Données projet'!$A$62,'Données projet'!$B$62,AI73+AH74-AQ73)))</f>
        <v>121.06000000000004</v>
      </c>
      <c r="AJ74" s="14">
        <f>AI74*VLOOKUP('Données projet'!$B$10,Paramètres!$A$1:$I$88,3,0)*VLOOKUP('Données projet'!$B$10,Paramètres!$A$1:$I$88,5,0)</f>
        <v>122.75484000000006</v>
      </c>
      <c r="AK74" s="14">
        <f t="shared" si="89"/>
        <v>32.316669259767586</v>
      </c>
      <c r="AL74" s="22">
        <f t="shared" si="58"/>
        <v>270.08287862742867</v>
      </c>
      <c r="AM74" s="62">
        <f t="shared" si="59"/>
        <v>563.41621196076198</v>
      </c>
      <c r="AN74" s="62">
        <f ca="1">AVERAGE(OFFSET($AM$3,0,0,'Données projet'!$E$10+1,1))-AVERAGE(OFFSET($H$3,0,0,'Données projet'!$E$10+1,1))</f>
        <v>95.135996821969457</v>
      </c>
      <c r="AO74" s="62">
        <f t="shared" si="90"/>
        <v>111.83039337220566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3.8</v>
      </c>
      <c r="BD74" s="13">
        <f>IF('Données projet'!$A$88&gt;35,BD73+BC74-BL73,IF(A74&lt;'Données projet'!$A$88,$BA$205^A74,IF(A74='Données projet'!$A$88,'Données projet'!$B$88,BD73+BC74-BL73)))</f>
        <v>137.30000000000021</v>
      </c>
      <c r="BE74" s="14">
        <f>BD74*VLOOKUP('Données projet'!$B$11,Paramètres!$A$1:$I$88,3,0)*VLOOKUP('Données projet'!$B$11,Paramètres!$A$1:$I$88,5,0)</f>
        <v>124.22904000000018</v>
      </c>
      <c r="BF74" s="14">
        <f t="shared" si="91"/>
        <v>32.659356378043221</v>
      </c>
      <c r="BG74" s="22">
        <f t="shared" si="61"/>
        <v>273.24729035842557</v>
      </c>
      <c r="BH74" s="62">
        <f t="shared" si="62"/>
        <v>566.58062369175889</v>
      </c>
      <c r="BI74" s="62">
        <f ca="1">AVERAGE(OFFSET($BH$3,0,0,'Données projet'!$E$11+1,1))-AVERAGE(OFFSET($H$3,0,0,'Données projet'!$E$11+1,1))</f>
        <v>168.44987180339865</v>
      </c>
      <c r="BJ74" s="62">
        <f t="shared" si="92"/>
        <v>375.85422976031748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2.6851987561461974</v>
      </c>
      <c r="BR74" s="23">
        <f>EXP(-LN(2)/2)*BR73+(1-EXP(-LN(2)/2))/(LN(2)/2)*BL74*BO74*VLOOKUP('Données projet'!$B$11,Paramètres!$A$1:$I$88,3,0)*0.475*44/12</f>
        <v>1.6119442050760857E-5</v>
      </c>
      <c r="BS74" s="24">
        <f t="shared" si="63"/>
        <v>2.6852148755882483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9.9</v>
      </c>
      <c r="N75" s="14">
        <f>IF('Données projet'!$A$36&gt;35,N74+M75-V74,IF(A75&lt;'Données projet'!$A$36,$K$205^A75,IF(A75='Données projet'!$A$36,'Données projet'!$B$36,N74+M75-V74)))</f>
        <v>408.2999999999995</v>
      </c>
      <c r="O75" s="14">
        <f>N75*VLOOKUP('Données projet'!$B$9,Paramètres!$A$1:$I$88,3,0)*VLOOKUP('Données projet'!$B$9,Paramètres!$A$1:$I$88,5,0)</f>
        <v>244.16339999999974</v>
      </c>
      <c r="P75" s="14">
        <f t="shared" si="87"/>
        <v>59.334407661977856</v>
      </c>
      <c r="Q75" s="22">
        <f t="shared" si="54"/>
        <v>528.59201501127768</v>
      </c>
      <c r="R75" s="62">
        <f t="shared" si="55"/>
        <v>821.92534834461094</v>
      </c>
      <c r="S75" s="62">
        <f ca="1">AVERAGE(OFFSET($R$3,0,0,'Données projet'!$E$9+1,1))-AVERAGE(OFFSET($H$3,0,0,'Données projet'!$E$9+1,1))</f>
        <v>190.92799938679798</v>
      </c>
      <c r="T75" s="62">
        <f t="shared" si="88"/>
        <v>172.54286890368337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6.2142157928142456</v>
      </c>
      <c r="AB75" s="23">
        <f>EXP(-LN(2)/2)*AB74+(1-EXP(-LN(2)/2))/(LN(2)/2)*V75*Y75*VLOOKUP('Données projet'!$B$9,Paramètres!$A$1:$I$88,3,0)*0.475*44/12</f>
        <v>1.8079850759299432E-5</v>
      </c>
      <c r="AC75" s="24">
        <f t="shared" si="57"/>
        <v>6.2142338726650053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4.0599999999999996</v>
      </c>
      <c r="AI75" s="14">
        <f>IF('Données projet'!$A$62&gt;35,AI74+AH75-AQ74,IF(A75&lt;'Données projet'!$A$62,$AF$205^A75,IF(A75='Données projet'!$A$62,'Données projet'!$B$62,AI74+AH75-AQ74)))</f>
        <v>125.12000000000005</v>
      </c>
      <c r="AJ75" s="14">
        <f>AI75*VLOOKUP('Données projet'!$B$10,Paramètres!$A$1:$I$88,3,0)*VLOOKUP('Données projet'!$B$10,Paramètres!$A$1:$I$88,5,0)</f>
        <v>126.87168000000005</v>
      </c>
      <c r="AK75" s="14">
        <f t="shared" si="89"/>
        <v>33.272474859527357</v>
      </c>
      <c r="AL75" s="22">
        <f t="shared" si="58"/>
        <v>278.91773638034357</v>
      </c>
      <c r="AM75" s="62">
        <f t="shared" si="59"/>
        <v>572.25106971367688</v>
      </c>
      <c r="AN75" s="62">
        <f ca="1">AVERAGE(OFFSET($AM$3,0,0,'Données projet'!$E$10+1,1))-AVERAGE(OFFSET($H$3,0,0,'Données projet'!$E$10+1,1))</f>
        <v>95.135996821969457</v>
      </c>
      <c r="AO75" s="62">
        <f t="shared" si="90"/>
        <v>111.83039337220566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3.8</v>
      </c>
      <c r="BD75" s="13">
        <f>IF('Données projet'!$A$88&gt;35,BD74+BC75-BL74,IF(A75&lt;'Données projet'!$A$88,$BA$205^A75,IF(A75='Données projet'!$A$88,'Données projet'!$B$88,BD74+BC75-BL74)))</f>
        <v>141.10000000000022</v>
      </c>
      <c r="BE75" s="14">
        <f>BD75*VLOOKUP('Données projet'!$B$11,Paramètres!$A$1:$I$88,3,0)*VLOOKUP('Données projet'!$B$11,Paramètres!$A$1:$I$88,5,0)</f>
        <v>127.66728000000019</v>
      </c>
      <c r="BF75" s="14">
        <f t="shared" si="91"/>
        <v>33.456769511827225</v>
      </c>
      <c r="BG75" s="22">
        <f t="shared" si="61"/>
        <v>280.62438623309941</v>
      </c>
      <c r="BH75" s="62">
        <f t="shared" si="62"/>
        <v>573.95771956643273</v>
      </c>
      <c r="BI75" s="62">
        <f ca="1">AVERAGE(OFFSET($BH$3,0,0,'Données projet'!$E$11+1,1))-AVERAGE(OFFSET($H$3,0,0,'Données projet'!$E$11+1,1))</f>
        <v>168.44987180339865</v>
      </c>
      <c r="BJ75" s="62">
        <f t="shared" si="92"/>
        <v>375.85422976031748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2.6117718549509141</v>
      </c>
      <c r="BR75" s="23">
        <f>EXP(-LN(2)/2)*BR74+(1-EXP(-LN(2)/2))/(LN(2)/2)*BL75*BO75*VLOOKUP('Données projet'!$B$11,Paramètres!$A$1:$I$88,3,0)*0.475*44/12</f>
        <v>1.139816678303659E-5</v>
      </c>
      <c r="BS75" s="24">
        <f t="shared" si="63"/>
        <v>2.611783253117697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9.9</v>
      </c>
      <c r="N76" s="14">
        <f>IF('Données projet'!$A$36&gt;35,N75+M76-V75,IF(A76&lt;'Données projet'!$A$36,$K$205^A76,IF(A76='Données projet'!$A$36,'Données projet'!$B$36,N75+M76-V75)))</f>
        <v>418.19999999999948</v>
      </c>
      <c r="O76" s="14">
        <f>N76*VLOOKUP('Données projet'!$B$9,Paramètres!$A$1:$I$88,3,0)*VLOOKUP('Données projet'!$B$9,Paramètres!$A$1:$I$88,5,0)</f>
        <v>250.08359999999971</v>
      </c>
      <c r="P76" s="14">
        <f t="shared" si="87"/>
        <v>60.603842185749592</v>
      </c>
      <c r="Q76" s="22">
        <f t="shared" si="54"/>
        <v>541.11396180684676</v>
      </c>
      <c r="R76" s="62">
        <f t="shared" si="55"/>
        <v>834.44729514018013</v>
      </c>
      <c r="S76" s="62">
        <f ca="1">AVERAGE(OFFSET($R$3,0,0,'Données projet'!$E$9+1,1))-AVERAGE(OFFSET($H$3,0,0,'Données projet'!$E$9+1,1))</f>
        <v>190.92799938679798</v>
      </c>
      <c r="T76" s="62">
        <f t="shared" si="88"/>
        <v>172.54286890368337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6.044287735168334</v>
      </c>
      <c r="AB76" s="23">
        <f>EXP(-LN(2)/2)*AB75+(1-EXP(-LN(2)/2))/(LN(2)/2)*V76*Y76*VLOOKUP('Données projet'!$B$9,Paramètres!$A$1:$I$88,3,0)*0.475*44/12</f>
        <v>1.2784385074741379E-5</v>
      </c>
      <c r="AC76" s="24">
        <f t="shared" si="57"/>
        <v>6.044300519553409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4.0599999999999996</v>
      </c>
      <c r="AI76" s="14">
        <f>IF('Données projet'!$A$62&gt;35,AI75+AH76-AQ75,IF(A76&lt;'Données projet'!$A$62,$AF$205^A76,IF(A76='Données projet'!$A$62,'Données projet'!$B$62,AI75+AH76-AQ75)))</f>
        <v>129.18000000000004</v>
      </c>
      <c r="AJ76" s="14">
        <f>AI76*VLOOKUP('Données projet'!$B$10,Paramètres!$A$1:$I$88,3,0)*VLOOKUP('Données projet'!$B$10,Paramètres!$A$1:$I$88,5,0)</f>
        <v>130.98852000000005</v>
      </c>
      <c r="AK76" s="14">
        <f t="shared" si="89"/>
        <v>34.224676478586339</v>
      </c>
      <c r="AL76" s="22">
        <f t="shared" si="58"/>
        <v>287.7463172002046</v>
      </c>
      <c r="AM76" s="62">
        <f t="shared" si="59"/>
        <v>581.07965053353792</v>
      </c>
      <c r="AN76" s="62">
        <f ca="1">AVERAGE(OFFSET($AM$3,0,0,'Données projet'!$E$10+1,1))-AVERAGE(OFFSET($H$3,0,0,'Données projet'!$E$10+1,1))</f>
        <v>95.135996821969457</v>
      </c>
      <c r="AO76" s="62">
        <f t="shared" si="90"/>
        <v>111.83039337220566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3.8</v>
      </c>
      <c r="BD76" s="13">
        <f>IF('Données projet'!$A$88&gt;35,BD75+BC76-BL75,IF(A76&lt;'Données projet'!$A$88,$BA$205^A76,IF(A76='Données projet'!$A$88,'Données projet'!$B$88,BD75+BC76-BL75)))</f>
        <v>144.90000000000023</v>
      </c>
      <c r="BE76" s="14">
        <f>BD76*VLOOKUP('Données projet'!$B$11,Paramètres!$A$1:$I$88,3,0)*VLOOKUP('Données projet'!$B$11,Paramètres!$A$1:$I$88,5,0)</f>
        <v>131.10552000000021</v>
      </c>
      <c r="BF76" s="14">
        <f t="shared" si="91"/>
        <v>34.251686511628961</v>
      </c>
      <c r="BG76" s="22">
        <f t="shared" si="61"/>
        <v>287.99713467442075</v>
      </c>
      <c r="BH76" s="62">
        <f t="shared" si="62"/>
        <v>581.33046800775401</v>
      </c>
      <c r="BI76" s="62">
        <f ca="1">AVERAGE(OFFSET($BH$3,0,0,'Données projet'!$E$11+1,1))-AVERAGE(OFFSET($H$3,0,0,'Données projet'!$E$11+1,1))</f>
        <v>168.44987180339865</v>
      </c>
      <c r="BJ76" s="62">
        <f t="shared" si="92"/>
        <v>375.85422976031748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2.5403528162301687</v>
      </c>
      <c r="BR76" s="23">
        <f>EXP(-LN(2)/2)*BR75+(1-EXP(-LN(2)/2))/(LN(2)/2)*BL76*BO76*VLOOKUP('Données projet'!$B$11,Paramètres!$A$1:$I$88,3,0)*0.475*44/12</f>
        <v>8.0597210253804284E-6</v>
      </c>
      <c r="BS76" s="24">
        <f t="shared" si="63"/>
        <v>2.540360875951194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9.9</v>
      </c>
      <c r="N77" s="14">
        <f>IF('Données projet'!$A$36&gt;35,N76+M77-V76,IF(A77&lt;'Données projet'!$A$36,$K$205^A77,IF(A77='Données projet'!$A$36,'Données projet'!$B$36,N76+M77-V76)))</f>
        <v>428.09999999999945</v>
      </c>
      <c r="O77" s="14">
        <f>N77*VLOOKUP('Données projet'!$B$9,Paramètres!$A$1:$I$88,3,0)*VLOOKUP('Données projet'!$B$9,Paramètres!$A$1:$I$88,5,0)</f>
        <v>256.00379999999967</v>
      </c>
      <c r="P77" s="14">
        <f t="shared" si="87"/>
        <v>61.869783222711426</v>
      </c>
      <c r="Q77" s="22">
        <f t="shared" si="54"/>
        <v>553.6298241128884</v>
      </c>
      <c r="R77" s="62">
        <f t="shared" si="55"/>
        <v>846.96315744622166</v>
      </c>
      <c r="S77" s="62">
        <f ca="1">AVERAGE(OFFSET($R$3,0,0,'Données projet'!$E$9+1,1))-AVERAGE(OFFSET($H$3,0,0,'Données projet'!$E$9+1,1))</f>
        <v>190.92799938679798</v>
      </c>
      <c r="T77" s="62">
        <f t="shared" si="88"/>
        <v>172.54286890368337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5.8790063691948786</v>
      </c>
      <c r="AB77" s="23">
        <f>EXP(-LN(2)/2)*AB76+(1-EXP(-LN(2)/2))/(LN(2)/2)*V77*Y77*VLOOKUP('Données projet'!$B$9,Paramètres!$A$1:$I$88,3,0)*0.475*44/12</f>
        <v>9.0399253796497161E-6</v>
      </c>
      <c r="AC77" s="24">
        <f t="shared" si="57"/>
        <v>5.8790154091202584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4.0599999999999996</v>
      </c>
      <c r="AI77" s="14">
        <f>IF('Données projet'!$A$62&gt;35,AI76+AH77-AQ76,IF(A77&lt;'Données projet'!$A$62,$AF$205^A77,IF(A77='Données projet'!$A$62,'Données projet'!$B$62,AI76+AH77-AQ76)))</f>
        <v>133.24000000000004</v>
      </c>
      <c r="AJ77" s="14">
        <f>AI77*VLOOKUP('Données projet'!$B$10,Paramètres!$A$1:$I$88,3,0)*VLOOKUP('Données projet'!$B$10,Paramètres!$A$1:$I$88,5,0)</f>
        <v>135.10536000000005</v>
      </c>
      <c r="AK77" s="14">
        <f t="shared" si="89"/>
        <v>35.173400382239066</v>
      </c>
      <c r="AL77" s="22">
        <f t="shared" si="58"/>
        <v>296.56884099906642</v>
      </c>
      <c r="AM77" s="62">
        <f t="shared" si="59"/>
        <v>589.90217433239968</v>
      </c>
      <c r="AN77" s="62">
        <f ca="1">AVERAGE(OFFSET($AM$3,0,0,'Données projet'!$E$10+1,1))-AVERAGE(OFFSET($H$3,0,0,'Données projet'!$E$10+1,1))</f>
        <v>95.135996821969457</v>
      </c>
      <c r="AO77" s="62">
        <f t="shared" si="90"/>
        <v>111.83039337220566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3.8</v>
      </c>
      <c r="BD77" s="13">
        <f>IF('Données projet'!$A$88&gt;35,BD76+BC77-BL76,IF(A77&lt;'Données projet'!$A$88,$BA$205^A77,IF(A77='Données projet'!$A$88,'Données projet'!$B$88,BD76+BC77-BL76)))</f>
        <v>148.70000000000024</v>
      </c>
      <c r="BE77" s="14">
        <f>BD77*VLOOKUP('Données projet'!$B$11,Paramètres!$A$1:$I$88,3,0)*VLOOKUP('Données projet'!$B$11,Paramètres!$A$1:$I$88,5,0)</f>
        <v>134.54376000000022</v>
      </c>
      <c r="BF77" s="14">
        <f t="shared" si="91"/>
        <v>35.044180363692945</v>
      </c>
      <c r="BG77" s="22">
        <f t="shared" si="61"/>
        <v>295.36566280009896</v>
      </c>
      <c r="BH77" s="62">
        <f t="shared" si="62"/>
        <v>588.69899613343227</v>
      </c>
      <c r="BI77" s="62">
        <f ca="1">AVERAGE(OFFSET($BH$3,0,0,'Données projet'!$E$11+1,1))-AVERAGE(OFFSET($H$3,0,0,'Données projet'!$E$11+1,1))</f>
        <v>168.44987180339865</v>
      </c>
      <c r="BJ77" s="62">
        <f t="shared" si="92"/>
        <v>375.85422976031748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2.4708867348790062</v>
      </c>
      <c r="BR77" s="23">
        <f>EXP(-LN(2)/2)*BR76+(1-EXP(-LN(2)/2))/(LN(2)/2)*BL77*BO77*VLOOKUP('Données projet'!$B$11,Paramètres!$A$1:$I$88,3,0)*0.475*44/12</f>
        <v>5.699083391518295E-6</v>
      </c>
      <c r="BS77" s="24">
        <f t="shared" si="63"/>
        <v>2.4708924339623977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9.9</v>
      </c>
      <c r="N78" s="14">
        <f>IF('Données projet'!$A$36&gt;35,N77+M78-V77,IF(A78&lt;'Données projet'!$A$36,$K$205^A78,IF(A78='Données projet'!$A$36,'Données projet'!$B$36,N77+M78-V77)))</f>
        <v>437.99999999999943</v>
      </c>
      <c r="O78" s="14">
        <f>N78*VLOOKUP('Données projet'!$B$9,Paramètres!$A$1:$I$88,3,0)*VLOOKUP('Données projet'!$B$9,Paramètres!$A$1:$I$88,5,0)</f>
        <v>261.92399999999964</v>
      </c>
      <c r="P78" s="14">
        <f t="shared" si="87"/>
        <v>63.132320859995531</v>
      </c>
      <c r="Q78" s="22">
        <f t="shared" si="54"/>
        <v>566.13975883115825</v>
      </c>
      <c r="R78" s="62">
        <f t="shared" si="55"/>
        <v>859.47309216449162</v>
      </c>
      <c r="S78" s="62">
        <f ca="1">AVERAGE(OFFSET($R$3,0,0,'Données projet'!$E$9+1,1))-AVERAGE(OFFSET($H$3,0,0,'Données projet'!$E$9+1,1))</f>
        <v>190.92799938679798</v>
      </c>
      <c r="T78" s="62">
        <f t="shared" si="88"/>
        <v>172.54286890368337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5.718244630865736</v>
      </c>
      <c r="AB78" s="23">
        <f>EXP(-LN(2)/2)*AB77+(1-EXP(-LN(2)/2))/(LN(2)/2)*V78*Y78*VLOOKUP('Données projet'!$B$9,Paramètres!$A$1:$I$88,3,0)*0.475*44/12</f>
        <v>6.3921925373706895E-6</v>
      </c>
      <c r="AC78" s="24">
        <f t="shared" si="57"/>
        <v>5.718251023058273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4.0599999999999996</v>
      </c>
      <c r="AI78" s="14">
        <f>IF('Données projet'!$A$62&gt;35,AI77+AH78-AQ77,IF(A78&lt;'Données projet'!$A$62,$AF$205^A78,IF(A78='Données projet'!$A$62,'Données projet'!$B$62,AI77+AH78-AQ77)))</f>
        <v>137.30000000000004</v>
      </c>
      <c r="AJ78" s="14">
        <f>AI78*VLOOKUP('Données projet'!$B$10,Paramètres!$A$1:$I$88,3,0)*VLOOKUP('Données projet'!$B$10,Paramètres!$A$1:$I$88,5,0)</f>
        <v>139.22220000000004</v>
      </c>
      <c r="AK78" s="14">
        <f t="shared" si="89"/>
        <v>36.118764703599744</v>
      </c>
      <c r="AL78" s="22">
        <f t="shared" si="58"/>
        <v>305.38551352543624</v>
      </c>
      <c r="AM78" s="62">
        <f t="shared" si="59"/>
        <v>598.71884685876955</v>
      </c>
      <c r="AN78" s="62">
        <f ca="1">AVERAGE(OFFSET($AM$3,0,0,'Données projet'!$E$10+1,1))-AVERAGE(OFFSET($H$3,0,0,'Données projet'!$E$10+1,1))</f>
        <v>95.135996821969457</v>
      </c>
      <c r="AO78" s="62">
        <f t="shared" si="90"/>
        <v>111.83039337220566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3.8</v>
      </c>
      <c r="BD78" s="13">
        <f>IF('Données projet'!$A$88&gt;35,BD77+BC78-BL77,IF(A78&lt;'Données projet'!$A$88,$BA$205^A78,IF(A78='Données projet'!$A$88,'Données projet'!$B$88,BD77+BC78-BL77)))</f>
        <v>152.50000000000026</v>
      </c>
      <c r="BE78" s="14">
        <f>BD78*VLOOKUP('Données projet'!$B$11,Paramètres!$A$1:$I$88,3,0)*VLOOKUP('Données projet'!$B$11,Paramètres!$A$1:$I$88,5,0)</f>
        <v>137.98200000000023</v>
      </c>
      <c r="BF78" s="14">
        <f t="shared" si="91"/>
        <v>35.834320111431971</v>
      </c>
      <c r="BG78" s="22">
        <f t="shared" si="61"/>
        <v>302.73009086074438</v>
      </c>
      <c r="BH78" s="62">
        <f t="shared" si="62"/>
        <v>596.0634241940777</v>
      </c>
      <c r="BI78" s="62">
        <f ca="1">AVERAGE(OFFSET($BH$3,0,0,'Données projet'!$E$11+1,1))-AVERAGE(OFFSET($H$3,0,0,'Données projet'!$E$11+1,1))</f>
        <v>168.44987180339865</v>
      </c>
      <c r="BJ78" s="62">
        <f t="shared" si="92"/>
        <v>375.85422976031748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2.4033202071754536</v>
      </c>
      <c r="BR78" s="23">
        <f>EXP(-LN(2)/2)*BR77+(1-EXP(-LN(2)/2))/(LN(2)/2)*BL78*BO78*VLOOKUP('Données projet'!$B$11,Paramètres!$A$1:$I$88,3,0)*0.475*44/12</f>
        <v>4.0298605126902142E-6</v>
      </c>
      <c r="BS78" s="24">
        <f t="shared" si="63"/>
        <v>2.4033242370359664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9.9</v>
      </c>
      <c r="N79" s="14">
        <f>IF('Données projet'!$A$36&gt;35,N78+M79-V78,IF(A79&lt;'Données projet'!$A$36,$K$205^A79,IF(A79='Données projet'!$A$36,'Données projet'!$B$36,N78+M79-V78)))</f>
        <v>447.89999999999941</v>
      </c>
      <c r="O79" s="14">
        <f>N79*VLOOKUP('Données projet'!$B$9,Paramètres!$A$1:$I$88,3,0)*VLOOKUP('Données projet'!$B$9,Paramètres!$A$1:$I$88,5,0)</f>
        <v>267.84419999999966</v>
      </c>
      <c r="P79" s="14">
        <f t="shared" si="87"/>
        <v>64.391540879848648</v>
      </c>
      <c r="Q79" s="22">
        <f t="shared" si="54"/>
        <v>578.64391536573578</v>
      </c>
      <c r="R79" s="62">
        <f t="shared" si="55"/>
        <v>871.97724869906915</v>
      </c>
      <c r="S79" s="62">
        <f ca="1">AVERAGE(OFFSET($R$3,0,0,'Données projet'!$E$9+1,1))-AVERAGE(OFFSET($H$3,0,0,'Données projet'!$E$9+1,1))</f>
        <v>190.92799938679798</v>
      </c>
      <c r="T79" s="62">
        <f t="shared" si="88"/>
        <v>172.54286890368337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5.5618789307252969</v>
      </c>
      <c r="AB79" s="23">
        <f>EXP(-LN(2)/2)*AB78+(1-EXP(-LN(2)/2))/(LN(2)/2)*V79*Y79*VLOOKUP('Données projet'!$B$9,Paramètres!$A$1:$I$88,3,0)*0.475*44/12</f>
        <v>4.519962689824858E-6</v>
      </c>
      <c r="AC79" s="24">
        <f t="shared" si="57"/>
        <v>5.5618834506879864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4.0599999999999996</v>
      </c>
      <c r="AI79" s="14">
        <f>IF('Données projet'!$A$62&gt;35,AI78+AH79-AQ78,IF(A79&lt;'Données projet'!$A$62,$AF$205^A79,IF(A79='Données projet'!$A$62,'Données projet'!$B$62,AI78+AH79-AQ78)))</f>
        <v>141.36000000000004</v>
      </c>
      <c r="AJ79" s="14">
        <f>AI79*VLOOKUP('Données projet'!$B$10,Paramètres!$A$1:$I$88,3,0)*VLOOKUP('Données projet'!$B$10,Paramètres!$A$1:$I$88,5,0)</f>
        <v>143.33904000000004</v>
      </c>
      <c r="AK79" s="14">
        <f t="shared" si="89"/>
        <v>37.060880192160809</v>
      </c>
      <c r="AL79" s="22">
        <f t="shared" si="58"/>
        <v>314.19652766801346</v>
      </c>
      <c r="AM79" s="62">
        <f t="shared" si="59"/>
        <v>607.52986100134672</v>
      </c>
      <c r="AN79" s="62">
        <f ca="1">AVERAGE(OFFSET($AM$3,0,0,'Données projet'!$E$10+1,1))-AVERAGE(OFFSET($H$3,0,0,'Données projet'!$E$10+1,1))</f>
        <v>95.135996821969457</v>
      </c>
      <c r="AO79" s="62">
        <f t="shared" si="90"/>
        <v>111.83039337220566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3.8</v>
      </c>
      <c r="BD79" s="13">
        <f>IF('Données projet'!$A$88&gt;35,BD78+BC79-BL78,IF(A79&lt;'Données projet'!$A$88,$BA$205^A79,IF(A79='Données projet'!$A$88,'Données projet'!$B$88,BD78+BC79-BL78)))</f>
        <v>156.30000000000027</v>
      </c>
      <c r="BE79" s="14">
        <f>BD79*VLOOKUP('Données projet'!$B$11,Paramètres!$A$1:$I$88,3,0)*VLOOKUP('Données projet'!$B$11,Paramètres!$A$1:$I$88,5,0)</f>
        <v>141.42024000000023</v>
      </c>
      <c r="BF79" s="14">
        <f t="shared" si="91"/>
        <v>36.622171161289948</v>
      </c>
      <c r="BG79" s="22">
        <f t="shared" si="61"/>
        <v>310.09053277258039</v>
      </c>
      <c r="BH79" s="62">
        <f t="shared" si="62"/>
        <v>603.4238661059137</v>
      </c>
      <c r="BI79" s="62">
        <f ca="1">AVERAGE(OFFSET($BH$3,0,0,'Données projet'!$E$11+1,1))-AVERAGE(OFFSET($H$3,0,0,'Données projet'!$E$11+1,1))</f>
        <v>168.44987180339865</v>
      </c>
      <c r="BJ79" s="62">
        <f t="shared" si="92"/>
        <v>375.85422976031748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2.3376012897251242</v>
      </c>
      <c r="BR79" s="23">
        <f>EXP(-LN(2)/2)*BR78+(1-EXP(-LN(2)/2))/(LN(2)/2)*BL79*BO79*VLOOKUP('Données projet'!$B$11,Paramètres!$A$1:$I$88,3,0)*0.475*44/12</f>
        <v>2.8495416957591475E-6</v>
      </c>
      <c r="BS79" s="24">
        <f t="shared" si="63"/>
        <v>2.3376041392668201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9.9</v>
      </c>
      <c r="N80" s="14">
        <f>IF('Données projet'!$A$36&gt;35,N79+M80-V79,IF(A80&lt;'Données projet'!$A$36,$K$205^A80,IF(A80='Données projet'!$A$36,'Données projet'!$B$36,N79+M80-V79)))</f>
        <v>457.79999999999939</v>
      </c>
      <c r="O80" s="14">
        <f>N80*VLOOKUP('Données projet'!$B$9,Paramètres!$A$1:$I$88,3,0)*VLOOKUP('Données projet'!$B$9,Paramètres!$A$1:$I$88,5,0)</f>
        <v>273.76439999999968</v>
      </c>
      <c r="P80" s="14">
        <f t="shared" si="87"/>
        <v>65.647525055877324</v>
      </c>
      <c r="Q80" s="22">
        <f t="shared" si="54"/>
        <v>591.14243613898577</v>
      </c>
      <c r="R80" s="62">
        <f t="shared" si="55"/>
        <v>884.47576947231914</v>
      </c>
      <c r="S80" s="62">
        <f ca="1">AVERAGE(OFFSET($R$3,0,0,'Données projet'!$E$9+1,1))-AVERAGE(OFFSET($H$3,0,0,'Données projet'!$E$9+1,1))</f>
        <v>190.92799938679798</v>
      </c>
      <c r="T80" s="62">
        <f t="shared" si="88"/>
        <v>172.54286890368337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5.409789058878113</v>
      </c>
      <c r="AB80" s="23">
        <f>EXP(-LN(2)/2)*AB79+(1-EXP(-LN(2)/2))/(LN(2)/2)*V80*Y80*VLOOKUP('Données projet'!$B$9,Paramètres!$A$1:$I$88,3,0)*0.475*44/12</f>
        <v>3.1960962686853447E-6</v>
      </c>
      <c r="AC80" s="24">
        <f t="shared" si="57"/>
        <v>5.4097922549743815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4.0599999999999996</v>
      </c>
      <c r="AI80" s="14">
        <f>IF('Données projet'!$A$62&gt;35,AI79+AH80-AQ79,IF(A80&lt;'Données projet'!$A$62,$AF$205^A80,IF(A80='Données projet'!$A$62,'Données projet'!$B$62,AI79+AH80-AQ79)))</f>
        <v>145.42000000000004</v>
      </c>
      <c r="AJ80" s="14">
        <f>AI80*VLOOKUP('Données projet'!$B$10,Paramètres!$A$1:$I$88,3,0)*VLOOKUP('Données projet'!$B$10,Paramètres!$A$1:$I$88,5,0)</f>
        <v>147.45588000000006</v>
      </c>
      <c r="AK80" s="14">
        <f t="shared" si="89"/>
        <v>37.999850873936801</v>
      </c>
      <c r="AL80" s="22">
        <f t="shared" si="58"/>
        <v>323.00206460544001</v>
      </c>
      <c r="AM80" s="62">
        <f t="shared" si="59"/>
        <v>616.33539793877333</v>
      </c>
      <c r="AN80" s="62">
        <f ca="1">AVERAGE(OFFSET($AM$3,0,0,'Données projet'!$E$10+1,1))-AVERAGE(OFFSET($H$3,0,0,'Données projet'!$E$10+1,1))</f>
        <v>95.135996821969457</v>
      </c>
      <c r="AO80" s="62">
        <f t="shared" si="90"/>
        <v>111.83039337220566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3.8</v>
      </c>
      <c r="BD80" s="13">
        <f>IF('Données projet'!$A$88&gt;35,BD79+BC80-BL79,IF(A80&lt;'Données projet'!$A$88,$BA$205^A80,IF(A80='Données projet'!$A$88,'Données projet'!$B$88,BD79+BC80-BL79)))</f>
        <v>160.10000000000028</v>
      </c>
      <c r="BE80" s="14">
        <f>BD80*VLOOKUP('Données projet'!$B$11,Paramètres!$A$1:$I$88,3,0)*VLOOKUP('Données projet'!$B$11,Paramètres!$A$1:$I$88,5,0)</f>
        <v>144.85848000000024</v>
      </c>
      <c r="BF80" s="14">
        <f t="shared" si="91"/>
        <v>37.407795558022421</v>
      </c>
      <c r="BG80" s="22">
        <f t="shared" si="61"/>
        <v>317.44709659688948</v>
      </c>
      <c r="BH80" s="62">
        <f t="shared" si="62"/>
        <v>610.78042993022279</v>
      </c>
      <c r="BI80" s="62">
        <f ca="1">AVERAGE(OFFSET($BH$3,0,0,'Données projet'!$E$11+1,1))-AVERAGE(OFFSET($H$3,0,0,'Données projet'!$E$11+1,1))</f>
        <v>168.44987180339865</v>
      </c>
      <c r="BJ80" s="62">
        <f t="shared" si="92"/>
        <v>375.85422976031748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2.2736794595284815</v>
      </c>
      <c r="BR80" s="23">
        <f>EXP(-LN(2)/2)*BR79+(1-EXP(-LN(2)/2))/(LN(2)/2)*BL80*BO80*VLOOKUP('Données projet'!$B$11,Paramètres!$A$1:$I$88,3,0)*0.475*44/12</f>
        <v>2.0149302563451071E-6</v>
      </c>
      <c r="BS80" s="24">
        <f t="shared" si="63"/>
        <v>2.2736814744587379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9.9</v>
      </c>
      <c r="N81" s="14">
        <f>IF('Données projet'!$A$36&gt;35,N80+M81-V80,IF(A81&lt;'Données projet'!$A$36,$K$205^A81,IF(A81='Données projet'!$A$36,'Données projet'!$B$36,N80+M81-V80)))</f>
        <v>467.69999999999936</v>
      </c>
      <c r="O81" s="14">
        <f>N81*VLOOKUP('Données projet'!$B$9,Paramètres!$A$1:$I$88,3,0)*VLOOKUP('Données projet'!$B$9,Paramètres!$A$1:$I$88,5,0)</f>
        <v>279.68459999999965</v>
      </c>
      <c r="P81" s="14">
        <f t="shared" si="87"/>
        <v>66.900351422945704</v>
      </c>
      <c r="Q81" s="22">
        <f t="shared" si="54"/>
        <v>603.63545706162972</v>
      </c>
      <c r="R81" s="62">
        <f t="shared" si="55"/>
        <v>896.96879039496298</v>
      </c>
      <c r="S81" s="62">
        <f ca="1">AVERAGE(OFFSET($R$3,0,0,'Données projet'!$E$9+1,1))-AVERAGE(OFFSET($H$3,0,0,'Données projet'!$E$9+1,1))</f>
        <v>190.92799938679798</v>
      </c>
      <c r="T81" s="62">
        <f t="shared" si="88"/>
        <v>172.54286890368337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5.2618580925746485</v>
      </c>
      <c r="AB81" s="23">
        <f>EXP(-LN(2)/2)*AB80+(1-EXP(-LN(2)/2))/(LN(2)/2)*V81*Y81*VLOOKUP('Données projet'!$B$9,Paramètres!$A$1:$I$88,3,0)*0.475*44/12</f>
        <v>2.259981344912429E-6</v>
      </c>
      <c r="AC81" s="24">
        <f t="shared" si="57"/>
        <v>5.2618603525559937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4.0599999999999996</v>
      </c>
      <c r="AI81" s="14">
        <f>IF('Données projet'!$A$62&gt;35,AI80+AH81-AQ80,IF(A81&lt;'Données projet'!$A$62,$AF$205^A81,IF(A81='Données projet'!$A$62,'Données projet'!$B$62,AI80+AH81-AQ80)))</f>
        <v>149.48000000000005</v>
      </c>
      <c r="AJ81" s="14">
        <f>AI81*VLOOKUP('Données projet'!$B$10,Paramètres!$A$1:$I$88,3,0)*VLOOKUP('Données projet'!$B$10,Paramètres!$A$1:$I$88,5,0)</f>
        <v>151.57272000000006</v>
      </c>
      <c r="AK81" s="14">
        <f t="shared" si="89"/>
        <v>38.935774635813544</v>
      </c>
      <c r="AL81" s="22">
        <f t="shared" si="58"/>
        <v>331.80229482404201</v>
      </c>
      <c r="AM81" s="62">
        <f t="shared" si="59"/>
        <v>625.13562815737532</v>
      </c>
      <c r="AN81" s="62">
        <f ca="1">AVERAGE(OFFSET($AM$3,0,0,'Données projet'!$E$10+1,1))-AVERAGE(OFFSET($H$3,0,0,'Données projet'!$E$10+1,1))</f>
        <v>95.135996821969457</v>
      </c>
      <c r="AO81" s="62">
        <f t="shared" si="90"/>
        <v>111.83039337220566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3.8</v>
      </c>
      <c r="BD81" s="13">
        <f>IF('Données projet'!$A$88&gt;35,BD80+BC81-BL80,IF(A81&lt;'Données projet'!$A$88,$BA$205^A81,IF(A81='Données projet'!$A$88,'Données projet'!$B$88,BD80+BC81-BL80)))</f>
        <v>163.90000000000029</v>
      </c>
      <c r="BE81" s="14">
        <f>BD81*VLOOKUP('Données projet'!$B$11,Paramètres!$A$1:$I$88,3,0)*VLOOKUP('Données projet'!$B$11,Paramètres!$A$1:$I$88,5,0)</f>
        <v>148.29672000000028</v>
      </c>
      <c r="BF81" s="14">
        <f t="shared" si="91"/>
        <v>38.191252233105573</v>
      </c>
      <c r="BG81" s="22">
        <f t="shared" si="61"/>
        <v>324.7998849726593</v>
      </c>
      <c r="BH81" s="62">
        <f t="shared" si="62"/>
        <v>618.13321830599261</v>
      </c>
      <c r="BI81" s="62">
        <f ca="1">AVERAGE(OFFSET($BH$3,0,0,'Données projet'!$E$11+1,1))-AVERAGE(OFFSET($H$3,0,0,'Données projet'!$E$11+1,1))</f>
        <v>168.44987180339865</v>
      </c>
      <c r="BJ81" s="62">
        <f t="shared" si="92"/>
        <v>375.85422976031748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2.2115055751400687</v>
      </c>
      <c r="BR81" s="23">
        <f>EXP(-LN(2)/2)*BR80+(1-EXP(-LN(2)/2))/(LN(2)/2)*BL81*BO81*VLOOKUP('Données projet'!$B$11,Paramètres!$A$1:$I$88,3,0)*0.475*44/12</f>
        <v>1.4247708478795738E-6</v>
      </c>
      <c r="BS81" s="24">
        <f t="shared" si="63"/>
        <v>2.2115069999109167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9.9</v>
      </c>
      <c r="N82" s="14">
        <f>IF('Données projet'!$A$36&gt;35,N81+M82-V81,IF(A82&lt;'Données projet'!$A$36,$K$205^A82,IF(A82='Données projet'!$A$36,'Données projet'!$B$36,N81+M82-V81)))</f>
        <v>477.59999999999934</v>
      </c>
      <c r="O82" s="14">
        <f>N82*VLOOKUP('Données projet'!$B$9,Paramètres!$A$1:$I$88,3,0)*VLOOKUP('Données projet'!$B$9,Paramètres!$A$1:$I$88,5,0)</f>
        <v>285.60479999999961</v>
      </c>
      <c r="P82" s="14">
        <f t="shared" si="87"/>
        <v>68.150094523576257</v>
      </c>
      <c r="Q82" s="22">
        <f t="shared" si="54"/>
        <v>616.12310796189456</v>
      </c>
      <c r="R82" s="62">
        <f t="shared" si="55"/>
        <v>909.45644129522793</v>
      </c>
      <c r="S82" s="62">
        <f ca="1">AVERAGE(OFFSET($R$3,0,0,'Données projet'!$E$9+1,1))-AVERAGE(OFFSET($H$3,0,0,'Données projet'!$E$9+1,1))</f>
        <v>190.92799938679798</v>
      </c>
      <c r="T82" s="62">
        <f t="shared" si="88"/>
        <v>172.54286890368337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5.1179723063241038</v>
      </c>
      <c r="AB82" s="23">
        <f>EXP(-LN(2)/2)*AB81+(1-EXP(-LN(2)/2))/(LN(2)/2)*V82*Y82*VLOOKUP('Données projet'!$B$9,Paramètres!$A$1:$I$88,3,0)*0.475*44/12</f>
        <v>1.5980481343426724E-6</v>
      </c>
      <c r="AC82" s="24">
        <f t="shared" si="57"/>
        <v>5.1179739043722385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4.0599999999999996</v>
      </c>
      <c r="AI82" s="14">
        <f>IF('Données projet'!$A$62&gt;35,AI81+AH82-AQ81,IF(A82&lt;'Données projet'!$A$62,$AF$205^A82,IF(A82='Données projet'!$A$62,'Données projet'!$B$62,AI81+AH82-AQ81)))</f>
        <v>153.54000000000005</v>
      </c>
      <c r="AJ82" s="14">
        <f>AI82*VLOOKUP('Données projet'!$B$10,Paramètres!$A$1:$I$88,3,0)*VLOOKUP('Données projet'!$B$10,Paramètres!$A$1:$I$88,5,0)</f>
        <v>155.68956000000006</v>
      </c>
      <c r="AK82" s="14">
        <f t="shared" si="89"/>
        <v>39.86874374462608</v>
      </c>
      <c r="AL82" s="22">
        <f t="shared" si="58"/>
        <v>340.5973790218905</v>
      </c>
      <c r="AM82" s="62">
        <f t="shared" si="59"/>
        <v>633.93071235522382</v>
      </c>
      <c r="AN82" s="62">
        <f ca="1">AVERAGE(OFFSET($AM$3,0,0,'Données projet'!$E$10+1,1))-AVERAGE(OFFSET($H$3,0,0,'Données projet'!$E$10+1,1))</f>
        <v>95.135996821969457</v>
      </c>
      <c r="AO82" s="62">
        <f t="shared" si="90"/>
        <v>111.83039337220566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3.8</v>
      </c>
      <c r="BD82" s="13">
        <f>IF('Données projet'!$A$88&gt;35,BD81+BC82-BL81,IF(A82&lt;'Données projet'!$A$88,$BA$205^A82,IF(A82='Données projet'!$A$88,'Données projet'!$B$88,BD81+BC82-BL81)))</f>
        <v>167.7000000000003</v>
      </c>
      <c r="BE82" s="14">
        <f>BD82*VLOOKUP('Données projet'!$B$11,Paramètres!$A$1:$I$88,3,0)*VLOOKUP('Données projet'!$B$11,Paramètres!$A$1:$I$88,5,0)</f>
        <v>151.73496000000026</v>
      </c>
      <c r="BF82" s="14">
        <f t="shared" si="91"/>
        <v>38.972597229458792</v>
      </c>
      <c r="BG82" s="22">
        <f t="shared" si="61"/>
        <v>332.14899550797446</v>
      </c>
      <c r="BH82" s="62">
        <f t="shared" si="62"/>
        <v>625.48232884130778</v>
      </c>
      <c r="BI82" s="62">
        <f ca="1">AVERAGE(OFFSET($BH$3,0,0,'Données projet'!$E$11+1,1))-AVERAGE(OFFSET($H$3,0,0,'Données projet'!$E$11+1,1))</f>
        <v>168.44987180339865</v>
      </c>
      <c r="BJ82" s="62">
        <f t="shared" si="92"/>
        <v>375.85422976031748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2.15103183888984</v>
      </c>
      <c r="BR82" s="23">
        <f>EXP(-LN(2)/2)*BR81+(1-EXP(-LN(2)/2))/(LN(2)/2)*BL82*BO82*VLOOKUP('Données projet'!$B$11,Paramètres!$A$1:$I$88,3,0)*0.475*44/12</f>
        <v>1.0074651281725535E-6</v>
      </c>
      <c r="BS82" s="24">
        <f t="shared" si="63"/>
        <v>2.1510328463549682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487.5</v>
      </c>
      <c r="L83" s="13">
        <f>VLOOKUP(A83,'Données projet'!$A$35:$I$55,9,0)</f>
        <v>9.9</v>
      </c>
      <c r="M83" s="13">
        <f t="array" ref="M83">INDEX(L:L,MIN(IF(ISNUMBER(L83:L279),ROW(L83:L279),"")))</f>
        <v>9.9</v>
      </c>
      <c r="N83" s="14">
        <f>IF('Données projet'!$A$36&gt;35,N82+M83-V82,IF(A83&lt;'Données projet'!$A$36,$K$205^A83,IF(A83='Données projet'!$A$36,'Données projet'!$B$36,N82+M83-V82)))</f>
        <v>487.49999999999932</v>
      </c>
      <c r="O83" s="14">
        <f>N83*VLOOKUP('Données projet'!$B$9,Paramètres!$A$1:$I$88,3,0)*VLOOKUP('Données projet'!$B$9,Paramètres!$A$1:$I$88,5,0)</f>
        <v>291.52499999999958</v>
      </c>
      <c r="P83" s="14">
        <f t="shared" si="87"/>
        <v>69.396825633343269</v>
      </c>
      <c r="Q83" s="22">
        <f t="shared" si="54"/>
        <v>628.60551297807217</v>
      </c>
      <c r="R83" s="62">
        <f t="shared" si="55"/>
        <v>921.93884631140554</v>
      </c>
      <c r="S83" s="62">
        <f ca="1">AVERAGE(OFFSET($R$3,0,0,'Données projet'!$E$9+1,1))-AVERAGE(OFFSET($H$3,0,0,'Données projet'!$E$9+1,1))</f>
        <v>190.92799938679798</v>
      </c>
      <c r="T83" s="62">
        <f t="shared" si="88"/>
        <v>172.54286890368337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487.5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4.9780210844652046</v>
      </c>
      <c r="AB83" s="23">
        <f>EXP(-LN(2)/2)*AB82+(1-EXP(-LN(2)/2))/(LN(2)/2)*V83*Y83*VLOOKUP('Données projet'!$B$9,Paramètres!$A$1:$I$88,3,0)*0.475*44/12</f>
        <v>1.1299906724562145E-6</v>
      </c>
      <c r="AC83" s="24">
        <f t="shared" si="57"/>
        <v>4.9780222144558772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157.6</v>
      </c>
      <c r="AG83" s="13">
        <f>VLOOKUP(A83,'Données projet'!$A$61:$I$81,9,0)</f>
        <v>4.0599999999999996</v>
      </c>
      <c r="AH83" s="13">
        <f t="array" ref="AH83">INDEX(AG:AG,MIN(IF(ISNUMBER(AG83:AG279),ROW(AG83:AG279),"")))</f>
        <v>4.0599999999999996</v>
      </c>
      <c r="AI83" s="14">
        <f>IF('Données projet'!$A$62&gt;35,AI82+AH83-AQ82,IF(A83&lt;'Données projet'!$A$62,$AF$205^A83,IF(A83='Données projet'!$A$62,'Données projet'!$B$62,AI82+AH83-AQ82)))</f>
        <v>157.60000000000005</v>
      </c>
      <c r="AJ83" s="14">
        <f>AI83*VLOOKUP('Données projet'!$B$10,Paramètres!$A$1:$I$88,3,0)*VLOOKUP('Données projet'!$B$10,Paramètres!$A$1:$I$88,5,0)</f>
        <v>159.80640000000008</v>
      </c>
      <c r="AK83" s="14">
        <f t="shared" si="89"/>
        <v>40.798845309789208</v>
      </c>
      <c r="AL83" s="22">
        <f t="shared" si="58"/>
        <v>349.38746891454963</v>
      </c>
      <c r="AM83" s="62">
        <f t="shared" si="59"/>
        <v>642.72080224788294</v>
      </c>
      <c r="AN83" s="62">
        <f ca="1">AVERAGE(OFFSET($AM$3,0,0,'Données projet'!$E$10+1,1))-AVERAGE(OFFSET($H$3,0,0,'Données projet'!$E$10+1,1))</f>
        <v>95.135996821969457</v>
      </c>
      <c r="AO83" s="62">
        <f t="shared" si="90"/>
        <v>111.83039337220566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157.6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171.5</v>
      </c>
      <c r="BB83" s="13">
        <f>VLOOKUP(A83,'Données projet'!$A$87:$I$107,9,0)</f>
        <v>3.8</v>
      </c>
      <c r="BC83" s="13">
        <f t="array" ref="BC83">INDEX(BB:BB,MIN(IF(ISNUMBER(BB83:BB279),ROW(BB83:BB279),"")))</f>
        <v>3.8</v>
      </c>
      <c r="BD83" s="13">
        <f>IF('Données projet'!$A$88&gt;35,BD82+BC83-BL82,IF(A83&lt;'Données projet'!$A$88,$BA$205^A83,IF(A83='Données projet'!$A$88,'Données projet'!$B$88,BD82+BC83-BL82)))</f>
        <v>171.50000000000031</v>
      </c>
      <c r="BE83" s="14">
        <f>BD83*VLOOKUP('Données projet'!$B$11,Paramètres!$A$1:$I$88,3,0)*VLOOKUP('Données projet'!$B$11,Paramètres!$A$1:$I$88,5,0)</f>
        <v>155.17320000000026</v>
      </c>
      <c r="BF83" s="14">
        <f t="shared" si="91"/>
        <v>39.751883905224368</v>
      </c>
      <c r="BG83" s="22">
        <f t="shared" si="61"/>
        <v>339.49452113493288</v>
      </c>
      <c r="BH83" s="62">
        <f t="shared" si="62"/>
        <v>632.8278544682662</v>
      </c>
      <c r="BI83" s="62">
        <f ca="1">AVERAGE(OFFSET($BH$3,0,0,'Données projet'!$E$11+1,1))-AVERAGE(OFFSET($H$3,0,0,'Données projet'!$E$11+1,1))</f>
        <v>168.44987180339865</v>
      </c>
      <c r="BJ83" s="62">
        <f t="shared" si="92"/>
        <v>375.85422976031748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171.5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2.0922117601375492</v>
      </c>
      <c r="BR83" s="23">
        <f>EXP(-LN(2)/2)*BR82+(1-EXP(-LN(2)/2))/(LN(2)/2)*BL83*BO83*VLOOKUP('Données projet'!$B$11,Paramètres!$A$1:$I$88,3,0)*0.475*44/12</f>
        <v>7.1238542393978688E-7</v>
      </c>
      <c r="BS83" s="24">
        <f t="shared" si="63"/>
        <v>2.0922124725229732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-6.8212102632969618E-13</v>
      </c>
      <c r="O84" s="14">
        <f>N84*VLOOKUP('Données projet'!$B$9,Paramètres!$A$1:$I$88,3,0)*VLOOKUP('Données projet'!$B$9,Paramètres!$A$1:$I$88,5,0)</f>
        <v>-4.0790837374515837E-13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190.92799938679798</v>
      </c>
      <c r="T84" s="62">
        <f t="shared" si="88"/>
        <v>172.54286890368337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4.8418968361277521</v>
      </c>
      <c r="AB84" s="23">
        <f>EXP(-LN(2)/2)*AB83+(1-EXP(-LN(2)/2))/(LN(2)/2)*V84*Y84*VLOOKUP('Données projet'!$B$9,Paramètres!$A$1:$I$88,3,0)*0.475*44/12</f>
        <v>7.9902406717133618E-7</v>
      </c>
      <c r="AC84" s="24">
        <f t="shared" si="57"/>
        <v>4.8418976351518195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projet'!$B$10,Paramètres!$A$1:$I$88,3,0)*VLOOKUP('Données projet'!$B$10,Paramètres!$A$1:$I$88,5,0)</f>
        <v>5.7639226724859328E-14</v>
      </c>
      <c r="AK84" s="14">
        <f t="shared" si="89"/>
        <v>9.2325701996134334E-13</v>
      </c>
      <c r="AL84" s="22">
        <f t="shared" si="58"/>
        <v>1.708394296311803E-12</v>
      </c>
      <c r="AM84" s="62">
        <f t="shared" si="59"/>
        <v>293.33333333333502</v>
      </c>
      <c r="AN84" s="62">
        <f ca="1">AVERAGE(OFFSET($AM$3,0,0,'Données projet'!$E$10+1,1))-AVERAGE(OFFSET($H$3,0,0,'Données projet'!$E$10+1,1))</f>
        <v>95.135996821969457</v>
      </c>
      <c r="AO84" s="62">
        <f t="shared" si="90"/>
        <v>111.83039337220566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3.1263880373444408E-13</v>
      </c>
      <c r="BE84" s="14">
        <f>BD84*VLOOKUP('Données projet'!$B$11,Paramètres!$A$1:$I$88,3,0)*VLOOKUP('Données projet'!$B$11,Paramètres!$A$1:$I$88,5,0)</f>
        <v>2.82875589618925E-13</v>
      </c>
      <c r="BF84" s="14">
        <f t="shared" si="91"/>
        <v>3.7651460236245583E-12</v>
      </c>
      <c r="BG84" s="22">
        <f t="shared" si="61"/>
        <v>7.0503043097323991E-12</v>
      </c>
      <c r="BH84" s="62">
        <f t="shared" si="62"/>
        <v>293.33333333334036</v>
      </c>
      <c r="BI84" s="62">
        <f ca="1">AVERAGE(OFFSET($BH$3,0,0,'Données projet'!$E$11+1,1))-AVERAGE(OFFSET($H$3,0,0,'Données projet'!$E$11+1,1))</f>
        <v>168.44987180339865</v>
      </c>
      <c r="BJ84" s="62">
        <f t="shared" si="92"/>
        <v>375.85422976031748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2.0350001195319534</v>
      </c>
      <c r="BR84" s="23">
        <f>EXP(-LN(2)/2)*BR83+(1-EXP(-LN(2)/2))/(LN(2)/2)*BL84*BO84*VLOOKUP('Données projet'!$B$11,Paramètres!$A$1:$I$88,3,0)*0.475*44/12</f>
        <v>5.0373256408627677E-7</v>
      </c>
      <c r="BS84" s="24">
        <f t="shared" si="63"/>
        <v>2.0350006232645175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-6.8212102632969618E-13</v>
      </c>
      <c r="O85" s="14">
        <f>N85*VLOOKUP('Données projet'!$B$9,Paramètres!$A$1:$I$88,3,0)*VLOOKUP('Données projet'!$B$9,Paramètres!$A$1:$I$88,5,0)</f>
        <v>-4.0790837374515837E-13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190.92799938679798</v>
      </c>
      <c r="T85" s="62">
        <f t="shared" si="88"/>
        <v>172.54286890368337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4.70949491251955</v>
      </c>
      <c r="AB85" s="23">
        <f>EXP(-LN(2)/2)*AB84+(1-EXP(-LN(2)/2))/(LN(2)/2)*V85*Y85*VLOOKUP('Données projet'!$B$9,Paramètres!$A$1:$I$88,3,0)*0.475*44/12</f>
        <v>5.6499533622810726E-7</v>
      </c>
      <c r="AC85" s="24">
        <f t="shared" si="57"/>
        <v>4.7094954775148858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projet'!$B$10,Paramètres!$A$1:$I$88,3,0)*VLOOKUP('Données projet'!$B$10,Paramètres!$A$1:$I$88,5,0)</f>
        <v>5.7639226724859328E-14</v>
      </c>
      <c r="AK85" s="14">
        <f t="shared" si="89"/>
        <v>9.2325701996134334E-13</v>
      </c>
      <c r="AL85" s="22">
        <f t="shared" si="58"/>
        <v>1.708394296311803E-12</v>
      </c>
      <c r="AM85" s="62">
        <f t="shared" si="59"/>
        <v>293.33333333333502</v>
      </c>
      <c r="AN85" s="62">
        <f ca="1">AVERAGE(OFFSET($AM$3,0,0,'Données projet'!$E$10+1,1))-AVERAGE(OFFSET($H$3,0,0,'Données projet'!$E$10+1,1))</f>
        <v>95.135996821969457</v>
      </c>
      <c r="AO85" s="62">
        <f t="shared" si="90"/>
        <v>111.83039337220566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3.1263880373444408E-13</v>
      </c>
      <c r="BE85" s="14">
        <f>BD85*VLOOKUP('Données projet'!$B$11,Paramètres!$A$1:$I$88,3,0)*VLOOKUP('Données projet'!$B$11,Paramètres!$A$1:$I$88,5,0)</f>
        <v>2.82875589618925E-13</v>
      </c>
      <c r="BF85" s="14">
        <f t="shared" si="91"/>
        <v>3.7651460236245583E-12</v>
      </c>
      <c r="BG85" s="22">
        <f t="shared" si="61"/>
        <v>7.0503043097323991E-12</v>
      </c>
      <c r="BH85" s="62">
        <f t="shared" si="62"/>
        <v>293.33333333334036</v>
      </c>
      <c r="BI85" s="62">
        <f ca="1">AVERAGE(OFFSET($BH$3,0,0,'Données projet'!$E$11+1,1))-AVERAGE(OFFSET($H$3,0,0,'Données projet'!$E$11+1,1))</f>
        <v>168.44987180339865</v>
      </c>
      <c r="BJ85" s="62">
        <f t="shared" si="92"/>
        <v>375.85422976031748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1.9793529342473468</v>
      </c>
      <c r="BR85" s="23">
        <f>EXP(-LN(2)/2)*BR84+(1-EXP(-LN(2)/2))/(LN(2)/2)*BL85*BO85*VLOOKUP('Données projet'!$B$11,Paramètres!$A$1:$I$88,3,0)*0.475*44/12</f>
        <v>3.5619271196989344E-7</v>
      </c>
      <c r="BS85" s="24">
        <f t="shared" si="63"/>
        <v>1.9793532904400588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-6.8212102632969618E-13</v>
      </c>
      <c r="O86" s="14">
        <f>N86*VLOOKUP('Données projet'!$B$9,Paramètres!$A$1:$I$88,3,0)*VLOOKUP('Données projet'!$B$9,Paramètres!$A$1:$I$88,5,0)</f>
        <v>-4.0790837374515837E-13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190.92799938679798</v>
      </c>
      <c r="T86" s="62">
        <f t="shared" si="88"/>
        <v>172.54286890368337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4.5807135264751295</v>
      </c>
      <c r="AB86" s="23">
        <f>EXP(-LN(2)/2)*AB85+(1-EXP(-LN(2)/2))/(LN(2)/2)*V86*Y86*VLOOKUP('Données projet'!$B$9,Paramètres!$A$1:$I$88,3,0)*0.475*44/12</f>
        <v>3.9951203358566809E-7</v>
      </c>
      <c r="AC86" s="24">
        <f t="shared" si="57"/>
        <v>4.5807139259871628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projet'!$B$10,Paramètres!$A$1:$I$88,3,0)*VLOOKUP('Données projet'!$B$10,Paramètres!$A$1:$I$88,5,0)</f>
        <v>5.7639226724859328E-14</v>
      </c>
      <c r="AK86" s="14">
        <f t="shared" si="89"/>
        <v>9.2325701996134334E-13</v>
      </c>
      <c r="AL86" s="22">
        <f t="shared" si="58"/>
        <v>1.708394296311803E-12</v>
      </c>
      <c r="AM86" s="62">
        <f t="shared" si="59"/>
        <v>293.33333333333502</v>
      </c>
      <c r="AN86" s="62">
        <f ca="1">AVERAGE(OFFSET($AM$3,0,0,'Données projet'!$E$10+1,1))-AVERAGE(OFFSET($H$3,0,0,'Données projet'!$E$10+1,1))</f>
        <v>95.135996821969457</v>
      </c>
      <c r="AO86" s="62">
        <f t="shared" si="90"/>
        <v>111.83039337220566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3.1263880373444408E-13</v>
      </c>
      <c r="BE86" s="14">
        <f>BD86*VLOOKUP('Données projet'!$B$11,Paramètres!$A$1:$I$88,3,0)*VLOOKUP('Données projet'!$B$11,Paramètres!$A$1:$I$88,5,0)</f>
        <v>2.82875589618925E-13</v>
      </c>
      <c r="BF86" s="14">
        <f t="shared" si="91"/>
        <v>3.7651460236245583E-12</v>
      </c>
      <c r="BG86" s="22">
        <f t="shared" si="61"/>
        <v>7.0503043097323991E-12</v>
      </c>
      <c r="BH86" s="62">
        <f t="shared" si="62"/>
        <v>293.33333333334036</v>
      </c>
      <c r="BI86" s="62">
        <f ca="1">AVERAGE(OFFSET($BH$3,0,0,'Données projet'!$E$11+1,1))-AVERAGE(OFFSET($H$3,0,0,'Données projet'!$E$11+1,1))</f>
        <v>168.44987180339865</v>
      </c>
      <c r="BJ86" s="62">
        <f t="shared" si="92"/>
        <v>375.85422976031748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1.9252274241707061</v>
      </c>
      <c r="BR86" s="23">
        <f>EXP(-LN(2)/2)*BR85+(1-EXP(-LN(2)/2))/(LN(2)/2)*BL86*BO86*VLOOKUP('Données projet'!$B$11,Paramètres!$A$1:$I$88,3,0)*0.475*44/12</f>
        <v>2.5186628204313839E-7</v>
      </c>
      <c r="BS86" s="24">
        <f t="shared" si="63"/>
        <v>1.9252276760369882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-6.8212102632969618E-13</v>
      </c>
      <c r="O87" s="14">
        <f>N87*VLOOKUP('Données projet'!$B$9,Paramètres!$A$1:$I$88,3,0)*VLOOKUP('Données projet'!$B$9,Paramètres!$A$1:$I$88,5,0)</f>
        <v>-4.0790837374515837E-13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190.92799938679798</v>
      </c>
      <c r="T87" s="62">
        <f t="shared" si="88"/>
        <v>172.54286890368337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4.4554536742044117</v>
      </c>
      <c r="AB87" s="23">
        <f>EXP(-LN(2)/2)*AB86+(1-EXP(-LN(2)/2))/(LN(2)/2)*V87*Y87*VLOOKUP('Données projet'!$B$9,Paramètres!$A$1:$I$88,3,0)*0.475*44/12</f>
        <v>2.8249766811405363E-7</v>
      </c>
      <c r="AC87" s="24">
        <f t="shared" si="57"/>
        <v>4.4554539567020797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projet'!$B$10,Paramètres!$A$1:$I$88,3,0)*VLOOKUP('Données projet'!$B$10,Paramètres!$A$1:$I$88,5,0)</f>
        <v>5.7639226724859328E-14</v>
      </c>
      <c r="AK87" s="14">
        <f t="shared" si="89"/>
        <v>9.2325701996134334E-13</v>
      </c>
      <c r="AL87" s="22">
        <f t="shared" si="58"/>
        <v>1.708394296311803E-12</v>
      </c>
      <c r="AM87" s="62">
        <f t="shared" si="59"/>
        <v>293.33333333333502</v>
      </c>
      <c r="AN87" s="62">
        <f ca="1">AVERAGE(OFFSET($AM$3,0,0,'Données projet'!$E$10+1,1))-AVERAGE(OFFSET($H$3,0,0,'Données projet'!$E$10+1,1))</f>
        <v>95.135996821969457</v>
      </c>
      <c r="AO87" s="62">
        <f t="shared" si="90"/>
        <v>111.83039337220566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3.1263880373444408E-13</v>
      </c>
      <c r="BE87" s="14">
        <f>BD87*VLOOKUP('Données projet'!$B$11,Paramètres!$A$1:$I$88,3,0)*VLOOKUP('Données projet'!$B$11,Paramètres!$A$1:$I$88,5,0)</f>
        <v>2.82875589618925E-13</v>
      </c>
      <c r="BF87" s="14">
        <f t="shared" si="91"/>
        <v>3.7651460236245583E-12</v>
      </c>
      <c r="BG87" s="22">
        <f t="shared" si="61"/>
        <v>7.0503043097323991E-12</v>
      </c>
      <c r="BH87" s="62">
        <f t="shared" si="62"/>
        <v>293.33333333334036</v>
      </c>
      <c r="BI87" s="62">
        <f ca="1">AVERAGE(OFFSET($BH$3,0,0,'Données projet'!$E$11+1,1))-AVERAGE(OFFSET($H$3,0,0,'Données projet'!$E$11+1,1))</f>
        <v>168.44987180339865</v>
      </c>
      <c r="BJ87" s="62">
        <f t="shared" si="92"/>
        <v>375.85422976031748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1.8725819790134481</v>
      </c>
      <c r="BR87" s="23">
        <f>EXP(-LN(2)/2)*BR86+(1-EXP(-LN(2)/2))/(LN(2)/2)*BL87*BO87*VLOOKUP('Données projet'!$B$11,Paramètres!$A$1:$I$88,3,0)*0.475*44/12</f>
        <v>1.7809635598494672E-7</v>
      </c>
      <c r="BS87" s="24">
        <f t="shared" si="63"/>
        <v>1.872582157109804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-6.8212102632969618E-13</v>
      </c>
      <c r="O88" s="14">
        <f>N88*VLOOKUP('Données projet'!$B$9,Paramètres!$A$1:$I$88,3,0)*VLOOKUP('Données projet'!$B$9,Paramètres!$A$1:$I$88,5,0)</f>
        <v>-4.0790837374515837E-13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190.92799938679798</v>
      </c>
      <c r="T88" s="62">
        <f t="shared" si="88"/>
        <v>172.54286890368337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4.3336190591811663</v>
      </c>
      <c r="AB88" s="23">
        <f>EXP(-LN(2)/2)*AB87+(1-EXP(-LN(2)/2))/(LN(2)/2)*V88*Y88*VLOOKUP('Données projet'!$B$9,Paramètres!$A$1:$I$88,3,0)*0.475*44/12</f>
        <v>1.9975601679283405E-7</v>
      </c>
      <c r="AC88" s="24">
        <f t="shared" si="57"/>
        <v>4.3336192589371834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projet'!$B$10,Paramètres!$A$1:$I$88,3,0)*VLOOKUP('Données projet'!$B$10,Paramètres!$A$1:$I$88,5,0)</f>
        <v>5.7639226724859328E-14</v>
      </c>
      <c r="AK88" s="14">
        <f t="shared" si="89"/>
        <v>9.2325701996134334E-13</v>
      </c>
      <c r="AL88" s="22">
        <f t="shared" si="58"/>
        <v>1.708394296311803E-12</v>
      </c>
      <c r="AM88" s="62">
        <f t="shared" si="59"/>
        <v>293.33333333333502</v>
      </c>
      <c r="AN88" s="62">
        <f ca="1">AVERAGE(OFFSET($AM$3,0,0,'Données projet'!$E$10+1,1))-AVERAGE(OFFSET($H$3,0,0,'Données projet'!$E$10+1,1))</f>
        <v>95.135996821969457</v>
      </c>
      <c r="AO88" s="62">
        <f t="shared" si="90"/>
        <v>111.83039337220566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3.1263880373444408E-13</v>
      </c>
      <c r="BE88" s="14">
        <f>BD88*VLOOKUP('Données projet'!$B$11,Paramètres!$A$1:$I$88,3,0)*VLOOKUP('Données projet'!$B$11,Paramètres!$A$1:$I$88,5,0)</f>
        <v>2.82875589618925E-13</v>
      </c>
      <c r="BF88" s="14">
        <f t="shared" si="91"/>
        <v>3.7651460236245583E-12</v>
      </c>
      <c r="BG88" s="22">
        <f t="shared" si="61"/>
        <v>7.0503043097323991E-12</v>
      </c>
      <c r="BH88" s="62">
        <f t="shared" si="62"/>
        <v>293.33333333334036</v>
      </c>
      <c r="BI88" s="62">
        <f ca="1">AVERAGE(OFFSET($BH$3,0,0,'Données projet'!$E$11+1,1))-AVERAGE(OFFSET($H$3,0,0,'Données projet'!$E$11+1,1))</f>
        <v>168.44987180339865</v>
      </c>
      <c r="BJ88" s="62">
        <f t="shared" si="92"/>
        <v>375.85422976031748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1.821376126322519</v>
      </c>
      <c r="BR88" s="23">
        <f>EXP(-LN(2)/2)*BR87+(1-EXP(-LN(2)/2))/(LN(2)/2)*BL88*BO88*VLOOKUP('Données projet'!$B$11,Paramètres!$A$1:$I$88,3,0)*0.475*44/12</f>
        <v>1.2593314102156919E-7</v>
      </c>
      <c r="BS88" s="24">
        <f t="shared" si="63"/>
        <v>1.82137625225566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-6.8212102632969618E-13</v>
      </c>
      <c r="O89" s="14">
        <f>N89*VLOOKUP('Données projet'!$B$9,Paramètres!$A$1:$I$88,3,0)*VLOOKUP('Données projet'!$B$9,Paramètres!$A$1:$I$88,5,0)</f>
        <v>-4.0790837374515837E-13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190.92799938679798</v>
      </c>
      <c r="T89" s="62">
        <f t="shared" si="88"/>
        <v>172.54286890368337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4.2151160181127354</v>
      </c>
      <c r="AB89" s="23">
        <f>EXP(-LN(2)/2)*AB88+(1-EXP(-LN(2)/2))/(LN(2)/2)*V89*Y89*VLOOKUP('Données projet'!$B$9,Paramètres!$A$1:$I$88,3,0)*0.475*44/12</f>
        <v>1.4124883405702681E-7</v>
      </c>
      <c r="AC89" s="24">
        <f t="shared" si="57"/>
        <v>4.2151161593615694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projet'!$B$10,Paramètres!$A$1:$I$88,3,0)*VLOOKUP('Données projet'!$B$10,Paramètres!$A$1:$I$88,5,0)</f>
        <v>5.7639226724859328E-14</v>
      </c>
      <c r="AK89" s="14">
        <f t="shared" si="89"/>
        <v>9.2325701996134334E-13</v>
      </c>
      <c r="AL89" s="22">
        <f t="shared" si="58"/>
        <v>1.708394296311803E-12</v>
      </c>
      <c r="AM89" s="62">
        <f t="shared" si="59"/>
        <v>293.33333333333502</v>
      </c>
      <c r="AN89" s="62">
        <f ca="1">AVERAGE(OFFSET($AM$3,0,0,'Données projet'!$E$10+1,1))-AVERAGE(OFFSET($H$3,0,0,'Données projet'!$E$10+1,1))</f>
        <v>95.135996821969457</v>
      </c>
      <c r="AO89" s="62">
        <f t="shared" si="90"/>
        <v>111.83039337220566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3.1263880373444408E-13</v>
      </c>
      <c r="BE89" s="14">
        <f>BD89*VLOOKUP('Données projet'!$B$11,Paramètres!$A$1:$I$88,3,0)*VLOOKUP('Données projet'!$B$11,Paramètres!$A$1:$I$88,5,0)</f>
        <v>2.82875589618925E-13</v>
      </c>
      <c r="BF89" s="14">
        <f t="shared" si="91"/>
        <v>3.7651460236245583E-12</v>
      </c>
      <c r="BG89" s="22">
        <f t="shared" si="61"/>
        <v>7.0503043097323991E-12</v>
      </c>
      <c r="BH89" s="62">
        <f t="shared" si="62"/>
        <v>293.33333333334036</v>
      </c>
      <c r="BI89" s="62">
        <f ca="1">AVERAGE(OFFSET($BH$3,0,0,'Données projet'!$E$11+1,1))-AVERAGE(OFFSET($H$3,0,0,'Données projet'!$E$11+1,1))</f>
        <v>168.44987180339865</v>
      </c>
      <c r="BJ89" s="62">
        <f t="shared" si="92"/>
        <v>375.85422976031748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1.7715705003662221</v>
      </c>
      <c r="BR89" s="23">
        <f>EXP(-LN(2)/2)*BR88+(1-EXP(-LN(2)/2))/(LN(2)/2)*BL89*BO89*VLOOKUP('Données projet'!$B$11,Paramètres!$A$1:$I$88,3,0)*0.475*44/12</f>
        <v>8.9048177992473359E-8</v>
      </c>
      <c r="BS89" s="24">
        <f t="shared" si="63"/>
        <v>1.7715705894144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-6.8212102632969618E-13</v>
      </c>
      <c r="O90" s="14">
        <f>N90*VLOOKUP('Données projet'!$B$9,Paramètres!$A$1:$I$88,3,0)*VLOOKUP('Données projet'!$B$9,Paramètres!$A$1:$I$88,5,0)</f>
        <v>-4.0790837374515837E-13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190.92799938679798</v>
      </c>
      <c r="T90" s="62">
        <f t="shared" si="88"/>
        <v>172.54286890368337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4.099853448934125</v>
      </c>
      <c r="AB90" s="23">
        <f>EXP(-LN(2)/2)*AB89+(1-EXP(-LN(2)/2))/(LN(2)/2)*V90*Y90*VLOOKUP('Données projet'!$B$9,Paramètres!$A$1:$I$88,3,0)*0.475*44/12</f>
        <v>9.9878008396417023E-8</v>
      </c>
      <c r="AC90" s="24">
        <f t="shared" si="57"/>
        <v>4.099853548812133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projet'!$B$10,Paramètres!$A$1:$I$88,3,0)*VLOOKUP('Données projet'!$B$10,Paramètres!$A$1:$I$88,5,0)</f>
        <v>5.7639226724859328E-14</v>
      </c>
      <c r="AK90" s="14">
        <f t="shared" si="89"/>
        <v>9.2325701996134334E-13</v>
      </c>
      <c r="AL90" s="22">
        <f t="shared" si="58"/>
        <v>1.708394296311803E-12</v>
      </c>
      <c r="AM90" s="62">
        <f t="shared" si="59"/>
        <v>293.33333333333502</v>
      </c>
      <c r="AN90" s="62">
        <f ca="1">AVERAGE(OFFSET($AM$3,0,0,'Données projet'!$E$10+1,1))-AVERAGE(OFFSET($H$3,0,0,'Données projet'!$E$10+1,1))</f>
        <v>95.135996821969457</v>
      </c>
      <c r="AO90" s="62">
        <f t="shared" si="90"/>
        <v>111.83039337220566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3.1263880373444408E-13</v>
      </c>
      <c r="BE90" s="14">
        <f>BD90*VLOOKUP('Données projet'!$B$11,Paramètres!$A$1:$I$88,3,0)*VLOOKUP('Données projet'!$B$11,Paramètres!$A$1:$I$88,5,0)</f>
        <v>2.82875589618925E-13</v>
      </c>
      <c r="BF90" s="14">
        <f t="shared" si="91"/>
        <v>3.7651460236245583E-12</v>
      </c>
      <c r="BG90" s="22">
        <f t="shared" si="61"/>
        <v>7.0503043097323991E-12</v>
      </c>
      <c r="BH90" s="62">
        <f t="shared" si="62"/>
        <v>293.33333333334036</v>
      </c>
      <c r="BI90" s="62">
        <f ca="1">AVERAGE(OFFSET($BH$3,0,0,'Données projet'!$E$11+1,1))-AVERAGE(OFFSET($H$3,0,0,'Données projet'!$E$11+1,1))</f>
        <v>168.44987180339865</v>
      </c>
      <c r="BJ90" s="62">
        <f t="shared" si="92"/>
        <v>375.85422976031748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1.723126811870864</v>
      </c>
      <c r="BR90" s="23">
        <f>EXP(-LN(2)/2)*BR89+(1-EXP(-LN(2)/2))/(LN(2)/2)*BL90*BO90*VLOOKUP('Données projet'!$B$11,Paramètres!$A$1:$I$88,3,0)*0.475*44/12</f>
        <v>6.2966570510784597E-8</v>
      </c>
      <c r="BS90" s="24">
        <f t="shared" si="63"/>
        <v>1.7231268748374344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-6.8212102632969618E-13</v>
      </c>
      <c r="O91" s="14">
        <f>N91*VLOOKUP('Données projet'!$B$9,Paramètres!$A$1:$I$88,3,0)*VLOOKUP('Données projet'!$B$9,Paramètres!$A$1:$I$88,5,0)</f>
        <v>-4.0790837374515837E-13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190.92799938679798</v>
      </c>
      <c r="T91" s="62">
        <f t="shared" si="88"/>
        <v>172.54286890368337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3.9877427407710986</v>
      </c>
      <c r="AB91" s="23">
        <f>EXP(-LN(2)/2)*AB90+(1-EXP(-LN(2)/2))/(LN(2)/2)*V91*Y91*VLOOKUP('Données projet'!$B$9,Paramètres!$A$1:$I$88,3,0)*0.475*44/12</f>
        <v>7.0624417028513407E-8</v>
      </c>
      <c r="AC91" s="24">
        <f t="shared" si="57"/>
        <v>3.9877428113955156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projet'!$B$10,Paramètres!$A$1:$I$88,3,0)*VLOOKUP('Données projet'!$B$10,Paramètres!$A$1:$I$88,5,0)</f>
        <v>5.7639226724859328E-14</v>
      </c>
      <c r="AK91" s="14">
        <f t="shared" si="89"/>
        <v>9.2325701996134334E-13</v>
      </c>
      <c r="AL91" s="22">
        <f t="shared" si="58"/>
        <v>1.708394296311803E-12</v>
      </c>
      <c r="AM91" s="62">
        <f t="shared" si="59"/>
        <v>293.33333333333502</v>
      </c>
      <c r="AN91" s="62">
        <f ca="1">AVERAGE(OFFSET($AM$3,0,0,'Données projet'!$E$10+1,1))-AVERAGE(OFFSET($H$3,0,0,'Données projet'!$E$10+1,1))</f>
        <v>95.135996821969457</v>
      </c>
      <c r="AO91" s="62">
        <f t="shared" si="90"/>
        <v>111.83039337220566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3.1263880373444408E-13</v>
      </c>
      <c r="BE91" s="14">
        <f>BD91*VLOOKUP('Données projet'!$B$11,Paramètres!$A$1:$I$88,3,0)*VLOOKUP('Données projet'!$B$11,Paramètres!$A$1:$I$88,5,0)</f>
        <v>2.82875589618925E-13</v>
      </c>
      <c r="BF91" s="14">
        <f t="shared" si="91"/>
        <v>3.7651460236245583E-12</v>
      </c>
      <c r="BG91" s="22">
        <f t="shared" si="61"/>
        <v>7.0503043097323991E-12</v>
      </c>
      <c r="BH91" s="62">
        <f t="shared" si="62"/>
        <v>293.33333333334036</v>
      </c>
      <c r="BI91" s="62">
        <f ca="1">AVERAGE(OFFSET($BH$3,0,0,'Données projet'!$E$11+1,1))-AVERAGE(OFFSET($H$3,0,0,'Données projet'!$E$11+1,1))</f>
        <v>168.44987180339865</v>
      </c>
      <c r="BJ91" s="62">
        <f t="shared" si="92"/>
        <v>375.85422976031748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1.6760078185849545</v>
      </c>
      <c r="BR91" s="23">
        <f>EXP(-LN(2)/2)*BR90+(1-EXP(-LN(2)/2))/(LN(2)/2)*BL91*BO91*VLOOKUP('Données projet'!$B$11,Paramètres!$A$1:$I$88,3,0)*0.475*44/12</f>
        <v>4.452408899623668E-8</v>
      </c>
      <c r="BS91" s="24">
        <f t="shared" si="63"/>
        <v>1.6760078631090436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-6.8212102632969618E-13</v>
      </c>
      <c r="O92" s="14">
        <f>N92*VLOOKUP('Données projet'!$B$9,Paramètres!$A$1:$I$88,3,0)*VLOOKUP('Données projet'!$B$9,Paramètres!$A$1:$I$88,5,0)</f>
        <v>-4.0790837374515837E-13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190.92799938679798</v>
      </c>
      <c r="T92" s="62">
        <f t="shared" si="88"/>
        <v>172.54286890368337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3.8786977058184364</v>
      </c>
      <c r="AB92" s="23">
        <f>EXP(-LN(2)/2)*AB91+(1-EXP(-LN(2)/2))/(LN(2)/2)*V92*Y92*VLOOKUP('Données projet'!$B$9,Paramètres!$A$1:$I$88,3,0)*0.475*44/12</f>
        <v>4.9939004198208511E-8</v>
      </c>
      <c r="AC92" s="24">
        <f t="shared" si="57"/>
        <v>3.8786977557574405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projet'!$B$10,Paramètres!$A$1:$I$88,3,0)*VLOOKUP('Données projet'!$B$10,Paramètres!$A$1:$I$88,5,0)</f>
        <v>5.7639226724859328E-14</v>
      </c>
      <c r="AK92" s="14">
        <f t="shared" si="89"/>
        <v>9.2325701996134334E-13</v>
      </c>
      <c r="AL92" s="22">
        <f t="shared" si="58"/>
        <v>1.708394296311803E-12</v>
      </c>
      <c r="AM92" s="62">
        <f t="shared" si="59"/>
        <v>293.33333333333502</v>
      </c>
      <c r="AN92" s="62">
        <f ca="1">AVERAGE(OFFSET($AM$3,0,0,'Données projet'!$E$10+1,1))-AVERAGE(OFFSET($H$3,0,0,'Données projet'!$E$10+1,1))</f>
        <v>95.135996821969457</v>
      </c>
      <c r="AO92" s="62">
        <f t="shared" si="90"/>
        <v>111.83039337220566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3.1263880373444408E-13</v>
      </c>
      <c r="BE92" s="14">
        <f>BD92*VLOOKUP('Données projet'!$B$11,Paramètres!$A$1:$I$88,3,0)*VLOOKUP('Données projet'!$B$11,Paramètres!$A$1:$I$88,5,0)</f>
        <v>2.82875589618925E-13</v>
      </c>
      <c r="BF92" s="14">
        <f t="shared" si="91"/>
        <v>3.7651460236245583E-12</v>
      </c>
      <c r="BG92" s="22">
        <f t="shared" si="61"/>
        <v>7.0503043097323991E-12</v>
      </c>
      <c r="BH92" s="62">
        <f t="shared" si="62"/>
        <v>293.33333333334036</v>
      </c>
      <c r="BI92" s="62">
        <f ca="1">AVERAGE(OFFSET($BH$3,0,0,'Données projet'!$E$11+1,1))-AVERAGE(OFFSET($H$3,0,0,'Données projet'!$E$11+1,1))</f>
        <v>168.44987180339865</v>
      </c>
      <c r="BJ92" s="62">
        <f t="shared" si="92"/>
        <v>375.85422976031748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1.6301772966483283</v>
      </c>
      <c r="BR92" s="23">
        <f>EXP(-LN(2)/2)*BR91+(1-EXP(-LN(2)/2))/(LN(2)/2)*BL92*BO92*VLOOKUP('Données projet'!$B$11,Paramètres!$A$1:$I$88,3,0)*0.475*44/12</f>
        <v>3.1483285255392298E-8</v>
      </c>
      <c r="BS92" s="24">
        <f t="shared" si="63"/>
        <v>1.6301773281316136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-6.8212102632969618E-13</v>
      </c>
      <c r="O93" s="14">
        <f>N93*VLOOKUP('Données projet'!$B$9,Paramètres!$A$1:$I$88,3,0)*VLOOKUP('Données projet'!$B$9,Paramètres!$A$1:$I$88,5,0)</f>
        <v>-4.0790837374515837E-13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190.92799938679798</v>
      </c>
      <c r="T93" s="62">
        <f t="shared" si="88"/>
        <v>172.54286890368337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3.772634513080984</v>
      </c>
      <c r="AB93" s="23">
        <f>EXP(-LN(2)/2)*AB92+(1-EXP(-LN(2)/2))/(LN(2)/2)*V93*Y93*VLOOKUP('Données projet'!$B$9,Paramètres!$A$1:$I$88,3,0)*0.475*44/12</f>
        <v>3.5312208514256703E-8</v>
      </c>
      <c r="AC93" s="24">
        <f t="shared" si="57"/>
        <v>3.7726345483931927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projet'!$B$10,Paramètres!$A$1:$I$88,3,0)*VLOOKUP('Données projet'!$B$10,Paramètres!$A$1:$I$88,5,0)</f>
        <v>5.7639226724859328E-14</v>
      </c>
      <c r="AK93" s="14">
        <f t="shared" si="89"/>
        <v>9.2325701996134334E-13</v>
      </c>
      <c r="AL93" s="22">
        <f t="shared" si="58"/>
        <v>1.708394296311803E-12</v>
      </c>
      <c r="AM93" s="62">
        <f t="shared" si="59"/>
        <v>293.33333333333502</v>
      </c>
      <c r="AN93" s="62">
        <f ca="1">AVERAGE(OFFSET($AM$3,0,0,'Données projet'!$E$10+1,1))-AVERAGE(OFFSET($H$3,0,0,'Données projet'!$E$10+1,1))</f>
        <v>95.135996821969457</v>
      </c>
      <c r="AO93" s="62">
        <f t="shared" si="90"/>
        <v>111.83039337220566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3.1263880373444408E-13</v>
      </c>
      <c r="BE93" s="14">
        <f>BD93*VLOOKUP('Données projet'!$B$11,Paramètres!$A$1:$I$88,3,0)*VLOOKUP('Données projet'!$B$11,Paramètres!$A$1:$I$88,5,0)</f>
        <v>2.82875589618925E-13</v>
      </c>
      <c r="BF93" s="14">
        <f t="shared" si="91"/>
        <v>3.7651460236245583E-12</v>
      </c>
      <c r="BG93" s="22">
        <f t="shared" si="61"/>
        <v>7.0503043097323991E-12</v>
      </c>
      <c r="BH93" s="62">
        <f t="shared" si="62"/>
        <v>293.33333333334036</v>
      </c>
      <c r="BI93" s="62">
        <f ca="1">AVERAGE(OFFSET($BH$3,0,0,'Données projet'!$E$11+1,1))-AVERAGE(OFFSET($H$3,0,0,'Données projet'!$E$11+1,1))</f>
        <v>168.44987180339865</v>
      </c>
      <c r="BJ93" s="62">
        <f t="shared" si="92"/>
        <v>375.85422976031748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1.5856000127441816</v>
      </c>
      <c r="BR93" s="23">
        <f>EXP(-LN(2)/2)*BR92+(1-EXP(-LN(2)/2))/(LN(2)/2)*BL93*BO93*VLOOKUP('Données projet'!$B$11,Paramètres!$A$1:$I$88,3,0)*0.475*44/12</f>
        <v>2.226204449811834E-8</v>
      </c>
      <c r="BS93" s="24">
        <f t="shared" si="63"/>
        <v>1.585600035006226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-6.8212102632969618E-13</v>
      </c>
      <c r="O94" s="14">
        <f>N94*VLOOKUP('Données projet'!$B$9,Paramètres!$A$1:$I$88,3,0)*VLOOKUP('Données projet'!$B$9,Paramètres!$A$1:$I$88,5,0)</f>
        <v>-4.0790837374515837E-13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190.92799938679798</v>
      </c>
      <c r="T94" s="62">
        <f t="shared" si="88"/>
        <v>172.54286890368337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3.6694716239265577</v>
      </c>
      <c r="AB94" s="23">
        <f>EXP(-LN(2)/2)*AB93+(1-EXP(-LN(2)/2))/(LN(2)/2)*V94*Y94*VLOOKUP('Données projet'!$B$9,Paramètres!$A$1:$I$88,3,0)*0.475*44/12</f>
        <v>2.4969502099104256E-8</v>
      </c>
      <c r="AC94" s="24">
        <f t="shared" si="57"/>
        <v>3.6694716488960597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projet'!$B$10,Paramètres!$A$1:$I$88,3,0)*VLOOKUP('Données projet'!$B$10,Paramètres!$A$1:$I$88,5,0)</f>
        <v>5.7639226724859328E-14</v>
      </c>
      <c r="AK94" s="14">
        <f t="shared" si="89"/>
        <v>9.2325701996134334E-13</v>
      </c>
      <c r="AL94" s="22">
        <f t="shared" si="58"/>
        <v>1.708394296311803E-12</v>
      </c>
      <c r="AM94" s="62">
        <f t="shared" si="59"/>
        <v>293.33333333333502</v>
      </c>
      <c r="AN94" s="62">
        <f ca="1">AVERAGE(OFFSET($AM$3,0,0,'Données projet'!$E$10+1,1))-AVERAGE(OFFSET($H$3,0,0,'Données projet'!$E$10+1,1))</f>
        <v>95.135996821969457</v>
      </c>
      <c r="AO94" s="62">
        <f t="shared" si="90"/>
        <v>111.83039337220566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3.1263880373444408E-13</v>
      </c>
      <c r="BE94" s="14">
        <f>BD94*VLOOKUP('Données projet'!$B$11,Paramètres!$A$1:$I$88,3,0)*VLOOKUP('Données projet'!$B$11,Paramètres!$A$1:$I$88,5,0)</f>
        <v>2.82875589618925E-13</v>
      </c>
      <c r="BF94" s="14">
        <f t="shared" si="91"/>
        <v>3.7651460236245583E-12</v>
      </c>
      <c r="BG94" s="22">
        <f t="shared" si="61"/>
        <v>7.0503043097323991E-12</v>
      </c>
      <c r="BH94" s="62">
        <f t="shared" si="62"/>
        <v>293.33333333334036</v>
      </c>
      <c r="BI94" s="62">
        <f ca="1">AVERAGE(OFFSET($BH$3,0,0,'Données projet'!$E$11+1,1))-AVERAGE(OFFSET($H$3,0,0,'Données projet'!$E$11+1,1))</f>
        <v>168.44987180339865</v>
      </c>
      <c r="BJ94" s="62">
        <f t="shared" si="92"/>
        <v>375.85422976031748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1.5422416970126112</v>
      </c>
      <c r="BR94" s="23">
        <f>EXP(-LN(2)/2)*BR93+(1-EXP(-LN(2)/2))/(LN(2)/2)*BL94*BO94*VLOOKUP('Données projet'!$B$11,Paramètres!$A$1:$I$88,3,0)*0.475*44/12</f>
        <v>1.5741642627696149E-8</v>
      </c>
      <c r="BS94" s="24">
        <f t="shared" si="63"/>
        <v>1.5422417127542538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-6.8212102632969618E-13</v>
      </c>
      <c r="O95" s="14">
        <f>N95*VLOOKUP('Données projet'!$B$9,Paramètres!$A$1:$I$88,3,0)*VLOOKUP('Données projet'!$B$9,Paramètres!$A$1:$I$88,5,0)</f>
        <v>-4.0790837374515837E-13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190.92799938679798</v>
      </c>
      <c r="T95" s="62">
        <f t="shared" si="88"/>
        <v>172.54286890368337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3.5691297294011601</v>
      </c>
      <c r="AB95" s="23">
        <f>EXP(-LN(2)/2)*AB94+(1-EXP(-LN(2)/2))/(LN(2)/2)*V95*Y95*VLOOKUP('Données projet'!$B$9,Paramètres!$A$1:$I$88,3,0)*0.475*44/12</f>
        <v>1.7656104257128352E-8</v>
      </c>
      <c r="AC95" s="24">
        <f t="shared" si="57"/>
        <v>3.5691297470572643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projet'!$B$10,Paramètres!$A$1:$I$88,3,0)*VLOOKUP('Données projet'!$B$10,Paramètres!$A$1:$I$88,5,0)</f>
        <v>5.7639226724859328E-14</v>
      </c>
      <c r="AK95" s="14">
        <f t="shared" si="89"/>
        <v>9.2325701996134334E-13</v>
      </c>
      <c r="AL95" s="22">
        <f t="shared" si="58"/>
        <v>1.708394296311803E-12</v>
      </c>
      <c r="AM95" s="62">
        <f t="shared" si="59"/>
        <v>293.33333333333502</v>
      </c>
      <c r="AN95" s="62">
        <f ca="1">AVERAGE(OFFSET($AM$3,0,0,'Données projet'!$E$10+1,1))-AVERAGE(OFFSET($H$3,0,0,'Données projet'!$E$10+1,1))</f>
        <v>95.135996821969457</v>
      </c>
      <c r="AO95" s="62">
        <f t="shared" si="90"/>
        <v>111.83039337220566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3.1263880373444408E-13</v>
      </c>
      <c r="BE95" s="14">
        <f>BD95*VLOOKUP('Données projet'!$B$11,Paramètres!$A$1:$I$88,3,0)*VLOOKUP('Données projet'!$B$11,Paramètres!$A$1:$I$88,5,0)</f>
        <v>2.82875589618925E-13</v>
      </c>
      <c r="BF95" s="14">
        <f t="shared" si="91"/>
        <v>3.7651460236245583E-12</v>
      </c>
      <c r="BG95" s="22">
        <f t="shared" si="61"/>
        <v>7.0503043097323991E-12</v>
      </c>
      <c r="BH95" s="62">
        <f t="shared" si="62"/>
        <v>293.33333333334036</v>
      </c>
      <c r="BI95" s="62">
        <f ca="1">AVERAGE(OFFSET($BH$3,0,0,'Données projet'!$E$11+1,1))-AVERAGE(OFFSET($H$3,0,0,'Données projet'!$E$11+1,1))</f>
        <v>168.44987180339865</v>
      </c>
      <c r="BJ95" s="62">
        <f t="shared" si="92"/>
        <v>375.85422976031748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1.5000690167048354</v>
      </c>
      <c r="BR95" s="23">
        <f>EXP(-LN(2)/2)*BR94+(1-EXP(-LN(2)/2))/(LN(2)/2)*BL95*BO95*VLOOKUP('Données projet'!$B$11,Paramètres!$A$1:$I$88,3,0)*0.475*44/12</f>
        <v>1.113102224905917E-8</v>
      </c>
      <c r="BS95" s="24">
        <f t="shared" si="63"/>
        <v>1.5000690278358577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-6.8212102632969618E-13</v>
      </c>
      <c r="O96" s="14">
        <f>N96*VLOOKUP('Données projet'!$B$9,Paramètres!$A$1:$I$88,3,0)*VLOOKUP('Données projet'!$B$9,Paramètres!$A$1:$I$88,5,0)</f>
        <v>-4.0790837374515837E-13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190.92799938679798</v>
      </c>
      <c r="T96" s="62">
        <f t="shared" si="88"/>
        <v>172.54286890368337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3.4715316892583101</v>
      </c>
      <c r="AB96" s="23">
        <f>EXP(-LN(2)/2)*AB95+(1-EXP(-LN(2)/2))/(LN(2)/2)*V96*Y96*VLOOKUP('Données projet'!$B$9,Paramètres!$A$1:$I$88,3,0)*0.475*44/12</f>
        <v>1.2484751049552128E-8</v>
      </c>
      <c r="AC96" s="24">
        <f t="shared" si="57"/>
        <v>3.4715317017430611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projet'!$B$10,Paramètres!$A$1:$I$88,3,0)*VLOOKUP('Données projet'!$B$10,Paramètres!$A$1:$I$88,5,0)</f>
        <v>5.7639226724859328E-14</v>
      </c>
      <c r="AK96" s="14">
        <f t="shared" si="89"/>
        <v>9.2325701996134334E-13</v>
      </c>
      <c r="AL96" s="22">
        <f t="shared" si="58"/>
        <v>1.708394296311803E-12</v>
      </c>
      <c r="AM96" s="62">
        <f t="shared" si="59"/>
        <v>293.33333333333502</v>
      </c>
      <c r="AN96" s="62">
        <f ca="1">AVERAGE(OFFSET($AM$3,0,0,'Données projet'!$E$10+1,1))-AVERAGE(OFFSET($H$3,0,0,'Données projet'!$E$10+1,1))</f>
        <v>95.135996821969457</v>
      </c>
      <c r="AO96" s="62">
        <f t="shared" si="90"/>
        <v>111.83039337220566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3.1263880373444408E-13</v>
      </c>
      <c r="BE96" s="14">
        <f>BD96*VLOOKUP('Données projet'!$B$11,Paramètres!$A$1:$I$88,3,0)*VLOOKUP('Données projet'!$B$11,Paramètres!$A$1:$I$88,5,0)</f>
        <v>2.82875589618925E-13</v>
      </c>
      <c r="BF96" s="14">
        <f t="shared" si="91"/>
        <v>3.7651460236245583E-12</v>
      </c>
      <c r="BG96" s="22">
        <f t="shared" si="61"/>
        <v>7.0503043097323991E-12</v>
      </c>
      <c r="BH96" s="62">
        <f t="shared" si="62"/>
        <v>293.33333333334036</v>
      </c>
      <c r="BI96" s="62">
        <f ca="1">AVERAGE(OFFSET($BH$3,0,0,'Données projet'!$E$11+1,1))-AVERAGE(OFFSET($H$3,0,0,'Données projet'!$E$11+1,1))</f>
        <v>168.44987180339865</v>
      </c>
      <c r="BJ96" s="62">
        <f t="shared" si="92"/>
        <v>375.85422976031748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1.4590495505578405</v>
      </c>
      <c r="BR96" s="23">
        <f>EXP(-LN(2)/2)*BR95+(1-EXP(-LN(2)/2))/(LN(2)/2)*BL96*BO96*VLOOKUP('Données projet'!$B$11,Paramètres!$A$1:$I$88,3,0)*0.475*44/12</f>
        <v>7.8708213138480746E-9</v>
      </c>
      <c r="BS96" s="24">
        <f t="shared" si="63"/>
        <v>1.4590495584286618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-6.8212102632969618E-13</v>
      </c>
      <c r="O97" s="14">
        <f>N97*VLOOKUP('Données projet'!$B$9,Paramètres!$A$1:$I$88,3,0)*VLOOKUP('Données projet'!$B$9,Paramètres!$A$1:$I$88,5,0)</f>
        <v>-4.0790837374515837E-13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190.92799938679798</v>
      </c>
      <c r="T97" s="62">
        <f t="shared" si="88"/>
        <v>172.54286890368337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3.3766024726556245</v>
      </c>
      <c r="AB97" s="23">
        <f>EXP(-LN(2)/2)*AB96+(1-EXP(-LN(2)/2))/(LN(2)/2)*V97*Y97*VLOOKUP('Données projet'!$B$9,Paramètres!$A$1:$I$88,3,0)*0.475*44/12</f>
        <v>8.8280521285641759E-9</v>
      </c>
      <c r="AC97" s="24">
        <f t="shared" si="57"/>
        <v>3.3766024814836766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projet'!$B$10,Paramètres!$A$1:$I$88,3,0)*VLOOKUP('Données projet'!$B$10,Paramètres!$A$1:$I$88,5,0)</f>
        <v>5.7639226724859328E-14</v>
      </c>
      <c r="AK97" s="14">
        <f t="shared" si="89"/>
        <v>9.2325701996134334E-13</v>
      </c>
      <c r="AL97" s="22">
        <f t="shared" si="58"/>
        <v>1.708394296311803E-12</v>
      </c>
      <c r="AM97" s="62">
        <f t="shared" si="59"/>
        <v>293.33333333333502</v>
      </c>
      <c r="AN97" s="62">
        <f ca="1">AVERAGE(OFFSET($AM$3,0,0,'Données projet'!$E$10+1,1))-AVERAGE(OFFSET($H$3,0,0,'Données projet'!$E$10+1,1))</f>
        <v>95.135996821969457</v>
      </c>
      <c r="AO97" s="62">
        <f t="shared" si="90"/>
        <v>111.83039337220566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3.1263880373444408E-13</v>
      </c>
      <c r="BE97" s="14">
        <f>BD97*VLOOKUP('Données projet'!$B$11,Paramètres!$A$1:$I$88,3,0)*VLOOKUP('Données projet'!$B$11,Paramètres!$A$1:$I$88,5,0)</f>
        <v>2.82875589618925E-13</v>
      </c>
      <c r="BF97" s="14">
        <f t="shared" si="91"/>
        <v>3.7651460236245583E-12</v>
      </c>
      <c r="BG97" s="22">
        <f t="shared" si="61"/>
        <v>7.0503043097323991E-12</v>
      </c>
      <c r="BH97" s="62">
        <f t="shared" si="62"/>
        <v>293.33333333334036</v>
      </c>
      <c r="BI97" s="62">
        <f ca="1">AVERAGE(OFFSET($BH$3,0,0,'Données projet'!$E$11+1,1))-AVERAGE(OFFSET($H$3,0,0,'Données projet'!$E$11+1,1))</f>
        <v>168.44987180339865</v>
      </c>
      <c r="BJ97" s="62">
        <f t="shared" si="92"/>
        <v>375.85422976031748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1.4191517638697551</v>
      </c>
      <c r="BR97" s="23">
        <f>EXP(-LN(2)/2)*BR96+(1-EXP(-LN(2)/2))/(LN(2)/2)*BL97*BO97*VLOOKUP('Données projet'!$B$11,Paramètres!$A$1:$I$88,3,0)*0.475*44/12</f>
        <v>5.565511124529585E-9</v>
      </c>
      <c r="BS97" s="24">
        <f t="shared" si="63"/>
        <v>1.4191517694352662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-6.8212102632969618E-13</v>
      </c>
      <c r="O98" s="14">
        <f>N98*VLOOKUP('Données projet'!$B$9,Paramètres!$A$1:$I$88,3,0)*VLOOKUP('Données projet'!$B$9,Paramètres!$A$1:$I$88,5,0)</f>
        <v>-4.0790837374515837E-13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190.92799938679798</v>
      </c>
      <c r="T98" s="62">
        <f t="shared" si="88"/>
        <v>172.54286890368337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3.2842691004730495</v>
      </c>
      <c r="AB98" s="23">
        <f>EXP(-LN(2)/2)*AB97+(1-EXP(-LN(2)/2))/(LN(2)/2)*V98*Y98*VLOOKUP('Données projet'!$B$9,Paramètres!$A$1:$I$88,3,0)*0.475*44/12</f>
        <v>6.2423755247760639E-9</v>
      </c>
      <c r="AC98" s="24">
        <f t="shared" si="57"/>
        <v>3.284269106715425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projet'!$B$10,Paramètres!$A$1:$I$88,3,0)*VLOOKUP('Données projet'!$B$10,Paramètres!$A$1:$I$88,5,0)</f>
        <v>5.7639226724859328E-14</v>
      </c>
      <c r="AK98" s="14">
        <f t="shared" si="89"/>
        <v>9.2325701996134334E-13</v>
      </c>
      <c r="AL98" s="22">
        <f t="shared" si="58"/>
        <v>1.708394296311803E-12</v>
      </c>
      <c r="AM98" s="62">
        <f t="shared" si="59"/>
        <v>293.33333333333502</v>
      </c>
      <c r="AN98" s="62">
        <f ca="1">AVERAGE(OFFSET($AM$3,0,0,'Données projet'!$E$10+1,1))-AVERAGE(OFFSET($H$3,0,0,'Données projet'!$E$10+1,1))</f>
        <v>95.135996821969457</v>
      </c>
      <c r="AO98" s="62">
        <f t="shared" si="90"/>
        <v>111.83039337220566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3.1263880373444408E-13</v>
      </c>
      <c r="BE98" s="14">
        <f>BD98*VLOOKUP('Données projet'!$B$11,Paramètres!$A$1:$I$88,3,0)*VLOOKUP('Données projet'!$B$11,Paramètres!$A$1:$I$88,5,0)</f>
        <v>2.82875589618925E-13</v>
      </c>
      <c r="BF98" s="14">
        <f t="shared" si="91"/>
        <v>3.7651460236245583E-12</v>
      </c>
      <c r="BG98" s="22">
        <f t="shared" si="61"/>
        <v>7.0503043097323991E-12</v>
      </c>
      <c r="BH98" s="62">
        <f t="shared" si="62"/>
        <v>293.33333333334036</v>
      </c>
      <c r="BI98" s="62">
        <f ca="1">AVERAGE(OFFSET($BH$3,0,0,'Données projet'!$E$11+1,1))-AVERAGE(OFFSET($H$3,0,0,'Données projet'!$E$11+1,1))</f>
        <v>168.44987180339865</v>
      </c>
      <c r="BJ98" s="62">
        <f t="shared" si="92"/>
        <v>375.85422976031748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1.3803449842567888</v>
      </c>
      <c r="BR98" s="23">
        <f>EXP(-LN(2)/2)*BR97+(1-EXP(-LN(2)/2))/(LN(2)/2)*BL98*BO98*VLOOKUP('Données projet'!$B$11,Paramètres!$A$1:$I$88,3,0)*0.475*44/12</f>
        <v>3.9354106569240373E-9</v>
      </c>
      <c r="BS98" s="24">
        <f t="shared" si="63"/>
        <v>1.3803449881921994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-6.8212102632969618E-13</v>
      </c>
      <c r="O99" s="14">
        <f>N99*VLOOKUP('Données projet'!$B$9,Paramètres!$A$1:$I$88,3,0)*VLOOKUP('Données projet'!$B$9,Paramètres!$A$1:$I$88,5,0)</f>
        <v>-4.0790837374515837E-13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190.92799938679798</v>
      </c>
      <c r="T99" s="62">
        <f t="shared" si="88"/>
        <v>172.54286890368337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3.1944605892084081</v>
      </c>
      <c r="AB99" s="23">
        <f>EXP(-LN(2)/2)*AB98+(1-EXP(-LN(2)/2))/(LN(2)/2)*V99*Y99*VLOOKUP('Données projet'!$B$9,Paramètres!$A$1:$I$88,3,0)*0.475*44/12</f>
        <v>4.4140260642820879E-9</v>
      </c>
      <c r="AC99" s="24">
        <f t="shared" si="57"/>
        <v>3.1944605936224342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projet'!$B$10,Paramètres!$A$1:$I$88,3,0)*VLOOKUP('Données projet'!$B$10,Paramètres!$A$1:$I$88,5,0)</f>
        <v>5.7639226724859328E-14</v>
      </c>
      <c r="AK99" s="14">
        <f t="shared" si="89"/>
        <v>9.2325701996134334E-13</v>
      </c>
      <c r="AL99" s="22">
        <f t="shared" si="58"/>
        <v>1.708394296311803E-12</v>
      </c>
      <c r="AM99" s="62">
        <f t="shared" si="59"/>
        <v>293.33333333333502</v>
      </c>
      <c r="AN99" s="62">
        <f ca="1">AVERAGE(OFFSET($AM$3,0,0,'Données projet'!$E$10+1,1))-AVERAGE(OFFSET($H$3,0,0,'Données projet'!$E$10+1,1))</f>
        <v>95.135996821969457</v>
      </c>
      <c r="AO99" s="62">
        <f t="shared" si="90"/>
        <v>111.83039337220566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3.1263880373444408E-13</v>
      </c>
      <c r="BE99" s="14">
        <f>BD99*VLOOKUP('Données projet'!$B$11,Paramètres!$A$1:$I$88,3,0)*VLOOKUP('Données projet'!$B$11,Paramètres!$A$1:$I$88,5,0)</f>
        <v>2.82875589618925E-13</v>
      </c>
      <c r="BF99" s="14">
        <f t="shared" si="91"/>
        <v>3.7651460236245583E-12</v>
      </c>
      <c r="BG99" s="22">
        <f t="shared" si="61"/>
        <v>7.0503043097323991E-12</v>
      </c>
      <c r="BH99" s="62">
        <f t="shared" si="62"/>
        <v>293.33333333334036</v>
      </c>
      <c r="BI99" s="62">
        <f ca="1">AVERAGE(OFFSET($BH$3,0,0,'Données projet'!$E$11+1,1))-AVERAGE(OFFSET($H$3,0,0,'Données projet'!$E$11+1,1))</f>
        <v>168.44987180339865</v>
      </c>
      <c r="BJ99" s="62">
        <f t="shared" si="92"/>
        <v>375.85422976031748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1.3425993780730989</v>
      </c>
      <c r="BR99" s="23">
        <f>EXP(-LN(2)/2)*BR98+(1-EXP(-LN(2)/2))/(LN(2)/2)*BL99*BO99*VLOOKUP('Données projet'!$B$11,Paramètres!$A$1:$I$88,3,0)*0.475*44/12</f>
        <v>2.7827555622647925E-9</v>
      </c>
      <c r="BS99" s="24">
        <f t="shared" si="63"/>
        <v>1.3425993808558545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-6.8212102632969618E-13</v>
      </c>
      <c r="O100" s="14">
        <f>N100*VLOOKUP('Données projet'!$B$9,Paramètres!$A$1:$I$88,3,0)*VLOOKUP('Données projet'!$B$9,Paramètres!$A$1:$I$88,5,0)</f>
        <v>-4.0790837374515837E-13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190.92799938679798</v>
      </c>
      <c r="T100" s="62">
        <f t="shared" si="88"/>
        <v>172.54286890368337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3.1071078964071228</v>
      </c>
      <c r="AB100" s="23">
        <f>EXP(-LN(2)/2)*AB99+(1-EXP(-LN(2)/2))/(LN(2)/2)*V100*Y100*VLOOKUP('Données projet'!$B$9,Paramètres!$A$1:$I$88,3,0)*0.475*44/12</f>
        <v>3.121187762388032E-9</v>
      </c>
      <c r="AC100" s="24">
        <f t="shared" si="57"/>
        <v>3.1071078995283106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projet'!$B$10,Paramètres!$A$1:$I$88,3,0)*VLOOKUP('Données projet'!$B$10,Paramètres!$A$1:$I$88,5,0)</f>
        <v>5.7639226724859328E-14</v>
      </c>
      <c r="AK100" s="14">
        <f t="shared" si="89"/>
        <v>9.2325701996134334E-13</v>
      </c>
      <c r="AL100" s="22">
        <f t="shared" si="58"/>
        <v>1.708394296311803E-12</v>
      </c>
      <c r="AM100" s="62">
        <f t="shared" si="59"/>
        <v>293.33333333333502</v>
      </c>
      <c r="AN100" s="62">
        <f ca="1">AVERAGE(OFFSET($AM$3,0,0,'Données projet'!$E$10+1,1))-AVERAGE(OFFSET($H$3,0,0,'Données projet'!$E$10+1,1))</f>
        <v>95.135996821969457</v>
      </c>
      <c r="AO100" s="62">
        <f t="shared" si="90"/>
        <v>111.83039337220566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3.1263880373444408E-13</v>
      </c>
      <c r="BE100" s="14">
        <f>BD100*VLOOKUP('Données projet'!$B$11,Paramètres!$A$1:$I$88,3,0)*VLOOKUP('Données projet'!$B$11,Paramètres!$A$1:$I$88,5,0)</f>
        <v>2.82875589618925E-13</v>
      </c>
      <c r="BF100" s="14">
        <f t="shared" si="91"/>
        <v>3.7651460236245583E-12</v>
      </c>
      <c r="BG100" s="22">
        <f t="shared" si="61"/>
        <v>7.0503043097323991E-12</v>
      </c>
      <c r="BH100" s="62">
        <f t="shared" si="62"/>
        <v>293.33333333334036</v>
      </c>
      <c r="BI100" s="62">
        <f ca="1">AVERAGE(OFFSET($BH$3,0,0,'Données projet'!$E$11+1,1))-AVERAGE(OFFSET($H$3,0,0,'Données projet'!$E$11+1,1))</f>
        <v>168.44987180339865</v>
      </c>
      <c r="BJ100" s="62">
        <f t="shared" si="92"/>
        <v>375.85422976031748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1.3058859274754573</v>
      </c>
      <c r="BR100" s="23">
        <f>EXP(-LN(2)/2)*BR99+(1-EXP(-LN(2)/2))/(LN(2)/2)*BL100*BO100*VLOOKUP('Données projet'!$B$11,Paramètres!$A$1:$I$88,3,0)*0.475*44/12</f>
        <v>1.9677053284620186E-9</v>
      </c>
      <c r="BS100" s="24">
        <f t="shared" si="63"/>
        <v>1.3058859294431626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-6.8212102632969618E-13</v>
      </c>
      <c r="O101" s="14">
        <f>N101*VLOOKUP('Données projet'!$B$9,Paramètres!$A$1:$I$88,3,0)*VLOOKUP('Données projet'!$B$9,Paramètres!$A$1:$I$88,5,0)</f>
        <v>-4.0790837374515837E-13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190.92799938679798</v>
      </c>
      <c r="T101" s="62">
        <f t="shared" si="88"/>
        <v>172.54286890368337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3.022143867584167</v>
      </c>
      <c r="AB101" s="23">
        <f>EXP(-LN(2)/2)*AB100+(1-EXP(-LN(2)/2))/(LN(2)/2)*V101*Y101*VLOOKUP('Données projet'!$B$9,Paramètres!$A$1:$I$88,3,0)*0.475*44/12</f>
        <v>2.207013032141044E-9</v>
      </c>
      <c r="AC101" s="24">
        <f t="shared" si="57"/>
        <v>3.0221438697911802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projet'!$B$10,Paramètres!$A$1:$I$88,3,0)*VLOOKUP('Données projet'!$B$10,Paramètres!$A$1:$I$88,5,0)</f>
        <v>5.7639226724859328E-14</v>
      </c>
      <c r="AK101" s="14">
        <f t="shared" si="89"/>
        <v>9.2325701996134334E-13</v>
      </c>
      <c r="AL101" s="22">
        <f t="shared" si="58"/>
        <v>1.708394296311803E-12</v>
      </c>
      <c r="AM101" s="62">
        <f t="shared" si="59"/>
        <v>293.33333333333502</v>
      </c>
      <c r="AN101" s="62">
        <f ca="1">AVERAGE(OFFSET($AM$3,0,0,'Données projet'!$E$10+1,1))-AVERAGE(OFFSET($H$3,0,0,'Données projet'!$E$10+1,1))</f>
        <v>95.135996821969457</v>
      </c>
      <c r="AO101" s="62">
        <f t="shared" si="90"/>
        <v>111.83039337220566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3.1263880373444408E-13</v>
      </c>
      <c r="BE101" s="14">
        <f>BD101*VLOOKUP('Données projet'!$B$11,Paramètres!$A$1:$I$88,3,0)*VLOOKUP('Données projet'!$B$11,Paramètres!$A$1:$I$88,5,0)</f>
        <v>2.82875589618925E-13</v>
      </c>
      <c r="BF101" s="14">
        <f t="shared" si="91"/>
        <v>3.7651460236245583E-12</v>
      </c>
      <c r="BG101" s="22">
        <f t="shared" si="61"/>
        <v>7.0503043097323991E-12</v>
      </c>
      <c r="BH101" s="62">
        <f t="shared" si="62"/>
        <v>293.33333333334036</v>
      </c>
      <c r="BI101" s="62">
        <f ca="1">AVERAGE(OFFSET($BH$3,0,0,'Données projet'!$E$11+1,1))-AVERAGE(OFFSET($H$3,0,0,'Données projet'!$E$11+1,1))</f>
        <v>168.44987180339865</v>
      </c>
      <c r="BJ101" s="62">
        <f t="shared" si="92"/>
        <v>375.85422976031748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1.2701764081150846</v>
      </c>
      <c r="BR101" s="23">
        <f>EXP(-LN(2)/2)*BR100+(1-EXP(-LN(2)/2))/(LN(2)/2)*BL101*BO101*VLOOKUP('Données projet'!$B$11,Paramètres!$A$1:$I$88,3,0)*0.475*44/12</f>
        <v>1.3913777811323962E-9</v>
      </c>
      <c r="BS101" s="24">
        <f t="shared" si="63"/>
        <v>1.2701764095064623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-6.8212102632969618E-13</v>
      </c>
      <c r="O102" s="14">
        <f>N102*VLOOKUP('Données projet'!$B$9,Paramètres!$A$1:$I$88,3,0)*VLOOKUP('Données projet'!$B$9,Paramètres!$A$1:$I$88,5,0)</f>
        <v>-4.0790837374515837E-13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190.92799938679798</v>
      </c>
      <c r="T102" s="62">
        <f t="shared" si="88"/>
        <v>172.54286890368337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2.9395031845974393</v>
      </c>
      <c r="AB102" s="23">
        <f>EXP(-LN(2)/2)*AB101+(1-EXP(-LN(2)/2))/(LN(2)/2)*V102*Y102*VLOOKUP('Données projet'!$B$9,Paramètres!$A$1:$I$88,3,0)*0.475*44/12</f>
        <v>1.560593881194016E-9</v>
      </c>
      <c r="AC102" s="24">
        <f t="shared" si="57"/>
        <v>2.9395031861580332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projet'!$B$10,Paramètres!$A$1:$I$88,3,0)*VLOOKUP('Données projet'!$B$10,Paramètres!$A$1:$I$88,5,0)</f>
        <v>5.7639226724859328E-14</v>
      </c>
      <c r="AK102" s="14">
        <f t="shared" si="89"/>
        <v>9.2325701996134334E-13</v>
      </c>
      <c r="AL102" s="22">
        <f t="shared" si="58"/>
        <v>1.708394296311803E-12</v>
      </c>
      <c r="AM102" s="62">
        <f t="shared" si="59"/>
        <v>293.33333333333502</v>
      </c>
      <c r="AN102" s="62">
        <f ca="1">AVERAGE(OFFSET($AM$3,0,0,'Données projet'!$E$10+1,1))-AVERAGE(OFFSET($H$3,0,0,'Données projet'!$E$10+1,1))</f>
        <v>95.135996821969457</v>
      </c>
      <c r="AO102" s="62">
        <f t="shared" si="90"/>
        <v>111.83039337220566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3.1263880373444408E-13</v>
      </c>
      <c r="BE102" s="14">
        <f>BD102*VLOOKUP('Données projet'!$B$11,Paramètres!$A$1:$I$88,3,0)*VLOOKUP('Données projet'!$B$11,Paramètres!$A$1:$I$88,5,0)</f>
        <v>2.82875589618925E-13</v>
      </c>
      <c r="BF102" s="14">
        <f t="shared" si="91"/>
        <v>3.7651460236245583E-12</v>
      </c>
      <c r="BG102" s="22">
        <f t="shared" si="61"/>
        <v>7.0503043097323991E-12</v>
      </c>
      <c r="BH102" s="62">
        <f t="shared" si="62"/>
        <v>293.33333333334036</v>
      </c>
      <c r="BI102" s="62">
        <f ca="1">AVERAGE(OFFSET($BH$3,0,0,'Données projet'!$E$11+1,1))-AVERAGE(OFFSET($H$3,0,0,'Données projet'!$E$11+1,1))</f>
        <v>168.44987180339865</v>
      </c>
      <c r="BJ102" s="62">
        <f t="shared" si="92"/>
        <v>375.85422976031748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1.2354433674395033</v>
      </c>
      <c r="BR102" s="23">
        <f>EXP(-LN(2)/2)*BR101+(1-EXP(-LN(2)/2))/(LN(2)/2)*BL102*BO102*VLOOKUP('Données projet'!$B$11,Paramètres!$A$1:$I$88,3,0)*0.475*44/12</f>
        <v>9.8385266423100932E-10</v>
      </c>
      <c r="BS102" s="24">
        <f t="shared" si="63"/>
        <v>1.2354433684233559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-6.8212102632969618E-13</v>
      </c>
      <c r="O103" s="14">
        <f>N103*VLOOKUP('Données projet'!$B$9,Paramètres!$A$1:$I$88,3,0)*VLOOKUP('Données projet'!$B$9,Paramètres!$A$1:$I$88,5,0)</f>
        <v>-4.0790837374515837E-13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190.92799938679798</v>
      </c>
      <c r="T103" s="62">
        <f t="shared" si="88"/>
        <v>172.54286890368337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2.859122315432868</v>
      </c>
      <c r="AB103" s="23">
        <f>EXP(-LN(2)/2)*AB102+(1-EXP(-LN(2)/2))/(LN(2)/2)*V103*Y103*VLOOKUP('Données projet'!$B$9,Paramètres!$A$1:$I$88,3,0)*0.475*44/12</f>
        <v>1.103506516070522E-9</v>
      </c>
      <c r="AC103" s="24">
        <f t="shared" si="57"/>
        <v>2.8591223165363746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projet'!$B$10,Paramètres!$A$1:$I$88,3,0)*VLOOKUP('Données projet'!$B$10,Paramètres!$A$1:$I$88,5,0)</f>
        <v>5.7639226724859328E-14</v>
      </c>
      <c r="AK103" s="14">
        <f t="shared" si="89"/>
        <v>9.2325701996134334E-13</v>
      </c>
      <c r="AL103" s="22">
        <f t="shared" si="58"/>
        <v>1.708394296311803E-12</v>
      </c>
      <c r="AM103" s="62">
        <f t="shared" si="59"/>
        <v>293.33333333333502</v>
      </c>
      <c r="AN103" s="62">
        <f ca="1">AVERAGE(OFFSET($AM$3,0,0,'Données projet'!$E$10+1,1))-AVERAGE(OFFSET($H$3,0,0,'Données projet'!$E$10+1,1))</f>
        <v>95.135996821969457</v>
      </c>
      <c r="AO103" s="62">
        <f t="shared" si="90"/>
        <v>111.83039337220566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3.1263880373444408E-13</v>
      </c>
      <c r="BE103" s="14">
        <f>BD103*VLOOKUP('Données projet'!$B$11,Paramètres!$A$1:$I$88,3,0)*VLOOKUP('Données projet'!$B$11,Paramètres!$A$1:$I$88,5,0)</f>
        <v>2.82875589618925E-13</v>
      </c>
      <c r="BF103" s="14">
        <f t="shared" si="91"/>
        <v>3.7651460236245583E-12</v>
      </c>
      <c r="BG103" s="22">
        <f t="shared" si="61"/>
        <v>7.0503043097323991E-12</v>
      </c>
      <c r="BH103" s="62">
        <f t="shared" si="62"/>
        <v>293.33333333334036</v>
      </c>
      <c r="BI103" s="62">
        <f ca="1">AVERAGE(OFFSET($BH$3,0,0,'Données projet'!$E$11+1,1))-AVERAGE(OFFSET($H$3,0,0,'Données projet'!$E$11+1,1))</f>
        <v>168.44987180339865</v>
      </c>
      <c r="BJ103" s="62">
        <f t="shared" si="92"/>
        <v>375.85422976031748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1.201660103587727</v>
      </c>
      <c r="BR103" s="23">
        <f>EXP(-LN(2)/2)*BR102+(1-EXP(-LN(2)/2))/(LN(2)/2)*BL103*BO103*VLOOKUP('Données projet'!$B$11,Paramètres!$A$1:$I$88,3,0)*0.475*44/12</f>
        <v>6.9568889056619812E-10</v>
      </c>
      <c r="BS103" s="24">
        <f t="shared" si="63"/>
        <v>1.2016601042834159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-6.8212102632969618E-13</v>
      </c>
      <c r="O104" s="14">
        <f>N104*VLOOKUP('Données projet'!$B$9,Paramètres!$A$1:$I$88,3,0)*VLOOKUP('Données projet'!$B$9,Paramètres!$A$1:$I$88,5,0)</f>
        <v>-4.0790837374515837E-13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190.92799938679798</v>
      </c>
      <c r="T104" s="62">
        <f t="shared" si="88"/>
        <v>172.54286890368337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2.7809394653626485</v>
      </c>
      <c r="AB104" s="23">
        <f>EXP(-LN(2)/2)*AB103+(1-EXP(-LN(2)/2))/(LN(2)/2)*V104*Y104*VLOOKUP('Données projet'!$B$9,Paramètres!$A$1:$I$88,3,0)*0.475*44/12</f>
        <v>7.8029694059700799E-10</v>
      </c>
      <c r="AC104" s="24">
        <f t="shared" si="57"/>
        <v>2.7809394661429456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projet'!$B$10,Paramètres!$A$1:$I$88,3,0)*VLOOKUP('Données projet'!$B$10,Paramètres!$A$1:$I$88,5,0)</f>
        <v>5.7639226724859328E-14</v>
      </c>
      <c r="AK104" s="14">
        <f t="shared" si="89"/>
        <v>9.2325701996134334E-13</v>
      </c>
      <c r="AL104" s="22">
        <f t="shared" si="58"/>
        <v>1.708394296311803E-12</v>
      </c>
      <c r="AM104" s="62">
        <f t="shared" si="59"/>
        <v>293.33333333333502</v>
      </c>
      <c r="AN104" s="62">
        <f ca="1">AVERAGE(OFFSET($AM$3,0,0,'Données projet'!$E$10+1,1))-AVERAGE(OFFSET($H$3,0,0,'Données projet'!$E$10+1,1))</f>
        <v>95.135996821969457</v>
      </c>
      <c r="AO104" s="62">
        <f t="shared" si="90"/>
        <v>111.83039337220566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3.1263880373444408E-13</v>
      </c>
      <c r="BE104" s="14">
        <f>BD104*VLOOKUP('Données projet'!$B$11,Paramètres!$A$1:$I$88,3,0)*VLOOKUP('Données projet'!$B$11,Paramètres!$A$1:$I$88,5,0)</f>
        <v>2.82875589618925E-13</v>
      </c>
      <c r="BF104" s="14">
        <f t="shared" si="91"/>
        <v>3.7651460236245583E-12</v>
      </c>
      <c r="BG104" s="22">
        <f t="shared" si="61"/>
        <v>7.0503043097323991E-12</v>
      </c>
      <c r="BH104" s="62">
        <f t="shared" si="62"/>
        <v>293.33333333334036</v>
      </c>
      <c r="BI104" s="62">
        <f ca="1">AVERAGE(OFFSET($BH$3,0,0,'Données projet'!$E$11+1,1))-AVERAGE(OFFSET($H$3,0,0,'Données projet'!$E$11+1,1))</f>
        <v>168.44987180339865</v>
      </c>
      <c r="BJ104" s="62">
        <f t="shared" si="92"/>
        <v>375.85422976031748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1.1688006448625623</v>
      </c>
      <c r="BR104" s="23">
        <f>EXP(-LN(2)/2)*BR103+(1-EXP(-LN(2)/2))/(LN(2)/2)*BL104*BO104*VLOOKUP('Données projet'!$B$11,Paramètres!$A$1:$I$88,3,0)*0.475*44/12</f>
        <v>4.9192633211550466E-10</v>
      </c>
      <c r="BS104" s="24">
        <f t="shared" si="63"/>
        <v>1.1688006453544886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-6.8212102632969618E-13</v>
      </c>
      <c r="O105" s="14">
        <f>N105*VLOOKUP('Données projet'!$B$9,Paramètres!$A$1:$I$88,3,0)*VLOOKUP('Données projet'!$B$9,Paramètres!$A$1:$I$88,5,0)</f>
        <v>-4.0790837374515837E-13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190.92799938679798</v>
      </c>
      <c r="T105" s="62">
        <f t="shared" si="88"/>
        <v>172.54286890368337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2.7048945294390565</v>
      </c>
      <c r="AB105" s="23">
        <f>EXP(-LN(2)/2)*AB104+(1-EXP(-LN(2)/2))/(LN(2)/2)*V105*Y105*VLOOKUP('Données projet'!$B$9,Paramètres!$A$1:$I$88,3,0)*0.475*44/12</f>
        <v>5.5175325803526099E-10</v>
      </c>
      <c r="AC105" s="24">
        <f t="shared" si="57"/>
        <v>2.7048945299908098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projet'!$B$10,Paramètres!$A$1:$I$88,3,0)*VLOOKUP('Données projet'!$B$10,Paramètres!$A$1:$I$88,5,0)</f>
        <v>5.7639226724859328E-14</v>
      </c>
      <c r="AK105" s="14">
        <f t="shared" si="89"/>
        <v>9.2325701996134334E-13</v>
      </c>
      <c r="AL105" s="22">
        <f t="shared" si="58"/>
        <v>1.708394296311803E-12</v>
      </c>
      <c r="AM105" s="62">
        <f t="shared" si="59"/>
        <v>293.33333333333502</v>
      </c>
      <c r="AN105" s="62">
        <f ca="1">AVERAGE(OFFSET($AM$3,0,0,'Données projet'!$E$10+1,1))-AVERAGE(OFFSET($H$3,0,0,'Données projet'!$E$10+1,1))</f>
        <v>95.135996821969457</v>
      </c>
      <c r="AO105" s="62">
        <f t="shared" si="90"/>
        <v>111.83039337220566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3.1263880373444408E-13</v>
      </c>
      <c r="BE105" s="14">
        <f>BD105*VLOOKUP('Données projet'!$B$11,Paramètres!$A$1:$I$88,3,0)*VLOOKUP('Données projet'!$B$11,Paramètres!$A$1:$I$88,5,0)</f>
        <v>2.82875589618925E-13</v>
      </c>
      <c r="BF105" s="14">
        <f t="shared" si="91"/>
        <v>3.7651460236245583E-12</v>
      </c>
      <c r="BG105" s="22">
        <f t="shared" si="61"/>
        <v>7.0503043097323991E-12</v>
      </c>
      <c r="BH105" s="62">
        <f t="shared" si="62"/>
        <v>293.33333333334036</v>
      </c>
      <c r="BI105" s="62">
        <f ca="1">AVERAGE(OFFSET($BH$3,0,0,'Données projet'!$E$11+1,1))-AVERAGE(OFFSET($H$3,0,0,'Données projet'!$E$11+1,1))</f>
        <v>168.44987180339865</v>
      </c>
      <c r="BJ105" s="62">
        <f t="shared" si="92"/>
        <v>375.85422976031748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1.136839729764241</v>
      </c>
      <c r="BR105" s="23">
        <f>EXP(-LN(2)/2)*BR104+(1-EXP(-LN(2)/2))/(LN(2)/2)*BL105*BO105*VLOOKUP('Données projet'!$B$11,Paramètres!$A$1:$I$88,3,0)*0.475*44/12</f>
        <v>3.4784444528309906E-10</v>
      </c>
      <c r="BS105" s="24">
        <f t="shared" si="63"/>
        <v>1.1368397301120854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-6.8212102632969618E-13</v>
      </c>
      <c r="O106" s="14">
        <f>N106*VLOOKUP('Données projet'!$B$9,Paramètres!$A$1:$I$88,3,0)*VLOOKUP('Données projet'!$B$9,Paramètres!$A$1:$I$88,5,0)</f>
        <v>-4.0790837374515837E-13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190.92799938679798</v>
      </c>
      <c r="T106" s="62">
        <f t="shared" si="88"/>
        <v>172.54286890368337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2.6309290462873243</v>
      </c>
      <c r="AB106" s="23">
        <f>EXP(-LN(2)/2)*AB105+(1-EXP(-LN(2)/2))/(LN(2)/2)*V106*Y106*VLOOKUP('Données projet'!$B$9,Paramètres!$A$1:$I$88,3,0)*0.475*44/12</f>
        <v>3.90148470298504E-10</v>
      </c>
      <c r="AC106" s="24">
        <f t="shared" si="57"/>
        <v>2.6309290466774726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projet'!$B$10,Paramètres!$A$1:$I$88,3,0)*VLOOKUP('Données projet'!$B$10,Paramètres!$A$1:$I$88,5,0)</f>
        <v>5.7639226724859328E-14</v>
      </c>
      <c r="AK106" s="14">
        <f t="shared" si="89"/>
        <v>9.2325701996134334E-13</v>
      </c>
      <c r="AL106" s="22">
        <f t="shared" si="58"/>
        <v>1.708394296311803E-12</v>
      </c>
      <c r="AM106" s="62">
        <f t="shared" si="59"/>
        <v>293.33333333333502</v>
      </c>
      <c r="AN106" s="62">
        <f ca="1">AVERAGE(OFFSET($AM$3,0,0,'Données projet'!$E$10+1,1))-AVERAGE(OFFSET($H$3,0,0,'Données projet'!$E$10+1,1))</f>
        <v>95.135996821969457</v>
      </c>
      <c r="AO106" s="62">
        <f t="shared" si="90"/>
        <v>111.83039337220566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3.1263880373444408E-13</v>
      </c>
      <c r="BE106" s="14">
        <f>BD106*VLOOKUP('Données projet'!$B$11,Paramètres!$A$1:$I$88,3,0)*VLOOKUP('Données projet'!$B$11,Paramètres!$A$1:$I$88,5,0)</f>
        <v>2.82875589618925E-13</v>
      </c>
      <c r="BF106" s="14">
        <f t="shared" si="91"/>
        <v>3.7651460236245583E-12</v>
      </c>
      <c r="BG106" s="22">
        <f t="shared" si="61"/>
        <v>7.0503043097323991E-12</v>
      </c>
      <c r="BH106" s="62">
        <f t="shared" si="62"/>
        <v>293.33333333334036</v>
      </c>
      <c r="BI106" s="62">
        <f ca="1">AVERAGE(OFFSET($BH$3,0,0,'Données projet'!$E$11+1,1))-AVERAGE(OFFSET($H$3,0,0,'Données projet'!$E$11+1,1))</f>
        <v>168.44987180339865</v>
      </c>
      <c r="BJ106" s="62">
        <f t="shared" si="92"/>
        <v>375.85422976031748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1.1057527875700346</v>
      </c>
      <c r="BR106" s="23">
        <f>EXP(-LN(2)/2)*BR105+(1-EXP(-LN(2)/2))/(LN(2)/2)*BL106*BO106*VLOOKUP('Données projet'!$B$11,Paramètres!$A$1:$I$88,3,0)*0.475*44/12</f>
        <v>2.4596316605775233E-10</v>
      </c>
      <c r="BS106" s="24">
        <f t="shared" si="63"/>
        <v>1.1057527878159978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-6.8212102632969618E-13</v>
      </c>
      <c r="O107" s="14">
        <f>N107*VLOOKUP('Données projet'!$B$9,Paramètres!$A$1:$I$88,3,0)*VLOOKUP('Données projet'!$B$9,Paramètres!$A$1:$I$88,5,0)</f>
        <v>-4.0790837374515837E-13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190.92799938679798</v>
      </c>
      <c r="T107" s="62">
        <f t="shared" si="88"/>
        <v>172.54286890368337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2.5589861531620519</v>
      </c>
      <c r="AB107" s="23">
        <f>EXP(-LN(2)/2)*AB106+(1-EXP(-LN(2)/2))/(LN(2)/2)*V107*Y107*VLOOKUP('Données projet'!$B$9,Paramètres!$A$1:$I$88,3,0)*0.475*44/12</f>
        <v>2.758766290176305E-10</v>
      </c>
      <c r="AC107" s="24">
        <f t="shared" si="57"/>
        <v>2.5589861534379286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projet'!$B$10,Paramètres!$A$1:$I$88,3,0)*VLOOKUP('Données projet'!$B$10,Paramètres!$A$1:$I$88,5,0)</f>
        <v>5.7639226724859328E-14</v>
      </c>
      <c r="AK107" s="14">
        <f t="shared" si="89"/>
        <v>9.2325701996134334E-13</v>
      </c>
      <c r="AL107" s="22">
        <f t="shared" si="58"/>
        <v>1.708394296311803E-12</v>
      </c>
      <c r="AM107" s="62">
        <f t="shared" si="59"/>
        <v>293.33333333333502</v>
      </c>
      <c r="AN107" s="62">
        <f ca="1">AVERAGE(OFFSET($AM$3,0,0,'Données projet'!$E$10+1,1))-AVERAGE(OFFSET($H$3,0,0,'Données projet'!$E$10+1,1))</f>
        <v>95.135996821969457</v>
      </c>
      <c r="AO107" s="62">
        <f t="shared" si="90"/>
        <v>111.83039337220566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3.1263880373444408E-13</v>
      </c>
      <c r="BE107" s="14">
        <f>BD107*VLOOKUP('Données projet'!$B$11,Paramètres!$A$1:$I$88,3,0)*VLOOKUP('Données projet'!$B$11,Paramètres!$A$1:$I$88,5,0)</f>
        <v>2.82875589618925E-13</v>
      </c>
      <c r="BF107" s="14">
        <f t="shared" si="91"/>
        <v>3.7651460236245583E-12</v>
      </c>
      <c r="BG107" s="22">
        <f t="shared" si="61"/>
        <v>7.0503043097323991E-12</v>
      </c>
      <c r="BH107" s="62">
        <f t="shared" si="62"/>
        <v>293.33333333334036</v>
      </c>
      <c r="BI107" s="62">
        <f ca="1">AVERAGE(OFFSET($BH$3,0,0,'Données projet'!$E$11+1,1))-AVERAGE(OFFSET($H$3,0,0,'Données projet'!$E$11+1,1))</f>
        <v>168.44987180339865</v>
      </c>
      <c r="BJ107" s="62">
        <f t="shared" si="92"/>
        <v>375.85422976031748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1.0755159194449202</v>
      </c>
      <c r="BR107" s="23">
        <f>EXP(-LN(2)/2)*BR106+(1-EXP(-LN(2)/2))/(LN(2)/2)*BL107*BO107*VLOOKUP('Données projet'!$B$11,Paramètres!$A$1:$I$88,3,0)*0.475*44/12</f>
        <v>1.7392222264154953E-10</v>
      </c>
      <c r="BS107" s="24">
        <f t="shared" si="63"/>
        <v>1.0755159196188424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-6.8212102632969618E-13</v>
      </c>
      <c r="O108" s="14">
        <f>N108*VLOOKUP('Données projet'!$B$9,Paramètres!$A$1:$I$88,3,0)*VLOOKUP('Données projet'!$B$9,Paramètres!$A$1:$I$88,5,0)</f>
        <v>-4.0790837374515837E-13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190.92799938679798</v>
      </c>
      <c r="T108" s="62">
        <f t="shared" si="88"/>
        <v>172.54286890368337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2.4890105422326023</v>
      </c>
      <c r="AB108" s="23">
        <f>EXP(-LN(2)/2)*AB107+(1-EXP(-LN(2)/2))/(LN(2)/2)*V108*Y108*VLOOKUP('Données projet'!$B$9,Paramètres!$A$1:$I$88,3,0)*0.475*44/12</f>
        <v>1.95074235149252E-10</v>
      </c>
      <c r="AC108" s="24">
        <f t="shared" si="57"/>
        <v>2.4890105424276765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projet'!$B$10,Paramètres!$A$1:$I$88,3,0)*VLOOKUP('Données projet'!$B$10,Paramètres!$A$1:$I$88,5,0)</f>
        <v>5.7639226724859328E-14</v>
      </c>
      <c r="AK108" s="14">
        <f t="shared" si="89"/>
        <v>9.2325701996134334E-13</v>
      </c>
      <c r="AL108" s="22">
        <f t="shared" si="58"/>
        <v>1.708394296311803E-12</v>
      </c>
      <c r="AM108" s="62">
        <f t="shared" si="59"/>
        <v>293.33333333333502</v>
      </c>
      <c r="AN108" s="62">
        <f ca="1">AVERAGE(OFFSET($AM$3,0,0,'Données projet'!$E$10+1,1))-AVERAGE(OFFSET($H$3,0,0,'Données projet'!$E$10+1,1))</f>
        <v>95.135996821969457</v>
      </c>
      <c r="AO108" s="62">
        <f t="shared" si="90"/>
        <v>111.83039337220566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3.1263880373444408E-13</v>
      </c>
      <c r="BE108" s="14">
        <f>BD108*VLOOKUP('Données projet'!$B$11,Paramètres!$A$1:$I$88,3,0)*VLOOKUP('Données projet'!$B$11,Paramètres!$A$1:$I$88,5,0)</f>
        <v>2.82875589618925E-13</v>
      </c>
      <c r="BF108" s="14">
        <f t="shared" si="91"/>
        <v>3.7651460236245583E-12</v>
      </c>
      <c r="BG108" s="22">
        <f t="shared" si="61"/>
        <v>7.0503043097323991E-12</v>
      </c>
      <c r="BH108" s="62">
        <f t="shared" si="62"/>
        <v>293.33333333334036</v>
      </c>
      <c r="BI108" s="62">
        <f ca="1">AVERAGE(OFFSET($BH$3,0,0,'Données projet'!$E$11+1,1))-AVERAGE(OFFSET($H$3,0,0,'Données projet'!$E$11+1,1))</f>
        <v>168.44987180339865</v>
      </c>
      <c r="BJ108" s="62">
        <f t="shared" si="92"/>
        <v>375.85422976031748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1.0461058800687748</v>
      </c>
      <c r="BR108" s="23">
        <f>EXP(-LN(2)/2)*BR107+(1-EXP(-LN(2)/2))/(LN(2)/2)*BL108*BO108*VLOOKUP('Données projet'!$B$11,Paramètres!$A$1:$I$88,3,0)*0.475*44/12</f>
        <v>1.2298158302887617E-10</v>
      </c>
      <c r="BS108" s="24">
        <f t="shared" si="63"/>
        <v>1.0461058801917564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-6.8212102632969618E-13</v>
      </c>
      <c r="O109" s="14">
        <f>N109*VLOOKUP('Données projet'!$B$9,Paramètres!$A$1:$I$88,3,0)*VLOOKUP('Données projet'!$B$9,Paramètres!$A$1:$I$88,5,0)</f>
        <v>-4.0790837374515837E-13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190.92799938679798</v>
      </c>
      <c r="T109" s="62">
        <f t="shared" si="88"/>
        <v>172.54286890368337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2.4209484180638761</v>
      </c>
      <c r="AB109" s="23">
        <f>EXP(-LN(2)/2)*AB108+(1-EXP(-LN(2)/2))/(LN(2)/2)*V109*Y109*VLOOKUP('Données projet'!$B$9,Paramètres!$A$1:$I$88,3,0)*0.475*44/12</f>
        <v>1.3793831450881525E-10</v>
      </c>
      <c r="AC109" s="24">
        <f t="shared" si="57"/>
        <v>2.4209484182018142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projet'!$B$10,Paramètres!$A$1:$I$88,3,0)*VLOOKUP('Données projet'!$B$10,Paramètres!$A$1:$I$88,5,0)</f>
        <v>5.7639226724859328E-14</v>
      </c>
      <c r="AK109" s="14">
        <f t="shared" si="89"/>
        <v>9.2325701996134334E-13</v>
      </c>
      <c r="AL109" s="22">
        <f t="shared" si="58"/>
        <v>1.708394296311803E-12</v>
      </c>
      <c r="AM109" s="62">
        <f t="shared" si="59"/>
        <v>293.33333333333502</v>
      </c>
      <c r="AN109" s="62">
        <f ca="1">AVERAGE(OFFSET($AM$3,0,0,'Données projet'!$E$10+1,1))-AVERAGE(OFFSET($H$3,0,0,'Données projet'!$E$10+1,1))</f>
        <v>95.135996821969457</v>
      </c>
      <c r="AO109" s="62">
        <f t="shared" si="90"/>
        <v>111.83039337220566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3.1263880373444408E-13</v>
      </c>
      <c r="BE109" s="14">
        <f>BD109*VLOOKUP('Données projet'!$B$11,Paramètres!$A$1:$I$88,3,0)*VLOOKUP('Données projet'!$B$11,Paramètres!$A$1:$I$88,5,0)</f>
        <v>2.82875589618925E-13</v>
      </c>
      <c r="BF109" s="14">
        <f t="shared" si="91"/>
        <v>3.7651460236245583E-12</v>
      </c>
      <c r="BG109" s="22">
        <f t="shared" si="61"/>
        <v>7.0503043097323991E-12</v>
      </c>
      <c r="BH109" s="62">
        <f t="shared" si="62"/>
        <v>293.33333333334036</v>
      </c>
      <c r="BI109" s="62">
        <f ca="1">AVERAGE(OFFSET($BH$3,0,0,'Données projet'!$E$11+1,1))-AVERAGE(OFFSET($H$3,0,0,'Données projet'!$E$11+1,1))</f>
        <v>168.44987180339865</v>
      </c>
      <c r="BJ109" s="62">
        <f t="shared" si="92"/>
        <v>375.85422976031748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1.0175000597659769</v>
      </c>
      <c r="BR109" s="23">
        <f>EXP(-LN(2)/2)*BR108+(1-EXP(-LN(2)/2))/(LN(2)/2)*BL109*BO109*VLOOKUP('Données projet'!$B$11,Paramètres!$A$1:$I$88,3,0)*0.475*44/12</f>
        <v>8.6961111320774765E-11</v>
      </c>
      <c r="BS109" s="24">
        <f t="shared" si="63"/>
        <v>1.017500059852938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-6.8212102632969618E-13</v>
      </c>
      <c r="O110" s="14">
        <f>N110*VLOOKUP('Données projet'!$B$9,Paramètres!$A$1:$I$88,3,0)*VLOOKUP('Données projet'!$B$9,Paramètres!$A$1:$I$88,5,0)</f>
        <v>-4.0790837374515837E-13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190.92799938679798</v>
      </c>
      <c r="T110" s="62">
        <f t="shared" si="88"/>
        <v>172.54286890368337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2.354747456259775</v>
      </c>
      <c r="AB110" s="23">
        <f>EXP(-LN(2)/2)*AB109+(1-EXP(-LN(2)/2))/(LN(2)/2)*V110*Y110*VLOOKUP('Données projet'!$B$9,Paramètres!$A$1:$I$88,3,0)*0.475*44/12</f>
        <v>9.7537117574625999E-11</v>
      </c>
      <c r="AC110" s="24">
        <f t="shared" si="57"/>
        <v>2.3547474563573121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projet'!$B$10,Paramètres!$A$1:$I$88,3,0)*VLOOKUP('Données projet'!$B$10,Paramètres!$A$1:$I$88,5,0)</f>
        <v>5.7639226724859328E-14</v>
      </c>
      <c r="AK110" s="14">
        <f t="shared" si="89"/>
        <v>9.2325701996134334E-13</v>
      </c>
      <c r="AL110" s="22">
        <f t="shared" si="58"/>
        <v>1.708394296311803E-12</v>
      </c>
      <c r="AM110" s="62">
        <f t="shared" si="59"/>
        <v>293.33333333333502</v>
      </c>
      <c r="AN110" s="62">
        <f ca="1">AVERAGE(OFFSET($AM$3,0,0,'Données projet'!$E$10+1,1))-AVERAGE(OFFSET($H$3,0,0,'Données projet'!$E$10+1,1))</f>
        <v>95.135996821969457</v>
      </c>
      <c r="AO110" s="62">
        <f t="shared" si="90"/>
        <v>111.83039337220566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3.1263880373444408E-13</v>
      </c>
      <c r="BE110" s="14">
        <f>BD110*VLOOKUP('Données projet'!$B$11,Paramètres!$A$1:$I$88,3,0)*VLOOKUP('Données projet'!$B$11,Paramètres!$A$1:$I$88,5,0)</f>
        <v>2.82875589618925E-13</v>
      </c>
      <c r="BF110" s="14">
        <f t="shared" si="91"/>
        <v>3.7651460236245583E-12</v>
      </c>
      <c r="BG110" s="22">
        <f t="shared" si="61"/>
        <v>7.0503043097323991E-12</v>
      </c>
      <c r="BH110" s="62">
        <f t="shared" si="62"/>
        <v>293.33333333334036</v>
      </c>
      <c r="BI110" s="62">
        <f ca="1">AVERAGE(OFFSET($BH$3,0,0,'Données projet'!$E$11+1,1))-AVERAGE(OFFSET($H$3,0,0,'Données projet'!$E$11+1,1))</f>
        <v>168.44987180339865</v>
      </c>
      <c r="BJ110" s="62">
        <f t="shared" si="92"/>
        <v>375.85422976031748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0.98967646712367363</v>
      </c>
      <c r="BR110" s="23">
        <f>EXP(-LN(2)/2)*BR109+(1-EXP(-LN(2)/2))/(LN(2)/2)*BL110*BO110*VLOOKUP('Données projet'!$B$11,Paramètres!$A$1:$I$88,3,0)*0.475*44/12</f>
        <v>6.1490791514438083E-11</v>
      </c>
      <c r="BS110" s="24">
        <f t="shared" si="63"/>
        <v>0.98967646718516444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-6.8212102632969618E-13</v>
      </c>
      <c r="O111" s="14">
        <f>N111*VLOOKUP('Données projet'!$B$9,Paramètres!$A$1:$I$88,3,0)*VLOOKUP('Données projet'!$B$9,Paramètres!$A$1:$I$88,5,0)</f>
        <v>-4.0790837374515837E-13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190.92799938679798</v>
      </c>
      <c r="T111" s="62">
        <f t="shared" si="88"/>
        <v>172.54286890368337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2.2903567632375648</v>
      </c>
      <c r="AB111" s="23">
        <f>EXP(-LN(2)/2)*AB110+(1-EXP(-LN(2)/2))/(LN(2)/2)*V111*Y111*VLOOKUP('Données projet'!$B$9,Paramètres!$A$1:$I$88,3,0)*0.475*44/12</f>
        <v>6.8969157254407624E-11</v>
      </c>
      <c r="AC111" s="24">
        <f t="shared" si="57"/>
        <v>2.290356763306534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projet'!$B$10,Paramètres!$A$1:$I$88,3,0)*VLOOKUP('Données projet'!$B$10,Paramètres!$A$1:$I$88,5,0)</f>
        <v>5.7639226724859328E-14</v>
      </c>
      <c r="AK111" s="14">
        <f t="shared" si="89"/>
        <v>9.2325701996134334E-13</v>
      </c>
      <c r="AL111" s="22">
        <f t="shared" si="58"/>
        <v>1.708394296311803E-12</v>
      </c>
      <c r="AM111" s="62">
        <f t="shared" si="59"/>
        <v>293.33333333333502</v>
      </c>
      <c r="AN111" s="62">
        <f ca="1">AVERAGE(OFFSET($AM$3,0,0,'Données projet'!$E$10+1,1))-AVERAGE(OFFSET($H$3,0,0,'Données projet'!$E$10+1,1))</f>
        <v>95.135996821969457</v>
      </c>
      <c r="AO111" s="62">
        <f t="shared" si="90"/>
        <v>111.83039337220566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3.1263880373444408E-13</v>
      </c>
      <c r="BE111" s="14">
        <f>BD111*VLOOKUP('Données projet'!$B$11,Paramètres!$A$1:$I$88,3,0)*VLOOKUP('Données projet'!$B$11,Paramètres!$A$1:$I$88,5,0)</f>
        <v>2.82875589618925E-13</v>
      </c>
      <c r="BF111" s="14">
        <f t="shared" si="91"/>
        <v>3.7651460236245583E-12</v>
      </c>
      <c r="BG111" s="22">
        <f t="shared" si="61"/>
        <v>7.0503043097323991E-12</v>
      </c>
      <c r="BH111" s="62">
        <f t="shared" si="62"/>
        <v>293.33333333334036</v>
      </c>
      <c r="BI111" s="62">
        <f ca="1">AVERAGE(OFFSET($BH$3,0,0,'Données projet'!$E$11+1,1))-AVERAGE(OFFSET($H$3,0,0,'Données projet'!$E$11+1,1))</f>
        <v>168.44987180339865</v>
      </c>
      <c r="BJ111" s="62">
        <f t="shared" si="92"/>
        <v>375.85422976031748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0.96261371208535329</v>
      </c>
      <c r="BR111" s="23">
        <f>EXP(-LN(2)/2)*BR110+(1-EXP(-LN(2)/2))/(LN(2)/2)*BL111*BO111*VLOOKUP('Données projet'!$B$11,Paramètres!$A$1:$I$88,3,0)*0.475*44/12</f>
        <v>4.3480555660387383E-11</v>
      </c>
      <c r="BS111" s="24">
        <f t="shared" si="63"/>
        <v>0.96261371212883384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-6.8212102632969618E-13</v>
      </c>
      <c r="O112" s="14">
        <f>N112*VLOOKUP('Données projet'!$B$9,Paramètres!$A$1:$I$88,3,0)*VLOOKUP('Données projet'!$B$9,Paramètres!$A$1:$I$88,5,0)</f>
        <v>-4.0790837374515837E-13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190.92799938679798</v>
      </c>
      <c r="T112" s="62">
        <f t="shared" si="88"/>
        <v>172.54286890368337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2.2277268371022059</v>
      </c>
      <c r="AB112" s="23">
        <f>EXP(-LN(2)/2)*AB111+(1-EXP(-LN(2)/2))/(LN(2)/2)*V112*Y112*VLOOKUP('Données projet'!$B$9,Paramètres!$A$1:$I$88,3,0)*0.475*44/12</f>
        <v>4.8768558787312999E-11</v>
      </c>
      <c r="AC112" s="24">
        <f t="shared" si="57"/>
        <v>2.2277268371509744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projet'!$B$10,Paramètres!$A$1:$I$88,3,0)*VLOOKUP('Données projet'!$B$10,Paramètres!$A$1:$I$88,5,0)</f>
        <v>5.7639226724859328E-14</v>
      </c>
      <c r="AK112" s="14">
        <f t="shared" si="89"/>
        <v>9.2325701996134334E-13</v>
      </c>
      <c r="AL112" s="22">
        <f t="shared" si="58"/>
        <v>1.708394296311803E-12</v>
      </c>
      <c r="AM112" s="62">
        <f t="shared" si="59"/>
        <v>293.33333333333502</v>
      </c>
      <c r="AN112" s="62">
        <f ca="1">AVERAGE(OFFSET($AM$3,0,0,'Données projet'!$E$10+1,1))-AVERAGE(OFFSET($H$3,0,0,'Données projet'!$E$10+1,1))</f>
        <v>95.135996821969457</v>
      </c>
      <c r="AO112" s="62">
        <f t="shared" si="90"/>
        <v>111.83039337220566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3.1263880373444408E-13</v>
      </c>
      <c r="BE112" s="14">
        <f>BD112*VLOOKUP('Données projet'!$B$11,Paramètres!$A$1:$I$88,3,0)*VLOOKUP('Données projet'!$B$11,Paramètres!$A$1:$I$88,5,0)</f>
        <v>2.82875589618925E-13</v>
      </c>
      <c r="BF112" s="14">
        <f t="shared" si="91"/>
        <v>3.7651460236245583E-12</v>
      </c>
      <c r="BG112" s="22">
        <f t="shared" si="61"/>
        <v>7.0503043097323991E-12</v>
      </c>
      <c r="BH112" s="62">
        <f t="shared" si="62"/>
        <v>293.33333333334036</v>
      </c>
      <c r="BI112" s="62">
        <f ca="1">AVERAGE(OFFSET($BH$3,0,0,'Données projet'!$E$11+1,1))-AVERAGE(OFFSET($H$3,0,0,'Données projet'!$E$11+1,1))</f>
        <v>168.44987180339865</v>
      </c>
      <c r="BJ112" s="62">
        <f t="shared" si="92"/>
        <v>375.85422976031748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0.93629098950672429</v>
      </c>
      <c r="BR112" s="23">
        <f>EXP(-LN(2)/2)*BR111+(1-EXP(-LN(2)/2))/(LN(2)/2)*BL112*BO112*VLOOKUP('Données projet'!$B$11,Paramètres!$A$1:$I$88,3,0)*0.475*44/12</f>
        <v>3.0745395757219041E-11</v>
      </c>
      <c r="BS112" s="24">
        <f t="shared" si="63"/>
        <v>0.9362909895374697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-6.8212102632969618E-13</v>
      </c>
      <c r="O113" s="14">
        <f>N113*VLOOKUP('Données projet'!$B$9,Paramètres!$A$1:$I$88,3,0)*VLOOKUP('Données projet'!$B$9,Paramètres!$A$1:$I$88,5,0)</f>
        <v>-4.0790837374515837E-13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190.92799938679798</v>
      </c>
      <c r="T113" s="62">
        <f t="shared" si="88"/>
        <v>172.54286890368337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2.1668095295905831</v>
      </c>
      <c r="AB113" s="23">
        <f>EXP(-LN(2)/2)*AB112+(1-EXP(-LN(2)/2))/(LN(2)/2)*V113*Y113*VLOOKUP('Données projet'!$B$9,Paramètres!$A$1:$I$88,3,0)*0.475*44/12</f>
        <v>3.4484578627203812E-11</v>
      </c>
      <c r="AC113" s="24">
        <f t="shared" si="57"/>
        <v>2.1668095296250676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projet'!$B$10,Paramètres!$A$1:$I$88,3,0)*VLOOKUP('Données projet'!$B$10,Paramètres!$A$1:$I$88,5,0)</f>
        <v>5.7639226724859328E-14</v>
      </c>
      <c r="AK113" s="14">
        <f t="shared" si="89"/>
        <v>9.2325701996134334E-13</v>
      </c>
      <c r="AL113" s="22">
        <f t="shared" si="58"/>
        <v>1.708394296311803E-12</v>
      </c>
      <c r="AM113" s="62">
        <f t="shared" si="59"/>
        <v>293.33333333333502</v>
      </c>
      <c r="AN113" s="62">
        <f ca="1">AVERAGE(OFFSET($AM$3,0,0,'Données projet'!$E$10+1,1))-AVERAGE(OFFSET($H$3,0,0,'Données projet'!$E$10+1,1))</f>
        <v>95.135996821969457</v>
      </c>
      <c r="AO113" s="62">
        <f t="shared" si="90"/>
        <v>111.83039337220566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3.1263880373444408E-13</v>
      </c>
      <c r="BE113" s="14">
        <f>BD113*VLOOKUP('Données projet'!$B$11,Paramètres!$A$1:$I$88,3,0)*VLOOKUP('Données projet'!$B$11,Paramètres!$A$1:$I$88,5,0)</f>
        <v>2.82875589618925E-13</v>
      </c>
      <c r="BF113" s="14">
        <f t="shared" si="91"/>
        <v>3.7651460236245583E-12</v>
      </c>
      <c r="BG113" s="22">
        <f t="shared" si="61"/>
        <v>7.0503043097323991E-12</v>
      </c>
      <c r="BH113" s="62">
        <f t="shared" si="62"/>
        <v>293.33333333334036</v>
      </c>
      <c r="BI113" s="62">
        <f ca="1">AVERAGE(OFFSET($BH$3,0,0,'Données projet'!$E$11+1,1))-AVERAGE(OFFSET($H$3,0,0,'Données projet'!$E$11+1,1))</f>
        <v>168.44987180339865</v>
      </c>
      <c r="BJ113" s="62">
        <f t="shared" si="92"/>
        <v>375.85422976031748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0.91068806316125972</v>
      </c>
      <c r="BR113" s="23">
        <f>EXP(-LN(2)/2)*BR112+(1-EXP(-LN(2)/2))/(LN(2)/2)*BL113*BO113*VLOOKUP('Données projet'!$B$11,Paramètres!$A$1:$I$88,3,0)*0.475*44/12</f>
        <v>2.1740277830193691E-11</v>
      </c>
      <c r="BS113" s="24">
        <f t="shared" si="63"/>
        <v>0.910688063183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-6.8212102632969618E-13</v>
      </c>
      <c r="O114" s="14">
        <f>N114*VLOOKUP('Données projet'!$B$9,Paramètres!$A$1:$I$88,3,0)*VLOOKUP('Données projet'!$B$9,Paramètres!$A$1:$I$88,5,0)</f>
        <v>-4.0790837374515837E-13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190.92799938679798</v>
      </c>
      <c r="T114" s="62">
        <f t="shared" si="88"/>
        <v>172.54286890368337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2.1075580090563677</v>
      </c>
      <c r="AB114" s="23">
        <f>EXP(-LN(2)/2)*AB113+(1-EXP(-LN(2)/2))/(LN(2)/2)*V114*Y114*VLOOKUP('Données projet'!$B$9,Paramètres!$A$1:$I$88,3,0)*0.475*44/12</f>
        <v>2.43842793936565E-11</v>
      </c>
      <c r="AC114" s="24">
        <f t="shared" si="57"/>
        <v>2.1075580090807522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projet'!$B$10,Paramètres!$A$1:$I$88,3,0)*VLOOKUP('Données projet'!$B$10,Paramètres!$A$1:$I$88,5,0)</f>
        <v>5.7639226724859328E-14</v>
      </c>
      <c r="AK114" s="14">
        <f t="shared" si="89"/>
        <v>9.2325701996134334E-13</v>
      </c>
      <c r="AL114" s="22">
        <f t="shared" si="58"/>
        <v>1.708394296311803E-12</v>
      </c>
      <c r="AM114" s="62">
        <f t="shared" si="59"/>
        <v>293.33333333333502</v>
      </c>
      <c r="AN114" s="62">
        <f ca="1">AVERAGE(OFFSET($AM$3,0,0,'Données projet'!$E$10+1,1))-AVERAGE(OFFSET($H$3,0,0,'Données projet'!$E$10+1,1))</f>
        <v>95.135996821969457</v>
      </c>
      <c r="AO114" s="62">
        <f t="shared" si="90"/>
        <v>111.83039337220566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3.1263880373444408E-13</v>
      </c>
      <c r="BE114" s="14">
        <f>BD114*VLOOKUP('Données projet'!$B$11,Paramètres!$A$1:$I$88,3,0)*VLOOKUP('Données projet'!$B$11,Paramètres!$A$1:$I$88,5,0)</f>
        <v>2.82875589618925E-13</v>
      </c>
      <c r="BF114" s="14">
        <f t="shared" si="91"/>
        <v>3.7651460236245583E-12</v>
      </c>
      <c r="BG114" s="22">
        <f t="shared" si="61"/>
        <v>7.0503043097323991E-12</v>
      </c>
      <c r="BH114" s="62">
        <f t="shared" si="62"/>
        <v>293.33333333334036</v>
      </c>
      <c r="BI114" s="62">
        <f ca="1">AVERAGE(OFFSET($BH$3,0,0,'Données projet'!$E$11+1,1))-AVERAGE(OFFSET($H$3,0,0,'Données projet'!$E$11+1,1))</f>
        <v>168.44987180339865</v>
      </c>
      <c r="BJ114" s="62">
        <f t="shared" si="92"/>
        <v>375.85422976031748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0.88578525018311127</v>
      </c>
      <c r="BR114" s="23">
        <f>EXP(-LN(2)/2)*BR113+(1-EXP(-LN(2)/2))/(LN(2)/2)*BL114*BO114*VLOOKUP('Données projet'!$B$11,Paramètres!$A$1:$I$88,3,0)*0.475*44/12</f>
        <v>1.5372697878609521E-11</v>
      </c>
      <c r="BS114" s="24">
        <f t="shared" si="63"/>
        <v>0.88578525019848398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-6.8212102632969618E-13</v>
      </c>
      <c r="O115" s="14">
        <f>N115*VLOOKUP('Données projet'!$B$9,Paramètres!$A$1:$I$88,3,0)*VLOOKUP('Données projet'!$B$9,Paramètres!$A$1:$I$88,5,0)</f>
        <v>-4.0790837374515837E-13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190.92799938679798</v>
      </c>
      <c r="T115" s="62">
        <f t="shared" si="88"/>
        <v>172.54286890368337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2.0499267244670625</v>
      </c>
      <c r="AB115" s="23">
        <f>EXP(-LN(2)/2)*AB114+(1-EXP(-LN(2)/2))/(LN(2)/2)*V115*Y115*VLOOKUP('Données projet'!$B$9,Paramètres!$A$1:$I$88,3,0)*0.475*44/12</f>
        <v>1.7242289313601906E-11</v>
      </c>
      <c r="AC115" s="24">
        <f t="shared" si="57"/>
        <v>2.0499267244843047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projet'!$B$10,Paramètres!$A$1:$I$88,3,0)*VLOOKUP('Données projet'!$B$10,Paramètres!$A$1:$I$88,5,0)</f>
        <v>5.7639226724859328E-14</v>
      </c>
      <c r="AK115" s="14">
        <f t="shared" si="89"/>
        <v>9.2325701996134334E-13</v>
      </c>
      <c r="AL115" s="22">
        <f t="shared" si="58"/>
        <v>1.708394296311803E-12</v>
      </c>
      <c r="AM115" s="62">
        <f t="shared" si="59"/>
        <v>293.33333333333502</v>
      </c>
      <c r="AN115" s="62">
        <f ca="1">AVERAGE(OFFSET($AM$3,0,0,'Données projet'!$E$10+1,1))-AVERAGE(OFFSET($H$3,0,0,'Données projet'!$E$10+1,1))</f>
        <v>95.135996821969457</v>
      </c>
      <c r="AO115" s="62">
        <f t="shared" si="90"/>
        <v>111.83039337220566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3.1263880373444408E-13</v>
      </c>
      <c r="BE115" s="14">
        <f>BD115*VLOOKUP('Données projet'!$B$11,Paramètres!$A$1:$I$88,3,0)*VLOOKUP('Données projet'!$B$11,Paramètres!$A$1:$I$88,5,0)</f>
        <v>2.82875589618925E-13</v>
      </c>
      <c r="BF115" s="14">
        <f t="shared" si="91"/>
        <v>3.7651460236245583E-12</v>
      </c>
      <c r="BG115" s="22">
        <f t="shared" si="61"/>
        <v>7.0503043097323991E-12</v>
      </c>
      <c r="BH115" s="62">
        <f t="shared" si="62"/>
        <v>293.33333333334036</v>
      </c>
      <c r="BI115" s="62">
        <f ca="1">AVERAGE(OFFSET($BH$3,0,0,'Données projet'!$E$11+1,1))-AVERAGE(OFFSET($H$3,0,0,'Données projet'!$E$11+1,1))</f>
        <v>168.44987180339865</v>
      </c>
      <c r="BJ115" s="62">
        <f t="shared" si="92"/>
        <v>375.85422976031748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0.86156340593543224</v>
      </c>
      <c r="BR115" s="23">
        <f>EXP(-LN(2)/2)*BR114+(1-EXP(-LN(2)/2))/(LN(2)/2)*BL115*BO115*VLOOKUP('Données projet'!$B$11,Paramètres!$A$1:$I$88,3,0)*0.475*44/12</f>
        <v>1.0870138915096846E-11</v>
      </c>
      <c r="BS115" s="24">
        <f t="shared" si="63"/>
        <v>0.86156340594630243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-6.8212102632969618E-13</v>
      </c>
      <c r="O116" s="14">
        <f>N116*VLOOKUP('Données projet'!$B$9,Paramètres!$A$1:$I$88,3,0)*VLOOKUP('Données projet'!$B$9,Paramètres!$A$1:$I$88,5,0)</f>
        <v>-4.0790837374515837E-13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190.92799938679798</v>
      </c>
      <c r="T116" s="62">
        <f t="shared" si="88"/>
        <v>172.54286890368337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1.9938713703855493</v>
      </c>
      <c r="AB116" s="23">
        <f>EXP(-LN(2)/2)*AB115+(1-EXP(-LN(2)/2))/(LN(2)/2)*V116*Y116*VLOOKUP('Données projet'!$B$9,Paramètres!$A$1:$I$88,3,0)*0.475*44/12</f>
        <v>1.219213969682825E-11</v>
      </c>
      <c r="AC116" s="24">
        <f t="shared" si="57"/>
        <v>1.9938713703977415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projet'!$B$10,Paramètres!$A$1:$I$88,3,0)*VLOOKUP('Données projet'!$B$10,Paramètres!$A$1:$I$88,5,0)</f>
        <v>5.7639226724859328E-14</v>
      </c>
      <c r="AK116" s="14">
        <f t="shared" si="89"/>
        <v>9.2325701996134334E-13</v>
      </c>
      <c r="AL116" s="22">
        <f t="shared" si="58"/>
        <v>1.708394296311803E-12</v>
      </c>
      <c r="AM116" s="62">
        <f t="shared" si="59"/>
        <v>293.33333333333502</v>
      </c>
      <c r="AN116" s="62">
        <f ca="1">AVERAGE(OFFSET($AM$3,0,0,'Données projet'!$E$10+1,1))-AVERAGE(OFFSET($H$3,0,0,'Données projet'!$E$10+1,1))</f>
        <v>95.135996821969457</v>
      </c>
      <c r="AO116" s="62">
        <f t="shared" si="90"/>
        <v>111.83039337220566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3.1263880373444408E-13</v>
      </c>
      <c r="BE116" s="14">
        <f>BD116*VLOOKUP('Données projet'!$B$11,Paramètres!$A$1:$I$88,3,0)*VLOOKUP('Données projet'!$B$11,Paramètres!$A$1:$I$88,5,0)</f>
        <v>2.82875589618925E-13</v>
      </c>
      <c r="BF116" s="14">
        <f t="shared" si="91"/>
        <v>3.7651460236245583E-12</v>
      </c>
      <c r="BG116" s="22">
        <f t="shared" si="61"/>
        <v>7.0503043097323991E-12</v>
      </c>
      <c r="BH116" s="62">
        <f t="shared" si="62"/>
        <v>293.33333333334036</v>
      </c>
      <c r="BI116" s="62">
        <f ca="1">AVERAGE(OFFSET($BH$3,0,0,'Données projet'!$E$11+1,1))-AVERAGE(OFFSET($H$3,0,0,'Données projet'!$E$11+1,1))</f>
        <v>168.44987180339865</v>
      </c>
      <c r="BJ116" s="62">
        <f t="shared" si="92"/>
        <v>375.85422976031748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0.83800390929247748</v>
      </c>
      <c r="BR116" s="23">
        <f>EXP(-LN(2)/2)*BR115+(1-EXP(-LN(2)/2))/(LN(2)/2)*BL116*BO116*VLOOKUP('Données projet'!$B$11,Paramètres!$A$1:$I$88,3,0)*0.475*44/12</f>
        <v>7.6863489393047603E-12</v>
      </c>
      <c r="BS116" s="24">
        <f t="shared" si="63"/>
        <v>0.83800390930016377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-6.8212102632969618E-13</v>
      </c>
      <c r="O117" s="14">
        <f>N117*VLOOKUP('Données projet'!$B$9,Paramètres!$A$1:$I$88,3,0)*VLOOKUP('Données projet'!$B$9,Paramètres!$A$1:$I$88,5,0)</f>
        <v>-4.0790837374515837E-13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190.92799938679798</v>
      </c>
      <c r="T117" s="62">
        <f t="shared" si="88"/>
        <v>172.54286890368337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1.9393488529092182</v>
      </c>
      <c r="AB117" s="23">
        <f>EXP(-LN(2)/2)*AB116+(1-EXP(-LN(2)/2))/(LN(2)/2)*V117*Y117*VLOOKUP('Données projet'!$B$9,Paramètres!$A$1:$I$88,3,0)*0.475*44/12</f>
        <v>8.621144656800953E-12</v>
      </c>
      <c r="AC117" s="24">
        <f t="shared" si="57"/>
        <v>1.9393488529178393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projet'!$B$10,Paramètres!$A$1:$I$88,3,0)*VLOOKUP('Données projet'!$B$10,Paramètres!$A$1:$I$88,5,0)</f>
        <v>5.7639226724859328E-14</v>
      </c>
      <c r="AK117" s="14">
        <f t="shared" si="89"/>
        <v>9.2325701996134334E-13</v>
      </c>
      <c r="AL117" s="22">
        <f t="shared" si="58"/>
        <v>1.708394296311803E-12</v>
      </c>
      <c r="AM117" s="62">
        <f t="shared" si="59"/>
        <v>293.33333333333502</v>
      </c>
      <c r="AN117" s="62">
        <f ca="1">AVERAGE(OFFSET($AM$3,0,0,'Données projet'!$E$10+1,1))-AVERAGE(OFFSET($H$3,0,0,'Données projet'!$E$10+1,1))</f>
        <v>95.135996821969457</v>
      </c>
      <c r="AO117" s="62">
        <f t="shared" si="90"/>
        <v>111.83039337220566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3.1263880373444408E-13</v>
      </c>
      <c r="BE117" s="14">
        <f>BD117*VLOOKUP('Données projet'!$B$11,Paramètres!$A$1:$I$88,3,0)*VLOOKUP('Données projet'!$B$11,Paramètres!$A$1:$I$88,5,0)</f>
        <v>2.82875589618925E-13</v>
      </c>
      <c r="BF117" s="14">
        <f t="shared" si="91"/>
        <v>3.7651460236245583E-12</v>
      </c>
      <c r="BG117" s="22">
        <f t="shared" si="61"/>
        <v>7.0503043097323991E-12</v>
      </c>
      <c r="BH117" s="62">
        <f t="shared" si="62"/>
        <v>293.33333333334036</v>
      </c>
      <c r="BI117" s="62">
        <f ca="1">AVERAGE(OFFSET($BH$3,0,0,'Données projet'!$E$11+1,1))-AVERAGE(OFFSET($H$3,0,0,'Données projet'!$E$11+1,1))</f>
        <v>168.44987180339865</v>
      </c>
      <c r="BJ117" s="62">
        <f t="shared" si="92"/>
        <v>375.85422976031748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0.81508864832416439</v>
      </c>
      <c r="BR117" s="23">
        <f>EXP(-LN(2)/2)*BR116+(1-EXP(-LN(2)/2))/(LN(2)/2)*BL117*BO117*VLOOKUP('Données projet'!$B$11,Paramètres!$A$1:$I$88,3,0)*0.475*44/12</f>
        <v>5.4350694575484228E-12</v>
      </c>
      <c r="BS117" s="24">
        <f t="shared" si="63"/>
        <v>0.81508864832959949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-6.8212102632969618E-13</v>
      </c>
      <c r="O118" s="14">
        <f>N118*VLOOKUP('Données projet'!$B$9,Paramètres!$A$1:$I$88,3,0)*VLOOKUP('Données projet'!$B$9,Paramètres!$A$1:$I$88,5,0)</f>
        <v>-4.0790837374515837E-13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190.92799938679798</v>
      </c>
      <c r="T118" s="62">
        <f t="shared" si="88"/>
        <v>172.54286890368337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1.886317256540492</v>
      </c>
      <c r="AB118" s="23">
        <f>EXP(-LN(2)/2)*AB117+(1-EXP(-LN(2)/2))/(LN(2)/2)*V118*Y118*VLOOKUP('Données projet'!$B$9,Paramètres!$A$1:$I$88,3,0)*0.475*44/12</f>
        <v>6.0960698484141249E-12</v>
      </c>
      <c r="AC118" s="24">
        <f t="shared" si="57"/>
        <v>1.886317256546588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projet'!$B$10,Paramètres!$A$1:$I$88,3,0)*VLOOKUP('Données projet'!$B$10,Paramètres!$A$1:$I$88,5,0)</f>
        <v>5.7639226724859328E-14</v>
      </c>
      <c r="AK118" s="14">
        <f t="shared" si="89"/>
        <v>9.2325701996134334E-13</v>
      </c>
      <c r="AL118" s="22">
        <f t="shared" si="58"/>
        <v>1.708394296311803E-12</v>
      </c>
      <c r="AM118" s="62">
        <f t="shared" si="59"/>
        <v>293.33333333333502</v>
      </c>
      <c r="AN118" s="62">
        <f ca="1">AVERAGE(OFFSET($AM$3,0,0,'Données projet'!$E$10+1,1))-AVERAGE(OFFSET($H$3,0,0,'Données projet'!$E$10+1,1))</f>
        <v>95.135996821969457</v>
      </c>
      <c r="AO118" s="62">
        <f t="shared" si="90"/>
        <v>111.83039337220566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3.1263880373444408E-13</v>
      </c>
      <c r="BE118" s="14">
        <f>BD118*VLOOKUP('Données projet'!$B$11,Paramètres!$A$1:$I$88,3,0)*VLOOKUP('Données projet'!$B$11,Paramètres!$A$1:$I$88,5,0)</f>
        <v>2.82875589618925E-13</v>
      </c>
      <c r="BF118" s="14">
        <f t="shared" si="91"/>
        <v>3.7651460236245583E-12</v>
      </c>
      <c r="BG118" s="22">
        <f t="shared" si="61"/>
        <v>7.0503043097323991E-12</v>
      </c>
      <c r="BH118" s="62">
        <f t="shared" si="62"/>
        <v>293.33333333334036</v>
      </c>
      <c r="BI118" s="62">
        <f ca="1">AVERAGE(OFFSET($BH$3,0,0,'Données projet'!$E$11+1,1))-AVERAGE(OFFSET($H$3,0,0,'Données projet'!$E$11+1,1))</f>
        <v>168.44987180339865</v>
      </c>
      <c r="BJ118" s="62">
        <f t="shared" si="92"/>
        <v>375.85422976031748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0.79280000637209103</v>
      </c>
      <c r="BR118" s="23">
        <f>EXP(-LN(2)/2)*BR117+(1-EXP(-LN(2)/2))/(LN(2)/2)*BL118*BO118*VLOOKUP('Données projet'!$B$11,Paramètres!$A$1:$I$88,3,0)*0.475*44/12</f>
        <v>3.8431744696523802E-12</v>
      </c>
      <c r="BS118" s="24">
        <f t="shared" si="63"/>
        <v>0.79280000637593417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-6.8212102632969618E-13</v>
      </c>
      <c r="O119" s="14">
        <f>N119*VLOOKUP('Données projet'!$B$9,Paramètres!$A$1:$I$88,3,0)*VLOOKUP('Données projet'!$B$9,Paramètres!$A$1:$I$88,5,0)</f>
        <v>-4.0790837374515837E-13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190.92799938679798</v>
      </c>
      <c r="T119" s="62">
        <f t="shared" si="88"/>
        <v>172.54286890368337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1.8347358119632788</v>
      </c>
      <c r="AB119" s="23">
        <f>EXP(-LN(2)/2)*AB118+(1-EXP(-LN(2)/2))/(LN(2)/2)*V119*Y119*VLOOKUP('Données projet'!$B$9,Paramètres!$A$1:$I$88,3,0)*0.475*44/12</f>
        <v>4.3105723284004765E-12</v>
      </c>
      <c r="AC119" s="24">
        <f t="shared" si="57"/>
        <v>1.8347358119675894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projet'!$B$10,Paramètres!$A$1:$I$88,3,0)*VLOOKUP('Données projet'!$B$10,Paramètres!$A$1:$I$88,5,0)</f>
        <v>5.7639226724859328E-14</v>
      </c>
      <c r="AK119" s="14">
        <f t="shared" si="89"/>
        <v>9.2325701996134334E-13</v>
      </c>
      <c r="AL119" s="22">
        <f t="shared" si="58"/>
        <v>1.708394296311803E-12</v>
      </c>
      <c r="AM119" s="62">
        <f t="shared" si="59"/>
        <v>293.33333333333502</v>
      </c>
      <c r="AN119" s="62">
        <f ca="1">AVERAGE(OFFSET($AM$3,0,0,'Données projet'!$E$10+1,1))-AVERAGE(OFFSET($H$3,0,0,'Données projet'!$E$10+1,1))</f>
        <v>95.135996821969457</v>
      </c>
      <c r="AO119" s="62">
        <f t="shared" si="90"/>
        <v>111.83039337220566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3.1263880373444408E-13</v>
      </c>
      <c r="BE119" s="14">
        <f>BD119*VLOOKUP('Données projet'!$B$11,Paramètres!$A$1:$I$88,3,0)*VLOOKUP('Données projet'!$B$11,Paramètres!$A$1:$I$88,5,0)</f>
        <v>2.82875589618925E-13</v>
      </c>
      <c r="BF119" s="14">
        <f t="shared" si="91"/>
        <v>3.7651460236245583E-12</v>
      </c>
      <c r="BG119" s="22">
        <f t="shared" si="61"/>
        <v>7.0503043097323991E-12</v>
      </c>
      <c r="BH119" s="62">
        <f t="shared" si="62"/>
        <v>293.33333333334036</v>
      </c>
      <c r="BI119" s="62">
        <f ca="1">AVERAGE(OFFSET($BH$3,0,0,'Données projet'!$E$11+1,1))-AVERAGE(OFFSET($H$3,0,0,'Données projet'!$E$11+1,1))</f>
        <v>168.44987180339865</v>
      </c>
      <c r="BJ119" s="62">
        <f t="shared" si="92"/>
        <v>375.85422976031748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0.7711208485063058</v>
      </c>
      <c r="BR119" s="23">
        <f>EXP(-LN(2)/2)*BR118+(1-EXP(-LN(2)/2))/(LN(2)/2)*BL119*BO119*VLOOKUP('Données projet'!$B$11,Paramètres!$A$1:$I$88,3,0)*0.475*44/12</f>
        <v>2.7175347287742114E-12</v>
      </c>
      <c r="BS119" s="24">
        <f t="shared" si="63"/>
        <v>0.77112084850902329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-6.8212102632969618E-13</v>
      </c>
      <c r="O120" s="14">
        <f>N120*VLOOKUP('Données projet'!$B$9,Paramètres!$A$1:$I$88,3,0)*VLOOKUP('Données projet'!$B$9,Paramètres!$A$1:$I$88,5,0)</f>
        <v>-4.0790837374515837E-13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190.92799938679798</v>
      </c>
      <c r="T120" s="62">
        <f t="shared" si="88"/>
        <v>172.54286890368337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1.7845648647005801</v>
      </c>
      <c r="AB120" s="23">
        <f>EXP(-LN(2)/2)*AB119+(1-EXP(-LN(2)/2))/(LN(2)/2)*V120*Y120*VLOOKUP('Données projet'!$B$9,Paramètres!$A$1:$I$88,3,0)*0.475*44/12</f>
        <v>3.0480349242070625E-12</v>
      </c>
      <c r="AC120" s="24">
        <f t="shared" si="57"/>
        <v>1.7845648647036281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projet'!$B$10,Paramètres!$A$1:$I$88,3,0)*VLOOKUP('Données projet'!$B$10,Paramètres!$A$1:$I$88,5,0)</f>
        <v>5.7639226724859328E-14</v>
      </c>
      <c r="AK120" s="14">
        <f t="shared" si="89"/>
        <v>9.2325701996134334E-13</v>
      </c>
      <c r="AL120" s="22">
        <f t="shared" si="58"/>
        <v>1.708394296311803E-12</v>
      </c>
      <c r="AM120" s="62">
        <f t="shared" si="59"/>
        <v>293.33333333333502</v>
      </c>
      <c r="AN120" s="62">
        <f ca="1">AVERAGE(OFFSET($AM$3,0,0,'Données projet'!$E$10+1,1))-AVERAGE(OFFSET($H$3,0,0,'Données projet'!$E$10+1,1))</f>
        <v>95.135996821969457</v>
      </c>
      <c r="AO120" s="62">
        <f t="shared" si="90"/>
        <v>111.83039337220566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3.1263880373444408E-13</v>
      </c>
      <c r="BE120" s="14">
        <f>BD120*VLOOKUP('Données projet'!$B$11,Paramètres!$A$1:$I$88,3,0)*VLOOKUP('Données projet'!$B$11,Paramètres!$A$1:$I$88,5,0)</f>
        <v>2.82875589618925E-13</v>
      </c>
      <c r="BF120" s="14">
        <f t="shared" si="91"/>
        <v>3.7651460236245583E-12</v>
      </c>
      <c r="BG120" s="22">
        <f t="shared" si="61"/>
        <v>7.0503043097323991E-12</v>
      </c>
      <c r="BH120" s="62">
        <f t="shared" si="62"/>
        <v>293.33333333334036</v>
      </c>
      <c r="BI120" s="62">
        <f ca="1">AVERAGE(OFFSET($BH$3,0,0,'Données projet'!$E$11+1,1))-AVERAGE(OFFSET($H$3,0,0,'Données projet'!$E$11+1,1))</f>
        <v>168.44987180339865</v>
      </c>
      <c r="BJ120" s="62">
        <f t="shared" si="92"/>
        <v>375.85422976031748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0.75003450835241792</v>
      </c>
      <c r="BR120" s="23">
        <f>EXP(-LN(2)/2)*BR119+(1-EXP(-LN(2)/2))/(LN(2)/2)*BL120*BO120*VLOOKUP('Données projet'!$B$11,Paramètres!$A$1:$I$88,3,0)*0.475*44/12</f>
        <v>1.9215872348261901E-12</v>
      </c>
      <c r="BS120" s="24">
        <f t="shared" si="63"/>
        <v>0.75003450835433949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-6.8212102632969618E-13</v>
      </c>
      <c r="O121" s="14">
        <f>N121*VLOOKUP('Données projet'!$B$9,Paramètres!$A$1:$I$88,3,0)*VLOOKUP('Données projet'!$B$9,Paramètres!$A$1:$I$88,5,0)</f>
        <v>-4.0790837374515837E-13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190.92799938679798</v>
      </c>
      <c r="T121" s="62">
        <f t="shared" si="88"/>
        <v>172.54286890368337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1.7357658446291551</v>
      </c>
      <c r="AB121" s="23">
        <f>EXP(-LN(2)/2)*AB120+(1-EXP(-LN(2)/2))/(LN(2)/2)*V121*Y121*VLOOKUP('Données projet'!$B$9,Paramètres!$A$1:$I$88,3,0)*0.475*44/12</f>
        <v>2.1552861642002382E-12</v>
      </c>
      <c r="AC121" s="24">
        <f t="shared" si="57"/>
        <v>1.7357658446313105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projet'!$B$10,Paramètres!$A$1:$I$88,3,0)*VLOOKUP('Données projet'!$B$10,Paramètres!$A$1:$I$88,5,0)</f>
        <v>5.7639226724859328E-14</v>
      </c>
      <c r="AK121" s="14">
        <f t="shared" si="89"/>
        <v>9.2325701996134334E-13</v>
      </c>
      <c r="AL121" s="22">
        <f t="shared" si="58"/>
        <v>1.708394296311803E-12</v>
      </c>
      <c r="AM121" s="62">
        <f t="shared" si="59"/>
        <v>293.33333333333502</v>
      </c>
      <c r="AN121" s="62">
        <f ca="1">AVERAGE(OFFSET($AM$3,0,0,'Données projet'!$E$10+1,1))-AVERAGE(OFFSET($H$3,0,0,'Données projet'!$E$10+1,1))</f>
        <v>95.135996821969457</v>
      </c>
      <c r="AO121" s="62">
        <f t="shared" si="90"/>
        <v>111.83039337220566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3.1263880373444408E-13</v>
      </c>
      <c r="BE121" s="14">
        <f>BD121*VLOOKUP('Données projet'!$B$11,Paramètres!$A$1:$I$88,3,0)*VLOOKUP('Données projet'!$B$11,Paramètres!$A$1:$I$88,5,0)</f>
        <v>2.82875589618925E-13</v>
      </c>
      <c r="BF121" s="14">
        <f t="shared" si="91"/>
        <v>3.7651460236245583E-12</v>
      </c>
      <c r="BG121" s="22">
        <f t="shared" si="61"/>
        <v>7.0503043097323991E-12</v>
      </c>
      <c r="BH121" s="62">
        <f t="shared" si="62"/>
        <v>293.33333333334036</v>
      </c>
      <c r="BI121" s="62">
        <f ca="1">AVERAGE(OFFSET($BH$3,0,0,'Données projet'!$E$11+1,1))-AVERAGE(OFFSET($H$3,0,0,'Données projet'!$E$11+1,1))</f>
        <v>168.44987180339865</v>
      </c>
      <c r="BJ121" s="62">
        <f t="shared" si="92"/>
        <v>375.85422976031748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0.72952477527892046</v>
      </c>
      <c r="BR121" s="23">
        <f>EXP(-LN(2)/2)*BR120+(1-EXP(-LN(2)/2))/(LN(2)/2)*BL121*BO121*VLOOKUP('Données projet'!$B$11,Paramètres!$A$1:$I$88,3,0)*0.475*44/12</f>
        <v>1.3587673643871057E-12</v>
      </c>
      <c r="BS121" s="24">
        <f t="shared" si="63"/>
        <v>0.72952477528027926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-6.8212102632969618E-13</v>
      </c>
      <c r="O122" s="14">
        <f>N122*VLOOKUP('Données projet'!$B$9,Paramètres!$A$1:$I$88,3,0)*VLOOKUP('Données projet'!$B$9,Paramètres!$A$1:$I$88,5,0)</f>
        <v>-4.0790837374515837E-13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190.92799938679798</v>
      </c>
      <c r="T122" s="62">
        <f t="shared" si="88"/>
        <v>172.54286890368337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1.6883012363278123</v>
      </c>
      <c r="AB122" s="23">
        <f>EXP(-LN(2)/2)*AB121+(1-EXP(-LN(2)/2))/(LN(2)/2)*V122*Y122*VLOOKUP('Données projet'!$B$9,Paramètres!$A$1:$I$88,3,0)*0.475*44/12</f>
        <v>1.5240174621035312E-12</v>
      </c>
      <c r="AC122" s="24">
        <f t="shared" si="57"/>
        <v>1.6883012363293364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projet'!$B$10,Paramètres!$A$1:$I$88,3,0)*VLOOKUP('Données projet'!$B$10,Paramètres!$A$1:$I$88,5,0)</f>
        <v>5.7639226724859328E-14</v>
      </c>
      <c r="AK122" s="14">
        <f t="shared" si="89"/>
        <v>9.2325701996134334E-13</v>
      </c>
      <c r="AL122" s="22">
        <f t="shared" si="58"/>
        <v>1.708394296311803E-12</v>
      </c>
      <c r="AM122" s="62">
        <f t="shared" si="59"/>
        <v>293.33333333333502</v>
      </c>
      <c r="AN122" s="62">
        <f ca="1">AVERAGE(OFFSET($AM$3,0,0,'Données projet'!$E$10+1,1))-AVERAGE(OFFSET($H$3,0,0,'Données projet'!$E$10+1,1))</f>
        <v>95.135996821969457</v>
      </c>
      <c r="AO122" s="62">
        <f t="shared" si="90"/>
        <v>111.83039337220566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3.1263880373444408E-13</v>
      </c>
      <c r="BE122" s="14">
        <f>BD122*VLOOKUP('Données projet'!$B$11,Paramètres!$A$1:$I$88,3,0)*VLOOKUP('Données projet'!$B$11,Paramètres!$A$1:$I$88,5,0)</f>
        <v>2.82875589618925E-13</v>
      </c>
      <c r="BF122" s="14">
        <f t="shared" si="91"/>
        <v>3.7651460236245583E-12</v>
      </c>
      <c r="BG122" s="22">
        <f t="shared" si="61"/>
        <v>7.0503043097323991E-12</v>
      </c>
      <c r="BH122" s="62">
        <f t="shared" si="62"/>
        <v>293.33333333334036</v>
      </c>
      <c r="BI122" s="62">
        <f ca="1">AVERAGE(OFFSET($BH$3,0,0,'Données projet'!$E$11+1,1))-AVERAGE(OFFSET($H$3,0,0,'Données projet'!$E$11+1,1))</f>
        <v>168.44987180339865</v>
      </c>
      <c r="BJ122" s="62">
        <f t="shared" si="92"/>
        <v>375.85422976031748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0.70957588193487775</v>
      </c>
      <c r="BR122" s="23">
        <f>EXP(-LN(2)/2)*BR121+(1-EXP(-LN(2)/2))/(LN(2)/2)*BL122*BO122*VLOOKUP('Données projet'!$B$11,Paramètres!$A$1:$I$88,3,0)*0.475*44/12</f>
        <v>9.6079361741309504E-13</v>
      </c>
      <c r="BS122" s="24">
        <f t="shared" si="63"/>
        <v>0.70957588193583854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-6.8212102632969618E-13</v>
      </c>
      <c r="O123" s="14">
        <f>N123*VLOOKUP('Données projet'!$B$9,Paramètres!$A$1:$I$88,3,0)*VLOOKUP('Données projet'!$B$9,Paramètres!$A$1:$I$88,5,0)</f>
        <v>-4.0790837374515837E-13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190.92799938679798</v>
      </c>
      <c r="T123" s="62">
        <f t="shared" si="88"/>
        <v>172.54286890368337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1.6421345502365248</v>
      </c>
      <c r="AB123" s="23">
        <f>EXP(-LN(2)/2)*AB122+(1-EXP(-LN(2)/2))/(LN(2)/2)*V123*Y123*VLOOKUP('Données projet'!$B$9,Paramètres!$A$1:$I$88,3,0)*0.475*44/12</f>
        <v>1.0776430821001191E-12</v>
      </c>
      <c r="AC123" s="24">
        <f t="shared" si="57"/>
        <v>1.6421345502376024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projet'!$B$10,Paramètres!$A$1:$I$88,3,0)*VLOOKUP('Données projet'!$B$10,Paramètres!$A$1:$I$88,5,0)</f>
        <v>5.7639226724859328E-14</v>
      </c>
      <c r="AK123" s="14">
        <f t="shared" si="89"/>
        <v>9.2325701996134334E-13</v>
      </c>
      <c r="AL123" s="22">
        <f t="shared" si="58"/>
        <v>1.708394296311803E-12</v>
      </c>
      <c r="AM123" s="62">
        <f t="shared" si="59"/>
        <v>293.33333333333502</v>
      </c>
      <c r="AN123" s="62">
        <f ca="1">AVERAGE(OFFSET($AM$3,0,0,'Données projet'!$E$10+1,1))-AVERAGE(OFFSET($H$3,0,0,'Données projet'!$E$10+1,1))</f>
        <v>95.135996821969457</v>
      </c>
      <c r="AO123" s="62">
        <f t="shared" si="90"/>
        <v>111.83039337220566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3.1263880373444408E-13</v>
      </c>
      <c r="BE123" s="14">
        <f>BD123*VLOOKUP('Données projet'!$B$11,Paramètres!$A$1:$I$88,3,0)*VLOOKUP('Données projet'!$B$11,Paramètres!$A$1:$I$88,5,0)</f>
        <v>2.82875589618925E-13</v>
      </c>
      <c r="BF123" s="14">
        <f t="shared" si="91"/>
        <v>3.7651460236245583E-12</v>
      </c>
      <c r="BG123" s="22">
        <f t="shared" si="61"/>
        <v>7.0503043097323991E-12</v>
      </c>
      <c r="BH123" s="62">
        <f t="shared" si="62"/>
        <v>293.33333333334036</v>
      </c>
      <c r="BI123" s="62">
        <f ca="1">AVERAGE(OFFSET($BH$3,0,0,'Données projet'!$E$11+1,1))-AVERAGE(OFFSET($H$3,0,0,'Données projet'!$E$11+1,1))</f>
        <v>168.44987180339865</v>
      </c>
      <c r="BJ123" s="62">
        <f t="shared" si="92"/>
        <v>375.85422976031748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0.6901724921283946</v>
      </c>
      <c r="BR123" s="23">
        <f>EXP(-LN(2)/2)*BR122+(1-EXP(-LN(2)/2))/(LN(2)/2)*BL123*BO123*VLOOKUP('Données projet'!$B$11,Paramètres!$A$1:$I$88,3,0)*0.475*44/12</f>
        <v>6.7938368219355285E-13</v>
      </c>
      <c r="BS123" s="24">
        <f t="shared" si="63"/>
        <v>0.69017249212907394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-6.8212102632969618E-13</v>
      </c>
      <c r="O124" s="14">
        <f>N124*VLOOKUP('Données projet'!$B$9,Paramètres!$A$1:$I$88,3,0)*VLOOKUP('Données projet'!$B$9,Paramètres!$A$1:$I$88,5,0)</f>
        <v>-4.0790837374515837E-13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190.92799938679798</v>
      </c>
      <c r="T124" s="62">
        <f t="shared" si="88"/>
        <v>172.54286890368337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1.5972302946042041</v>
      </c>
      <c r="AB124" s="23">
        <f>EXP(-LN(2)/2)*AB123+(1-EXP(-LN(2)/2))/(LN(2)/2)*V124*Y124*VLOOKUP('Données projet'!$B$9,Paramètres!$A$1:$I$88,3,0)*0.475*44/12</f>
        <v>7.6200873105176562E-13</v>
      </c>
      <c r="AC124" s="24">
        <f t="shared" si="57"/>
        <v>1.5972302946049661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projet'!$B$10,Paramètres!$A$1:$I$88,3,0)*VLOOKUP('Données projet'!$B$10,Paramètres!$A$1:$I$88,5,0)</f>
        <v>5.7639226724859328E-14</v>
      </c>
      <c r="AK124" s="14">
        <f t="shared" si="89"/>
        <v>9.2325701996134334E-13</v>
      </c>
      <c r="AL124" s="22">
        <f t="shared" si="58"/>
        <v>1.708394296311803E-12</v>
      </c>
      <c r="AM124" s="62">
        <f t="shared" si="59"/>
        <v>293.33333333333502</v>
      </c>
      <c r="AN124" s="62">
        <f ca="1">AVERAGE(OFFSET($AM$3,0,0,'Données projet'!$E$10+1,1))-AVERAGE(OFFSET($H$3,0,0,'Données projet'!$E$10+1,1))</f>
        <v>95.135996821969457</v>
      </c>
      <c r="AO124" s="62">
        <f t="shared" si="90"/>
        <v>111.83039337220566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3.1263880373444408E-13</v>
      </c>
      <c r="BE124" s="14">
        <f>BD124*VLOOKUP('Données projet'!$B$11,Paramètres!$A$1:$I$88,3,0)*VLOOKUP('Données projet'!$B$11,Paramètres!$A$1:$I$88,5,0)</f>
        <v>2.82875589618925E-13</v>
      </c>
      <c r="BF124" s="14">
        <f t="shared" si="91"/>
        <v>3.7651460236245583E-12</v>
      </c>
      <c r="BG124" s="22">
        <f t="shared" si="61"/>
        <v>7.0503043097323991E-12</v>
      </c>
      <c r="BH124" s="62">
        <f t="shared" si="62"/>
        <v>293.33333333334036</v>
      </c>
      <c r="BI124" s="62">
        <f ca="1">AVERAGE(OFFSET($BH$3,0,0,'Données projet'!$E$11+1,1))-AVERAGE(OFFSET($H$3,0,0,'Données projet'!$E$11+1,1))</f>
        <v>168.44987180339865</v>
      </c>
      <c r="BJ124" s="62">
        <f t="shared" si="92"/>
        <v>375.85422976031748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0.67129968903654968</v>
      </c>
      <c r="BR124" s="23">
        <f>EXP(-LN(2)/2)*BR123+(1-EXP(-LN(2)/2))/(LN(2)/2)*BL124*BO124*VLOOKUP('Données projet'!$B$11,Paramètres!$A$1:$I$88,3,0)*0.475*44/12</f>
        <v>4.8039680870654752E-13</v>
      </c>
      <c r="BS124" s="24">
        <f t="shared" si="63"/>
        <v>0.67129968903703008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-6.8212102632969618E-13</v>
      </c>
      <c r="O125" s="14">
        <f>N125*VLOOKUP('Données projet'!$B$9,Paramètres!$A$1:$I$88,3,0)*VLOOKUP('Données projet'!$B$9,Paramètres!$A$1:$I$88,5,0)</f>
        <v>-4.0790837374515837E-13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190.92799938679798</v>
      </c>
      <c r="T125" s="62">
        <f t="shared" si="88"/>
        <v>172.54286890368337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1.5535539482035614</v>
      </c>
      <c r="AB125" s="23">
        <f>EXP(-LN(2)/2)*AB124+(1-EXP(-LN(2)/2))/(LN(2)/2)*V125*Y125*VLOOKUP('Données projet'!$B$9,Paramètres!$A$1:$I$88,3,0)*0.475*44/12</f>
        <v>5.3882154105005956E-13</v>
      </c>
      <c r="AC125" s="24">
        <f t="shared" si="57"/>
        <v>1.5535539482041003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projet'!$B$10,Paramètres!$A$1:$I$88,3,0)*VLOOKUP('Données projet'!$B$10,Paramètres!$A$1:$I$88,5,0)</f>
        <v>5.7639226724859328E-14</v>
      </c>
      <c r="AK125" s="14">
        <f t="shared" si="89"/>
        <v>9.2325701996134334E-13</v>
      </c>
      <c r="AL125" s="22">
        <f t="shared" si="58"/>
        <v>1.708394296311803E-12</v>
      </c>
      <c r="AM125" s="62">
        <f t="shared" si="59"/>
        <v>293.33333333333502</v>
      </c>
      <c r="AN125" s="62">
        <f ca="1">AVERAGE(OFFSET($AM$3,0,0,'Données projet'!$E$10+1,1))-AVERAGE(OFFSET($H$3,0,0,'Données projet'!$E$10+1,1))</f>
        <v>95.135996821969457</v>
      </c>
      <c r="AO125" s="62">
        <f t="shared" si="90"/>
        <v>111.83039337220566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3.1263880373444408E-13</v>
      </c>
      <c r="BE125" s="14">
        <f>BD125*VLOOKUP('Données projet'!$B$11,Paramètres!$A$1:$I$88,3,0)*VLOOKUP('Données projet'!$B$11,Paramètres!$A$1:$I$88,5,0)</f>
        <v>2.82875589618925E-13</v>
      </c>
      <c r="BF125" s="14">
        <f t="shared" si="91"/>
        <v>3.7651460236245583E-12</v>
      </c>
      <c r="BG125" s="22">
        <f t="shared" si="61"/>
        <v>7.0503043097323991E-12</v>
      </c>
      <c r="BH125" s="62">
        <f t="shared" si="62"/>
        <v>293.33333333334036</v>
      </c>
      <c r="BI125" s="62">
        <f ca="1">AVERAGE(OFFSET($BH$3,0,0,'Données projet'!$E$11+1,1))-AVERAGE(OFFSET($H$3,0,0,'Données projet'!$E$11+1,1))</f>
        <v>168.44987180339865</v>
      </c>
      <c r="BJ125" s="62">
        <f t="shared" si="92"/>
        <v>375.85422976031748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0.65294296373772887</v>
      </c>
      <c r="BR125" s="23">
        <f>EXP(-LN(2)/2)*BR124+(1-EXP(-LN(2)/2))/(LN(2)/2)*BL125*BO125*VLOOKUP('Données projet'!$B$11,Paramètres!$A$1:$I$88,3,0)*0.475*44/12</f>
        <v>3.3969184109677643E-13</v>
      </c>
      <c r="BS125" s="24">
        <f t="shared" si="63"/>
        <v>0.65294296373806859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-6.8212102632969618E-13</v>
      </c>
      <c r="O126" s="14">
        <f>N126*VLOOKUP('Données projet'!$B$9,Paramètres!$A$1:$I$88,3,0)*VLOOKUP('Données projet'!$B$9,Paramètres!$A$1:$I$88,5,0)</f>
        <v>-4.0790837374515837E-13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190.92799938679798</v>
      </c>
      <c r="T126" s="62">
        <f t="shared" si="88"/>
        <v>172.54286890368337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1.5110719337920835</v>
      </c>
      <c r="AB126" s="23">
        <f>EXP(-LN(2)/2)*AB125+(1-EXP(-LN(2)/2))/(LN(2)/2)*V126*Y126*VLOOKUP('Données projet'!$B$9,Paramètres!$A$1:$I$88,3,0)*0.475*44/12</f>
        <v>3.8100436552588281E-13</v>
      </c>
      <c r="AC126" s="24">
        <f t="shared" si="57"/>
        <v>1.5110719337924645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projet'!$B$10,Paramètres!$A$1:$I$88,3,0)*VLOOKUP('Données projet'!$B$10,Paramètres!$A$1:$I$88,5,0)</f>
        <v>5.7639226724859328E-14</v>
      </c>
      <c r="AK126" s="14">
        <f t="shared" si="89"/>
        <v>9.2325701996134334E-13</v>
      </c>
      <c r="AL126" s="22">
        <f t="shared" si="58"/>
        <v>1.708394296311803E-12</v>
      </c>
      <c r="AM126" s="62">
        <f t="shared" si="59"/>
        <v>293.33333333333502</v>
      </c>
      <c r="AN126" s="62">
        <f ca="1">AVERAGE(OFFSET($AM$3,0,0,'Données projet'!$E$10+1,1))-AVERAGE(OFFSET($H$3,0,0,'Données projet'!$E$10+1,1))</f>
        <v>95.135996821969457</v>
      </c>
      <c r="AO126" s="62">
        <f t="shared" si="90"/>
        <v>111.83039337220566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3.1263880373444408E-13</v>
      </c>
      <c r="BE126" s="14">
        <f>BD126*VLOOKUP('Données projet'!$B$11,Paramètres!$A$1:$I$88,3,0)*VLOOKUP('Données projet'!$B$11,Paramètres!$A$1:$I$88,5,0)</f>
        <v>2.82875589618925E-13</v>
      </c>
      <c r="BF126" s="14">
        <f t="shared" si="91"/>
        <v>3.7651460236245583E-12</v>
      </c>
      <c r="BG126" s="22">
        <f t="shared" si="61"/>
        <v>7.0503043097323991E-12</v>
      </c>
      <c r="BH126" s="62">
        <f t="shared" si="62"/>
        <v>293.33333333334036</v>
      </c>
      <c r="BI126" s="62">
        <f ca="1">AVERAGE(OFFSET($BH$3,0,0,'Données projet'!$E$11+1,1))-AVERAGE(OFFSET($H$3,0,0,'Données projet'!$E$11+1,1))</f>
        <v>168.44987180339865</v>
      </c>
      <c r="BJ126" s="62">
        <f t="shared" si="92"/>
        <v>375.85422976031748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0.63508820405754252</v>
      </c>
      <c r="BR126" s="23">
        <f>EXP(-LN(2)/2)*BR125+(1-EXP(-LN(2)/2))/(LN(2)/2)*BL126*BO126*VLOOKUP('Données projet'!$B$11,Paramètres!$A$1:$I$88,3,0)*0.475*44/12</f>
        <v>2.4019840435327376E-13</v>
      </c>
      <c r="BS126" s="24">
        <f t="shared" si="63"/>
        <v>0.63508820405778277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-6.8212102632969618E-13</v>
      </c>
      <c r="O127" s="14">
        <f>N127*VLOOKUP('Données projet'!$B$9,Paramètres!$A$1:$I$88,3,0)*VLOOKUP('Données projet'!$B$9,Paramètres!$A$1:$I$88,5,0)</f>
        <v>-4.0790837374515837E-13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190.92799938679798</v>
      </c>
      <c r="T127" s="62">
        <f t="shared" si="88"/>
        <v>172.54286890368337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1.4697515922987197</v>
      </c>
      <c r="AB127" s="23">
        <f>EXP(-LN(2)/2)*AB126+(1-EXP(-LN(2)/2))/(LN(2)/2)*V127*Y127*VLOOKUP('Données projet'!$B$9,Paramètres!$A$1:$I$88,3,0)*0.475*44/12</f>
        <v>2.6941077052502978E-13</v>
      </c>
      <c r="AC127" s="24">
        <f t="shared" si="57"/>
        <v>1.469751592298989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projet'!$B$10,Paramètres!$A$1:$I$88,3,0)*VLOOKUP('Données projet'!$B$10,Paramètres!$A$1:$I$88,5,0)</f>
        <v>5.7639226724859328E-14</v>
      </c>
      <c r="AK127" s="14">
        <f t="shared" si="89"/>
        <v>9.2325701996134334E-13</v>
      </c>
      <c r="AL127" s="22">
        <f t="shared" si="58"/>
        <v>1.708394296311803E-12</v>
      </c>
      <c r="AM127" s="62">
        <f t="shared" si="59"/>
        <v>293.33333333333502</v>
      </c>
      <c r="AN127" s="62">
        <f ca="1">AVERAGE(OFFSET($AM$3,0,0,'Données projet'!$E$10+1,1))-AVERAGE(OFFSET($H$3,0,0,'Données projet'!$E$10+1,1))</f>
        <v>95.135996821969457</v>
      </c>
      <c r="AO127" s="62">
        <f t="shared" si="90"/>
        <v>111.83039337220566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3.1263880373444408E-13</v>
      </c>
      <c r="BE127" s="14">
        <f>BD127*VLOOKUP('Données projet'!$B$11,Paramètres!$A$1:$I$88,3,0)*VLOOKUP('Données projet'!$B$11,Paramètres!$A$1:$I$88,5,0)</f>
        <v>2.82875589618925E-13</v>
      </c>
      <c r="BF127" s="14">
        <f t="shared" si="91"/>
        <v>3.7651460236245583E-12</v>
      </c>
      <c r="BG127" s="22">
        <f t="shared" si="61"/>
        <v>7.0503043097323991E-12</v>
      </c>
      <c r="BH127" s="62">
        <f t="shared" si="62"/>
        <v>293.33333333334036</v>
      </c>
      <c r="BI127" s="62">
        <f ca="1">AVERAGE(OFFSET($BH$3,0,0,'Données projet'!$E$11+1,1))-AVERAGE(OFFSET($H$3,0,0,'Données projet'!$E$11+1,1))</f>
        <v>168.44987180339865</v>
      </c>
      <c r="BJ127" s="62">
        <f t="shared" si="92"/>
        <v>375.85422976031748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0.61772168371975189</v>
      </c>
      <c r="BR127" s="23">
        <f>EXP(-LN(2)/2)*BR126+(1-EXP(-LN(2)/2))/(LN(2)/2)*BL127*BO127*VLOOKUP('Données projet'!$B$11,Paramètres!$A$1:$I$88,3,0)*0.475*44/12</f>
        <v>1.6984592054838821E-13</v>
      </c>
      <c r="BS127" s="24">
        <f t="shared" si="63"/>
        <v>0.61772168371992175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-6.8212102632969618E-13</v>
      </c>
      <c r="O128" s="14">
        <f>N128*VLOOKUP('Données projet'!$B$9,Paramètres!$A$1:$I$88,3,0)*VLOOKUP('Données projet'!$B$9,Paramètres!$A$1:$I$88,5,0)</f>
        <v>-4.0790837374515837E-13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190.92799938679798</v>
      </c>
      <c r="T128" s="62">
        <f t="shared" si="88"/>
        <v>172.54286890368337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1.429561157716434</v>
      </c>
      <c r="AB128" s="23">
        <f>EXP(-LN(2)/2)*AB127+(1-EXP(-LN(2)/2))/(LN(2)/2)*V128*Y128*VLOOKUP('Données projet'!$B$9,Paramètres!$A$1:$I$88,3,0)*0.475*44/12</f>
        <v>1.905021827629414E-13</v>
      </c>
      <c r="AC128" s="24">
        <f t="shared" si="57"/>
        <v>1.4295611577166245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projet'!$B$10,Paramètres!$A$1:$I$88,3,0)*VLOOKUP('Données projet'!$B$10,Paramètres!$A$1:$I$88,5,0)</f>
        <v>5.7639226724859328E-14</v>
      </c>
      <c r="AK128" s="14">
        <f t="shared" si="89"/>
        <v>9.2325701996134334E-13</v>
      </c>
      <c r="AL128" s="22">
        <f t="shared" si="58"/>
        <v>1.708394296311803E-12</v>
      </c>
      <c r="AM128" s="62">
        <f t="shared" si="59"/>
        <v>293.33333333333502</v>
      </c>
      <c r="AN128" s="62">
        <f ca="1">AVERAGE(OFFSET($AM$3,0,0,'Données projet'!$E$10+1,1))-AVERAGE(OFFSET($H$3,0,0,'Données projet'!$E$10+1,1))</f>
        <v>95.135996821969457</v>
      </c>
      <c r="AO128" s="62">
        <f t="shared" si="90"/>
        <v>111.83039337220566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3.1263880373444408E-13</v>
      </c>
      <c r="BE128" s="14">
        <f>BD128*VLOOKUP('Données projet'!$B$11,Paramètres!$A$1:$I$88,3,0)*VLOOKUP('Données projet'!$B$11,Paramètres!$A$1:$I$88,5,0)</f>
        <v>2.82875589618925E-13</v>
      </c>
      <c r="BF128" s="14">
        <f t="shared" si="91"/>
        <v>3.7651460236245583E-12</v>
      </c>
      <c r="BG128" s="22">
        <f t="shared" si="61"/>
        <v>7.0503043097323991E-12</v>
      </c>
      <c r="BH128" s="62">
        <f t="shared" si="62"/>
        <v>293.33333333334036</v>
      </c>
      <c r="BI128" s="62">
        <f ca="1">AVERAGE(OFFSET($BH$3,0,0,'Données projet'!$E$11+1,1))-AVERAGE(OFFSET($H$3,0,0,'Données projet'!$E$11+1,1))</f>
        <v>168.44987180339865</v>
      </c>
      <c r="BJ128" s="62">
        <f t="shared" si="92"/>
        <v>375.85422976031748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0.60083005179386373</v>
      </c>
      <c r="BR128" s="23">
        <f>EXP(-LN(2)/2)*BR127+(1-EXP(-LN(2)/2))/(LN(2)/2)*BL128*BO128*VLOOKUP('Données projet'!$B$11,Paramètres!$A$1:$I$88,3,0)*0.475*44/12</f>
        <v>1.2009920217663688E-13</v>
      </c>
      <c r="BS128" s="24">
        <f t="shared" si="63"/>
        <v>0.60083005179398385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-6.8212102632969618E-13</v>
      </c>
      <c r="O129" s="14">
        <f>N129*VLOOKUP('Données projet'!$B$9,Paramètres!$A$1:$I$88,3,0)*VLOOKUP('Données projet'!$B$9,Paramètres!$A$1:$I$88,5,0)</f>
        <v>-4.0790837374515837E-13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190.92799938679798</v>
      </c>
      <c r="T129" s="62">
        <f t="shared" si="88"/>
        <v>172.54286890368337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1.3904697326813242</v>
      </c>
      <c r="AB129" s="23">
        <f>EXP(-LN(2)/2)*AB128+(1-EXP(-LN(2)/2))/(LN(2)/2)*V129*Y129*VLOOKUP('Données projet'!$B$9,Paramètres!$A$1:$I$88,3,0)*0.475*44/12</f>
        <v>1.3470538526251489E-13</v>
      </c>
      <c r="AC129" s="24">
        <f t="shared" si="57"/>
        <v>1.390469732681459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projet'!$B$10,Paramètres!$A$1:$I$88,3,0)*VLOOKUP('Données projet'!$B$10,Paramètres!$A$1:$I$88,5,0)</f>
        <v>5.7639226724859328E-14</v>
      </c>
      <c r="AK129" s="14">
        <f t="shared" si="89"/>
        <v>9.2325701996134334E-13</v>
      </c>
      <c r="AL129" s="22">
        <f t="shared" si="58"/>
        <v>1.708394296311803E-12</v>
      </c>
      <c r="AM129" s="62">
        <f t="shared" si="59"/>
        <v>293.33333333333502</v>
      </c>
      <c r="AN129" s="62">
        <f ca="1">AVERAGE(OFFSET($AM$3,0,0,'Données projet'!$E$10+1,1))-AVERAGE(OFFSET($H$3,0,0,'Données projet'!$E$10+1,1))</f>
        <v>95.135996821969457</v>
      </c>
      <c r="AO129" s="62">
        <f t="shared" si="90"/>
        <v>111.83039337220566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3.1263880373444408E-13</v>
      </c>
      <c r="BE129" s="14">
        <f>BD129*VLOOKUP('Données projet'!$B$11,Paramètres!$A$1:$I$88,3,0)*VLOOKUP('Données projet'!$B$11,Paramètres!$A$1:$I$88,5,0)</f>
        <v>2.82875589618925E-13</v>
      </c>
      <c r="BF129" s="14">
        <f t="shared" si="91"/>
        <v>3.7651460236245583E-12</v>
      </c>
      <c r="BG129" s="22">
        <f t="shared" si="61"/>
        <v>7.0503043097323991E-12</v>
      </c>
      <c r="BH129" s="62">
        <f t="shared" si="62"/>
        <v>293.33333333334036</v>
      </c>
      <c r="BI129" s="62">
        <f ca="1">AVERAGE(OFFSET($BH$3,0,0,'Données projet'!$E$11+1,1))-AVERAGE(OFFSET($H$3,0,0,'Données projet'!$E$11+1,1))</f>
        <v>168.44987180339865</v>
      </c>
      <c r="BJ129" s="62">
        <f t="shared" si="92"/>
        <v>375.85422976031748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0.58440032243128137</v>
      </c>
      <c r="BR129" s="23">
        <f>EXP(-LN(2)/2)*BR128+(1-EXP(-LN(2)/2))/(LN(2)/2)*BL129*BO129*VLOOKUP('Données projet'!$B$11,Paramètres!$A$1:$I$88,3,0)*0.475*44/12</f>
        <v>8.4922960274194106E-14</v>
      </c>
      <c r="BS129" s="24">
        <f t="shared" si="63"/>
        <v>0.5844003224313663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-6.8212102632969618E-13</v>
      </c>
      <c r="O130" s="14">
        <f>N130*VLOOKUP('Données projet'!$B$9,Paramètres!$A$1:$I$88,3,0)*VLOOKUP('Données projet'!$B$9,Paramètres!$A$1:$I$88,5,0)</f>
        <v>-4.0790837374515837E-13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190.92799938679798</v>
      </c>
      <c r="T130" s="62">
        <f t="shared" si="88"/>
        <v>172.54286890368337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1.3524472647195283</v>
      </c>
      <c r="AB130" s="23">
        <f>EXP(-LN(2)/2)*AB129+(1-EXP(-LN(2)/2))/(LN(2)/2)*V130*Y130*VLOOKUP('Données projet'!$B$9,Paramètres!$A$1:$I$88,3,0)*0.475*44/12</f>
        <v>9.5251091381470702E-14</v>
      </c>
      <c r="AC130" s="24">
        <f t="shared" si="57"/>
        <v>1.3524472647196235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projet'!$B$10,Paramètres!$A$1:$I$88,3,0)*VLOOKUP('Données projet'!$B$10,Paramètres!$A$1:$I$88,5,0)</f>
        <v>5.7639226724859328E-14</v>
      </c>
      <c r="AK130" s="14">
        <f t="shared" si="89"/>
        <v>9.2325701996134334E-13</v>
      </c>
      <c r="AL130" s="22">
        <f t="shared" si="58"/>
        <v>1.708394296311803E-12</v>
      </c>
      <c r="AM130" s="62">
        <f t="shared" si="59"/>
        <v>293.33333333333502</v>
      </c>
      <c r="AN130" s="62">
        <f ca="1">AVERAGE(OFFSET($AM$3,0,0,'Données projet'!$E$10+1,1))-AVERAGE(OFFSET($H$3,0,0,'Données projet'!$E$10+1,1))</f>
        <v>95.135996821969457</v>
      </c>
      <c r="AO130" s="62">
        <f t="shared" si="90"/>
        <v>111.83039337220566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3.1263880373444408E-13</v>
      </c>
      <c r="BE130" s="14">
        <f>BD130*VLOOKUP('Données projet'!$B$11,Paramètres!$A$1:$I$88,3,0)*VLOOKUP('Données projet'!$B$11,Paramètres!$A$1:$I$88,5,0)</f>
        <v>2.82875589618925E-13</v>
      </c>
      <c r="BF130" s="14">
        <f t="shared" si="91"/>
        <v>3.7651460236245583E-12</v>
      </c>
      <c r="BG130" s="22">
        <f t="shared" si="61"/>
        <v>7.0503043097323991E-12</v>
      </c>
      <c r="BH130" s="62">
        <f t="shared" si="62"/>
        <v>293.33333333334036</v>
      </c>
      <c r="BI130" s="62">
        <f ca="1">AVERAGE(OFFSET($BH$3,0,0,'Données projet'!$E$11+1,1))-AVERAGE(OFFSET($H$3,0,0,'Données projet'!$E$11+1,1))</f>
        <v>168.44987180339865</v>
      </c>
      <c r="BJ130" s="62">
        <f t="shared" si="92"/>
        <v>375.85422976031748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0.56841986488212071</v>
      </c>
      <c r="BR130" s="23">
        <f>EXP(-LN(2)/2)*BR129+(1-EXP(-LN(2)/2))/(LN(2)/2)*BL130*BO130*VLOOKUP('Données projet'!$B$11,Paramètres!$A$1:$I$88,3,0)*0.475*44/12</f>
        <v>6.004960108831844E-14</v>
      </c>
      <c r="BS130" s="24">
        <f t="shared" si="63"/>
        <v>0.56841986488218077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-6.8212102632969618E-13</v>
      </c>
      <c r="O131" s="14">
        <f>N131*VLOOKUP('Données projet'!$B$9,Paramètres!$A$1:$I$88,3,0)*VLOOKUP('Données projet'!$B$9,Paramètres!$A$1:$I$88,5,0)</f>
        <v>-4.0790837374515837E-13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190.92799938679798</v>
      </c>
      <c r="T131" s="62">
        <f t="shared" si="88"/>
        <v>172.54286890368337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1.3154645231436621</v>
      </c>
      <c r="AB131" s="23">
        <f>EXP(-LN(2)/2)*AB130+(1-EXP(-LN(2)/2))/(LN(2)/2)*V131*Y131*VLOOKUP('Données projet'!$B$9,Paramètres!$A$1:$I$88,3,0)*0.475*44/12</f>
        <v>6.7352692631257445E-14</v>
      </c>
      <c r="AC131" s="24">
        <f t="shared" si="57"/>
        <v>1.3154645231437294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projet'!$B$10,Paramètres!$A$1:$I$88,3,0)*VLOOKUP('Données projet'!$B$10,Paramètres!$A$1:$I$88,5,0)</f>
        <v>5.7639226724859328E-14</v>
      </c>
      <c r="AK131" s="14">
        <f t="shared" si="89"/>
        <v>9.2325701996134334E-13</v>
      </c>
      <c r="AL131" s="22">
        <f t="shared" si="58"/>
        <v>1.708394296311803E-12</v>
      </c>
      <c r="AM131" s="62">
        <f t="shared" si="59"/>
        <v>293.33333333333502</v>
      </c>
      <c r="AN131" s="62">
        <f ca="1">AVERAGE(OFFSET($AM$3,0,0,'Données projet'!$E$10+1,1))-AVERAGE(OFFSET($H$3,0,0,'Données projet'!$E$10+1,1))</f>
        <v>95.135996821969457</v>
      </c>
      <c r="AO131" s="62">
        <f t="shared" si="90"/>
        <v>111.83039337220566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3.1263880373444408E-13</v>
      </c>
      <c r="BE131" s="14">
        <f>BD131*VLOOKUP('Données projet'!$B$11,Paramètres!$A$1:$I$88,3,0)*VLOOKUP('Données projet'!$B$11,Paramètres!$A$1:$I$88,5,0)</f>
        <v>2.82875589618925E-13</v>
      </c>
      <c r="BF131" s="14">
        <f t="shared" si="91"/>
        <v>3.7651460236245583E-12</v>
      </c>
      <c r="BG131" s="22">
        <f t="shared" si="61"/>
        <v>7.0503043097323991E-12</v>
      </c>
      <c r="BH131" s="62">
        <f t="shared" si="62"/>
        <v>293.33333333334036</v>
      </c>
      <c r="BI131" s="62">
        <f ca="1">AVERAGE(OFFSET($BH$3,0,0,'Données projet'!$E$11+1,1))-AVERAGE(OFFSET($H$3,0,0,'Données projet'!$E$11+1,1))</f>
        <v>168.44987180339865</v>
      </c>
      <c r="BJ131" s="62">
        <f t="shared" si="92"/>
        <v>375.85422976031748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0.55287639378501752</v>
      </c>
      <c r="BR131" s="23">
        <f>EXP(-LN(2)/2)*BR130+(1-EXP(-LN(2)/2))/(LN(2)/2)*BL131*BO131*VLOOKUP('Données projet'!$B$11,Paramètres!$A$1:$I$88,3,0)*0.475*44/12</f>
        <v>4.2461480137097053E-14</v>
      </c>
      <c r="BS131" s="24">
        <f t="shared" si="63"/>
        <v>0.55287639378505993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-6.8212102632969618E-13</v>
      </c>
      <c r="O132" s="14">
        <f>N132*VLOOKUP('Données projet'!$B$9,Paramètres!$A$1:$I$88,3,0)*VLOOKUP('Données projet'!$B$9,Paramètres!$A$1:$I$88,5,0)</f>
        <v>-4.0790837374515837E-13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190.92799938679798</v>
      </c>
      <c r="T132" s="62">
        <f t="shared" si="88"/>
        <v>172.54286890368337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1.279493076581026</v>
      </c>
      <c r="AB132" s="23">
        <f>EXP(-LN(2)/2)*AB131+(1-EXP(-LN(2)/2))/(LN(2)/2)*V132*Y132*VLOOKUP('Données projet'!$B$9,Paramètres!$A$1:$I$88,3,0)*0.475*44/12</f>
        <v>4.7625545690735351E-14</v>
      </c>
      <c r="AC132" s="24">
        <f t="shared" ref="AC132:AC153" si="111">SUM(Z132:AB132)</f>
        <v>1.2794930765810735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projet'!$B$10,Paramètres!$A$1:$I$88,3,0)*VLOOKUP('Données projet'!$B$10,Paramètres!$A$1:$I$88,5,0)</f>
        <v>5.7639226724859328E-14</v>
      </c>
      <c r="AK132" s="14">
        <f t="shared" si="89"/>
        <v>9.2325701996134334E-13</v>
      </c>
      <c r="AL132" s="22">
        <f t="shared" ref="AL132:AL153" si="112">(AJ132+AK132)*0.475*44/12</f>
        <v>1.708394296311803E-12</v>
      </c>
      <c r="AM132" s="62">
        <f t="shared" ref="AM132:AM195" si="113">AL132+(AD132+AE132)*44/12</f>
        <v>293.33333333333502</v>
      </c>
      <c r="AN132" s="62">
        <f ca="1">AVERAGE(OFFSET($AM$3,0,0,'Données projet'!$E$10+1,1))-AVERAGE(OFFSET($H$3,0,0,'Données projet'!$E$10+1,1))</f>
        <v>95.135996821969457</v>
      </c>
      <c r="AO132" s="62">
        <f t="shared" si="90"/>
        <v>111.83039337220566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3.1263880373444408E-13</v>
      </c>
      <c r="BE132" s="14">
        <f>BD132*VLOOKUP('Données projet'!$B$11,Paramètres!$A$1:$I$88,3,0)*VLOOKUP('Données projet'!$B$11,Paramètres!$A$1:$I$88,5,0)</f>
        <v>2.82875589618925E-13</v>
      </c>
      <c r="BF132" s="14">
        <f t="shared" si="91"/>
        <v>3.7651460236245583E-12</v>
      </c>
      <c r="BG132" s="22">
        <f t="shared" ref="BG132:BG153" si="115">(BE132+BF132)*0.475*44/12</f>
        <v>7.0503043097323991E-12</v>
      </c>
      <c r="BH132" s="62">
        <f t="shared" ref="BH132:BH195" si="116">BG132+(AY132+AZ132)*44/12</f>
        <v>293.33333333334036</v>
      </c>
      <c r="BI132" s="62">
        <f ca="1">AVERAGE(OFFSET($BH$3,0,0,'Données projet'!$E$11+1,1))-AVERAGE(OFFSET($H$3,0,0,'Données projet'!$E$11+1,1))</f>
        <v>168.44987180339865</v>
      </c>
      <c r="BJ132" s="62">
        <f t="shared" si="92"/>
        <v>375.85422976031748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0.53775795972246032</v>
      </c>
      <c r="BR132" s="23">
        <f>EXP(-LN(2)/2)*BR131+(1-EXP(-LN(2)/2))/(LN(2)/2)*BL132*BO132*VLOOKUP('Données projet'!$B$11,Paramètres!$A$1:$I$88,3,0)*0.475*44/12</f>
        <v>3.002480054415922E-14</v>
      </c>
      <c r="BS132" s="24">
        <f t="shared" ref="BS132:BS153" si="117">SUM(BP132:BR132)</f>
        <v>0.5377579597224903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-6.8212102632969618E-13</v>
      </c>
      <c r="O133" s="14">
        <f>N133*VLOOKUP('Données projet'!$B$9,Paramètres!$A$1:$I$88,3,0)*VLOOKUP('Données projet'!$B$9,Paramètres!$A$1:$I$88,5,0)</f>
        <v>-4.0790837374515837E-13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190.92799938679798</v>
      </c>
      <c r="T133" s="62">
        <f t="shared" ref="T133:T196" si="142">$T$3</f>
        <v>172.54286890368337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1.2445052711163012</v>
      </c>
      <c r="AB133" s="23">
        <f>EXP(-LN(2)/2)*AB132+(1-EXP(-LN(2)/2))/(LN(2)/2)*V133*Y133*VLOOKUP('Données projet'!$B$9,Paramètres!$A$1:$I$88,3,0)*0.475*44/12</f>
        <v>3.3676346315628723E-14</v>
      </c>
      <c r="AC133" s="24">
        <f t="shared" si="111"/>
        <v>1.2445052711163349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projet'!$B$10,Paramètres!$A$1:$I$88,3,0)*VLOOKUP('Données projet'!$B$10,Paramètres!$A$1:$I$88,5,0)</f>
        <v>5.7639226724859328E-14</v>
      </c>
      <c r="AK133" s="14">
        <f t="shared" ref="AK133:AK153" si="143">EXP(-1.0587+0.8836*LN(AJ133)+0.284)</f>
        <v>9.2325701996134334E-13</v>
      </c>
      <c r="AL133" s="22">
        <f t="shared" si="112"/>
        <v>1.708394296311803E-12</v>
      </c>
      <c r="AM133" s="62">
        <f t="shared" si="113"/>
        <v>293.33333333333502</v>
      </c>
      <c r="AN133" s="62">
        <f ca="1">AVERAGE(OFFSET($AM$3,0,0,'Données projet'!$E$10+1,1))-AVERAGE(OFFSET($H$3,0,0,'Données projet'!$E$10+1,1))</f>
        <v>95.135996821969457</v>
      </c>
      <c r="AO133" s="62">
        <f t="shared" ref="AO133:AO196" si="144">$AO$3</f>
        <v>111.83039337220566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3.1263880373444408E-13</v>
      </c>
      <c r="BE133" s="14">
        <f>BD133*VLOOKUP('Données projet'!$B$11,Paramètres!$A$1:$I$88,3,0)*VLOOKUP('Données projet'!$B$11,Paramètres!$A$1:$I$88,5,0)</f>
        <v>2.82875589618925E-13</v>
      </c>
      <c r="BF133" s="14">
        <f t="shared" ref="BF133:BF153" si="145">EXP(-1.0587+0.8836*LN(BE133)+0.284)</f>
        <v>3.7651460236245583E-12</v>
      </c>
      <c r="BG133" s="22">
        <f t="shared" si="115"/>
        <v>7.0503043097323991E-12</v>
      </c>
      <c r="BH133" s="62">
        <f t="shared" si="116"/>
        <v>293.33333333334036</v>
      </c>
      <c r="BI133" s="62">
        <f ca="1">AVERAGE(OFFSET($BH$3,0,0,'Données projet'!$E$11+1,1))-AVERAGE(OFFSET($H$3,0,0,'Données projet'!$E$11+1,1))</f>
        <v>168.44987180339865</v>
      </c>
      <c r="BJ133" s="62">
        <f t="shared" ref="BJ133:BJ196" si="146">$BJ$3</f>
        <v>375.85422976031748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0.52305294003438763</v>
      </c>
      <c r="BR133" s="23">
        <f>EXP(-LN(2)/2)*BR132+(1-EXP(-LN(2)/2))/(LN(2)/2)*BL133*BO133*VLOOKUP('Données projet'!$B$11,Paramètres!$A$1:$I$88,3,0)*0.475*44/12</f>
        <v>2.1230740068548527E-14</v>
      </c>
      <c r="BS133" s="24">
        <f t="shared" si="117"/>
        <v>0.52305294003440883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-6.8212102632969618E-13</v>
      </c>
      <c r="O134" s="14">
        <f>N134*VLOOKUP('Données projet'!$B$9,Paramètres!$A$1:$I$88,3,0)*VLOOKUP('Données projet'!$B$9,Paramètres!$A$1:$I$88,5,0)</f>
        <v>-4.0790837374515837E-13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190.92799938679798</v>
      </c>
      <c r="T134" s="62">
        <f t="shared" si="142"/>
        <v>172.54286890368337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1.210474209031938</v>
      </c>
      <c r="AB134" s="23">
        <f>EXP(-LN(2)/2)*AB133+(1-EXP(-LN(2)/2))/(LN(2)/2)*V134*Y134*VLOOKUP('Données projet'!$B$9,Paramètres!$A$1:$I$88,3,0)*0.475*44/12</f>
        <v>2.3812772845367676E-14</v>
      </c>
      <c r="AC134" s="24">
        <f t="shared" si="111"/>
        <v>1.2104742090319618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projet'!$B$10,Paramètres!$A$1:$I$88,3,0)*VLOOKUP('Données projet'!$B$10,Paramètres!$A$1:$I$88,5,0)</f>
        <v>5.7639226724859328E-14</v>
      </c>
      <c r="AK134" s="14">
        <f t="shared" si="143"/>
        <v>9.2325701996134334E-13</v>
      </c>
      <c r="AL134" s="22">
        <f t="shared" si="112"/>
        <v>1.708394296311803E-12</v>
      </c>
      <c r="AM134" s="62">
        <f t="shared" si="113"/>
        <v>293.33333333333502</v>
      </c>
      <c r="AN134" s="62">
        <f ca="1">AVERAGE(OFFSET($AM$3,0,0,'Données projet'!$E$10+1,1))-AVERAGE(OFFSET($H$3,0,0,'Données projet'!$E$10+1,1))</f>
        <v>95.135996821969457</v>
      </c>
      <c r="AO134" s="62">
        <f t="shared" si="144"/>
        <v>111.83039337220566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3.1263880373444408E-13</v>
      </c>
      <c r="BE134" s="14">
        <f>BD134*VLOOKUP('Données projet'!$B$11,Paramètres!$A$1:$I$88,3,0)*VLOOKUP('Données projet'!$B$11,Paramètres!$A$1:$I$88,5,0)</f>
        <v>2.82875589618925E-13</v>
      </c>
      <c r="BF134" s="14">
        <f t="shared" si="145"/>
        <v>3.7651460236245583E-12</v>
      </c>
      <c r="BG134" s="22">
        <f t="shared" si="115"/>
        <v>7.0503043097323991E-12</v>
      </c>
      <c r="BH134" s="62">
        <f t="shared" si="116"/>
        <v>293.33333333334036</v>
      </c>
      <c r="BI134" s="62">
        <f ca="1">AVERAGE(OFFSET($BH$3,0,0,'Données projet'!$E$11+1,1))-AVERAGE(OFFSET($H$3,0,0,'Données projet'!$E$11+1,1))</f>
        <v>168.44987180339865</v>
      </c>
      <c r="BJ134" s="62">
        <f t="shared" si="146"/>
        <v>375.85422976031748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0.50875002988298867</v>
      </c>
      <c r="BR134" s="23">
        <f>EXP(-LN(2)/2)*BR133+(1-EXP(-LN(2)/2))/(LN(2)/2)*BL134*BO134*VLOOKUP('Données projet'!$B$11,Paramètres!$A$1:$I$88,3,0)*0.475*44/12</f>
        <v>1.501240027207961E-14</v>
      </c>
      <c r="BS134" s="24">
        <f t="shared" si="117"/>
        <v>0.50875002988300366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-6.8212102632969618E-13</v>
      </c>
      <c r="O135" s="14">
        <f>N135*VLOOKUP('Données projet'!$B$9,Paramètres!$A$1:$I$88,3,0)*VLOOKUP('Données projet'!$B$9,Paramètres!$A$1:$I$88,5,0)</f>
        <v>-4.0790837374515837E-13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190.92799938679798</v>
      </c>
      <c r="T135" s="62">
        <f t="shared" si="142"/>
        <v>172.54286890368337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1.1773737281298875</v>
      </c>
      <c r="AB135" s="23">
        <f>EXP(-LN(2)/2)*AB134+(1-EXP(-LN(2)/2))/(LN(2)/2)*V135*Y135*VLOOKUP('Données projet'!$B$9,Paramètres!$A$1:$I$88,3,0)*0.475*44/12</f>
        <v>1.6838173157814361E-14</v>
      </c>
      <c r="AC135" s="24">
        <f t="shared" si="111"/>
        <v>1.1773737281299044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projet'!$B$10,Paramètres!$A$1:$I$88,3,0)*VLOOKUP('Données projet'!$B$10,Paramètres!$A$1:$I$88,5,0)</f>
        <v>5.7639226724859328E-14</v>
      </c>
      <c r="AK135" s="14">
        <f t="shared" si="143"/>
        <v>9.2325701996134334E-13</v>
      </c>
      <c r="AL135" s="22">
        <f t="shared" si="112"/>
        <v>1.708394296311803E-12</v>
      </c>
      <c r="AM135" s="62">
        <f t="shared" si="113"/>
        <v>293.33333333333502</v>
      </c>
      <c r="AN135" s="62">
        <f ca="1">AVERAGE(OFFSET($AM$3,0,0,'Données projet'!$E$10+1,1))-AVERAGE(OFFSET($H$3,0,0,'Données projet'!$E$10+1,1))</f>
        <v>95.135996821969457</v>
      </c>
      <c r="AO135" s="62">
        <f t="shared" si="144"/>
        <v>111.83039337220566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3.1263880373444408E-13</v>
      </c>
      <c r="BE135" s="14">
        <f>BD135*VLOOKUP('Données projet'!$B$11,Paramètres!$A$1:$I$88,3,0)*VLOOKUP('Données projet'!$B$11,Paramètres!$A$1:$I$88,5,0)</f>
        <v>2.82875589618925E-13</v>
      </c>
      <c r="BF135" s="14">
        <f t="shared" si="145"/>
        <v>3.7651460236245583E-12</v>
      </c>
      <c r="BG135" s="22">
        <f t="shared" si="115"/>
        <v>7.0503043097323991E-12</v>
      </c>
      <c r="BH135" s="62">
        <f t="shared" si="116"/>
        <v>293.33333333334036</v>
      </c>
      <c r="BI135" s="62">
        <f ca="1">AVERAGE(OFFSET($BH$3,0,0,'Données projet'!$E$11+1,1))-AVERAGE(OFFSET($H$3,0,0,'Données projet'!$E$11+1,1))</f>
        <v>168.44987180339865</v>
      </c>
      <c r="BJ135" s="62">
        <f t="shared" si="146"/>
        <v>375.85422976031748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0.49483823356183704</v>
      </c>
      <c r="BR135" s="23">
        <f>EXP(-LN(2)/2)*BR134+(1-EXP(-LN(2)/2))/(LN(2)/2)*BL135*BO135*VLOOKUP('Données projet'!$B$11,Paramètres!$A$1:$I$88,3,0)*0.475*44/12</f>
        <v>1.0615370034274263E-14</v>
      </c>
      <c r="BS135" s="24">
        <f t="shared" si="117"/>
        <v>0.49483823356184764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-6.8212102632969618E-13</v>
      </c>
      <c r="O136" s="14">
        <f>N136*VLOOKUP('Données projet'!$B$9,Paramètres!$A$1:$I$88,3,0)*VLOOKUP('Données projet'!$B$9,Paramètres!$A$1:$I$88,5,0)</f>
        <v>-4.0790837374515837E-13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190.92799938679798</v>
      </c>
      <c r="T136" s="62">
        <f t="shared" si="142"/>
        <v>172.54286890368337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1.1451783816187824</v>
      </c>
      <c r="AB136" s="23">
        <f>EXP(-LN(2)/2)*AB135+(1-EXP(-LN(2)/2))/(LN(2)/2)*V136*Y136*VLOOKUP('Données projet'!$B$9,Paramètres!$A$1:$I$88,3,0)*0.475*44/12</f>
        <v>1.1906386422683838E-14</v>
      </c>
      <c r="AC136" s="24">
        <f t="shared" si="111"/>
        <v>1.1451783816187944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projet'!$B$10,Paramètres!$A$1:$I$88,3,0)*VLOOKUP('Données projet'!$B$10,Paramètres!$A$1:$I$88,5,0)</f>
        <v>5.7639226724859328E-14</v>
      </c>
      <c r="AK136" s="14">
        <f t="shared" si="143"/>
        <v>9.2325701996134334E-13</v>
      </c>
      <c r="AL136" s="22">
        <f t="shared" si="112"/>
        <v>1.708394296311803E-12</v>
      </c>
      <c r="AM136" s="62">
        <f t="shared" si="113"/>
        <v>293.33333333333502</v>
      </c>
      <c r="AN136" s="62">
        <f ca="1">AVERAGE(OFFSET($AM$3,0,0,'Données projet'!$E$10+1,1))-AVERAGE(OFFSET($H$3,0,0,'Données projet'!$E$10+1,1))</f>
        <v>95.135996821969457</v>
      </c>
      <c r="AO136" s="62">
        <f t="shared" si="144"/>
        <v>111.83039337220566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3.1263880373444408E-13</v>
      </c>
      <c r="BE136" s="14">
        <f>BD136*VLOOKUP('Données projet'!$B$11,Paramètres!$A$1:$I$88,3,0)*VLOOKUP('Données projet'!$B$11,Paramètres!$A$1:$I$88,5,0)</f>
        <v>2.82875589618925E-13</v>
      </c>
      <c r="BF136" s="14">
        <f t="shared" si="145"/>
        <v>3.7651460236245583E-12</v>
      </c>
      <c r="BG136" s="22">
        <f t="shared" si="115"/>
        <v>7.0503043097323991E-12</v>
      </c>
      <c r="BH136" s="62">
        <f t="shared" si="116"/>
        <v>293.33333333334036</v>
      </c>
      <c r="BI136" s="62">
        <f ca="1">AVERAGE(OFFSET($BH$3,0,0,'Données projet'!$E$11+1,1))-AVERAGE(OFFSET($H$3,0,0,'Données projet'!$E$11+1,1))</f>
        <v>168.44987180339865</v>
      </c>
      <c r="BJ136" s="62">
        <f t="shared" si="146"/>
        <v>375.85422976031748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0.48130685604267687</v>
      </c>
      <c r="BR136" s="23">
        <f>EXP(-LN(2)/2)*BR135+(1-EXP(-LN(2)/2))/(LN(2)/2)*BL136*BO136*VLOOKUP('Données projet'!$B$11,Paramètres!$A$1:$I$88,3,0)*0.475*44/12</f>
        <v>7.506200136039805E-15</v>
      </c>
      <c r="BS136" s="24">
        <f t="shared" si="117"/>
        <v>0.48130685604268436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-6.8212102632969618E-13</v>
      </c>
      <c r="O137" s="14">
        <f>N137*VLOOKUP('Données projet'!$B$9,Paramètres!$A$1:$I$88,3,0)*VLOOKUP('Données projet'!$B$9,Paramètres!$A$1:$I$88,5,0)</f>
        <v>-4.0790837374515837E-13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190.92799938679798</v>
      </c>
      <c r="T137" s="62">
        <f t="shared" si="142"/>
        <v>172.54286890368337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1.1138634185511029</v>
      </c>
      <c r="AB137" s="23">
        <f>EXP(-LN(2)/2)*AB136+(1-EXP(-LN(2)/2))/(LN(2)/2)*V137*Y137*VLOOKUP('Données projet'!$B$9,Paramètres!$A$1:$I$88,3,0)*0.475*44/12</f>
        <v>8.4190865789071807E-15</v>
      </c>
      <c r="AC137" s="24">
        <f t="shared" si="111"/>
        <v>1.1138634185511114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projet'!$B$10,Paramètres!$A$1:$I$88,3,0)*VLOOKUP('Données projet'!$B$10,Paramètres!$A$1:$I$88,5,0)</f>
        <v>5.7639226724859328E-14</v>
      </c>
      <c r="AK137" s="14">
        <f t="shared" si="143"/>
        <v>9.2325701996134334E-13</v>
      </c>
      <c r="AL137" s="22">
        <f t="shared" si="112"/>
        <v>1.708394296311803E-12</v>
      </c>
      <c r="AM137" s="62">
        <f t="shared" si="113"/>
        <v>293.33333333333502</v>
      </c>
      <c r="AN137" s="62">
        <f ca="1">AVERAGE(OFFSET($AM$3,0,0,'Données projet'!$E$10+1,1))-AVERAGE(OFFSET($H$3,0,0,'Données projet'!$E$10+1,1))</f>
        <v>95.135996821969457</v>
      </c>
      <c r="AO137" s="62">
        <f t="shared" si="144"/>
        <v>111.83039337220566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3.1263880373444408E-13</v>
      </c>
      <c r="BE137" s="14">
        <f>BD137*VLOOKUP('Données projet'!$B$11,Paramètres!$A$1:$I$88,3,0)*VLOOKUP('Données projet'!$B$11,Paramètres!$A$1:$I$88,5,0)</f>
        <v>2.82875589618925E-13</v>
      </c>
      <c r="BF137" s="14">
        <f t="shared" si="145"/>
        <v>3.7651460236245583E-12</v>
      </c>
      <c r="BG137" s="22">
        <f t="shared" si="115"/>
        <v>7.0503043097323991E-12</v>
      </c>
      <c r="BH137" s="62">
        <f t="shared" si="116"/>
        <v>293.33333333334036</v>
      </c>
      <c r="BI137" s="62">
        <f ca="1">AVERAGE(OFFSET($BH$3,0,0,'Données projet'!$E$11+1,1))-AVERAGE(OFFSET($H$3,0,0,'Données projet'!$E$11+1,1))</f>
        <v>168.44987180339865</v>
      </c>
      <c r="BJ137" s="62">
        <f t="shared" si="146"/>
        <v>375.85422976031748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0.46814549475336237</v>
      </c>
      <c r="BR137" s="23">
        <f>EXP(-LN(2)/2)*BR136+(1-EXP(-LN(2)/2))/(LN(2)/2)*BL137*BO137*VLOOKUP('Données projet'!$B$11,Paramètres!$A$1:$I$88,3,0)*0.475*44/12</f>
        <v>5.3076850171371317E-15</v>
      </c>
      <c r="BS137" s="24">
        <f t="shared" si="117"/>
        <v>0.4681454947533677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-6.8212102632969618E-13</v>
      </c>
      <c r="O138" s="14">
        <f>N138*VLOOKUP('Données projet'!$B$9,Paramètres!$A$1:$I$88,3,0)*VLOOKUP('Données projet'!$B$9,Paramètres!$A$1:$I$88,5,0)</f>
        <v>-4.0790837374515837E-13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190.92799938679798</v>
      </c>
      <c r="T138" s="62">
        <f t="shared" si="142"/>
        <v>172.54286890368337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1.0834047647952916</v>
      </c>
      <c r="AB138" s="23">
        <f>EXP(-LN(2)/2)*AB137+(1-EXP(-LN(2)/2))/(LN(2)/2)*V138*Y138*VLOOKUP('Données projet'!$B$9,Paramètres!$A$1:$I$88,3,0)*0.475*44/12</f>
        <v>5.9531932113419189E-15</v>
      </c>
      <c r="AC138" s="24">
        <f t="shared" si="111"/>
        <v>1.0834047647952976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projet'!$B$10,Paramètres!$A$1:$I$88,3,0)*VLOOKUP('Données projet'!$B$10,Paramètres!$A$1:$I$88,5,0)</f>
        <v>5.7639226724859328E-14</v>
      </c>
      <c r="AK138" s="14">
        <f t="shared" si="143"/>
        <v>9.2325701996134334E-13</v>
      </c>
      <c r="AL138" s="22">
        <f t="shared" si="112"/>
        <v>1.708394296311803E-12</v>
      </c>
      <c r="AM138" s="62">
        <f t="shared" si="113"/>
        <v>293.33333333333502</v>
      </c>
      <c r="AN138" s="62">
        <f ca="1">AVERAGE(OFFSET($AM$3,0,0,'Données projet'!$E$10+1,1))-AVERAGE(OFFSET($H$3,0,0,'Données projet'!$E$10+1,1))</f>
        <v>95.135996821969457</v>
      </c>
      <c r="AO138" s="62">
        <f t="shared" si="144"/>
        <v>111.83039337220566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3.1263880373444408E-13</v>
      </c>
      <c r="BE138" s="14">
        <f>BD138*VLOOKUP('Données projet'!$B$11,Paramètres!$A$1:$I$88,3,0)*VLOOKUP('Données projet'!$B$11,Paramètres!$A$1:$I$88,5,0)</f>
        <v>2.82875589618925E-13</v>
      </c>
      <c r="BF138" s="14">
        <f t="shared" si="145"/>
        <v>3.7651460236245583E-12</v>
      </c>
      <c r="BG138" s="22">
        <f t="shared" si="115"/>
        <v>7.0503043097323991E-12</v>
      </c>
      <c r="BH138" s="62">
        <f t="shared" si="116"/>
        <v>293.33333333334036</v>
      </c>
      <c r="BI138" s="62">
        <f ca="1">AVERAGE(OFFSET($BH$3,0,0,'Données projet'!$E$11+1,1))-AVERAGE(OFFSET($H$3,0,0,'Données projet'!$E$11+1,1))</f>
        <v>168.44987180339865</v>
      </c>
      <c r="BJ138" s="62">
        <f t="shared" si="146"/>
        <v>375.85422976031748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0.45534403158063008</v>
      </c>
      <c r="BR138" s="23">
        <f>EXP(-LN(2)/2)*BR137+(1-EXP(-LN(2)/2))/(LN(2)/2)*BL138*BO138*VLOOKUP('Données projet'!$B$11,Paramètres!$A$1:$I$88,3,0)*0.475*44/12</f>
        <v>3.7531000680199025E-15</v>
      </c>
      <c r="BS138" s="24">
        <f t="shared" si="117"/>
        <v>0.45534403158063386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-6.8212102632969618E-13</v>
      </c>
      <c r="O139" s="14">
        <f>N139*VLOOKUP('Données projet'!$B$9,Paramètres!$A$1:$I$88,3,0)*VLOOKUP('Données projet'!$B$9,Paramètres!$A$1:$I$88,5,0)</f>
        <v>-4.0790837374515837E-13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190.92799938679798</v>
      </c>
      <c r="T139" s="62">
        <f t="shared" si="142"/>
        <v>172.54286890368337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1.0537790045281838</v>
      </c>
      <c r="AB139" s="23">
        <f>EXP(-LN(2)/2)*AB138+(1-EXP(-LN(2)/2))/(LN(2)/2)*V139*Y139*VLOOKUP('Données projet'!$B$9,Paramètres!$A$1:$I$88,3,0)*0.475*44/12</f>
        <v>4.2095432894535903E-15</v>
      </c>
      <c r="AC139" s="24">
        <f t="shared" si="111"/>
        <v>1.0537790045281881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projet'!$B$10,Paramètres!$A$1:$I$88,3,0)*VLOOKUP('Données projet'!$B$10,Paramètres!$A$1:$I$88,5,0)</f>
        <v>5.7639226724859328E-14</v>
      </c>
      <c r="AK139" s="14">
        <f t="shared" si="143"/>
        <v>9.2325701996134334E-13</v>
      </c>
      <c r="AL139" s="22">
        <f t="shared" si="112"/>
        <v>1.708394296311803E-12</v>
      </c>
      <c r="AM139" s="62">
        <f t="shared" si="113"/>
        <v>293.33333333333502</v>
      </c>
      <c r="AN139" s="62">
        <f ca="1">AVERAGE(OFFSET($AM$3,0,0,'Données projet'!$E$10+1,1))-AVERAGE(OFFSET($H$3,0,0,'Données projet'!$E$10+1,1))</f>
        <v>95.135996821969457</v>
      </c>
      <c r="AO139" s="62">
        <f t="shared" si="144"/>
        <v>111.83039337220566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3.1263880373444408E-13</v>
      </c>
      <c r="BE139" s="14">
        <f>BD139*VLOOKUP('Données projet'!$B$11,Paramètres!$A$1:$I$88,3,0)*VLOOKUP('Données projet'!$B$11,Paramètres!$A$1:$I$88,5,0)</f>
        <v>2.82875589618925E-13</v>
      </c>
      <c r="BF139" s="14">
        <f t="shared" si="145"/>
        <v>3.7651460236245583E-12</v>
      </c>
      <c r="BG139" s="22">
        <f t="shared" si="115"/>
        <v>7.0503043097323991E-12</v>
      </c>
      <c r="BH139" s="62">
        <f t="shared" si="116"/>
        <v>293.33333333334036</v>
      </c>
      <c r="BI139" s="62">
        <f ca="1">AVERAGE(OFFSET($BH$3,0,0,'Données projet'!$E$11+1,1))-AVERAGE(OFFSET($H$3,0,0,'Données projet'!$E$11+1,1))</f>
        <v>168.44987180339865</v>
      </c>
      <c r="BJ139" s="62">
        <f t="shared" si="146"/>
        <v>375.85422976031748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0.44289262509155586</v>
      </c>
      <c r="BR139" s="23">
        <f>EXP(-LN(2)/2)*BR138+(1-EXP(-LN(2)/2))/(LN(2)/2)*BL139*BO139*VLOOKUP('Données projet'!$B$11,Paramètres!$A$1:$I$88,3,0)*0.475*44/12</f>
        <v>2.6538425085685658E-15</v>
      </c>
      <c r="BS139" s="24">
        <f t="shared" si="117"/>
        <v>0.44289262509155852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-6.8212102632969618E-13</v>
      </c>
      <c r="O140" s="14">
        <f>N140*VLOOKUP('Données projet'!$B$9,Paramètres!$A$1:$I$88,3,0)*VLOOKUP('Données projet'!$B$9,Paramètres!$A$1:$I$88,5,0)</f>
        <v>-4.0790837374515837E-13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190.92799938679798</v>
      </c>
      <c r="T140" s="62">
        <f t="shared" si="142"/>
        <v>172.54286890368337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1.0249633622335312</v>
      </c>
      <c r="AB140" s="23">
        <f>EXP(-LN(2)/2)*AB139+(1-EXP(-LN(2)/2))/(LN(2)/2)*V140*Y140*VLOOKUP('Données projet'!$B$9,Paramètres!$A$1:$I$88,3,0)*0.475*44/12</f>
        <v>2.9765966056709594E-15</v>
      </c>
      <c r="AC140" s="24">
        <f t="shared" si="111"/>
        <v>1.0249633622335341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projet'!$B$10,Paramètres!$A$1:$I$88,3,0)*VLOOKUP('Données projet'!$B$10,Paramètres!$A$1:$I$88,5,0)</f>
        <v>5.7639226724859328E-14</v>
      </c>
      <c r="AK140" s="14">
        <f t="shared" si="143"/>
        <v>9.2325701996134334E-13</v>
      </c>
      <c r="AL140" s="22">
        <f t="shared" si="112"/>
        <v>1.708394296311803E-12</v>
      </c>
      <c r="AM140" s="62">
        <f t="shared" si="113"/>
        <v>293.33333333333502</v>
      </c>
      <c r="AN140" s="62">
        <f ca="1">AVERAGE(OFFSET($AM$3,0,0,'Données projet'!$E$10+1,1))-AVERAGE(OFFSET($H$3,0,0,'Données projet'!$E$10+1,1))</f>
        <v>95.135996821969457</v>
      </c>
      <c r="AO140" s="62">
        <f t="shared" si="144"/>
        <v>111.83039337220566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3.1263880373444408E-13</v>
      </c>
      <c r="BE140" s="14">
        <f>BD140*VLOOKUP('Données projet'!$B$11,Paramètres!$A$1:$I$88,3,0)*VLOOKUP('Données projet'!$B$11,Paramètres!$A$1:$I$88,5,0)</f>
        <v>2.82875589618925E-13</v>
      </c>
      <c r="BF140" s="14">
        <f t="shared" si="145"/>
        <v>3.7651460236245583E-12</v>
      </c>
      <c r="BG140" s="22">
        <f t="shared" si="115"/>
        <v>7.0503043097323991E-12</v>
      </c>
      <c r="BH140" s="62">
        <f t="shared" si="116"/>
        <v>293.33333333334036</v>
      </c>
      <c r="BI140" s="62">
        <f ca="1">AVERAGE(OFFSET($BH$3,0,0,'Données projet'!$E$11+1,1))-AVERAGE(OFFSET($H$3,0,0,'Données projet'!$E$11+1,1))</f>
        <v>168.44987180339865</v>
      </c>
      <c r="BJ140" s="62">
        <f t="shared" si="146"/>
        <v>375.85422976031748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0.43078170296771634</v>
      </c>
      <c r="BR140" s="23">
        <f>EXP(-LN(2)/2)*BR139+(1-EXP(-LN(2)/2))/(LN(2)/2)*BL140*BO140*VLOOKUP('Données projet'!$B$11,Paramètres!$A$1:$I$88,3,0)*0.475*44/12</f>
        <v>1.8765500340099513E-15</v>
      </c>
      <c r="BS140" s="24">
        <f t="shared" si="117"/>
        <v>0.43078170296771823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-6.8212102632969618E-13</v>
      </c>
      <c r="O141" s="14">
        <f>N141*VLOOKUP('Données projet'!$B$9,Paramètres!$A$1:$I$88,3,0)*VLOOKUP('Données projet'!$B$9,Paramètres!$A$1:$I$88,5,0)</f>
        <v>-4.0790837374515837E-13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190.92799938679798</v>
      </c>
      <c r="T141" s="62">
        <f t="shared" si="142"/>
        <v>172.54286890368337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0.99693568519277465</v>
      </c>
      <c r="AB141" s="23">
        <f>EXP(-LN(2)/2)*AB140+(1-EXP(-LN(2)/2))/(LN(2)/2)*V141*Y141*VLOOKUP('Données projet'!$B$9,Paramètres!$A$1:$I$88,3,0)*0.475*44/12</f>
        <v>2.1047716447267952E-15</v>
      </c>
      <c r="AC141" s="24">
        <f t="shared" si="111"/>
        <v>0.99693568519277675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projet'!$B$10,Paramètres!$A$1:$I$88,3,0)*VLOOKUP('Données projet'!$B$10,Paramètres!$A$1:$I$88,5,0)</f>
        <v>5.7639226724859328E-14</v>
      </c>
      <c r="AK141" s="14">
        <f t="shared" si="143"/>
        <v>9.2325701996134334E-13</v>
      </c>
      <c r="AL141" s="22">
        <f t="shared" si="112"/>
        <v>1.708394296311803E-12</v>
      </c>
      <c r="AM141" s="62">
        <f t="shared" si="113"/>
        <v>293.33333333333502</v>
      </c>
      <c r="AN141" s="62">
        <f ca="1">AVERAGE(OFFSET($AM$3,0,0,'Données projet'!$E$10+1,1))-AVERAGE(OFFSET($H$3,0,0,'Données projet'!$E$10+1,1))</f>
        <v>95.135996821969457</v>
      </c>
      <c r="AO141" s="62">
        <f t="shared" si="144"/>
        <v>111.83039337220566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3.1263880373444408E-13</v>
      </c>
      <c r="BE141" s="14">
        <f>BD141*VLOOKUP('Données projet'!$B$11,Paramètres!$A$1:$I$88,3,0)*VLOOKUP('Données projet'!$B$11,Paramètres!$A$1:$I$88,5,0)</f>
        <v>2.82875589618925E-13</v>
      </c>
      <c r="BF141" s="14">
        <f t="shared" si="145"/>
        <v>3.7651460236245583E-12</v>
      </c>
      <c r="BG141" s="22">
        <f t="shared" si="115"/>
        <v>7.0503043097323991E-12</v>
      </c>
      <c r="BH141" s="62">
        <f t="shared" si="116"/>
        <v>293.33333333334036</v>
      </c>
      <c r="BI141" s="62">
        <f ca="1">AVERAGE(OFFSET($BH$3,0,0,'Données projet'!$E$11+1,1))-AVERAGE(OFFSET($H$3,0,0,'Données projet'!$E$11+1,1))</f>
        <v>168.44987180339865</v>
      </c>
      <c r="BJ141" s="62">
        <f t="shared" si="146"/>
        <v>375.85422976031748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0.41900195464623896</v>
      </c>
      <c r="BR141" s="23">
        <f>EXP(-LN(2)/2)*BR140+(1-EXP(-LN(2)/2))/(LN(2)/2)*BL141*BO141*VLOOKUP('Données projet'!$B$11,Paramètres!$A$1:$I$88,3,0)*0.475*44/12</f>
        <v>1.3269212542842829E-15</v>
      </c>
      <c r="BS141" s="24">
        <f t="shared" si="117"/>
        <v>0.41900195464624029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-6.8212102632969618E-13</v>
      </c>
      <c r="O142" s="14">
        <f>N142*VLOOKUP('Données projet'!$B$9,Paramètres!$A$1:$I$88,3,0)*VLOOKUP('Données projet'!$B$9,Paramètres!$A$1:$I$88,5,0)</f>
        <v>-4.0790837374515837E-13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190.92799938679798</v>
      </c>
      <c r="T142" s="62">
        <f t="shared" si="142"/>
        <v>172.54286890368337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0.96967442645460911</v>
      </c>
      <c r="AB142" s="23">
        <f>EXP(-LN(2)/2)*AB141+(1-EXP(-LN(2)/2))/(LN(2)/2)*V142*Y142*VLOOKUP('Données projet'!$B$9,Paramètres!$A$1:$I$88,3,0)*0.475*44/12</f>
        <v>1.4882983028354797E-15</v>
      </c>
      <c r="AC142" s="24">
        <f t="shared" si="111"/>
        <v>0.96967442645461055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projet'!$B$10,Paramètres!$A$1:$I$88,3,0)*VLOOKUP('Données projet'!$B$10,Paramètres!$A$1:$I$88,5,0)</f>
        <v>5.7639226724859328E-14</v>
      </c>
      <c r="AK142" s="14">
        <f t="shared" si="143"/>
        <v>9.2325701996134334E-13</v>
      </c>
      <c r="AL142" s="22">
        <f t="shared" si="112"/>
        <v>1.708394296311803E-12</v>
      </c>
      <c r="AM142" s="62">
        <f t="shared" si="113"/>
        <v>293.33333333333502</v>
      </c>
      <c r="AN142" s="62">
        <f ca="1">AVERAGE(OFFSET($AM$3,0,0,'Données projet'!$E$10+1,1))-AVERAGE(OFFSET($H$3,0,0,'Données projet'!$E$10+1,1))</f>
        <v>95.135996821969457</v>
      </c>
      <c r="AO142" s="62">
        <f t="shared" si="144"/>
        <v>111.83039337220566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3.1263880373444408E-13</v>
      </c>
      <c r="BE142" s="14">
        <f>BD142*VLOOKUP('Données projet'!$B$11,Paramètres!$A$1:$I$88,3,0)*VLOOKUP('Données projet'!$B$11,Paramètres!$A$1:$I$88,5,0)</f>
        <v>2.82875589618925E-13</v>
      </c>
      <c r="BF142" s="14">
        <f t="shared" si="145"/>
        <v>3.7651460236245583E-12</v>
      </c>
      <c r="BG142" s="22">
        <f t="shared" si="115"/>
        <v>7.0503043097323991E-12</v>
      </c>
      <c r="BH142" s="62">
        <f t="shared" si="116"/>
        <v>293.33333333334036</v>
      </c>
      <c r="BI142" s="62">
        <f ca="1">AVERAGE(OFFSET($BH$3,0,0,'Données projet'!$E$11+1,1))-AVERAGE(OFFSET($H$3,0,0,'Données projet'!$E$11+1,1))</f>
        <v>168.44987180339865</v>
      </c>
      <c r="BJ142" s="62">
        <f t="shared" si="146"/>
        <v>375.85422976031748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0.40754432416208242</v>
      </c>
      <c r="BR142" s="23">
        <f>EXP(-LN(2)/2)*BR141+(1-EXP(-LN(2)/2))/(LN(2)/2)*BL142*BO142*VLOOKUP('Données projet'!$B$11,Paramètres!$A$1:$I$88,3,0)*0.475*44/12</f>
        <v>9.3827501700497563E-16</v>
      </c>
      <c r="BS142" s="24">
        <f t="shared" si="117"/>
        <v>0.40754432416208336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-6.8212102632969618E-13</v>
      </c>
      <c r="O143" s="14">
        <f>N143*VLOOKUP('Données projet'!$B$9,Paramètres!$A$1:$I$88,3,0)*VLOOKUP('Données projet'!$B$9,Paramètres!$A$1:$I$88,5,0)</f>
        <v>-4.0790837374515837E-13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190.92799938679798</v>
      </c>
      <c r="T143" s="62">
        <f t="shared" si="142"/>
        <v>172.54286890368337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0.94315862827024599</v>
      </c>
      <c r="AB143" s="23">
        <f>EXP(-LN(2)/2)*AB142+(1-EXP(-LN(2)/2))/(LN(2)/2)*V143*Y143*VLOOKUP('Données projet'!$B$9,Paramètres!$A$1:$I$88,3,0)*0.475*44/12</f>
        <v>1.0523858223633976E-15</v>
      </c>
      <c r="AC143" s="24">
        <f t="shared" si="111"/>
        <v>0.94315862827024699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projet'!$B$10,Paramètres!$A$1:$I$88,3,0)*VLOOKUP('Données projet'!$B$10,Paramètres!$A$1:$I$88,5,0)</f>
        <v>5.7639226724859328E-14</v>
      </c>
      <c r="AK143" s="14">
        <f t="shared" si="143"/>
        <v>9.2325701996134334E-13</v>
      </c>
      <c r="AL143" s="22">
        <f t="shared" si="112"/>
        <v>1.708394296311803E-12</v>
      </c>
      <c r="AM143" s="62">
        <f t="shared" si="113"/>
        <v>293.33333333333502</v>
      </c>
      <c r="AN143" s="62">
        <f ca="1">AVERAGE(OFFSET($AM$3,0,0,'Données projet'!$E$10+1,1))-AVERAGE(OFFSET($H$3,0,0,'Données projet'!$E$10+1,1))</f>
        <v>95.135996821969457</v>
      </c>
      <c r="AO143" s="62">
        <f t="shared" si="144"/>
        <v>111.83039337220566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3.1263880373444408E-13</v>
      </c>
      <c r="BE143" s="14">
        <f>BD143*VLOOKUP('Données projet'!$B$11,Paramètres!$A$1:$I$88,3,0)*VLOOKUP('Données projet'!$B$11,Paramètres!$A$1:$I$88,5,0)</f>
        <v>2.82875589618925E-13</v>
      </c>
      <c r="BF143" s="14">
        <f t="shared" si="145"/>
        <v>3.7651460236245583E-12</v>
      </c>
      <c r="BG143" s="22">
        <f t="shared" si="115"/>
        <v>7.0503043097323991E-12</v>
      </c>
      <c r="BH143" s="62">
        <f t="shared" si="116"/>
        <v>293.33333333334036</v>
      </c>
      <c r="BI143" s="62">
        <f ca="1">AVERAGE(OFFSET($BH$3,0,0,'Données projet'!$E$11+1,1))-AVERAGE(OFFSET($H$3,0,0,'Données projet'!$E$11+1,1))</f>
        <v>168.44987180339865</v>
      </c>
      <c r="BJ143" s="62">
        <f t="shared" si="146"/>
        <v>375.85422976031748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0.39640000318604574</v>
      </c>
      <c r="BR143" s="23">
        <f>EXP(-LN(2)/2)*BR142+(1-EXP(-LN(2)/2))/(LN(2)/2)*BL143*BO143*VLOOKUP('Données projet'!$B$11,Paramètres!$A$1:$I$88,3,0)*0.475*44/12</f>
        <v>6.6346062714214146E-16</v>
      </c>
      <c r="BS143" s="24">
        <f t="shared" si="117"/>
        <v>0.3964000031860464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-6.8212102632969618E-13</v>
      </c>
      <c r="O144" s="14">
        <f>N144*VLOOKUP('Données projet'!$B$9,Paramètres!$A$1:$I$88,3,0)*VLOOKUP('Données projet'!$B$9,Paramètres!$A$1:$I$88,5,0)</f>
        <v>-4.0790837374515837E-13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190.92799938679798</v>
      </c>
      <c r="T144" s="62">
        <f t="shared" si="142"/>
        <v>172.54286890368337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0.91736790598163942</v>
      </c>
      <c r="AB144" s="23">
        <f>EXP(-LN(2)/2)*AB143+(1-EXP(-LN(2)/2))/(LN(2)/2)*V144*Y144*VLOOKUP('Données projet'!$B$9,Paramètres!$A$1:$I$88,3,0)*0.475*44/12</f>
        <v>7.4414915141773986E-16</v>
      </c>
      <c r="AC144" s="24">
        <f t="shared" si="111"/>
        <v>0.9173679059816402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projet'!$B$10,Paramètres!$A$1:$I$88,3,0)*VLOOKUP('Données projet'!$B$10,Paramètres!$A$1:$I$88,5,0)</f>
        <v>5.7639226724859328E-14</v>
      </c>
      <c r="AK144" s="14">
        <f t="shared" si="143"/>
        <v>9.2325701996134334E-13</v>
      </c>
      <c r="AL144" s="22">
        <f t="shared" si="112"/>
        <v>1.708394296311803E-12</v>
      </c>
      <c r="AM144" s="62">
        <f t="shared" si="113"/>
        <v>293.33333333333502</v>
      </c>
      <c r="AN144" s="62">
        <f ca="1">AVERAGE(OFFSET($AM$3,0,0,'Données projet'!$E$10+1,1))-AVERAGE(OFFSET($H$3,0,0,'Données projet'!$E$10+1,1))</f>
        <v>95.135996821969457</v>
      </c>
      <c r="AO144" s="62">
        <f t="shared" si="144"/>
        <v>111.83039337220566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3.1263880373444408E-13</v>
      </c>
      <c r="BE144" s="14">
        <f>BD144*VLOOKUP('Données projet'!$B$11,Paramètres!$A$1:$I$88,3,0)*VLOOKUP('Données projet'!$B$11,Paramètres!$A$1:$I$88,5,0)</f>
        <v>2.82875589618925E-13</v>
      </c>
      <c r="BF144" s="14">
        <f t="shared" si="145"/>
        <v>3.7651460236245583E-12</v>
      </c>
      <c r="BG144" s="22">
        <f t="shared" si="115"/>
        <v>7.0503043097323991E-12</v>
      </c>
      <c r="BH144" s="62">
        <f t="shared" si="116"/>
        <v>293.33333333334036</v>
      </c>
      <c r="BI144" s="62">
        <f ca="1">AVERAGE(OFFSET($BH$3,0,0,'Données projet'!$E$11+1,1))-AVERAGE(OFFSET($H$3,0,0,'Données projet'!$E$11+1,1))</f>
        <v>168.44987180339865</v>
      </c>
      <c r="BJ144" s="62">
        <f t="shared" si="146"/>
        <v>375.85422976031748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0.38556042425315312</v>
      </c>
      <c r="BR144" s="23">
        <f>EXP(-LN(2)/2)*BR143+(1-EXP(-LN(2)/2))/(LN(2)/2)*BL144*BO144*VLOOKUP('Données projet'!$B$11,Paramètres!$A$1:$I$88,3,0)*0.475*44/12</f>
        <v>4.6913750850248781E-16</v>
      </c>
      <c r="BS144" s="24">
        <f t="shared" si="117"/>
        <v>0.38556042425315357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-6.8212102632969618E-13</v>
      </c>
      <c r="O145" s="14">
        <f>N145*VLOOKUP('Données projet'!$B$9,Paramètres!$A$1:$I$88,3,0)*VLOOKUP('Données projet'!$B$9,Paramètres!$A$1:$I$88,5,0)</f>
        <v>-4.0790837374515837E-13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190.92799938679798</v>
      </c>
      <c r="T145" s="62">
        <f t="shared" si="142"/>
        <v>172.54286890368337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0.89228243235029003</v>
      </c>
      <c r="AB145" s="23">
        <f>EXP(-LN(2)/2)*AB144+(1-EXP(-LN(2)/2))/(LN(2)/2)*V145*Y145*VLOOKUP('Données projet'!$B$9,Paramètres!$A$1:$I$88,3,0)*0.475*44/12</f>
        <v>5.2619291118169879E-16</v>
      </c>
      <c r="AC145" s="24">
        <f t="shared" si="111"/>
        <v>0.89228243235029059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projet'!$B$10,Paramètres!$A$1:$I$88,3,0)*VLOOKUP('Données projet'!$B$10,Paramètres!$A$1:$I$88,5,0)</f>
        <v>5.7639226724859328E-14</v>
      </c>
      <c r="AK145" s="14">
        <f t="shared" si="143"/>
        <v>9.2325701996134334E-13</v>
      </c>
      <c r="AL145" s="22">
        <f t="shared" si="112"/>
        <v>1.708394296311803E-12</v>
      </c>
      <c r="AM145" s="62">
        <f t="shared" si="113"/>
        <v>293.33333333333502</v>
      </c>
      <c r="AN145" s="62">
        <f ca="1">AVERAGE(OFFSET($AM$3,0,0,'Données projet'!$E$10+1,1))-AVERAGE(OFFSET($H$3,0,0,'Données projet'!$E$10+1,1))</f>
        <v>95.135996821969457</v>
      </c>
      <c r="AO145" s="62">
        <f t="shared" si="144"/>
        <v>111.83039337220566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3.1263880373444408E-13</v>
      </c>
      <c r="BE145" s="14">
        <f>BD145*VLOOKUP('Données projet'!$B$11,Paramètres!$A$1:$I$88,3,0)*VLOOKUP('Données projet'!$B$11,Paramètres!$A$1:$I$88,5,0)</f>
        <v>2.82875589618925E-13</v>
      </c>
      <c r="BF145" s="14">
        <f t="shared" si="145"/>
        <v>3.7651460236245583E-12</v>
      </c>
      <c r="BG145" s="22">
        <f t="shared" si="115"/>
        <v>7.0503043097323991E-12</v>
      </c>
      <c r="BH145" s="62">
        <f t="shared" si="116"/>
        <v>293.33333333334036</v>
      </c>
      <c r="BI145" s="62">
        <f ca="1">AVERAGE(OFFSET($BH$3,0,0,'Données projet'!$E$11+1,1))-AVERAGE(OFFSET($H$3,0,0,'Données projet'!$E$11+1,1))</f>
        <v>168.44987180339865</v>
      </c>
      <c r="BJ145" s="62">
        <f t="shared" si="146"/>
        <v>375.85422976031748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0.37501725417620912</v>
      </c>
      <c r="BR145" s="23">
        <f>EXP(-LN(2)/2)*BR144+(1-EXP(-LN(2)/2))/(LN(2)/2)*BL145*BO145*VLOOKUP('Données projet'!$B$11,Paramètres!$A$1:$I$88,3,0)*0.475*44/12</f>
        <v>3.3173031357107073E-16</v>
      </c>
      <c r="BS145" s="24">
        <f t="shared" si="117"/>
        <v>0.37501725417620946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-6.8212102632969618E-13</v>
      </c>
      <c r="O146" s="14">
        <f>N146*VLOOKUP('Données projet'!$B$9,Paramètres!$A$1:$I$88,3,0)*VLOOKUP('Données projet'!$B$9,Paramètres!$A$1:$I$88,5,0)</f>
        <v>-4.0790837374515837E-13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190.92799938679798</v>
      </c>
      <c r="T146" s="62">
        <f t="shared" si="142"/>
        <v>172.54286890368337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0.86788292231457753</v>
      </c>
      <c r="AB146" s="23">
        <f>EXP(-LN(2)/2)*AB145+(1-EXP(-LN(2)/2))/(LN(2)/2)*V146*Y146*VLOOKUP('Données projet'!$B$9,Paramètres!$A$1:$I$88,3,0)*0.475*44/12</f>
        <v>3.7207457570886993E-16</v>
      </c>
      <c r="AC146" s="24">
        <f t="shared" si="111"/>
        <v>0.86788292231457786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projet'!$B$10,Paramètres!$A$1:$I$88,3,0)*VLOOKUP('Données projet'!$B$10,Paramètres!$A$1:$I$88,5,0)</f>
        <v>5.7639226724859328E-14</v>
      </c>
      <c r="AK146" s="14">
        <f t="shared" si="143"/>
        <v>9.2325701996134334E-13</v>
      </c>
      <c r="AL146" s="22">
        <f t="shared" si="112"/>
        <v>1.708394296311803E-12</v>
      </c>
      <c r="AM146" s="62">
        <f t="shared" si="113"/>
        <v>293.33333333333502</v>
      </c>
      <c r="AN146" s="62">
        <f ca="1">AVERAGE(OFFSET($AM$3,0,0,'Données projet'!$E$10+1,1))-AVERAGE(OFFSET($H$3,0,0,'Données projet'!$E$10+1,1))</f>
        <v>95.135996821969457</v>
      </c>
      <c r="AO146" s="62">
        <f t="shared" si="144"/>
        <v>111.83039337220566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3.1263880373444408E-13</v>
      </c>
      <c r="BE146" s="14">
        <f>BD146*VLOOKUP('Données projet'!$B$11,Paramètres!$A$1:$I$88,3,0)*VLOOKUP('Données projet'!$B$11,Paramètres!$A$1:$I$88,5,0)</f>
        <v>2.82875589618925E-13</v>
      </c>
      <c r="BF146" s="14">
        <f t="shared" si="145"/>
        <v>3.7651460236245583E-12</v>
      </c>
      <c r="BG146" s="22">
        <f t="shared" si="115"/>
        <v>7.0503043097323991E-12</v>
      </c>
      <c r="BH146" s="62">
        <f t="shared" si="116"/>
        <v>293.33333333334036</v>
      </c>
      <c r="BI146" s="62">
        <f ca="1">AVERAGE(OFFSET($BH$3,0,0,'Données projet'!$E$11+1,1))-AVERAGE(OFFSET($H$3,0,0,'Données projet'!$E$11+1,1))</f>
        <v>168.44987180339865</v>
      </c>
      <c r="BJ146" s="62">
        <f t="shared" si="146"/>
        <v>375.85422976031748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0.36476238763946039</v>
      </c>
      <c r="BR146" s="23">
        <f>EXP(-LN(2)/2)*BR145+(1-EXP(-LN(2)/2))/(LN(2)/2)*BL146*BO146*VLOOKUP('Données projet'!$B$11,Paramètres!$A$1:$I$88,3,0)*0.475*44/12</f>
        <v>2.3456875425124391E-16</v>
      </c>
      <c r="BS146" s="24">
        <f t="shared" si="117"/>
        <v>0.36476238763946062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-6.8212102632969618E-13</v>
      </c>
      <c r="O147" s="14">
        <f>N147*VLOOKUP('Données projet'!$B$9,Paramètres!$A$1:$I$88,3,0)*VLOOKUP('Données projet'!$B$9,Paramètres!$A$1:$I$88,5,0)</f>
        <v>-4.0790837374515837E-13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190.92799938679798</v>
      </c>
      <c r="T147" s="62">
        <f t="shared" si="142"/>
        <v>172.54286890368337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0.84415061816390613</v>
      </c>
      <c r="AB147" s="23">
        <f>EXP(-LN(2)/2)*AB146+(1-EXP(-LN(2)/2))/(LN(2)/2)*V147*Y147*VLOOKUP('Données projet'!$B$9,Paramètres!$A$1:$I$88,3,0)*0.475*44/12</f>
        <v>2.630964555908494E-16</v>
      </c>
      <c r="AC147" s="24">
        <f t="shared" si="111"/>
        <v>0.84415061816390635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projet'!$B$10,Paramètres!$A$1:$I$88,3,0)*VLOOKUP('Données projet'!$B$10,Paramètres!$A$1:$I$88,5,0)</f>
        <v>5.7639226724859328E-14</v>
      </c>
      <c r="AK147" s="14">
        <f t="shared" si="143"/>
        <v>9.2325701996134334E-13</v>
      </c>
      <c r="AL147" s="22">
        <f t="shared" si="112"/>
        <v>1.708394296311803E-12</v>
      </c>
      <c r="AM147" s="62">
        <f t="shared" si="113"/>
        <v>293.33333333333502</v>
      </c>
      <c r="AN147" s="62">
        <f ca="1">AVERAGE(OFFSET($AM$3,0,0,'Données projet'!$E$10+1,1))-AVERAGE(OFFSET($H$3,0,0,'Données projet'!$E$10+1,1))</f>
        <v>95.135996821969457</v>
      </c>
      <c r="AO147" s="62">
        <f t="shared" si="144"/>
        <v>111.83039337220566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3.1263880373444408E-13</v>
      </c>
      <c r="BE147" s="14">
        <f>BD147*VLOOKUP('Données projet'!$B$11,Paramètres!$A$1:$I$88,3,0)*VLOOKUP('Données projet'!$B$11,Paramètres!$A$1:$I$88,5,0)</f>
        <v>2.82875589618925E-13</v>
      </c>
      <c r="BF147" s="14">
        <f t="shared" si="145"/>
        <v>3.7651460236245583E-12</v>
      </c>
      <c r="BG147" s="22">
        <f t="shared" si="115"/>
        <v>7.0503043097323991E-12</v>
      </c>
      <c r="BH147" s="62">
        <f t="shared" si="116"/>
        <v>293.33333333334036</v>
      </c>
      <c r="BI147" s="62">
        <f ca="1">AVERAGE(OFFSET($BH$3,0,0,'Données projet'!$E$11+1,1))-AVERAGE(OFFSET($H$3,0,0,'Données projet'!$E$11+1,1))</f>
        <v>168.44987180339865</v>
      </c>
      <c r="BJ147" s="62">
        <f t="shared" si="146"/>
        <v>375.85422976031748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0.35478794096743904</v>
      </c>
      <c r="BR147" s="23">
        <f>EXP(-LN(2)/2)*BR146+(1-EXP(-LN(2)/2))/(LN(2)/2)*BL147*BO147*VLOOKUP('Données projet'!$B$11,Paramètres!$A$1:$I$88,3,0)*0.475*44/12</f>
        <v>1.6586515678553536E-16</v>
      </c>
      <c r="BS147" s="24">
        <f t="shared" si="117"/>
        <v>0.35478794096743921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-6.8212102632969618E-13</v>
      </c>
      <c r="O148" s="14">
        <f>N148*VLOOKUP('Données projet'!$B$9,Paramètres!$A$1:$I$88,3,0)*VLOOKUP('Données projet'!$B$9,Paramètres!$A$1:$I$88,5,0)</f>
        <v>-4.0790837374515837E-13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190.92799938679798</v>
      </c>
      <c r="T148" s="62">
        <f t="shared" si="142"/>
        <v>172.54286890368337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0.82106727511826239</v>
      </c>
      <c r="AB148" s="23">
        <f>EXP(-LN(2)/2)*AB147+(1-EXP(-LN(2)/2))/(LN(2)/2)*V148*Y148*VLOOKUP('Données projet'!$B$9,Paramètres!$A$1:$I$88,3,0)*0.475*44/12</f>
        <v>1.8603728785443497E-16</v>
      </c>
      <c r="AC148" s="24">
        <f t="shared" si="111"/>
        <v>0.82106727511826261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projet'!$B$10,Paramètres!$A$1:$I$88,3,0)*VLOOKUP('Données projet'!$B$10,Paramètres!$A$1:$I$88,5,0)</f>
        <v>5.7639226724859328E-14</v>
      </c>
      <c r="AK148" s="14">
        <f t="shared" si="143"/>
        <v>9.2325701996134334E-13</v>
      </c>
      <c r="AL148" s="22">
        <f t="shared" si="112"/>
        <v>1.708394296311803E-12</v>
      </c>
      <c r="AM148" s="62">
        <f t="shared" si="113"/>
        <v>293.33333333333502</v>
      </c>
      <c r="AN148" s="62">
        <f ca="1">AVERAGE(OFFSET($AM$3,0,0,'Données projet'!$E$10+1,1))-AVERAGE(OFFSET($H$3,0,0,'Données projet'!$E$10+1,1))</f>
        <v>95.135996821969457</v>
      </c>
      <c r="AO148" s="62">
        <f t="shared" si="144"/>
        <v>111.83039337220566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3.1263880373444408E-13</v>
      </c>
      <c r="BE148" s="14">
        <f>BD148*VLOOKUP('Données projet'!$B$11,Paramètres!$A$1:$I$88,3,0)*VLOOKUP('Données projet'!$B$11,Paramètres!$A$1:$I$88,5,0)</f>
        <v>2.82875589618925E-13</v>
      </c>
      <c r="BF148" s="14">
        <f t="shared" si="145"/>
        <v>3.7651460236245583E-12</v>
      </c>
      <c r="BG148" s="22">
        <f t="shared" si="115"/>
        <v>7.0503043097323991E-12</v>
      </c>
      <c r="BH148" s="62">
        <f t="shared" si="116"/>
        <v>293.33333333334036</v>
      </c>
      <c r="BI148" s="62">
        <f ca="1">AVERAGE(OFFSET($BH$3,0,0,'Données projet'!$E$11+1,1))-AVERAGE(OFFSET($H$3,0,0,'Données projet'!$E$11+1,1))</f>
        <v>168.44987180339865</v>
      </c>
      <c r="BJ148" s="62">
        <f t="shared" si="146"/>
        <v>375.85422976031748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0.34508624606419747</v>
      </c>
      <c r="BR148" s="23">
        <f>EXP(-LN(2)/2)*BR147+(1-EXP(-LN(2)/2))/(LN(2)/2)*BL148*BO148*VLOOKUP('Données projet'!$B$11,Paramètres!$A$1:$I$88,3,0)*0.475*44/12</f>
        <v>1.1728437712562195E-16</v>
      </c>
      <c r="BS148" s="24">
        <f t="shared" si="117"/>
        <v>0.34508624606419758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-6.8212102632969618E-13</v>
      </c>
      <c r="O149" s="14">
        <f>N149*VLOOKUP('Données projet'!$B$9,Paramètres!$A$1:$I$88,3,0)*VLOOKUP('Données projet'!$B$9,Paramètres!$A$1:$I$88,5,0)</f>
        <v>-4.0790837374515837E-13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190.92799938679798</v>
      </c>
      <c r="T149" s="62">
        <f t="shared" si="142"/>
        <v>172.54286890368337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0.79861514730210204</v>
      </c>
      <c r="AB149" s="23">
        <f>EXP(-LN(2)/2)*AB148+(1-EXP(-LN(2)/2))/(LN(2)/2)*V149*Y149*VLOOKUP('Données projet'!$B$9,Paramètres!$A$1:$I$88,3,0)*0.475*44/12</f>
        <v>1.315482277954247E-16</v>
      </c>
      <c r="AC149" s="24">
        <f t="shared" si="111"/>
        <v>0.79861514730210215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projet'!$B$10,Paramètres!$A$1:$I$88,3,0)*VLOOKUP('Données projet'!$B$10,Paramètres!$A$1:$I$88,5,0)</f>
        <v>5.7639226724859328E-14</v>
      </c>
      <c r="AK149" s="14">
        <f t="shared" si="143"/>
        <v>9.2325701996134334E-13</v>
      </c>
      <c r="AL149" s="22">
        <f t="shared" si="112"/>
        <v>1.708394296311803E-12</v>
      </c>
      <c r="AM149" s="62">
        <f t="shared" si="113"/>
        <v>293.33333333333502</v>
      </c>
      <c r="AN149" s="62">
        <f ca="1">AVERAGE(OFFSET($AM$3,0,0,'Données projet'!$E$10+1,1))-AVERAGE(OFFSET($H$3,0,0,'Données projet'!$E$10+1,1))</f>
        <v>95.135996821969457</v>
      </c>
      <c r="AO149" s="62">
        <f t="shared" si="144"/>
        <v>111.83039337220566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3.1263880373444408E-13</v>
      </c>
      <c r="BE149" s="14">
        <f>BD149*VLOOKUP('Données projet'!$B$11,Paramètres!$A$1:$I$88,3,0)*VLOOKUP('Données projet'!$B$11,Paramètres!$A$1:$I$88,5,0)</f>
        <v>2.82875589618925E-13</v>
      </c>
      <c r="BF149" s="14">
        <f t="shared" si="145"/>
        <v>3.7651460236245583E-12</v>
      </c>
      <c r="BG149" s="22">
        <f t="shared" si="115"/>
        <v>7.0503043097323991E-12</v>
      </c>
      <c r="BH149" s="62">
        <f t="shared" si="116"/>
        <v>293.33333333334036</v>
      </c>
      <c r="BI149" s="62">
        <f ca="1">AVERAGE(OFFSET($BH$3,0,0,'Données projet'!$E$11+1,1))-AVERAGE(OFFSET($H$3,0,0,'Données projet'!$E$11+1,1))</f>
        <v>168.44987180339865</v>
      </c>
      <c r="BJ149" s="62">
        <f t="shared" si="146"/>
        <v>375.85422976031748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0.33564984451827501</v>
      </c>
      <c r="BR149" s="23">
        <f>EXP(-LN(2)/2)*BR148+(1-EXP(-LN(2)/2))/(LN(2)/2)*BL149*BO149*VLOOKUP('Données projet'!$B$11,Paramètres!$A$1:$I$88,3,0)*0.475*44/12</f>
        <v>8.2932578392767682E-17</v>
      </c>
      <c r="BS149" s="24">
        <f t="shared" si="117"/>
        <v>0.33564984451827506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-6.8212102632969618E-13</v>
      </c>
      <c r="O150" s="14">
        <f>N150*VLOOKUP('Données projet'!$B$9,Paramètres!$A$1:$I$88,3,0)*VLOOKUP('Données projet'!$B$9,Paramètres!$A$1:$I$88,5,0)</f>
        <v>-4.0790837374515837E-13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190.92799938679798</v>
      </c>
      <c r="T150" s="62">
        <f t="shared" si="142"/>
        <v>172.54286890368337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0.7767769741017807</v>
      </c>
      <c r="AB150" s="23">
        <f>EXP(-LN(2)/2)*AB149+(1-EXP(-LN(2)/2))/(LN(2)/2)*V150*Y150*VLOOKUP('Données projet'!$B$9,Paramètres!$A$1:$I$88,3,0)*0.475*44/12</f>
        <v>9.3018643927217483E-17</v>
      </c>
      <c r="AC150" s="24">
        <f t="shared" si="111"/>
        <v>0.77677697410178081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projet'!$B$10,Paramètres!$A$1:$I$88,3,0)*VLOOKUP('Données projet'!$B$10,Paramètres!$A$1:$I$88,5,0)</f>
        <v>5.7639226724859328E-14</v>
      </c>
      <c r="AK150" s="14">
        <f t="shared" si="143"/>
        <v>9.2325701996134334E-13</v>
      </c>
      <c r="AL150" s="22">
        <f t="shared" si="112"/>
        <v>1.708394296311803E-12</v>
      </c>
      <c r="AM150" s="62">
        <f t="shared" si="113"/>
        <v>293.33333333333502</v>
      </c>
      <c r="AN150" s="62">
        <f ca="1">AVERAGE(OFFSET($AM$3,0,0,'Données projet'!$E$10+1,1))-AVERAGE(OFFSET($H$3,0,0,'Données projet'!$E$10+1,1))</f>
        <v>95.135996821969457</v>
      </c>
      <c r="AO150" s="62">
        <f t="shared" si="144"/>
        <v>111.83039337220566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3.1263880373444408E-13</v>
      </c>
      <c r="BE150" s="14">
        <f>BD150*VLOOKUP('Données projet'!$B$11,Paramètres!$A$1:$I$88,3,0)*VLOOKUP('Données projet'!$B$11,Paramètres!$A$1:$I$88,5,0)</f>
        <v>2.82875589618925E-13</v>
      </c>
      <c r="BF150" s="14">
        <f t="shared" si="145"/>
        <v>3.7651460236245583E-12</v>
      </c>
      <c r="BG150" s="22">
        <f t="shared" si="115"/>
        <v>7.0503043097323991E-12</v>
      </c>
      <c r="BH150" s="62">
        <f t="shared" si="116"/>
        <v>293.33333333334036</v>
      </c>
      <c r="BI150" s="62">
        <f ca="1">AVERAGE(OFFSET($BH$3,0,0,'Données projet'!$E$11+1,1))-AVERAGE(OFFSET($H$3,0,0,'Données projet'!$E$11+1,1))</f>
        <v>168.44987180339865</v>
      </c>
      <c r="BJ150" s="62">
        <f t="shared" si="146"/>
        <v>375.85422976031748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0.3264714818688646</v>
      </c>
      <c r="BR150" s="23">
        <f>EXP(-LN(2)/2)*BR149+(1-EXP(-LN(2)/2))/(LN(2)/2)*BL150*BO150*VLOOKUP('Données projet'!$B$11,Paramètres!$A$1:$I$88,3,0)*0.475*44/12</f>
        <v>5.8642188562810977E-17</v>
      </c>
      <c r="BS150" s="24">
        <f t="shared" si="117"/>
        <v>0.32647148186886465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-6.8212102632969618E-13</v>
      </c>
      <c r="O151" s="14">
        <f>N151*VLOOKUP('Données projet'!$B$9,Paramètres!$A$1:$I$88,3,0)*VLOOKUP('Données projet'!$B$9,Paramètres!$A$1:$I$88,5,0)</f>
        <v>-4.0790837374515837E-13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190.92799938679798</v>
      </c>
      <c r="T151" s="62">
        <f t="shared" si="142"/>
        <v>172.54286890368337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0.75553596689604174</v>
      </c>
      <c r="AB151" s="23">
        <f>EXP(-LN(2)/2)*AB150+(1-EXP(-LN(2)/2))/(LN(2)/2)*V151*Y151*VLOOKUP('Données projet'!$B$9,Paramètres!$A$1:$I$88,3,0)*0.475*44/12</f>
        <v>6.5774113897712349E-17</v>
      </c>
      <c r="AC151" s="24">
        <f t="shared" si="111"/>
        <v>0.75553596689604186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projet'!$B$10,Paramètres!$A$1:$I$88,3,0)*VLOOKUP('Données projet'!$B$10,Paramètres!$A$1:$I$88,5,0)</f>
        <v>5.7639226724859328E-14</v>
      </c>
      <c r="AK151" s="14">
        <f t="shared" si="143"/>
        <v>9.2325701996134334E-13</v>
      </c>
      <c r="AL151" s="22">
        <f t="shared" si="112"/>
        <v>1.708394296311803E-12</v>
      </c>
      <c r="AM151" s="62">
        <f t="shared" si="113"/>
        <v>293.33333333333502</v>
      </c>
      <c r="AN151" s="62">
        <f ca="1">AVERAGE(OFFSET($AM$3,0,0,'Données projet'!$E$10+1,1))-AVERAGE(OFFSET($H$3,0,0,'Données projet'!$E$10+1,1))</f>
        <v>95.135996821969457</v>
      </c>
      <c r="AO151" s="62">
        <f t="shared" si="144"/>
        <v>111.83039337220566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3.1263880373444408E-13</v>
      </c>
      <c r="BE151" s="14">
        <f>BD151*VLOOKUP('Données projet'!$B$11,Paramètres!$A$1:$I$88,3,0)*VLOOKUP('Données projet'!$B$11,Paramètres!$A$1:$I$88,5,0)</f>
        <v>2.82875589618925E-13</v>
      </c>
      <c r="BF151" s="14">
        <f t="shared" si="145"/>
        <v>3.7651460236245583E-12</v>
      </c>
      <c r="BG151" s="22">
        <f t="shared" si="115"/>
        <v>7.0503043097323991E-12</v>
      </c>
      <c r="BH151" s="62">
        <f t="shared" si="116"/>
        <v>293.33333333334036</v>
      </c>
      <c r="BI151" s="62">
        <f ca="1">AVERAGE(OFFSET($BH$3,0,0,'Données projet'!$E$11+1,1))-AVERAGE(OFFSET($H$3,0,0,'Données projet'!$E$11+1,1))</f>
        <v>168.44987180339865</v>
      </c>
      <c r="BJ151" s="62">
        <f t="shared" si="146"/>
        <v>375.85422976031748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0.31754410202877142</v>
      </c>
      <c r="BR151" s="23">
        <f>EXP(-LN(2)/2)*BR150+(1-EXP(-LN(2)/2))/(LN(2)/2)*BL151*BO151*VLOOKUP('Données projet'!$B$11,Paramètres!$A$1:$I$88,3,0)*0.475*44/12</f>
        <v>4.1466289196383841E-17</v>
      </c>
      <c r="BS151" s="24">
        <f t="shared" si="117"/>
        <v>0.31754410202877148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-6.8212102632969618E-13</v>
      </c>
      <c r="O152" s="14">
        <f>N152*VLOOKUP('Données projet'!$B$9,Paramètres!$A$1:$I$88,3,0)*VLOOKUP('Données projet'!$B$9,Paramètres!$A$1:$I$88,5,0)</f>
        <v>-4.0790837374515837E-13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190.92799938679798</v>
      </c>
      <c r="T152" s="62">
        <f t="shared" si="142"/>
        <v>172.54286890368337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0.73487579614935983</v>
      </c>
      <c r="AB152" s="23">
        <f>EXP(-LN(2)/2)*AB151+(1-EXP(-LN(2)/2))/(LN(2)/2)*V152*Y152*VLOOKUP('Données projet'!$B$9,Paramètres!$A$1:$I$88,3,0)*0.475*44/12</f>
        <v>4.6509321963608741E-17</v>
      </c>
      <c r="AC152" s="24">
        <f t="shared" si="111"/>
        <v>0.73487579614935983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projet'!$B$10,Paramètres!$A$1:$I$88,3,0)*VLOOKUP('Données projet'!$B$10,Paramètres!$A$1:$I$88,5,0)</f>
        <v>5.7639226724859328E-14</v>
      </c>
      <c r="AK152" s="14">
        <f t="shared" si="143"/>
        <v>9.2325701996134334E-13</v>
      </c>
      <c r="AL152" s="22">
        <f t="shared" si="112"/>
        <v>1.708394296311803E-12</v>
      </c>
      <c r="AM152" s="62">
        <f t="shared" si="113"/>
        <v>293.33333333333502</v>
      </c>
      <c r="AN152" s="62">
        <f ca="1">AVERAGE(OFFSET($AM$3,0,0,'Données projet'!$E$10+1,1))-AVERAGE(OFFSET($H$3,0,0,'Données projet'!$E$10+1,1))</f>
        <v>95.135996821969457</v>
      </c>
      <c r="AO152" s="62">
        <f t="shared" si="144"/>
        <v>111.83039337220566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3.1263880373444408E-13</v>
      </c>
      <c r="BE152" s="14">
        <f>BD152*VLOOKUP('Données projet'!$B$11,Paramètres!$A$1:$I$88,3,0)*VLOOKUP('Données projet'!$B$11,Paramètres!$A$1:$I$88,5,0)</f>
        <v>2.82875589618925E-13</v>
      </c>
      <c r="BF152" s="14">
        <f t="shared" si="145"/>
        <v>3.7651460236245583E-12</v>
      </c>
      <c r="BG152" s="22">
        <f t="shared" si="115"/>
        <v>7.0503043097323991E-12</v>
      </c>
      <c r="BH152" s="62">
        <f t="shared" si="116"/>
        <v>293.33333333334036</v>
      </c>
      <c r="BI152" s="62">
        <f ca="1">AVERAGE(OFFSET($BH$3,0,0,'Données projet'!$E$11+1,1))-AVERAGE(OFFSET($H$3,0,0,'Données projet'!$E$11+1,1))</f>
        <v>168.44987180339865</v>
      </c>
      <c r="BJ152" s="62">
        <f t="shared" si="146"/>
        <v>375.85422976031748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0.30886084185987611</v>
      </c>
      <c r="BR152" s="23">
        <f>EXP(-LN(2)/2)*BR151+(1-EXP(-LN(2)/2))/(LN(2)/2)*BL152*BO152*VLOOKUP('Données projet'!$B$11,Paramètres!$A$1:$I$88,3,0)*0.475*44/12</f>
        <v>2.9321094281405488E-17</v>
      </c>
      <c r="BS152" s="24">
        <f t="shared" si="117"/>
        <v>0.30886084185987617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-6.8212102632969618E-13</v>
      </c>
      <c r="O153" s="14">
        <f>N153*VLOOKUP('Données projet'!$B$9,Paramètres!$A$1:$I$88,3,0)*VLOOKUP('Données projet'!$B$9,Paramètres!$A$1:$I$88,5,0)</f>
        <v>-4.0790837374515837E-13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190.92799938679798</v>
      </c>
      <c r="T153" s="62">
        <f t="shared" si="142"/>
        <v>172.54286890368337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0.714780578858217</v>
      </c>
      <c r="AB153" s="23">
        <f>EXP(-LN(2)/2)*AB152+(1-EXP(-LN(2)/2))/(LN(2)/2)*V153*Y153*VLOOKUP('Données projet'!$B$9,Paramètres!$A$1:$I$88,3,0)*0.475*44/12</f>
        <v>3.2887056948856174E-17</v>
      </c>
      <c r="AC153" s="24">
        <f t="shared" si="111"/>
        <v>0.714780578858217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projet'!$B$10,Paramètres!$A$1:$I$88,3,0)*VLOOKUP('Données projet'!$B$10,Paramètres!$A$1:$I$88,5,0)</f>
        <v>5.7639226724859328E-14</v>
      </c>
      <c r="AK153" s="14">
        <f t="shared" si="143"/>
        <v>9.2325701996134334E-13</v>
      </c>
      <c r="AL153" s="22">
        <f t="shared" si="112"/>
        <v>1.708394296311803E-12</v>
      </c>
      <c r="AM153" s="62">
        <f t="shared" si="113"/>
        <v>293.33333333333502</v>
      </c>
      <c r="AN153" s="62">
        <f ca="1">AVERAGE(OFFSET($AM$3,0,0,'Données projet'!$E$10+1,1))-AVERAGE(OFFSET($H$3,0,0,'Données projet'!$E$10+1,1))</f>
        <v>95.135996821969457</v>
      </c>
      <c r="AO153" s="62">
        <f t="shared" si="144"/>
        <v>111.83039337220566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3.1263880373444408E-13</v>
      </c>
      <c r="BE153" s="14">
        <f>BD153*VLOOKUP('Données projet'!$B$11,Paramètres!$A$1:$I$88,3,0)*VLOOKUP('Données projet'!$B$11,Paramètres!$A$1:$I$88,5,0)</f>
        <v>2.82875589618925E-13</v>
      </c>
      <c r="BF153" s="14">
        <f t="shared" si="145"/>
        <v>3.7651460236245583E-12</v>
      </c>
      <c r="BG153" s="22">
        <f t="shared" si="115"/>
        <v>7.0503043097323991E-12</v>
      </c>
      <c r="BH153" s="62">
        <f t="shared" si="116"/>
        <v>293.33333333334036</v>
      </c>
      <c r="BI153" s="62">
        <f ca="1">AVERAGE(OFFSET($BH$3,0,0,'Données projet'!$E$11+1,1))-AVERAGE(OFFSET($H$3,0,0,'Données projet'!$E$11+1,1))</f>
        <v>168.44987180339865</v>
      </c>
      <c r="BJ153" s="62">
        <f t="shared" si="146"/>
        <v>375.85422976031748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0.30041502589693203</v>
      </c>
      <c r="BR153" s="23">
        <f>EXP(-LN(2)/2)*BR152+(1-EXP(-LN(2)/2))/(LN(2)/2)*BL153*BO153*VLOOKUP('Données projet'!$B$11,Paramètres!$A$1:$I$88,3,0)*0.475*44/12</f>
        <v>2.0733144598191921E-17</v>
      </c>
      <c r="BS153" s="24">
        <f t="shared" si="117"/>
        <v>0.30041502589693203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-6.8212102632969618E-13</v>
      </c>
      <c r="O154" s="14">
        <f>N154*VLOOKUP('Données projet'!$B$9,Paramètres!$A$1:$I$88,3,0)*VLOOKUP('Données projet'!$B$9,Paramètres!$A$1:$I$88,5,0)</f>
        <v>-4.0790837374515837E-13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190.92799938679798</v>
      </c>
      <c r="T154" s="62">
        <f t="shared" si="142"/>
        <v>172.54286890368337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0.69523486634066212</v>
      </c>
      <c r="AB154" s="23">
        <f>EXP(-LN(2)/2)*AB153+(1-EXP(-LN(2)/2))/(LN(2)/2)*V154*Y154*VLOOKUP('Données projet'!$B$9,Paramètres!$A$1:$I$88,3,0)*0.475*44/12</f>
        <v>2.3254660981804371E-17</v>
      </c>
      <c r="AC154" s="24">
        <f t="shared" ref="AC154:AC203" si="163">SUM(Z154:AB154)</f>
        <v>0.69523486634066212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projet'!$B$10,Paramètres!$A$1:$I$88,3,0)*VLOOKUP('Données projet'!$B$10,Paramètres!$A$1:$I$88,5,0)</f>
        <v>5.7639226724859328E-14</v>
      </c>
      <c r="AK154" s="14">
        <f t="shared" ref="AK154:AK203" si="164">EXP(-1.0587+0.8836*LN(AJ154)+0.284)</f>
        <v>9.2325701996134334E-13</v>
      </c>
      <c r="AL154" s="22">
        <f t="shared" ref="AL154:AL203" si="165">(AJ154+AK154)*0.475*44/12</f>
        <v>1.708394296311803E-12</v>
      </c>
      <c r="AM154" s="62">
        <f t="shared" si="113"/>
        <v>293.33333333333502</v>
      </c>
      <c r="AN154" s="62">
        <f ca="1">AVERAGE(OFFSET($AM$3,0,0,'Données projet'!$E$10+1,1))-AVERAGE(OFFSET($H$3,0,0,'Données projet'!$E$10+1,1))</f>
        <v>95.135996821969457</v>
      </c>
      <c r="AO154" s="62">
        <f t="shared" si="144"/>
        <v>111.83039337220566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3.1263880373444408E-13</v>
      </c>
      <c r="BE154" s="14">
        <f>BD154*VLOOKUP('Données projet'!$B$11,Paramètres!$A$1:$I$88,3,0)*VLOOKUP('Données projet'!$B$11,Paramètres!$A$1:$I$88,5,0)</f>
        <v>2.82875589618925E-13</v>
      </c>
      <c r="BF154" s="14">
        <f t="shared" ref="BF154:BF203" si="167">EXP(-1.0587+0.8836*LN(BE154)+0.284)</f>
        <v>3.7651460236245583E-12</v>
      </c>
      <c r="BG154" s="22">
        <f t="shared" ref="BG154:BG203" si="168">(BE154+BF154)*0.475*44/12</f>
        <v>7.0503043097323991E-12</v>
      </c>
      <c r="BH154" s="62">
        <f t="shared" si="116"/>
        <v>293.33333333334036</v>
      </c>
      <c r="BI154" s="62">
        <f ca="1">AVERAGE(OFFSET($BH$3,0,0,'Données projet'!$E$11+1,1))-AVERAGE(OFFSET($H$3,0,0,'Données projet'!$E$11+1,1))</f>
        <v>168.44987180339865</v>
      </c>
      <c r="BJ154" s="62">
        <f t="shared" si="146"/>
        <v>375.85422976031748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0.2922001612156408</v>
      </c>
      <c r="BR154" s="23">
        <f>EXP(-LN(2)/2)*BR153+(1-EXP(-LN(2)/2))/(LN(2)/2)*BL154*BO154*VLOOKUP('Données projet'!$B$11,Paramètres!$A$1:$I$88,3,0)*0.475*44/12</f>
        <v>1.4660547140702744E-17</v>
      </c>
      <c r="BS154" s="24">
        <f t="shared" ref="BS154:BS203" si="169">SUM(BP154:BR154)</f>
        <v>0.2922001612156408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-6.8212102632969618E-13</v>
      </c>
      <c r="O155" s="14">
        <f>N155*VLOOKUP('Données projet'!$B$9,Paramètres!$A$1:$I$88,3,0)*VLOOKUP('Données projet'!$B$9,Paramètres!$A$1:$I$88,5,0)</f>
        <v>-4.0790837374515837E-13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190.92799938679798</v>
      </c>
      <c r="T155" s="62">
        <f t="shared" si="142"/>
        <v>172.54286890368337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0.67622363235976413</v>
      </c>
      <c r="AB155" s="23">
        <f>EXP(-LN(2)/2)*AB154+(1-EXP(-LN(2)/2))/(LN(2)/2)*V155*Y155*VLOOKUP('Données projet'!$B$9,Paramètres!$A$1:$I$88,3,0)*0.475*44/12</f>
        <v>1.6443528474428087E-17</v>
      </c>
      <c r="AC155" s="24">
        <f t="shared" si="163"/>
        <v>0.67622363235976413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projet'!$B$10,Paramètres!$A$1:$I$88,3,0)*VLOOKUP('Données projet'!$B$10,Paramètres!$A$1:$I$88,5,0)</f>
        <v>5.7639226724859328E-14</v>
      </c>
      <c r="AK155" s="14">
        <f t="shared" si="164"/>
        <v>9.2325701996134334E-13</v>
      </c>
      <c r="AL155" s="22">
        <f t="shared" si="165"/>
        <v>1.708394296311803E-12</v>
      </c>
      <c r="AM155" s="62">
        <f t="shared" si="113"/>
        <v>293.33333333333502</v>
      </c>
      <c r="AN155" s="62">
        <f ca="1">AVERAGE(OFFSET($AM$3,0,0,'Données projet'!$E$10+1,1))-AVERAGE(OFFSET($H$3,0,0,'Données projet'!$E$10+1,1))</f>
        <v>95.135996821969457</v>
      </c>
      <c r="AO155" s="62">
        <f t="shared" si="144"/>
        <v>111.83039337220566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3.1263880373444408E-13</v>
      </c>
      <c r="BE155" s="14">
        <f>BD155*VLOOKUP('Données projet'!$B$11,Paramètres!$A$1:$I$88,3,0)*VLOOKUP('Données projet'!$B$11,Paramètres!$A$1:$I$88,5,0)</f>
        <v>2.82875589618925E-13</v>
      </c>
      <c r="BF155" s="14">
        <f t="shared" si="167"/>
        <v>3.7651460236245583E-12</v>
      </c>
      <c r="BG155" s="22">
        <f t="shared" si="168"/>
        <v>7.0503043097323991E-12</v>
      </c>
      <c r="BH155" s="62">
        <f t="shared" si="116"/>
        <v>293.33333333334036</v>
      </c>
      <c r="BI155" s="62">
        <f ca="1">AVERAGE(OFFSET($BH$3,0,0,'Données projet'!$E$11+1,1))-AVERAGE(OFFSET($H$3,0,0,'Données projet'!$E$11+1,1))</f>
        <v>168.44987180339865</v>
      </c>
      <c r="BJ155" s="62">
        <f t="shared" si="146"/>
        <v>375.85422976031748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0.28420993244106046</v>
      </c>
      <c r="BR155" s="23">
        <f>EXP(-LN(2)/2)*BR154+(1-EXP(-LN(2)/2))/(LN(2)/2)*BL155*BO155*VLOOKUP('Données projet'!$B$11,Paramètres!$A$1:$I$88,3,0)*0.475*44/12</f>
        <v>1.036657229909596E-17</v>
      </c>
      <c r="BS155" s="24">
        <f t="shared" si="169"/>
        <v>0.28420993244106046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-6.8212102632969618E-13</v>
      </c>
      <c r="O156" s="14">
        <f>N156*VLOOKUP('Données projet'!$B$9,Paramètres!$A$1:$I$88,3,0)*VLOOKUP('Données projet'!$B$9,Paramètres!$A$1:$I$88,5,0)</f>
        <v>-4.0790837374515837E-13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190.92799938679798</v>
      </c>
      <c r="T156" s="62">
        <f t="shared" si="142"/>
        <v>172.54286890368337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0.65773226157183107</v>
      </c>
      <c r="AB156" s="23">
        <f>EXP(-LN(2)/2)*AB155+(1-EXP(-LN(2)/2))/(LN(2)/2)*V156*Y156*VLOOKUP('Données projet'!$B$9,Paramètres!$A$1:$I$88,3,0)*0.475*44/12</f>
        <v>1.1627330490902185E-17</v>
      </c>
      <c r="AC156" s="24">
        <f t="shared" si="163"/>
        <v>0.65773226157183107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projet'!$B$10,Paramètres!$A$1:$I$88,3,0)*VLOOKUP('Données projet'!$B$10,Paramètres!$A$1:$I$88,5,0)</f>
        <v>5.7639226724859328E-14</v>
      </c>
      <c r="AK156" s="14">
        <f t="shared" si="164"/>
        <v>9.2325701996134334E-13</v>
      </c>
      <c r="AL156" s="22">
        <f t="shared" si="165"/>
        <v>1.708394296311803E-12</v>
      </c>
      <c r="AM156" s="62">
        <f t="shared" si="113"/>
        <v>293.33333333333502</v>
      </c>
      <c r="AN156" s="62">
        <f ca="1">AVERAGE(OFFSET($AM$3,0,0,'Données projet'!$E$10+1,1))-AVERAGE(OFFSET($H$3,0,0,'Données projet'!$E$10+1,1))</f>
        <v>95.135996821969457</v>
      </c>
      <c r="AO156" s="62">
        <f t="shared" si="144"/>
        <v>111.83039337220566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3.1263880373444408E-13</v>
      </c>
      <c r="BE156" s="14">
        <f>BD156*VLOOKUP('Données projet'!$B$11,Paramètres!$A$1:$I$88,3,0)*VLOOKUP('Données projet'!$B$11,Paramètres!$A$1:$I$88,5,0)</f>
        <v>2.82875589618925E-13</v>
      </c>
      <c r="BF156" s="14">
        <f t="shared" si="167"/>
        <v>3.7651460236245583E-12</v>
      </c>
      <c r="BG156" s="22">
        <f t="shared" si="168"/>
        <v>7.0503043097323991E-12</v>
      </c>
      <c r="BH156" s="62">
        <f t="shared" si="116"/>
        <v>293.33333333334036</v>
      </c>
      <c r="BI156" s="62">
        <f ca="1">AVERAGE(OFFSET($BH$3,0,0,'Données projet'!$E$11+1,1))-AVERAGE(OFFSET($H$3,0,0,'Données projet'!$E$11+1,1))</f>
        <v>168.44987180339865</v>
      </c>
      <c r="BJ156" s="62">
        <f t="shared" si="146"/>
        <v>375.85422976031748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0.27643819689250887</v>
      </c>
      <c r="BR156" s="23">
        <f>EXP(-LN(2)/2)*BR155+(1-EXP(-LN(2)/2))/(LN(2)/2)*BL156*BO156*VLOOKUP('Données projet'!$B$11,Paramètres!$A$1:$I$88,3,0)*0.475*44/12</f>
        <v>7.3302735703513721E-18</v>
      </c>
      <c r="BS156" s="24">
        <f t="shared" si="169"/>
        <v>0.27643819689250887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-6.8212102632969618E-13</v>
      </c>
      <c r="O157" s="14">
        <f>N157*VLOOKUP('Données projet'!$B$9,Paramètres!$A$1:$I$88,3,0)*VLOOKUP('Données projet'!$B$9,Paramètres!$A$1:$I$88,5,0)</f>
        <v>-4.0790837374515837E-13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190.92799938679798</v>
      </c>
      <c r="T157" s="62">
        <f t="shared" si="142"/>
        <v>172.54286890368337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0.63974653829051298</v>
      </c>
      <c r="AB157" s="23">
        <f>EXP(-LN(2)/2)*AB156+(1-EXP(-LN(2)/2))/(LN(2)/2)*V157*Y157*VLOOKUP('Données projet'!$B$9,Paramètres!$A$1:$I$88,3,0)*0.475*44/12</f>
        <v>8.2217642372140436E-18</v>
      </c>
      <c r="AC157" s="24">
        <f t="shared" si="163"/>
        <v>0.63974653829051298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projet'!$B$10,Paramètres!$A$1:$I$88,3,0)*VLOOKUP('Données projet'!$B$10,Paramètres!$A$1:$I$88,5,0)</f>
        <v>5.7639226724859328E-14</v>
      </c>
      <c r="AK157" s="14">
        <f t="shared" si="164"/>
        <v>9.2325701996134334E-13</v>
      </c>
      <c r="AL157" s="22">
        <f t="shared" si="165"/>
        <v>1.708394296311803E-12</v>
      </c>
      <c r="AM157" s="62">
        <f t="shared" si="113"/>
        <v>293.33333333333502</v>
      </c>
      <c r="AN157" s="62">
        <f ca="1">AVERAGE(OFFSET($AM$3,0,0,'Données projet'!$E$10+1,1))-AVERAGE(OFFSET($H$3,0,0,'Données projet'!$E$10+1,1))</f>
        <v>95.135996821969457</v>
      </c>
      <c r="AO157" s="62">
        <f t="shared" si="144"/>
        <v>111.83039337220566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3.1263880373444408E-13</v>
      </c>
      <c r="BE157" s="14">
        <f>BD157*VLOOKUP('Données projet'!$B$11,Paramètres!$A$1:$I$88,3,0)*VLOOKUP('Données projet'!$B$11,Paramètres!$A$1:$I$88,5,0)</f>
        <v>2.82875589618925E-13</v>
      </c>
      <c r="BF157" s="14">
        <f t="shared" si="167"/>
        <v>3.7651460236245583E-12</v>
      </c>
      <c r="BG157" s="22">
        <f t="shared" si="168"/>
        <v>7.0503043097323991E-12</v>
      </c>
      <c r="BH157" s="62">
        <f t="shared" si="116"/>
        <v>293.33333333334036</v>
      </c>
      <c r="BI157" s="62">
        <f ca="1">AVERAGE(OFFSET($BH$3,0,0,'Données projet'!$E$11+1,1))-AVERAGE(OFFSET($H$3,0,0,'Données projet'!$E$11+1,1))</f>
        <v>168.44987180339865</v>
      </c>
      <c r="BJ157" s="62">
        <f t="shared" si="146"/>
        <v>375.85422976031748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0.26887897986123027</v>
      </c>
      <c r="BR157" s="23">
        <f>EXP(-LN(2)/2)*BR156+(1-EXP(-LN(2)/2))/(LN(2)/2)*BL157*BO157*VLOOKUP('Données projet'!$B$11,Paramètres!$A$1:$I$88,3,0)*0.475*44/12</f>
        <v>5.1832861495479801E-18</v>
      </c>
      <c r="BS157" s="24">
        <f t="shared" si="169"/>
        <v>0.26887897986123027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-6.8212102632969618E-13</v>
      </c>
      <c r="O158" s="14">
        <f>N158*VLOOKUP('Données projet'!$B$9,Paramètres!$A$1:$I$88,3,0)*VLOOKUP('Données projet'!$B$9,Paramètres!$A$1:$I$88,5,0)</f>
        <v>-4.0790837374515837E-13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190.92799938679798</v>
      </c>
      <c r="T158" s="62">
        <f t="shared" si="142"/>
        <v>172.54286890368337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0.62225263555815058</v>
      </c>
      <c r="AB158" s="23">
        <f>EXP(-LN(2)/2)*AB157+(1-EXP(-LN(2)/2))/(LN(2)/2)*V158*Y158*VLOOKUP('Données projet'!$B$9,Paramètres!$A$1:$I$88,3,0)*0.475*44/12</f>
        <v>5.8136652454510927E-18</v>
      </c>
      <c r="AC158" s="24">
        <f t="shared" si="163"/>
        <v>0.62225263555815058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projet'!$B$10,Paramètres!$A$1:$I$88,3,0)*VLOOKUP('Données projet'!$B$10,Paramètres!$A$1:$I$88,5,0)</f>
        <v>5.7639226724859328E-14</v>
      </c>
      <c r="AK158" s="14">
        <f t="shared" si="164"/>
        <v>9.2325701996134334E-13</v>
      </c>
      <c r="AL158" s="22">
        <f t="shared" si="165"/>
        <v>1.708394296311803E-12</v>
      </c>
      <c r="AM158" s="62">
        <f t="shared" si="113"/>
        <v>293.33333333333502</v>
      </c>
      <c r="AN158" s="62">
        <f ca="1">AVERAGE(OFFSET($AM$3,0,0,'Données projet'!$E$10+1,1))-AVERAGE(OFFSET($H$3,0,0,'Données projet'!$E$10+1,1))</f>
        <v>95.135996821969457</v>
      </c>
      <c r="AO158" s="62">
        <f t="shared" si="144"/>
        <v>111.83039337220566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3.1263880373444408E-13</v>
      </c>
      <c r="BE158" s="14">
        <f>BD158*VLOOKUP('Données projet'!$B$11,Paramètres!$A$1:$I$88,3,0)*VLOOKUP('Données projet'!$B$11,Paramètres!$A$1:$I$88,5,0)</f>
        <v>2.82875589618925E-13</v>
      </c>
      <c r="BF158" s="14">
        <f t="shared" si="167"/>
        <v>3.7651460236245583E-12</v>
      </c>
      <c r="BG158" s="22">
        <f t="shared" si="168"/>
        <v>7.0503043097323991E-12</v>
      </c>
      <c r="BH158" s="62">
        <f t="shared" si="116"/>
        <v>293.33333333334036</v>
      </c>
      <c r="BI158" s="62">
        <f ca="1">AVERAGE(OFFSET($BH$3,0,0,'Données projet'!$E$11+1,1))-AVERAGE(OFFSET($H$3,0,0,'Données projet'!$E$11+1,1))</f>
        <v>168.44987180339865</v>
      </c>
      <c r="BJ158" s="62">
        <f t="shared" si="146"/>
        <v>375.85422976031748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0.26152647001719392</v>
      </c>
      <c r="BR158" s="23">
        <f>EXP(-LN(2)/2)*BR157+(1-EXP(-LN(2)/2))/(LN(2)/2)*BL158*BO158*VLOOKUP('Données projet'!$B$11,Paramètres!$A$1:$I$88,3,0)*0.475*44/12</f>
        <v>3.665136785175686E-18</v>
      </c>
      <c r="BS158" s="24">
        <f t="shared" si="169"/>
        <v>0.26152647001719392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-6.8212102632969618E-13</v>
      </c>
      <c r="O159" s="14">
        <f>N159*VLOOKUP('Données projet'!$B$9,Paramètres!$A$1:$I$88,3,0)*VLOOKUP('Données projet'!$B$9,Paramètres!$A$1:$I$88,5,0)</f>
        <v>-4.0790837374515837E-13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190.92799938679798</v>
      </c>
      <c r="T159" s="62">
        <f t="shared" si="142"/>
        <v>172.54286890368337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0.60523710451596902</v>
      </c>
      <c r="AB159" s="23">
        <f>EXP(-LN(2)/2)*AB158+(1-EXP(-LN(2)/2))/(LN(2)/2)*V159*Y159*VLOOKUP('Données projet'!$B$9,Paramètres!$A$1:$I$88,3,0)*0.475*44/12</f>
        <v>4.1108821186070218E-18</v>
      </c>
      <c r="AC159" s="24">
        <f t="shared" si="163"/>
        <v>0.60523710451596902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projet'!$B$10,Paramètres!$A$1:$I$88,3,0)*VLOOKUP('Données projet'!$B$10,Paramètres!$A$1:$I$88,5,0)</f>
        <v>5.7639226724859328E-14</v>
      </c>
      <c r="AK159" s="14">
        <f t="shared" si="164"/>
        <v>9.2325701996134334E-13</v>
      </c>
      <c r="AL159" s="22">
        <f t="shared" si="165"/>
        <v>1.708394296311803E-12</v>
      </c>
      <c r="AM159" s="62">
        <f t="shared" si="113"/>
        <v>293.33333333333502</v>
      </c>
      <c r="AN159" s="62">
        <f ca="1">AVERAGE(OFFSET($AM$3,0,0,'Données projet'!$E$10+1,1))-AVERAGE(OFFSET($H$3,0,0,'Données projet'!$E$10+1,1))</f>
        <v>95.135996821969457</v>
      </c>
      <c r="AO159" s="62">
        <f t="shared" si="144"/>
        <v>111.83039337220566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3.1263880373444408E-13</v>
      </c>
      <c r="BE159" s="14">
        <f>BD159*VLOOKUP('Données projet'!$B$11,Paramètres!$A$1:$I$88,3,0)*VLOOKUP('Données projet'!$B$11,Paramètres!$A$1:$I$88,5,0)</f>
        <v>2.82875589618925E-13</v>
      </c>
      <c r="BF159" s="14">
        <f t="shared" si="167"/>
        <v>3.7651460236245583E-12</v>
      </c>
      <c r="BG159" s="22">
        <f t="shared" si="168"/>
        <v>7.0503043097323991E-12</v>
      </c>
      <c r="BH159" s="62">
        <f t="shared" si="116"/>
        <v>293.33333333334036</v>
      </c>
      <c r="BI159" s="62">
        <f ca="1">AVERAGE(OFFSET($BH$3,0,0,'Données projet'!$E$11+1,1))-AVERAGE(OFFSET($H$3,0,0,'Données projet'!$E$11+1,1))</f>
        <v>168.44987180339865</v>
      </c>
      <c r="BJ159" s="62">
        <f t="shared" si="146"/>
        <v>375.85422976031748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0.25437501494149445</v>
      </c>
      <c r="BR159" s="23">
        <f>EXP(-LN(2)/2)*BR158+(1-EXP(-LN(2)/2))/(LN(2)/2)*BL159*BO159*VLOOKUP('Données projet'!$B$11,Paramètres!$A$1:$I$88,3,0)*0.475*44/12</f>
        <v>2.5916430747739901E-18</v>
      </c>
      <c r="BS159" s="24">
        <f t="shared" si="169"/>
        <v>0.25437501494149445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-6.8212102632969618E-13</v>
      </c>
      <c r="O160" s="14">
        <f>N160*VLOOKUP('Données projet'!$B$9,Paramètres!$A$1:$I$88,3,0)*VLOOKUP('Données projet'!$B$9,Paramètres!$A$1:$I$88,5,0)</f>
        <v>-4.0790837374515837E-13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190.92799938679798</v>
      </c>
      <c r="T160" s="62">
        <f t="shared" si="142"/>
        <v>172.54286890368337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0.58868686406494375</v>
      </c>
      <c r="AB160" s="23">
        <f>EXP(-LN(2)/2)*AB159+(1-EXP(-LN(2)/2))/(LN(2)/2)*V160*Y160*VLOOKUP('Données projet'!$B$9,Paramètres!$A$1:$I$88,3,0)*0.475*44/12</f>
        <v>2.9068326227255463E-18</v>
      </c>
      <c r="AC160" s="24">
        <f t="shared" si="163"/>
        <v>0.58868686406494375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projet'!$B$10,Paramètres!$A$1:$I$88,3,0)*VLOOKUP('Données projet'!$B$10,Paramètres!$A$1:$I$88,5,0)</f>
        <v>5.7639226724859328E-14</v>
      </c>
      <c r="AK160" s="14">
        <f t="shared" si="164"/>
        <v>9.2325701996134334E-13</v>
      </c>
      <c r="AL160" s="22">
        <f t="shared" si="165"/>
        <v>1.708394296311803E-12</v>
      </c>
      <c r="AM160" s="62">
        <f t="shared" si="113"/>
        <v>293.33333333333502</v>
      </c>
      <c r="AN160" s="62">
        <f ca="1">AVERAGE(OFFSET($AM$3,0,0,'Données projet'!$E$10+1,1))-AVERAGE(OFFSET($H$3,0,0,'Données projet'!$E$10+1,1))</f>
        <v>95.135996821969457</v>
      </c>
      <c r="AO160" s="62">
        <f t="shared" si="144"/>
        <v>111.83039337220566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3.1263880373444408E-13</v>
      </c>
      <c r="BE160" s="14">
        <f>BD160*VLOOKUP('Données projet'!$B$11,Paramètres!$A$1:$I$88,3,0)*VLOOKUP('Données projet'!$B$11,Paramètres!$A$1:$I$88,5,0)</f>
        <v>2.82875589618925E-13</v>
      </c>
      <c r="BF160" s="14">
        <f t="shared" si="167"/>
        <v>3.7651460236245583E-12</v>
      </c>
      <c r="BG160" s="22">
        <f t="shared" si="168"/>
        <v>7.0503043097323991E-12</v>
      </c>
      <c r="BH160" s="62">
        <f t="shared" si="116"/>
        <v>293.33333333334036</v>
      </c>
      <c r="BI160" s="62">
        <f ca="1">AVERAGE(OFFSET($BH$3,0,0,'Données projet'!$E$11+1,1))-AVERAGE(OFFSET($H$3,0,0,'Données projet'!$E$11+1,1))</f>
        <v>168.44987180339865</v>
      </c>
      <c r="BJ160" s="62">
        <f t="shared" si="146"/>
        <v>375.85422976031748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0.24741911678091863</v>
      </c>
      <c r="BR160" s="23">
        <f>EXP(-LN(2)/2)*BR159+(1-EXP(-LN(2)/2))/(LN(2)/2)*BL160*BO160*VLOOKUP('Données projet'!$B$11,Paramètres!$A$1:$I$88,3,0)*0.475*44/12</f>
        <v>1.832568392587843E-18</v>
      </c>
      <c r="BS160" s="24">
        <f t="shared" si="169"/>
        <v>0.24741911678091863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-6.8212102632969618E-13</v>
      </c>
      <c r="O161" s="14">
        <f>N161*VLOOKUP('Données projet'!$B$9,Paramètres!$A$1:$I$88,3,0)*VLOOKUP('Données projet'!$B$9,Paramètres!$A$1:$I$88,5,0)</f>
        <v>-4.0790837374515837E-13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190.92799938679798</v>
      </c>
      <c r="T161" s="62">
        <f t="shared" si="142"/>
        <v>172.54286890368337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0.57258919080939119</v>
      </c>
      <c r="AB161" s="23">
        <f>EXP(-LN(2)/2)*AB160+(1-EXP(-LN(2)/2))/(LN(2)/2)*V161*Y161*VLOOKUP('Données projet'!$B$9,Paramètres!$A$1:$I$88,3,0)*0.475*44/12</f>
        <v>2.0554410593035109E-18</v>
      </c>
      <c r="AC161" s="24">
        <f t="shared" si="163"/>
        <v>0.57258919080939119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projet'!$B$10,Paramètres!$A$1:$I$88,3,0)*VLOOKUP('Données projet'!$B$10,Paramètres!$A$1:$I$88,5,0)</f>
        <v>5.7639226724859328E-14</v>
      </c>
      <c r="AK161" s="14">
        <f t="shared" si="164"/>
        <v>9.2325701996134334E-13</v>
      </c>
      <c r="AL161" s="22">
        <f t="shared" si="165"/>
        <v>1.708394296311803E-12</v>
      </c>
      <c r="AM161" s="62">
        <f t="shared" si="113"/>
        <v>293.33333333333502</v>
      </c>
      <c r="AN161" s="62">
        <f ca="1">AVERAGE(OFFSET($AM$3,0,0,'Données projet'!$E$10+1,1))-AVERAGE(OFFSET($H$3,0,0,'Données projet'!$E$10+1,1))</f>
        <v>95.135996821969457</v>
      </c>
      <c r="AO161" s="62">
        <f t="shared" si="144"/>
        <v>111.83039337220566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3.1263880373444408E-13</v>
      </c>
      <c r="BE161" s="14">
        <f>BD161*VLOOKUP('Données projet'!$B$11,Paramètres!$A$1:$I$88,3,0)*VLOOKUP('Données projet'!$B$11,Paramètres!$A$1:$I$88,5,0)</f>
        <v>2.82875589618925E-13</v>
      </c>
      <c r="BF161" s="14">
        <f t="shared" si="167"/>
        <v>3.7651460236245583E-12</v>
      </c>
      <c r="BG161" s="22">
        <f t="shared" si="168"/>
        <v>7.0503043097323991E-12</v>
      </c>
      <c r="BH161" s="62">
        <f t="shared" si="116"/>
        <v>293.33333333334036</v>
      </c>
      <c r="BI161" s="62">
        <f ca="1">AVERAGE(OFFSET($BH$3,0,0,'Données projet'!$E$11+1,1))-AVERAGE(OFFSET($H$3,0,0,'Données projet'!$E$11+1,1))</f>
        <v>168.44987180339865</v>
      </c>
      <c r="BJ161" s="62">
        <f t="shared" si="146"/>
        <v>375.85422976031748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0.24065342802133854</v>
      </c>
      <c r="BR161" s="23">
        <f>EXP(-LN(2)/2)*BR160+(1-EXP(-LN(2)/2))/(LN(2)/2)*BL161*BO161*VLOOKUP('Données projet'!$B$11,Paramètres!$A$1:$I$88,3,0)*0.475*44/12</f>
        <v>1.295821537386995E-18</v>
      </c>
      <c r="BS161" s="24">
        <f t="shared" si="169"/>
        <v>0.24065342802133854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-6.8212102632969618E-13</v>
      </c>
      <c r="O162" s="14">
        <f>N162*VLOOKUP('Données projet'!$B$9,Paramètres!$A$1:$I$88,3,0)*VLOOKUP('Données projet'!$B$9,Paramètres!$A$1:$I$88,5,0)</f>
        <v>-4.0790837374515837E-13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190.92799938679798</v>
      </c>
      <c r="T162" s="62">
        <f t="shared" si="142"/>
        <v>172.54286890368337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0.55693170927555147</v>
      </c>
      <c r="AB162" s="23">
        <f>EXP(-LN(2)/2)*AB161+(1-EXP(-LN(2)/2))/(LN(2)/2)*V162*Y162*VLOOKUP('Données projet'!$B$9,Paramètres!$A$1:$I$88,3,0)*0.475*44/12</f>
        <v>1.4534163113627732E-18</v>
      </c>
      <c r="AC162" s="24">
        <f t="shared" si="163"/>
        <v>0.55693170927555147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projet'!$B$10,Paramètres!$A$1:$I$88,3,0)*VLOOKUP('Données projet'!$B$10,Paramètres!$A$1:$I$88,5,0)</f>
        <v>5.7639226724859328E-14</v>
      </c>
      <c r="AK162" s="14">
        <f t="shared" si="164"/>
        <v>9.2325701996134334E-13</v>
      </c>
      <c r="AL162" s="22">
        <f t="shared" si="165"/>
        <v>1.708394296311803E-12</v>
      </c>
      <c r="AM162" s="62">
        <f t="shared" si="113"/>
        <v>293.33333333333502</v>
      </c>
      <c r="AN162" s="62">
        <f ca="1">AVERAGE(OFFSET($AM$3,0,0,'Données projet'!$E$10+1,1))-AVERAGE(OFFSET($H$3,0,0,'Données projet'!$E$10+1,1))</f>
        <v>95.135996821969457</v>
      </c>
      <c r="AO162" s="62">
        <f t="shared" si="144"/>
        <v>111.83039337220566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3.1263880373444408E-13</v>
      </c>
      <c r="BE162" s="14">
        <f>BD162*VLOOKUP('Données projet'!$B$11,Paramètres!$A$1:$I$88,3,0)*VLOOKUP('Données projet'!$B$11,Paramètres!$A$1:$I$88,5,0)</f>
        <v>2.82875589618925E-13</v>
      </c>
      <c r="BF162" s="14">
        <f t="shared" si="167"/>
        <v>3.7651460236245583E-12</v>
      </c>
      <c r="BG162" s="22">
        <f t="shared" si="168"/>
        <v>7.0503043097323991E-12</v>
      </c>
      <c r="BH162" s="62">
        <f t="shared" si="116"/>
        <v>293.33333333334036</v>
      </c>
      <c r="BI162" s="62">
        <f ca="1">AVERAGE(OFFSET($BH$3,0,0,'Données projet'!$E$11+1,1))-AVERAGE(OFFSET($H$3,0,0,'Données projet'!$E$11+1,1))</f>
        <v>168.44987180339865</v>
      </c>
      <c r="BJ162" s="62">
        <f t="shared" si="146"/>
        <v>375.85422976031748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0.23407274737668129</v>
      </c>
      <c r="BR162" s="23">
        <f>EXP(-LN(2)/2)*BR161+(1-EXP(-LN(2)/2))/(LN(2)/2)*BL162*BO162*VLOOKUP('Données projet'!$B$11,Paramètres!$A$1:$I$88,3,0)*0.475*44/12</f>
        <v>9.1628419629392151E-19</v>
      </c>
      <c r="BS162" s="24">
        <f t="shared" si="169"/>
        <v>0.23407274737668129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-6.8212102632969618E-13</v>
      </c>
      <c r="O163" s="14">
        <f>N163*VLOOKUP('Données projet'!$B$9,Paramètres!$A$1:$I$88,3,0)*VLOOKUP('Données projet'!$B$9,Paramètres!$A$1:$I$88,5,0)</f>
        <v>-4.0790837374515837E-13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190.92799938679798</v>
      </c>
      <c r="T163" s="62">
        <f t="shared" si="142"/>
        <v>172.54286890368337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0.54170238239764579</v>
      </c>
      <c r="AB163" s="23">
        <f>EXP(-LN(2)/2)*AB162+(1-EXP(-LN(2)/2))/(LN(2)/2)*V163*Y163*VLOOKUP('Données projet'!$B$9,Paramètres!$A$1:$I$88,3,0)*0.475*44/12</f>
        <v>1.0277205296517555E-18</v>
      </c>
      <c r="AC163" s="24">
        <f t="shared" si="163"/>
        <v>0.54170238239764579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projet'!$B$10,Paramètres!$A$1:$I$88,3,0)*VLOOKUP('Données projet'!$B$10,Paramètres!$A$1:$I$88,5,0)</f>
        <v>5.7639226724859328E-14</v>
      </c>
      <c r="AK163" s="14">
        <f t="shared" si="164"/>
        <v>9.2325701996134334E-13</v>
      </c>
      <c r="AL163" s="22">
        <f t="shared" si="165"/>
        <v>1.708394296311803E-12</v>
      </c>
      <c r="AM163" s="62">
        <f t="shared" si="113"/>
        <v>293.33333333333502</v>
      </c>
      <c r="AN163" s="62">
        <f ca="1">AVERAGE(OFFSET($AM$3,0,0,'Données projet'!$E$10+1,1))-AVERAGE(OFFSET($H$3,0,0,'Données projet'!$E$10+1,1))</f>
        <v>95.135996821969457</v>
      </c>
      <c r="AO163" s="62">
        <f t="shared" si="144"/>
        <v>111.83039337220566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3.1263880373444408E-13</v>
      </c>
      <c r="BE163" s="14">
        <f>BD163*VLOOKUP('Données projet'!$B$11,Paramètres!$A$1:$I$88,3,0)*VLOOKUP('Données projet'!$B$11,Paramètres!$A$1:$I$88,5,0)</f>
        <v>2.82875589618925E-13</v>
      </c>
      <c r="BF163" s="14">
        <f t="shared" si="167"/>
        <v>3.7651460236245583E-12</v>
      </c>
      <c r="BG163" s="22">
        <f t="shared" si="168"/>
        <v>7.0503043097323991E-12</v>
      </c>
      <c r="BH163" s="62">
        <f t="shared" si="116"/>
        <v>293.33333333334036</v>
      </c>
      <c r="BI163" s="62">
        <f ca="1">AVERAGE(OFFSET($BH$3,0,0,'Données projet'!$E$11+1,1))-AVERAGE(OFFSET($H$3,0,0,'Données projet'!$E$11+1,1))</f>
        <v>168.44987180339865</v>
      </c>
      <c r="BJ163" s="62">
        <f t="shared" si="146"/>
        <v>375.85422976031748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0.22767201579031515</v>
      </c>
      <c r="BR163" s="23">
        <f>EXP(-LN(2)/2)*BR162+(1-EXP(-LN(2)/2))/(LN(2)/2)*BL163*BO163*VLOOKUP('Données projet'!$B$11,Paramètres!$A$1:$I$88,3,0)*0.475*44/12</f>
        <v>6.4791076869349752E-19</v>
      </c>
      <c r="BS163" s="24">
        <f t="shared" si="169"/>
        <v>0.22767201579031515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-6.8212102632969618E-13</v>
      </c>
      <c r="O164" s="14">
        <f>N164*VLOOKUP('Données projet'!$B$9,Paramètres!$A$1:$I$88,3,0)*VLOOKUP('Données projet'!$B$9,Paramètres!$A$1:$I$88,5,0)</f>
        <v>-4.0790837374515837E-13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190.92799938679798</v>
      </c>
      <c r="T164" s="62">
        <f t="shared" si="142"/>
        <v>172.54286890368337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0.52688950226409192</v>
      </c>
      <c r="AB164" s="23">
        <f>EXP(-LN(2)/2)*AB163+(1-EXP(-LN(2)/2))/(LN(2)/2)*V164*Y164*VLOOKUP('Données projet'!$B$9,Paramètres!$A$1:$I$88,3,0)*0.475*44/12</f>
        <v>7.2670815568138658E-19</v>
      </c>
      <c r="AC164" s="24">
        <f t="shared" si="163"/>
        <v>0.52688950226409192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projet'!$B$10,Paramètres!$A$1:$I$88,3,0)*VLOOKUP('Données projet'!$B$10,Paramètres!$A$1:$I$88,5,0)</f>
        <v>5.7639226724859328E-14</v>
      </c>
      <c r="AK164" s="14">
        <f t="shared" si="164"/>
        <v>9.2325701996134334E-13</v>
      </c>
      <c r="AL164" s="22">
        <f t="shared" si="165"/>
        <v>1.708394296311803E-12</v>
      </c>
      <c r="AM164" s="62">
        <f t="shared" si="113"/>
        <v>293.33333333333502</v>
      </c>
      <c r="AN164" s="62">
        <f ca="1">AVERAGE(OFFSET($AM$3,0,0,'Données projet'!$E$10+1,1))-AVERAGE(OFFSET($H$3,0,0,'Données projet'!$E$10+1,1))</f>
        <v>95.135996821969457</v>
      </c>
      <c r="AO164" s="62">
        <f t="shared" si="144"/>
        <v>111.83039337220566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3.1263880373444408E-13</v>
      </c>
      <c r="BE164" s="14">
        <f>BD164*VLOOKUP('Données projet'!$B$11,Paramètres!$A$1:$I$88,3,0)*VLOOKUP('Données projet'!$B$11,Paramètres!$A$1:$I$88,5,0)</f>
        <v>2.82875589618925E-13</v>
      </c>
      <c r="BF164" s="14">
        <f t="shared" si="167"/>
        <v>3.7651460236245583E-12</v>
      </c>
      <c r="BG164" s="22">
        <f t="shared" si="168"/>
        <v>7.0503043097323991E-12</v>
      </c>
      <c r="BH164" s="62">
        <f t="shared" si="116"/>
        <v>293.33333333334036</v>
      </c>
      <c r="BI164" s="62">
        <f ca="1">AVERAGE(OFFSET($BH$3,0,0,'Données projet'!$E$11+1,1))-AVERAGE(OFFSET($H$3,0,0,'Données projet'!$E$11+1,1))</f>
        <v>168.44987180339865</v>
      </c>
      <c r="BJ164" s="62">
        <f t="shared" si="146"/>
        <v>375.85422976031748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0.22144631254577801</v>
      </c>
      <c r="BR164" s="23">
        <f>EXP(-LN(2)/2)*BR163+(1-EXP(-LN(2)/2))/(LN(2)/2)*BL164*BO164*VLOOKUP('Données projet'!$B$11,Paramètres!$A$1:$I$88,3,0)*0.475*44/12</f>
        <v>4.5814209814696075E-19</v>
      </c>
      <c r="BS164" s="24">
        <f t="shared" si="169"/>
        <v>0.22144631254577801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-6.8212102632969618E-13</v>
      </c>
      <c r="O165" s="14">
        <f>N165*VLOOKUP('Données projet'!$B$9,Paramètres!$A$1:$I$88,3,0)*VLOOKUP('Données projet'!$B$9,Paramètres!$A$1:$I$88,5,0)</f>
        <v>-4.0790837374515837E-13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190.92799938679798</v>
      </c>
      <c r="T165" s="62">
        <f t="shared" si="142"/>
        <v>172.54286890368337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0.51248168111676562</v>
      </c>
      <c r="AB165" s="23">
        <f>EXP(-LN(2)/2)*AB164+(1-EXP(-LN(2)/2))/(LN(2)/2)*V165*Y165*VLOOKUP('Données projet'!$B$9,Paramètres!$A$1:$I$88,3,0)*0.475*44/12</f>
        <v>5.1386026482587773E-19</v>
      </c>
      <c r="AC165" s="24">
        <f t="shared" si="163"/>
        <v>0.51248168111676562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projet'!$B$10,Paramètres!$A$1:$I$88,3,0)*VLOOKUP('Données projet'!$B$10,Paramètres!$A$1:$I$88,5,0)</f>
        <v>5.7639226724859328E-14</v>
      </c>
      <c r="AK165" s="14">
        <f t="shared" si="164"/>
        <v>9.2325701996134334E-13</v>
      </c>
      <c r="AL165" s="22">
        <f t="shared" si="165"/>
        <v>1.708394296311803E-12</v>
      </c>
      <c r="AM165" s="62">
        <f t="shared" si="113"/>
        <v>293.33333333333502</v>
      </c>
      <c r="AN165" s="62">
        <f ca="1">AVERAGE(OFFSET($AM$3,0,0,'Données projet'!$E$10+1,1))-AVERAGE(OFFSET($H$3,0,0,'Données projet'!$E$10+1,1))</f>
        <v>95.135996821969457</v>
      </c>
      <c r="AO165" s="62">
        <f t="shared" si="144"/>
        <v>111.83039337220566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3.1263880373444408E-13</v>
      </c>
      <c r="BE165" s="14">
        <f>BD165*VLOOKUP('Données projet'!$B$11,Paramètres!$A$1:$I$88,3,0)*VLOOKUP('Données projet'!$B$11,Paramètres!$A$1:$I$88,5,0)</f>
        <v>2.82875589618925E-13</v>
      </c>
      <c r="BF165" s="14">
        <f t="shared" si="167"/>
        <v>3.7651460236245583E-12</v>
      </c>
      <c r="BG165" s="22">
        <f t="shared" si="168"/>
        <v>7.0503043097323991E-12</v>
      </c>
      <c r="BH165" s="62">
        <f t="shared" si="116"/>
        <v>293.33333333334036</v>
      </c>
      <c r="BI165" s="62">
        <f ca="1">AVERAGE(OFFSET($BH$3,0,0,'Données projet'!$E$11+1,1))-AVERAGE(OFFSET($H$3,0,0,'Données projet'!$E$11+1,1))</f>
        <v>168.44987180339865</v>
      </c>
      <c r="BJ165" s="62">
        <f t="shared" si="146"/>
        <v>375.85422976031748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0.21539085148385825</v>
      </c>
      <c r="BR165" s="23">
        <f>EXP(-LN(2)/2)*BR164+(1-EXP(-LN(2)/2))/(LN(2)/2)*BL165*BO165*VLOOKUP('Données projet'!$B$11,Paramètres!$A$1:$I$88,3,0)*0.475*44/12</f>
        <v>3.2395538434674876E-19</v>
      </c>
      <c r="BS165" s="24">
        <f t="shared" si="169"/>
        <v>0.21539085148385825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-6.8212102632969618E-13</v>
      </c>
      <c r="O166" s="14">
        <f>N166*VLOOKUP('Données projet'!$B$9,Paramètres!$A$1:$I$88,3,0)*VLOOKUP('Données projet'!$B$9,Paramètres!$A$1:$I$88,5,0)</f>
        <v>-4.0790837374515837E-13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190.92799938679798</v>
      </c>
      <c r="T166" s="62">
        <f t="shared" si="142"/>
        <v>172.54286890368337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0.49846784259638732</v>
      </c>
      <c r="AB166" s="23">
        <f>EXP(-LN(2)/2)*AB165+(1-EXP(-LN(2)/2))/(LN(2)/2)*V166*Y166*VLOOKUP('Données projet'!$B$9,Paramètres!$A$1:$I$88,3,0)*0.475*44/12</f>
        <v>3.6335407784069329E-19</v>
      </c>
      <c r="AC166" s="24">
        <f t="shared" si="163"/>
        <v>0.49846784259638732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projet'!$B$10,Paramètres!$A$1:$I$88,3,0)*VLOOKUP('Données projet'!$B$10,Paramètres!$A$1:$I$88,5,0)</f>
        <v>5.7639226724859328E-14</v>
      </c>
      <c r="AK166" s="14">
        <f t="shared" si="164"/>
        <v>9.2325701996134334E-13</v>
      </c>
      <c r="AL166" s="22">
        <f t="shared" si="165"/>
        <v>1.708394296311803E-12</v>
      </c>
      <c r="AM166" s="62">
        <f t="shared" si="113"/>
        <v>293.33333333333502</v>
      </c>
      <c r="AN166" s="62">
        <f ca="1">AVERAGE(OFFSET($AM$3,0,0,'Données projet'!$E$10+1,1))-AVERAGE(OFFSET($H$3,0,0,'Données projet'!$E$10+1,1))</f>
        <v>95.135996821969457</v>
      </c>
      <c r="AO166" s="62">
        <f t="shared" si="144"/>
        <v>111.83039337220566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3.1263880373444408E-13</v>
      </c>
      <c r="BE166" s="14">
        <f>BD166*VLOOKUP('Données projet'!$B$11,Paramètres!$A$1:$I$88,3,0)*VLOOKUP('Données projet'!$B$11,Paramètres!$A$1:$I$88,5,0)</f>
        <v>2.82875589618925E-13</v>
      </c>
      <c r="BF166" s="14">
        <f t="shared" si="167"/>
        <v>3.7651460236245583E-12</v>
      </c>
      <c r="BG166" s="22">
        <f t="shared" si="168"/>
        <v>7.0503043097323991E-12</v>
      </c>
      <c r="BH166" s="62">
        <f t="shared" si="116"/>
        <v>293.33333333334036</v>
      </c>
      <c r="BI166" s="62">
        <f ca="1">AVERAGE(OFFSET($BH$3,0,0,'Données projet'!$E$11+1,1))-AVERAGE(OFFSET($H$3,0,0,'Données projet'!$E$11+1,1))</f>
        <v>168.44987180339865</v>
      </c>
      <c r="BJ166" s="62">
        <f t="shared" si="146"/>
        <v>375.85422976031748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0.20950097732311956</v>
      </c>
      <c r="BR166" s="23">
        <f>EXP(-LN(2)/2)*BR165+(1-EXP(-LN(2)/2))/(LN(2)/2)*BL166*BO166*VLOOKUP('Données projet'!$B$11,Paramètres!$A$1:$I$88,3,0)*0.475*44/12</f>
        <v>2.2907104907348038E-19</v>
      </c>
      <c r="BS166" s="24">
        <f t="shared" si="169"/>
        <v>0.20950097732311956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-6.8212102632969618E-13</v>
      </c>
      <c r="O167" s="14">
        <f>N167*VLOOKUP('Données projet'!$B$9,Paramètres!$A$1:$I$88,3,0)*VLOOKUP('Données projet'!$B$9,Paramètres!$A$1:$I$88,5,0)</f>
        <v>-4.0790837374515837E-13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190.92799938679798</v>
      </c>
      <c r="T167" s="62">
        <f t="shared" si="142"/>
        <v>172.54286890368337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0.48483721322730455</v>
      </c>
      <c r="AB167" s="23">
        <f>EXP(-LN(2)/2)*AB166+(1-EXP(-LN(2)/2))/(LN(2)/2)*V167*Y167*VLOOKUP('Données projet'!$B$9,Paramètres!$A$1:$I$88,3,0)*0.475*44/12</f>
        <v>2.5693013241293886E-19</v>
      </c>
      <c r="AC167" s="24">
        <f t="shared" si="163"/>
        <v>0.48483721322730455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projet'!$B$10,Paramètres!$A$1:$I$88,3,0)*VLOOKUP('Données projet'!$B$10,Paramètres!$A$1:$I$88,5,0)</f>
        <v>5.7639226724859328E-14</v>
      </c>
      <c r="AK167" s="14">
        <f t="shared" si="164"/>
        <v>9.2325701996134334E-13</v>
      </c>
      <c r="AL167" s="22">
        <f t="shared" si="165"/>
        <v>1.708394296311803E-12</v>
      </c>
      <c r="AM167" s="62">
        <f t="shared" si="113"/>
        <v>293.33333333333502</v>
      </c>
      <c r="AN167" s="62">
        <f ca="1">AVERAGE(OFFSET($AM$3,0,0,'Données projet'!$E$10+1,1))-AVERAGE(OFFSET($H$3,0,0,'Données projet'!$E$10+1,1))</f>
        <v>95.135996821969457</v>
      </c>
      <c r="AO167" s="62">
        <f t="shared" si="144"/>
        <v>111.83039337220566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3.1263880373444408E-13</v>
      </c>
      <c r="BE167" s="14">
        <f>BD167*VLOOKUP('Données projet'!$B$11,Paramètres!$A$1:$I$88,3,0)*VLOOKUP('Données projet'!$B$11,Paramètres!$A$1:$I$88,5,0)</f>
        <v>2.82875589618925E-13</v>
      </c>
      <c r="BF167" s="14">
        <f t="shared" si="167"/>
        <v>3.7651460236245583E-12</v>
      </c>
      <c r="BG167" s="22">
        <f t="shared" si="168"/>
        <v>7.0503043097323991E-12</v>
      </c>
      <c r="BH167" s="62">
        <f t="shared" si="116"/>
        <v>293.33333333334036</v>
      </c>
      <c r="BI167" s="62">
        <f ca="1">AVERAGE(OFFSET($BH$3,0,0,'Données projet'!$E$11+1,1))-AVERAGE(OFFSET($H$3,0,0,'Données projet'!$E$11+1,1))</f>
        <v>168.44987180339865</v>
      </c>
      <c r="BJ167" s="62">
        <f t="shared" si="146"/>
        <v>375.85422976031748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0.20377216208104129</v>
      </c>
      <c r="BR167" s="23">
        <f>EXP(-LN(2)/2)*BR166+(1-EXP(-LN(2)/2))/(LN(2)/2)*BL167*BO167*VLOOKUP('Données projet'!$B$11,Paramètres!$A$1:$I$88,3,0)*0.475*44/12</f>
        <v>1.6197769217337438E-19</v>
      </c>
      <c r="BS167" s="24">
        <f t="shared" si="169"/>
        <v>0.20377216208104129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-6.8212102632969618E-13</v>
      </c>
      <c r="O168" s="14">
        <f>N168*VLOOKUP('Données projet'!$B$9,Paramètres!$A$1:$I$88,3,0)*VLOOKUP('Données projet'!$B$9,Paramètres!$A$1:$I$88,5,0)</f>
        <v>-4.0790837374515837E-13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190.92799938679798</v>
      </c>
      <c r="T168" s="62">
        <f t="shared" si="142"/>
        <v>172.54286890368337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0.471579314135123</v>
      </c>
      <c r="AB168" s="23">
        <f>EXP(-LN(2)/2)*AB167+(1-EXP(-LN(2)/2))/(LN(2)/2)*V168*Y168*VLOOKUP('Données projet'!$B$9,Paramètres!$A$1:$I$88,3,0)*0.475*44/12</f>
        <v>1.8167703892034665E-19</v>
      </c>
      <c r="AC168" s="24">
        <f t="shared" si="163"/>
        <v>0.471579314135123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projet'!$B$10,Paramètres!$A$1:$I$88,3,0)*VLOOKUP('Données projet'!$B$10,Paramètres!$A$1:$I$88,5,0)</f>
        <v>5.7639226724859328E-14</v>
      </c>
      <c r="AK168" s="14">
        <f t="shared" si="164"/>
        <v>9.2325701996134334E-13</v>
      </c>
      <c r="AL168" s="22">
        <f t="shared" si="165"/>
        <v>1.708394296311803E-12</v>
      </c>
      <c r="AM168" s="62">
        <f t="shared" si="113"/>
        <v>293.33333333333502</v>
      </c>
      <c r="AN168" s="62">
        <f ca="1">AVERAGE(OFFSET($AM$3,0,0,'Données projet'!$E$10+1,1))-AVERAGE(OFFSET($H$3,0,0,'Données projet'!$E$10+1,1))</f>
        <v>95.135996821969457</v>
      </c>
      <c r="AO168" s="62">
        <f t="shared" si="144"/>
        <v>111.83039337220566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3.1263880373444408E-13</v>
      </c>
      <c r="BE168" s="14">
        <f>BD168*VLOOKUP('Données projet'!$B$11,Paramètres!$A$1:$I$88,3,0)*VLOOKUP('Données projet'!$B$11,Paramètres!$A$1:$I$88,5,0)</f>
        <v>2.82875589618925E-13</v>
      </c>
      <c r="BF168" s="14">
        <f t="shared" si="167"/>
        <v>3.7651460236245583E-12</v>
      </c>
      <c r="BG168" s="22">
        <f t="shared" si="168"/>
        <v>7.0503043097323991E-12</v>
      </c>
      <c r="BH168" s="62">
        <f t="shared" si="116"/>
        <v>293.33333333334036</v>
      </c>
      <c r="BI168" s="62">
        <f ca="1">AVERAGE(OFFSET($BH$3,0,0,'Données projet'!$E$11+1,1))-AVERAGE(OFFSET($H$3,0,0,'Données projet'!$E$11+1,1))</f>
        <v>168.44987180339865</v>
      </c>
      <c r="BJ168" s="62">
        <f t="shared" si="146"/>
        <v>375.85422976031748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0.19820000159302295</v>
      </c>
      <c r="BR168" s="23">
        <f>EXP(-LN(2)/2)*BR167+(1-EXP(-LN(2)/2))/(LN(2)/2)*BL168*BO168*VLOOKUP('Données projet'!$B$11,Paramètres!$A$1:$I$88,3,0)*0.475*44/12</f>
        <v>1.1453552453674019E-19</v>
      </c>
      <c r="BS168" s="24">
        <f t="shared" si="169"/>
        <v>0.19820000159302295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-6.8212102632969618E-13</v>
      </c>
      <c r="O169" s="14">
        <f>N169*VLOOKUP('Données projet'!$B$9,Paramètres!$A$1:$I$88,3,0)*VLOOKUP('Données projet'!$B$9,Paramètres!$A$1:$I$88,5,0)</f>
        <v>-4.0790837374515837E-13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190.92799938679798</v>
      </c>
      <c r="T169" s="62">
        <f t="shared" si="142"/>
        <v>172.54286890368337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0.45868395299081971</v>
      </c>
      <c r="AB169" s="23">
        <f>EXP(-LN(2)/2)*AB168+(1-EXP(-LN(2)/2))/(LN(2)/2)*V169*Y169*VLOOKUP('Données projet'!$B$9,Paramètres!$A$1:$I$88,3,0)*0.475*44/12</f>
        <v>1.2846506620646943E-19</v>
      </c>
      <c r="AC169" s="24">
        <f t="shared" si="163"/>
        <v>0.45868395299081971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projet'!$B$10,Paramètres!$A$1:$I$88,3,0)*VLOOKUP('Données projet'!$B$10,Paramètres!$A$1:$I$88,5,0)</f>
        <v>5.7639226724859328E-14</v>
      </c>
      <c r="AK169" s="14">
        <f t="shared" si="164"/>
        <v>9.2325701996134334E-13</v>
      </c>
      <c r="AL169" s="22">
        <f t="shared" si="165"/>
        <v>1.708394296311803E-12</v>
      </c>
      <c r="AM169" s="62">
        <f t="shared" si="113"/>
        <v>293.33333333333502</v>
      </c>
      <c r="AN169" s="62">
        <f ca="1">AVERAGE(OFFSET($AM$3,0,0,'Données projet'!$E$10+1,1))-AVERAGE(OFFSET($H$3,0,0,'Données projet'!$E$10+1,1))</f>
        <v>95.135996821969457</v>
      </c>
      <c r="AO169" s="62">
        <f t="shared" si="144"/>
        <v>111.83039337220566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3.1263880373444408E-13</v>
      </c>
      <c r="BE169" s="14">
        <f>BD169*VLOOKUP('Données projet'!$B$11,Paramètres!$A$1:$I$88,3,0)*VLOOKUP('Données projet'!$B$11,Paramètres!$A$1:$I$88,5,0)</f>
        <v>2.82875589618925E-13</v>
      </c>
      <c r="BF169" s="14">
        <f t="shared" si="167"/>
        <v>3.7651460236245583E-12</v>
      </c>
      <c r="BG169" s="22">
        <f t="shared" si="168"/>
        <v>7.0503043097323991E-12</v>
      </c>
      <c r="BH169" s="62">
        <f t="shared" si="116"/>
        <v>293.33333333334036</v>
      </c>
      <c r="BI169" s="62">
        <f ca="1">AVERAGE(OFFSET($BH$3,0,0,'Données projet'!$E$11+1,1))-AVERAGE(OFFSET($H$3,0,0,'Données projet'!$E$11+1,1))</f>
        <v>168.44987180339865</v>
      </c>
      <c r="BJ169" s="62">
        <f t="shared" si="146"/>
        <v>375.85422976031748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0.19278021212657664</v>
      </c>
      <c r="BR169" s="23">
        <f>EXP(-LN(2)/2)*BR168+(1-EXP(-LN(2)/2))/(LN(2)/2)*BL169*BO169*VLOOKUP('Données projet'!$B$11,Paramètres!$A$1:$I$88,3,0)*0.475*44/12</f>
        <v>8.098884608668719E-20</v>
      </c>
      <c r="BS169" s="24">
        <f t="shared" si="169"/>
        <v>0.19278021212657664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-6.8212102632969618E-13</v>
      </c>
      <c r="O170" s="14">
        <f>N170*VLOOKUP('Données projet'!$B$9,Paramètres!$A$1:$I$88,3,0)*VLOOKUP('Données projet'!$B$9,Paramètres!$A$1:$I$88,5,0)</f>
        <v>-4.0790837374515837E-13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190.92799938679798</v>
      </c>
      <c r="T170" s="62">
        <f t="shared" si="142"/>
        <v>172.54286890368337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0.44614121617514502</v>
      </c>
      <c r="AB170" s="23">
        <f>EXP(-LN(2)/2)*AB169+(1-EXP(-LN(2)/2))/(LN(2)/2)*V170*Y170*VLOOKUP('Données projet'!$B$9,Paramètres!$A$1:$I$88,3,0)*0.475*44/12</f>
        <v>9.0838519460173323E-20</v>
      </c>
      <c r="AC170" s="24">
        <f t="shared" si="163"/>
        <v>0.44614121617514502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projet'!$B$10,Paramètres!$A$1:$I$88,3,0)*VLOOKUP('Données projet'!$B$10,Paramètres!$A$1:$I$88,5,0)</f>
        <v>5.7639226724859328E-14</v>
      </c>
      <c r="AK170" s="14">
        <f t="shared" si="164"/>
        <v>9.2325701996134334E-13</v>
      </c>
      <c r="AL170" s="22">
        <f t="shared" si="165"/>
        <v>1.708394296311803E-12</v>
      </c>
      <c r="AM170" s="62">
        <f t="shared" si="113"/>
        <v>293.33333333333502</v>
      </c>
      <c r="AN170" s="62">
        <f ca="1">AVERAGE(OFFSET($AM$3,0,0,'Données projet'!$E$10+1,1))-AVERAGE(OFFSET($H$3,0,0,'Données projet'!$E$10+1,1))</f>
        <v>95.135996821969457</v>
      </c>
      <c r="AO170" s="62">
        <f t="shared" si="144"/>
        <v>111.83039337220566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3.1263880373444408E-13</v>
      </c>
      <c r="BE170" s="14">
        <f>BD170*VLOOKUP('Données projet'!$B$11,Paramètres!$A$1:$I$88,3,0)*VLOOKUP('Données projet'!$B$11,Paramètres!$A$1:$I$88,5,0)</f>
        <v>2.82875589618925E-13</v>
      </c>
      <c r="BF170" s="14">
        <f t="shared" si="167"/>
        <v>3.7651460236245583E-12</v>
      </c>
      <c r="BG170" s="22">
        <f t="shared" si="168"/>
        <v>7.0503043097323991E-12</v>
      </c>
      <c r="BH170" s="62">
        <f t="shared" si="116"/>
        <v>293.33333333334036</v>
      </c>
      <c r="BI170" s="62">
        <f ca="1">AVERAGE(OFFSET($BH$3,0,0,'Données projet'!$E$11+1,1))-AVERAGE(OFFSET($H$3,0,0,'Données projet'!$E$11+1,1))</f>
        <v>168.44987180339865</v>
      </c>
      <c r="BJ170" s="62">
        <f t="shared" si="146"/>
        <v>375.85422976031748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0.18750862708810465</v>
      </c>
      <c r="BR170" s="23">
        <f>EXP(-LN(2)/2)*BR169+(1-EXP(-LN(2)/2))/(LN(2)/2)*BL170*BO170*VLOOKUP('Données projet'!$B$11,Paramètres!$A$1:$I$88,3,0)*0.475*44/12</f>
        <v>5.7267762268370094E-20</v>
      </c>
      <c r="BS170" s="24">
        <f t="shared" si="169"/>
        <v>0.18750862708810465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-6.8212102632969618E-13</v>
      </c>
      <c r="O171" s="14">
        <f>N171*VLOOKUP('Données projet'!$B$9,Paramètres!$A$1:$I$88,3,0)*VLOOKUP('Données projet'!$B$9,Paramètres!$A$1:$I$88,5,0)</f>
        <v>-4.0790837374515837E-13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190.92799938679798</v>
      </c>
      <c r="T171" s="62">
        <f t="shared" si="142"/>
        <v>172.54286890368337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0.43394146115728877</v>
      </c>
      <c r="AB171" s="23">
        <f>EXP(-LN(2)/2)*AB170+(1-EXP(-LN(2)/2))/(LN(2)/2)*V171*Y171*VLOOKUP('Données projet'!$B$9,Paramètres!$A$1:$I$88,3,0)*0.475*44/12</f>
        <v>6.4232533103234716E-20</v>
      </c>
      <c r="AC171" s="24">
        <f t="shared" si="163"/>
        <v>0.43394146115728877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projet'!$B$10,Paramètres!$A$1:$I$88,3,0)*VLOOKUP('Données projet'!$B$10,Paramètres!$A$1:$I$88,5,0)</f>
        <v>5.7639226724859328E-14</v>
      </c>
      <c r="AK171" s="14">
        <f t="shared" si="164"/>
        <v>9.2325701996134334E-13</v>
      </c>
      <c r="AL171" s="22">
        <f t="shared" si="165"/>
        <v>1.708394296311803E-12</v>
      </c>
      <c r="AM171" s="62">
        <f t="shared" si="113"/>
        <v>293.33333333333502</v>
      </c>
      <c r="AN171" s="62">
        <f ca="1">AVERAGE(OFFSET($AM$3,0,0,'Données projet'!$E$10+1,1))-AVERAGE(OFFSET($H$3,0,0,'Données projet'!$E$10+1,1))</f>
        <v>95.135996821969457</v>
      </c>
      <c r="AO171" s="62">
        <f t="shared" si="144"/>
        <v>111.83039337220566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3.1263880373444408E-13</v>
      </c>
      <c r="BE171" s="14">
        <f>BD171*VLOOKUP('Données projet'!$B$11,Paramètres!$A$1:$I$88,3,0)*VLOOKUP('Données projet'!$B$11,Paramètres!$A$1:$I$88,5,0)</f>
        <v>2.82875589618925E-13</v>
      </c>
      <c r="BF171" s="14">
        <f t="shared" si="167"/>
        <v>3.7651460236245583E-12</v>
      </c>
      <c r="BG171" s="22">
        <f t="shared" si="168"/>
        <v>7.0503043097323991E-12</v>
      </c>
      <c r="BH171" s="62">
        <f t="shared" si="116"/>
        <v>293.33333333334036</v>
      </c>
      <c r="BI171" s="62">
        <f ca="1">AVERAGE(OFFSET($BH$3,0,0,'Données projet'!$E$11+1,1))-AVERAGE(OFFSET($H$3,0,0,'Données projet'!$E$11+1,1))</f>
        <v>168.44987180339865</v>
      </c>
      <c r="BJ171" s="62">
        <f t="shared" si="146"/>
        <v>375.85422976031748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0.18238119381973028</v>
      </c>
      <c r="BR171" s="23">
        <f>EXP(-LN(2)/2)*BR170+(1-EXP(-LN(2)/2))/(LN(2)/2)*BL171*BO171*VLOOKUP('Données projet'!$B$11,Paramètres!$A$1:$I$88,3,0)*0.475*44/12</f>
        <v>4.0494423043343595E-20</v>
      </c>
      <c r="BS171" s="24">
        <f t="shared" si="169"/>
        <v>0.18238119381973028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-6.8212102632969618E-13</v>
      </c>
      <c r="O172" s="14">
        <f>N172*VLOOKUP('Données projet'!$B$9,Paramètres!$A$1:$I$88,3,0)*VLOOKUP('Données projet'!$B$9,Paramètres!$A$1:$I$88,5,0)</f>
        <v>-4.0790837374515837E-13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190.92799938679798</v>
      </c>
      <c r="T172" s="62">
        <f t="shared" si="142"/>
        <v>172.54286890368337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0.42207530908195307</v>
      </c>
      <c r="AB172" s="23">
        <f>EXP(-LN(2)/2)*AB171+(1-EXP(-LN(2)/2))/(LN(2)/2)*V172*Y172*VLOOKUP('Données projet'!$B$9,Paramètres!$A$1:$I$88,3,0)*0.475*44/12</f>
        <v>4.5419259730086661E-20</v>
      </c>
      <c r="AC172" s="24">
        <f t="shared" si="163"/>
        <v>0.42207530908195307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projet'!$B$10,Paramètres!$A$1:$I$88,3,0)*VLOOKUP('Données projet'!$B$10,Paramètres!$A$1:$I$88,5,0)</f>
        <v>5.7639226724859328E-14</v>
      </c>
      <c r="AK172" s="14">
        <f t="shared" si="164"/>
        <v>9.2325701996134334E-13</v>
      </c>
      <c r="AL172" s="22">
        <f t="shared" si="165"/>
        <v>1.708394296311803E-12</v>
      </c>
      <c r="AM172" s="62">
        <f t="shared" si="113"/>
        <v>293.33333333333502</v>
      </c>
      <c r="AN172" s="62">
        <f ca="1">AVERAGE(OFFSET($AM$3,0,0,'Données projet'!$E$10+1,1))-AVERAGE(OFFSET($H$3,0,0,'Données projet'!$E$10+1,1))</f>
        <v>95.135996821969457</v>
      </c>
      <c r="AO172" s="62">
        <f t="shared" si="144"/>
        <v>111.83039337220566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3.1263880373444408E-13</v>
      </c>
      <c r="BE172" s="14">
        <f>BD172*VLOOKUP('Données projet'!$B$11,Paramètres!$A$1:$I$88,3,0)*VLOOKUP('Données projet'!$B$11,Paramètres!$A$1:$I$88,5,0)</f>
        <v>2.82875589618925E-13</v>
      </c>
      <c r="BF172" s="14">
        <f t="shared" si="167"/>
        <v>3.7651460236245583E-12</v>
      </c>
      <c r="BG172" s="22">
        <f t="shared" si="168"/>
        <v>7.0503043097323991E-12</v>
      </c>
      <c r="BH172" s="62">
        <f t="shared" si="116"/>
        <v>293.33333333334036</v>
      </c>
      <c r="BI172" s="62">
        <f ca="1">AVERAGE(OFFSET($BH$3,0,0,'Données projet'!$E$11+1,1))-AVERAGE(OFFSET($H$3,0,0,'Données projet'!$E$11+1,1))</f>
        <v>168.44987180339865</v>
      </c>
      <c r="BJ172" s="62">
        <f t="shared" si="146"/>
        <v>375.85422976031748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0.1773939704837196</v>
      </c>
      <c r="BR172" s="23">
        <f>EXP(-LN(2)/2)*BR171+(1-EXP(-LN(2)/2))/(LN(2)/2)*BL172*BO172*VLOOKUP('Données projet'!$B$11,Paramètres!$A$1:$I$88,3,0)*0.475*44/12</f>
        <v>2.8633881134185047E-20</v>
      </c>
      <c r="BS172" s="24">
        <f t="shared" si="169"/>
        <v>0.1773939704837196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-6.8212102632969618E-13</v>
      </c>
      <c r="O173" s="14">
        <f>N173*VLOOKUP('Données projet'!$B$9,Paramètres!$A$1:$I$88,3,0)*VLOOKUP('Données projet'!$B$9,Paramètres!$A$1:$I$88,5,0)</f>
        <v>-4.0790837374515837E-13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190.92799938679798</v>
      </c>
      <c r="T173" s="62">
        <f t="shared" si="142"/>
        <v>172.54286890368337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0.41053363755913119</v>
      </c>
      <c r="AB173" s="23">
        <f>EXP(-LN(2)/2)*AB172+(1-EXP(-LN(2)/2))/(LN(2)/2)*V173*Y173*VLOOKUP('Données projet'!$B$9,Paramètres!$A$1:$I$88,3,0)*0.475*44/12</f>
        <v>3.2116266551617358E-20</v>
      </c>
      <c r="AC173" s="24">
        <f t="shared" si="163"/>
        <v>0.41053363755913119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projet'!$B$10,Paramètres!$A$1:$I$88,3,0)*VLOOKUP('Données projet'!$B$10,Paramètres!$A$1:$I$88,5,0)</f>
        <v>5.7639226724859328E-14</v>
      </c>
      <c r="AK173" s="14">
        <f t="shared" si="164"/>
        <v>9.2325701996134334E-13</v>
      </c>
      <c r="AL173" s="22">
        <f t="shared" si="165"/>
        <v>1.708394296311803E-12</v>
      </c>
      <c r="AM173" s="62">
        <f t="shared" si="113"/>
        <v>293.33333333333502</v>
      </c>
      <c r="AN173" s="62">
        <f ca="1">AVERAGE(OFFSET($AM$3,0,0,'Données projet'!$E$10+1,1))-AVERAGE(OFFSET($H$3,0,0,'Données projet'!$E$10+1,1))</f>
        <v>95.135996821969457</v>
      </c>
      <c r="AO173" s="62">
        <f t="shared" si="144"/>
        <v>111.83039337220566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3.1263880373444408E-13</v>
      </c>
      <c r="BE173" s="14">
        <f>BD173*VLOOKUP('Données projet'!$B$11,Paramètres!$A$1:$I$88,3,0)*VLOOKUP('Données projet'!$B$11,Paramètres!$A$1:$I$88,5,0)</f>
        <v>2.82875589618925E-13</v>
      </c>
      <c r="BF173" s="14">
        <f t="shared" si="167"/>
        <v>3.7651460236245583E-12</v>
      </c>
      <c r="BG173" s="22">
        <f t="shared" si="168"/>
        <v>7.0503043097323991E-12</v>
      </c>
      <c r="BH173" s="62">
        <f t="shared" si="116"/>
        <v>293.33333333334036</v>
      </c>
      <c r="BI173" s="62">
        <f ca="1">AVERAGE(OFFSET($BH$3,0,0,'Données projet'!$E$11+1,1))-AVERAGE(OFFSET($H$3,0,0,'Données projet'!$E$11+1,1))</f>
        <v>168.44987180339865</v>
      </c>
      <c r="BJ173" s="62">
        <f t="shared" si="146"/>
        <v>375.85422976031748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0.17254312303209882</v>
      </c>
      <c r="BR173" s="23">
        <f>EXP(-LN(2)/2)*BR172+(1-EXP(-LN(2)/2))/(LN(2)/2)*BL173*BO173*VLOOKUP('Données projet'!$B$11,Paramètres!$A$1:$I$88,3,0)*0.475*44/12</f>
        <v>2.0247211521671797E-20</v>
      </c>
      <c r="BS173" s="24">
        <f t="shared" si="169"/>
        <v>0.17254312303209882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-6.8212102632969618E-13</v>
      </c>
      <c r="O174" s="14">
        <f>N174*VLOOKUP('Données projet'!$B$9,Paramètres!$A$1:$I$88,3,0)*VLOOKUP('Données projet'!$B$9,Paramètres!$A$1:$I$88,5,0)</f>
        <v>-4.0790837374515837E-13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190.92799938679798</v>
      </c>
      <c r="T174" s="62">
        <f t="shared" si="142"/>
        <v>172.54286890368337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0.39930757365105102</v>
      </c>
      <c r="AB174" s="23">
        <f>EXP(-LN(2)/2)*AB173+(1-EXP(-LN(2)/2))/(LN(2)/2)*V174*Y174*VLOOKUP('Données projet'!$B$9,Paramètres!$A$1:$I$88,3,0)*0.475*44/12</f>
        <v>2.2709629865043331E-20</v>
      </c>
      <c r="AC174" s="24">
        <f t="shared" si="163"/>
        <v>0.39930757365105102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projet'!$B$10,Paramètres!$A$1:$I$88,3,0)*VLOOKUP('Données projet'!$B$10,Paramètres!$A$1:$I$88,5,0)</f>
        <v>5.7639226724859328E-14</v>
      </c>
      <c r="AK174" s="14">
        <f t="shared" si="164"/>
        <v>9.2325701996134334E-13</v>
      </c>
      <c r="AL174" s="22">
        <f t="shared" si="165"/>
        <v>1.708394296311803E-12</v>
      </c>
      <c r="AM174" s="62">
        <f t="shared" si="113"/>
        <v>293.33333333333502</v>
      </c>
      <c r="AN174" s="62">
        <f ca="1">AVERAGE(OFFSET($AM$3,0,0,'Données projet'!$E$10+1,1))-AVERAGE(OFFSET($H$3,0,0,'Données projet'!$E$10+1,1))</f>
        <v>95.135996821969457</v>
      </c>
      <c r="AO174" s="62">
        <f t="shared" si="144"/>
        <v>111.83039337220566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3.1263880373444408E-13</v>
      </c>
      <c r="BE174" s="14">
        <f>BD174*VLOOKUP('Données projet'!$B$11,Paramètres!$A$1:$I$88,3,0)*VLOOKUP('Données projet'!$B$11,Paramètres!$A$1:$I$88,5,0)</f>
        <v>2.82875589618925E-13</v>
      </c>
      <c r="BF174" s="14">
        <f t="shared" si="167"/>
        <v>3.7651460236245583E-12</v>
      </c>
      <c r="BG174" s="22">
        <f t="shared" si="168"/>
        <v>7.0503043097323991E-12</v>
      </c>
      <c r="BH174" s="62">
        <f t="shared" si="116"/>
        <v>293.33333333334036</v>
      </c>
      <c r="BI174" s="62">
        <f ca="1">AVERAGE(OFFSET($BH$3,0,0,'Données projet'!$E$11+1,1))-AVERAGE(OFFSET($H$3,0,0,'Données projet'!$E$11+1,1))</f>
        <v>168.44987180339865</v>
      </c>
      <c r="BJ174" s="62">
        <f t="shared" si="146"/>
        <v>375.85422976031748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0.16782492225913759</v>
      </c>
      <c r="BR174" s="23">
        <f>EXP(-LN(2)/2)*BR173+(1-EXP(-LN(2)/2))/(LN(2)/2)*BL174*BO174*VLOOKUP('Données projet'!$B$11,Paramètres!$A$1:$I$88,3,0)*0.475*44/12</f>
        <v>1.4316940567092524E-20</v>
      </c>
      <c r="BS174" s="24">
        <f t="shared" si="169"/>
        <v>0.16782492225913759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-6.8212102632969618E-13</v>
      </c>
      <c r="O175" s="14">
        <f>N175*VLOOKUP('Données projet'!$B$9,Paramètres!$A$1:$I$88,3,0)*VLOOKUP('Données projet'!$B$9,Paramètres!$A$1:$I$88,5,0)</f>
        <v>-4.0790837374515837E-13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190.92799938679798</v>
      </c>
      <c r="T175" s="62">
        <f t="shared" si="142"/>
        <v>172.54286890368337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0.38838848705089035</v>
      </c>
      <c r="AB175" s="23">
        <f>EXP(-LN(2)/2)*AB174+(1-EXP(-LN(2)/2))/(LN(2)/2)*V175*Y175*VLOOKUP('Données projet'!$B$9,Paramètres!$A$1:$I$88,3,0)*0.475*44/12</f>
        <v>1.6058133275808679E-20</v>
      </c>
      <c r="AC175" s="24">
        <f t="shared" si="163"/>
        <v>0.38838848705089035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projet'!$B$10,Paramètres!$A$1:$I$88,3,0)*VLOOKUP('Données projet'!$B$10,Paramètres!$A$1:$I$88,5,0)</f>
        <v>5.7639226724859328E-14</v>
      </c>
      <c r="AK175" s="14">
        <f t="shared" si="164"/>
        <v>9.2325701996134334E-13</v>
      </c>
      <c r="AL175" s="22">
        <f t="shared" si="165"/>
        <v>1.708394296311803E-12</v>
      </c>
      <c r="AM175" s="62">
        <f t="shared" si="113"/>
        <v>293.33333333333502</v>
      </c>
      <c r="AN175" s="62">
        <f ca="1">AVERAGE(OFFSET($AM$3,0,0,'Données projet'!$E$10+1,1))-AVERAGE(OFFSET($H$3,0,0,'Données projet'!$E$10+1,1))</f>
        <v>95.135996821969457</v>
      </c>
      <c r="AO175" s="62">
        <f t="shared" si="144"/>
        <v>111.83039337220566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3.1263880373444408E-13</v>
      </c>
      <c r="BE175" s="14">
        <f>BD175*VLOOKUP('Données projet'!$B$11,Paramètres!$A$1:$I$88,3,0)*VLOOKUP('Données projet'!$B$11,Paramètres!$A$1:$I$88,5,0)</f>
        <v>2.82875589618925E-13</v>
      </c>
      <c r="BF175" s="14">
        <f t="shared" si="167"/>
        <v>3.7651460236245583E-12</v>
      </c>
      <c r="BG175" s="22">
        <f t="shared" si="168"/>
        <v>7.0503043097323991E-12</v>
      </c>
      <c r="BH175" s="62">
        <f t="shared" si="116"/>
        <v>293.33333333334036</v>
      </c>
      <c r="BI175" s="62">
        <f ca="1">AVERAGE(OFFSET($BH$3,0,0,'Données projet'!$E$11+1,1))-AVERAGE(OFFSET($H$3,0,0,'Données projet'!$E$11+1,1))</f>
        <v>168.44987180339865</v>
      </c>
      <c r="BJ175" s="62">
        <f t="shared" si="146"/>
        <v>375.85422976031748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0.16323574093443238</v>
      </c>
      <c r="BR175" s="23">
        <f>EXP(-LN(2)/2)*BR174+(1-EXP(-LN(2)/2))/(LN(2)/2)*BL175*BO175*VLOOKUP('Données projet'!$B$11,Paramètres!$A$1:$I$88,3,0)*0.475*44/12</f>
        <v>1.0123605760835899E-20</v>
      </c>
      <c r="BS175" s="24">
        <f t="shared" si="169"/>
        <v>0.16323574093443238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-6.8212102632969618E-13</v>
      </c>
      <c r="O176" s="14">
        <f>N176*VLOOKUP('Données projet'!$B$9,Paramètres!$A$1:$I$88,3,0)*VLOOKUP('Données projet'!$B$9,Paramètres!$A$1:$I$88,5,0)</f>
        <v>-4.0790837374515837E-13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190.92799938679798</v>
      </c>
      <c r="T176" s="62">
        <f t="shared" si="142"/>
        <v>172.54286890368337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0.37776798344802087</v>
      </c>
      <c r="AB176" s="23">
        <f>EXP(-LN(2)/2)*AB175+(1-EXP(-LN(2)/2))/(LN(2)/2)*V176*Y176*VLOOKUP('Données projet'!$B$9,Paramètres!$A$1:$I$88,3,0)*0.475*44/12</f>
        <v>1.1354814932521665E-20</v>
      </c>
      <c r="AC176" s="24">
        <f t="shared" si="163"/>
        <v>0.37776798344802087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projet'!$B$10,Paramètres!$A$1:$I$88,3,0)*VLOOKUP('Données projet'!$B$10,Paramètres!$A$1:$I$88,5,0)</f>
        <v>5.7639226724859328E-14</v>
      </c>
      <c r="AK176" s="14">
        <f t="shared" si="164"/>
        <v>9.2325701996134334E-13</v>
      </c>
      <c r="AL176" s="22">
        <f t="shared" si="165"/>
        <v>1.708394296311803E-12</v>
      </c>
      <c r="AM176" s="62">
        <f t="shared" si="113"/>
        <v>293.33333333333502</v>
      </c>
      <c r="AN176" s="62">
        <f ca="1">AVERAGE(OFFSET($AM$3,0,0,'Données projet'!$E$10+1,1))-AVERAGE(OFFSET($H$3,0,0,'Données projet'!$E$10+1,1))</f>
        <v>95.135996821969457</v>
      </c>
      <c r="AO176" s="62">
        <f t="shared" si="144"/>
        <v>111.83039337220566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3.1263880373444408E-13</v>
      </c>
      <c r="BE176" s="14">
        <f>BD176*VLOOKUP('Données projet'!$B$11,Paramètres!$A$1:$I$88,3,0)*VLOOKUP('Données projet'!$B$11,Paramètres!$A$1:$I$88,5,0)</f>
        <v>2.82875589618925E-13</v>
      </c>
      <c r="BF176" s="14">
        <f t="shared" si="167"/>
        <v>3.7651460236245583E-12</v>
      </c>
      <c r="BG176" s="22">
        <f t="shared" si="168"/>
        <v>7.0503043097323991E-12</v>
      </c>
      <c r="BH176" s="62">
        <f t="shared" si="116"/>
        <v>293.33333333334036</v>
      </c>
      <c r="BI176" s="62">
        <f ca="1">AVERAGE(OFFSET($BH$3,0,0,'Données projet'!$E$11+1,1))-AVERAGE(OFFSET($H$3,0,0,'Données projet'!$E$11+1,1))</f>
        <v>168.44987180339865</v>
      </c>
      <c r="BJ176" s="62">
        <f t="shared" si="146"/>
        <v>375.85422976031748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0.1587720510143858</v>
      </c>
      <c r="BR176" s="23">
        <f>EXP(-LN(2)/2)*BR175+(1-EXP(-LN(2)/2))/(LN(2)/2)*BL176*BO176*VLOOKUP('Données projet'!$B$11,Paramètres!$A$1:$I$88,3,0)*0.475*44/12</f>
        <v>7.1584702835462618E-21</v>
      </c>
      <c r="BS176" s="24">
        <f t="shared" si="169"/>
        <v>0.1587720510143858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-6.8212102632969618E-13</v>
      </c>
      <c r="O177" s="14">
        <f>N177*VLOOKUP('Données projet'!$B$9,Paramètres!$A$1:$I$88,3,0)*VLOOKUP('Données projet'!$B$9,Paramètres!$A$1:$I$88,5,0)</f>
        <v>-4.0790837374515837E-13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190.92799938679798</v>
      </c>
      <c r="T177" s="62">
        <f t="shared" si="142"/>
        <v>172.54286890368337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0.36743789807467991</v>
      </c>
      <c r="AB177" s="23">
        <f>EXP(-LN(2)/2)*AB176+(1-EXP(-LN(2)/2))/(LN(2)/2)*V177*Y177*VLOOKUP('Données projet'!$B$9,Paramètres!$A$1:$I$88,3,0)*0.475*44/12</f>
        <v>8.0290666379043395E-21</v>
      </c>
      <c r="AC177" s="24">
        <f t="shared" si="163"/>
        <v>0.36743789807467991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projet'!$B$10,Paramètres!$A$1:$I$88,3,0)*VLOOKUP('Données projet'!$B$10,Paramètres!$A$1:$I$88,5,0)</f>
        <v>5.7639226724859328E-14</v>
      </c>
      <c r="AK177" s="14">
        <f t="shared" si="164"/>
        <v>9.2325701996134334E-13</v>
      </c>
      <c r="AL177" s="22">
        <f t="shared" si="165"/>
        <v>1.708394296311803E-12</v>
      </c>
      <c r="AM177" s="62">
        <f t="shared" si="113"/>
        <v>293.33333333333502</v>
      </c>
      <c r="AN177" s="62">
        <f ca="1">AVERAGE(OFFSET($AM$3,0,0,'Données projet'!$E$10+1,1))-AVERAGE(OFFSET($H$3,0,0,'Données projet'!$E$10+1,1))</f>
        <v>95.135996821969457</v>
      </c>
      <c r="AO177" s="62">
        <f t="shared" si="144"/>
        <v>111.83039337220566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3.1263880373444408E-13</v>
      </c>
      <c r="BE177" s="14">
        <f>BD177*VLOOKUP('Données projet'!$B$11,Paramètres!$A$1:$I$88,3,0)*VLOOKUP('Données projet'!$B$11,Paramètres!$A$1:$I$88,5,0)</f>
        <v>2.82875589618925E-13</v>
      </c>
      <c r="BF177" s="14">
        <f t="shared" si="167"/>
        <v>3.7651460236245583E-12</v>
      </c>
      <c r="BG177" s="22">
        <f t="shared" si="168"/>
        <v>7.0503043097323991E-12</v>
      </c>
      <c r="BH177" s="62">
        <f t="shared" si="116"/>
        <v>293.33333333334036</v>
      </c>
      <c r="BI177" s="62">
        <f ca="1">AVERAGE(OFFSET($BH$3,0,0,'Données projet'!$E$11+1,1))-AVERAGE(OFFSET($H$3,0,0,'Données projet'!$E$11+1,1))</f>
        <v>168.44987180339865</v>
      </c>
      <c r="BJ177" s="62">
        <f t="shared" si="146"/>
        <v>375.85422976031748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0.15443042092993814</v>
      </c>
      <c r="BR177" s="23">
        <f>EXP(-LN(2)/2)*BR176+(1-EXP(-LN(2)/2))/(LN(2)/2)*BL177*BO177*VLOOKUP('Données projet'!$B$11,Paramètres!$A$1:$I$88,3,0)*0.475*44/12</f>
        <v>5.0618028804179493E-21</v>
      </c>
      <c r="BS177" s="24">
        <f t="shared" si="169"/>
        <v>0.15443042092993814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-6.8212102632969618E-13</v>
      </c>
      <c r="O178" s="14">
        <f>N178*VLOOKUP('Données projet'!$B$9,Paramètres!$A$1:$I$88,3,0)*VLOOKUP('Données projet'!$B$9,Paramètres!$A$1:$I$88,5,0)</f>
        <v>-4.0790837374515837E-13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190.92799938679798</v>
      </c>
      <c r="T178" s="62">
        <f t="shared" si="142"/>
        <v>172.54286890368337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0.3573902894291085</v>
      </c>
      <c r="AB178" s="23">
        <f>EXP(-LN(2)/2)*AB177+(1-EXP(-LN(2)/2))/(LN(2)/2)*V178*Y178*VLOOKUP('Données projet'!$B$9,Paramètres!$A$1:$I$88,3,0)*0.475*44/12</f>
        <v>5.6774074662608327E-21</v>
      </c>
      <c r="AC178" s="24">
        <f t="shared" si="163"/>
        <v>0.3573902894291085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projet'!$B$10,Paramètres!$A$1:$I$88,3,0)*VLOOKUP('Données projet'!$B$10,Paramètres!$A$1:$I$88,5,0)</f>
        <v>5.7639226724859328E-14</v>
      </c>
      <c r="AK178" s="14">
        <f t="shared" si="164"/>
        <v>9.2325701996134334E-13</v>
      </c>
      <c r="AL178" s="22">
        <f t="shared" si="165"/>
        <v>1.708394296311803E-12</v>
      </c>
      <c r="AM178" s="62">
        <f t="shared" si="113"/>
        <v>293.33333333333502</v>
      </c>
      <c r="AN178" s="62">
        <f ca="1">AVERAGE(OFFSET($AM$3,0,0,'Données projet'!$E$10+1,1))-AVERAGE(OFFSET($H$3,0,0,'Données projet'!$E$10+1,1))</f>
        <v>95.135996821969457</v>
      </c>
      <c r="AO178" s="62">
        <f t="shared" si="144"/>
        <v>111.83039337220566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3.1263880373444408E-13</v>
      </c>
      <c r="BE178" s="14">
        <f>BD178*VLOOKUP('Données projet'!$B$11,Paramètres!$A$1:$I$88,3,0)*VLOOKUP('Données projet'!$B$11,Paramètres!$A$1:$I$88,5,0)</f>
        <v>2.82875589618925E-13</v>
      </c>
      <c r="BF178" s="14">
        <f t="shared" si="167"/>
        <v>3.7651460236245583E-12</v>
      </c>
      <c r="BG178" s="22">
        <f t="shared" si="168"/>
        <v>7.0503043097323991E-12</v>
      </c>
      <c r="BH178" s="62">
        <f t="shared" si="116"/>
        <v>293.33333333334036</v>
      </c>
      <c r="BI178" s="62">
        <f ca="1">AVERAGE(OFFSET($BH$3,0,0,'Données projet'!$E$11+1,1))-AVERAGE(OFFSET($H$3,0,0,'Données projet'!$E$11+1,1))</f>
        <v>168.44987180339865</v>
      </c>
      <c r="BJ178" s="62">
        <f t="shared" si="146"/>
        <v>375.85422976031748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0.1502075129484661</v>
      </c>
      <c r="BR178" s="23">
        <f>EXP(-LN(2)/2)*BR177+(1-EXP(-LN(2)/2))/(LN(2)/2)*BL178*BO178*VLOOKUP('Données projet'!$B$11,Paramètres!$A$1:$I$88,3,0)*0.475*44/12</f>
        <v>3.5792351417731309E-21</v>
      </c>
      <c r="BS178" s="24">
        <f t="shared" si="169"/>
        <v>0.1502075129484661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-6.8212102632969618E-13</v>
      </c>
      <c r="O179" s="14">
        <f>N179*VLOOKUP('Données projet'!$B$9,Paramètres!$A$1:$I$88,3,0)*VLOOKUP('Données projet'!$B$9,Paramètres!$A$1:$I$88,5,0)</f>
        <v>-4.0790837374515837E-13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190.92799938679798</v>
      </c>
      <c r="T179" s="62">
        <f t="shared" si="142"/>
        <v>172.54286890368337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0.34761743317033106</v>
      </c>
      <c r="AB179" s="23">
        <f>EXP(-LN(2)/2)*AB178+(1-EXP(-LN(2)/2))/(LN(2)/2)*V179*Y179*VLOOKUP('Données projet'!$B$9,Paramètres!$A$1:$I$88,3,0)*0.475*44/12</f>
        <v>4.0145333189521697E-21</v>
      </c>
      <c r="AC179" s="24">
        <f t="shared" si="163"/>
        <v>0.34761743317033106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projet'!$B$10,Paramètres!$A$1:$I$88,3,0)*VLOOKUP('Données projet'!$B$10,Paramètres!$A$1:$I$88,5,0)</f>
        <v>5.7639226724859328E-14</v>
      </c>
      <c r="AK179" s="14">
        <f t="shared" si="164"/>
        <v>9.2325701996134334E-13</v>
      </c>
      <c r="AL179" s="22">
        <f t="shared" si="165"/>
        <v>1.708394296311803E-12</v>
      </c>
      <c r="AM179" s="62">
        <f t="shared" si="113"/>
        <v>293.33333333333502</v>
      </c>
      <c r="AN179" s="62">
        <f ca="1">AVERAGE(OFFSET($AM$3,0,0,'Données projet'!$E$10+1,1))-AVERAGE(OFFSET($H$3,0,0,'Données projet'!$E$10+1,1))</f>
        <v>95.135996821969457</v>
      </c>
      <c r="AO179" s="62">
        <f t="shared" si="144"/>
        <v>111.83039337220566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3.1263880373444408E-13</v>
      </c>
      <c r="BE179" s="14">
        <f>BD179*VLOOKUP('Données projet'!$B$11,Paramètres!$A$1:$I$88,3,0)*VLOOKUP('Données projet'!$B$11,Paramètres!$A$1:$I$88,5,0)</f>
        <v>2.82875589618925E-13</v>
      </c>
      <c r="BF179" s="14">
        <f t="shared" si="167"/>
        <v>3.7651460236245583E-12</v>
      </c>
      <c r="BG179" s="22">
        <f t="shared" si="168"/>
        <v>7.0503043097323991E-12</v>
      </c>
      <c r="BH179" s="62">
        <f t="shared" si="116"/>
        <v>293.33333333334036</v>
      </c>
      <c r="BI179" s="62">
        <f ca="1">AVERAGE(OFFSET($BH$3,0,0,'Données projet'!$E$11+1,1))-AVERAGE(OFFSET($H$3,0,0,'Données projet'!$E$11+1,1))</f>
        <v>168.44987180339865</v>
      </c>
      <c r="BJ179" s="62">
        <f t="shared" si="146"/>
        <v>375.85422976031748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0.14610008060782048</v>
      </c>
      <c r="BR179" s="23">
        <f>EXP(-LN(2)/2)*BR178+(1-EXP(-LN(2)/2))/(LN(2)/2)*BL179*BO179*VLOOKUP('Données projet'!$B$11,Paramètres!$A$1:$I$88,3,0)*0.475*44/12</f>
        <v>2.5309014402089747E-21</v>
      </c>
      <c r="BS179" s="24">
        <f t="shared" si="169"/>
        <v>0.14610008060782048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-6.8212102632969618E-13</v>
      </c>
      <c r="O180" s="14">
        <f>N180*VLOOKUP('Données projet'!$B$9,Paramètres!$A$1:$I$88,3,0)*VLOOKUP('Données projet'!$B$9,Paramètres!$A$1:$I$88,5,0)</f>
        <v>-4.0790837374515837E-13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190.92799938679798</v>
      </c>
      <c r="T180" s="62">
        <f t="shared" si="142"/>
        <v>172.54286890368337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0.33811181617988206</v>
      </c>
      <c r="AB180" s="23">
        <f>EXP(-LN(2)/2)*AB179+(1-EXP(-LN(2)/2))/(LN(2)/2)*V180*Y180*VLOOKUP('Données projet'!$B$9,Paramètres!$A$1:$I$88,3,0)*0.475*44/12</f>
        <v>2.8387037331304163E-21</v>
      </c>
      <c r="AC180" s="24">
        <f t="shared" si="163"/>
        <v>0.33811181617988206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projet'!$B$10,Paramètres!$A$1:$I$88,3,0)*VLOOKUP('Données projet'!$B$10,Paramètres!$A$1:$I$88,5,0)</f>
        <v>5.7639226724859328E-14</v>
      </c>
      <c r="AK180" s="14">
        <f t="shared" si="164"/>
        <v>9.2325701996134334E-13</v>
      </c>
      <c r="AL180" s="22">
        <f t="shared" si="165"/>
        <v>1.708394296311803E-12</v>
      </c>
      <c r="AM180" s="62">
        <f t="shared" si="113"/>
        <v>293.33333333333502</v>
      </c>
      <c r="AN180" s="62">
        <f ca="1">AVERAGE(OFFSET($AM$3,0,0,'Données projet'!$E$10+1,1))-AVERAGE(OFFSET($H$3,0,0,'Données projet'!$E$10+1,1))</f>
        <v>95.135996821969457</v>
      </c>
      <c r="AO180" s="62">
        <f t="shared" si="144"/>
        <v>111.83039337220566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3.1263880373444408E-13</v>
      </c>
      <c r="BE180" s="14">
        <f>BD180*VLOOKUP('Données projet'!$B$11,Paramètres!$A$1:$I$88,3,0)*VLOOKUP('Données projet'!$B$11,Paramètres!$A$1:$I$88,5,0)</f>
        <v>2.82875589618925E-13</v>
      </c>
      <c r="BF180" s="14">
        <f t="shared" si="167"/>
        <v>3.7651460236245583E-12</v>
      </c>
      <c r="BG180" s="22">
        <f t="shared" si="168"/>
        <v>7.0503043097323991E-12</v>
      </c>
      <c r="BH180" s="62">
        <f t="shared" si="116"/>
        <v>293.33333333334036</v>
      </c>
      <c r="BI180" s="62">
        <f ca="1">AVERAGE(OFFSET($BH$3,0,0,'Données projet'!$E$11+1,1))-AVERAGE(OFFSET($H$3,0,0,'Données projet'!$E$11+1,1))</f>
        <v>168.44987180339865</v>
      </c>
      <c r="BJ180" s="62">
        <f t="shared" si="146"/>
        <v>375.85422976031748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0.14210496622053032</v>
      </c>
      <c r="BR180" s="23">
        <f>EXP(-LN(2)/2)*BR179+(1-EXP(-LN(2)/2))/(LN(2)/2)*BL180*BO180*VLOOKUP('Données projet'!$B$11,Paramètres!$A$1:$I$88,3,0)*0.475*44/12</f>
        <v>1.7896175708865654E-21</v>
      </c>
      <c r="BS180" s="24">
        <f t="shared" si="169"/>
        <v>0.14210496622053032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-6.8212102632969618E-13</v>
      </c>
      <c r="O181" s="14">
        <f>N181*VLOOKUP('Données projet'!$B$9,Paramètres!$A$1:$I$88,3,0)*VLOOKUP('Données projet'!$B$9,Paramètres!$A$1:$I$88,5,0)</f>
        <v>-4.0790837374515837E-13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190.92799938679798</v>
      </c>
      <c r="T181" s="62">
        <f t="shared" si="142"/>
        <v>172.54286890368337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0.32886613078591553</v>
      </c>
      <c r="AB181" s="23">
        <f>EXP(-LN(2)/2)*AB180+(1-EXP(-LN(2)/2))/(LN(2)/2)*V181*Y181*VLOOKUP('Données projet'!$B$9,Paramètres!$A$1:$I$88,3,0)*0.475*44/12</f>
        <v>2.0072666594760849E-21</v>
      </c>
      <c r="AC181" s="24">
        <f t="shared" si="163"/>
        <v>0.32886613078591553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projet'!$B$10,Paramètres!$A$1:$I$88,3,0)*VLOOKUP('Données projet'!$B$10,Paramètres!$A$1:$I$88,5,0)</f>
        <v>5.7639226724859328E-14</v>
      </c>
      <c r="AK181" s="14">
        <f t="shared" si="164"/>
        <v>9.2325701996134334E-13</v>
      </c>
      <c r="AL181" s="22">
        <f t="shared" si="165"/>
        <v>1.708394296311803E-12</v>
      </c>
      <c r="AM181" s="62">
        <f t="shared" si="113"/>
        <v>293.33333333333502</v>
      </c>
      <c r="AN181" s="62">
        <f ca="1">AVERAGE(OFFSET($AM$3,0,0,'Données projet'!$E$10+1,1))-AVERAGE(OFFSET($H$3,0,0,'Données projet'!$E$10+1,1))</f>
        <v>95.135996821969457</v>
      </c>
      <c r="AO181" s="62">
        <f t="shared" si="144"/>
        <v>111.83039337220566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3.1263880373444408E-13</v>
      </c>
      <c r="BE181" s="14">
        <f>BD181*VLOOKUP('Données projet'!$B$11,Paramètres!$A$1:$I$88,3,0)*VLOOKUP('Données projet'!$B$11,Paramètres!$A$1:$I$88,5,0)</f>
        <v>2.82875589618925E-13</v>
      </c>
      <c r="BF181" s="14">
        <f t="shared" si="167"/>
        <v>3.7651460236245583E-12</v>
      </c>
      <c r="BG181" s="22">
        <f t="shared" si="168"/>
        <v>7.0503043097323991E-12</v>
      </c>
      <c r="BH181" s="62">
        <f t="shared" si="116"/>
        <v>293.33333333334036</v>
      </c>
      <c r="BI181" s="62">
        <f ca="1">AVERAGE(OFFSET($BH$3,0,0,'Données projet'!$E$11+1,1))-AVERAGE(OFFSET($H$3,0,0,'Données projet'!$E$11+1,1))</f>
        <v>168.44987180339865</v>
      </c>
      <c r="BJ181" s="62">
        <f t="shared" si="146"/>
        <v>375.85422976031748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0.13821909844625452</v>
      </c>
      <c r="BR181" s="23">
        <f>EXP(-LN(2)/2)*BR180+(1-EXP(-LN(2)/2))/(LN(2)/2)*BL181*BO181*VLOOKUP('Données projet'!$B$11,Paramètres!$A$1:$I$88,3,0)*0.475*44/12</f>
        <v>1.2654507201044873E-21</v>
      </c>
      <c r="BS181" s="24">
        <f t="shared" si="169"/>
        <v>0.13821909844625452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-6.8212102632969618E-13</v>
      </c>
      <c r="O182" s="14">
        <f>N182*VLOOKUP('Données projet'!$B$9,Paramètres!$A$1:$I$88,3,0)*VLOOKUP('Données projet'!$B$9,Paramètres!$A$1:$I$88,5,0)</f>
        <v>-4.0790837374515837E-13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190.92799938679798</v>
      </c>
      <c r="T182" s="62">
        <f t="shared" si="142"/>
        <v>172.54286890368337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0.31987326914525649</v>
      </c>
      <c r="AB182" s="23">
        <f>EXP(-LN(2)/2)*AB181+(1-EXP(-LN(2)/2))/(LN(2)/2)*V182*Y182*VLOOKUP('Données projet'!$B$9,Paramètres!$A$1:$I$88,3,0)*0.475*44/12</f>
        <v>1.4193518665652082E-21</v>
      </c>
      <c r="AC182" s="24">
        <f t="shared" si="163"/>
        <v>0.31987326914525649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projet'!$B$10,Paramètres!$A$1:$I$88,3,0)*VLOOKUP('Données projet'!$B$10,Paramètres!$A$1:$I$88,5,0)</f>
        <v>5.7639226724859328E-14</v>
      </c>
      <c r="AK182" s="14">
        <f t="shared" si="164"/>
        <v>9.2325701996134334E-13</v>
      </c>
      <c r="AL182" s="22">
        <f t="shared" si="165"/>
        <v>1.708394296311803E-12</v>
      </c>
      <c r="AM182" s="62">
        <f t="shared" si="113"/>
        <v>293.33333333333502</v>
      </c>
      <c r="AN182" s="62">
        <f ca="1">AVERAGE(OFFSET($AM$3,0,0,'Données projet'!$E$10+1,1))-AVERAGE(OFFSET($H$3,0,0,'Données projet'!$E$10+1,1))</f>
        <v>95.135996821969457</v>
      </c>
      <c r="AO182" s="62">
        <f t="shared" si="144"/>
        <v>111.83039337220566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3.1263880373444408E-13</v>
      </c>
      <c r="BE182" s="14">
        <f>BD182*VLOOKUP('Données projet'!$B$11,Paramètres!$A$1:$I$88,3,0)*VLOOKUP('Données projet'!$B$11,Paramètres!$A$1:$I$88,5,0)</f>
        <v>2.82875589618925E-13</v>
      </c>
      <c r="BF182" s="14">
        <f t="shared" si="167"/>
        <v>3.7651460236245583E-12</v>
      </c>
      <c r="BG182" s="22">
        <f t="shared" si="168"/>
        <v>7.0503043097323991E-12</v>
      </c>
      <c r="BH182" s="62">
        <f t="shared" si="116"/>
        <v>293.33333333334036</v>
      </c>
      <c r="BI182" s="62">
        <f ca="1">AVERAGE(OFFSET($BH$3,0,0,'Données projet'!$E$11+1,1))-AVERAGE(OFFSET($H$3,0,0,'Données projet'!$E$11+1,1))</f>
        <v>168.44987180339865</v>
      </c>
      <c r="BJ182" s="62">
        <f t="shared" si="146"/>
        <v>375.85422976031748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0.13443948993061519</v>
      </c>
      <c r="BR182" s="23">
        <f>EXP(-LN(2)/2)*BR181+(1-EXP(-LN(2)/2))/(LN(2)/2)*BL182*BO182*VLOOKUP('Données projet'!$B$11,Paramètres!$A$1:$I$88,3,0)*0.475*44/12</f>
        <v>8.9480878544328272E-22</v>
      </c>
      <c r="BS182" s="24">
        <f t="shared" si="169"/>
        <v>0.13443948993061519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-6.8212102632969618E-13</v>
      </c>
      <c r="O183" s="14">
        <f>N183*VLOOKUP('Données projet'!$B$9,Paramètres!$A$1:$I$88,3,0)*VLOOKUP('Données projet'!$B$9,Paramètres!$A$1:$I$88,5,0)</f>
        <v>-4.0790837374515837E-13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190.92799938679798</v>
      </c>
      <c r="T183" s="62">
        <f t="shared" si="142"/>
        <v>172.54286890368337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0.31112631777907529</v>
      </c>
      <c r="AB183" s="23">
        <f>EXP(-LN(2)/2)*AB182+(1-EXP(-LN(2)/2))/(LN(2)/2)*V183*Y183*VLOOKUP('Données projet'!$B$9,Paramètres!$A$1:$I$88,3,0)*0.475*44/12</f>
        <v>1.0036333297380424E-21</v>
      </c>
      <c r="AC183" s="24">
        <f t="shared" si="163"/>
        <v>0.31112631777907529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projet'!$B$10,Paramètres!$A$1:$I$88,3,0)*VLOOKUP('Données projet'!$B$10,Paramètres!$A$1:$I$88,5,0)</f>
        <v>5.7639226724859328E-14</v>
      </c>
      <c r="AK183" s="14">
        <f t="shared" si="164"/>
        <v>9.2325701996134334E-13</v>
      </c>
      <c r="AL183" s="22">
        <f t="shared" si="165"/>
        <v>1.708394296311803E-12</v>
      </c>
      <c r="AM183" s="62">
        <f t="shared" si="113"/>
        <v>293.33333333333502</v>
      </c>
      <c r="AN183" s="62">
        <f ca="1">AVERAGE(OFFSET($AM$3,0,0,'Données projet'!$E$10+1,1))-AVERAGE(OFFSET($H$3,0,0,'Données projet'!$E$10+1,1))</f>
        <v>95.135996821969457</v>
      </c>
      <c r="AO183" s="62">
        <f t="shared" si="144"/>
        <v>111.83039337220566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3.1263880373444408E-13</v>
      </c>
      <c r="BE183" s="14">
        <f>BD183*VLOOKUP('Données projet'!$B$11,Paramètres!$A$1:$I$88,3,0)*VLOOKUP('Données projet'!$B$11,Paramètres!$A$1:$I$88,5,0)</f>
        <v>2.82875589618925E-13</v>
      </c>
      <c r="BF183" s="14">
        <f t="shared" si="167"/>
        <v>3.7651460236245583E-12</v>
      </c>
      <c r="BG183" s="22">
        <f t="shared" si="168"/>
        <v>7.0503043097323991E-12</v>
      </c>
      <c r="BH183" s="62">
        <f t="shared" si="116"/>
        <v>293.33333333334036</v>
      </c>
      <c r="BI183" s="62">
        <f ca="1">AVERAGE(OFFSET($BH$3,0,0,'Données projet'!$E$11+1,1))-AVERAGE(OFFSET($H$3,0,0,'Données projet'!$E$11+1,1))</f>
        <v>168.44987180339865</v>
      </c>
      <c r="BJ183" s="62">
        <f t="shared" si="146"/>
        <v>375.85422976031748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0.13076323500859702</v>
      </c>
      <c r="BR183" s="23">
        <f>EXP(-LN(2)/2)*BR182+(1-EXP(-LN(2)/2))/(LN(2)/2)*BL183*BO183*VLOOKUP('Données projet'!$B$11,Paramètres!$A$1:$I$88,3,0)*0.475*44/12</f>
        <v>6.3272536005224367E-22</v>
      </c>
      <c r="BS183" s="24">
        <f t="shared" si="169"/>
        <v>0.13076323500859702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-6.8212102632969618E-13</v>
      </c>
      <c r="O184" s="14">
        <f>N184*VLOOKUP('Données projet'!$B$9,Paramètres!$A$1:$I$88,3,0)*VLOOKUP('Données projet'!$B$9,Paramètres!$A$1:$I$88,5,0)</f>
        <v>-4.0790837374515837E-13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190.92799938679798</v>
      </c>
      <c r="T184" s="62">
        <f t="shared" si="142"/>
        <v>172.54286890368337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0.30261855225798451</v>
      </c>
      <c r="AB184" s="23">
        <f>EXP(-LN(2)/2)*AB183+(1-EXP(-LN(2)/2))/(LN(2)/2)*V184*Y184*VLOOKUP('Données projet'!$B$9,Paramètres!$A$1:$I$88,3,0)*0.475*44/12</f>
        <v>7.0967593328260408E-22</v>
      </c>
      <c r="AC184" s="24">
        <f t="shared" si="163"/>
        <v>0.30261855225798451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projet'!$B$10,Paramètres!$A$1:$I$88,3,0)*VLOOKUP('Données projet'!$B$10,Paramètres!$A$1:$I$88,5,0)</f>
        <v>5.7639226724859328E-14</v>
      </c>
      <c r="AK184" s="14">
        <f t="shared" si="164"/>
        <v>9.2325701996134334E-13</v>
      </c>
      <c r="AL184" s="22">
        <f t="shared" si="165"/>
        <v>1.708394296311803E-12</v>
      </c>
      <c r="AM184" s="62">
        <f t="shared" si="113"/>
        <v>293.33333333333502</v>
      </c>
      <c r="AN184" s="62">
        <f ca="1">AVERAGE(OFFSET($AM$3,0,0,'Données projet'!$E$10+1,1))-AVERAGE(OFFSET($H$3,0,0,'Données projet'!$E$10+1,1))</f>
        <v>95.135996821969457</v>
      </c>
      <c r="AO184" s="62">
        <f t="shared" si="144"/>
        <v>111.83039337220566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3.1263880373444408E-13</v>
      </c>
      <c r="BE184" s="14">
        <f>BD184*VLOOKUP('Données projet'!$B$11,Paramètres!$A$1:$I$88,3,0)*VLOOKUP('Données projet'!$B$11,Paramètres!$A$1:$I$88,5,0)</f>
        <v>2.82875589618925E-13</v>
      </c>
      <c r="BF184" s="14">
        <f t="shared" si="167"/>
        <v>3.7651460236245583E-12</v>
      </c>
      <c r="BG184" s="22">
        <f t="shared" si="168"/>
        <v>7.0503043097323991E-12</v>
      </c>
      <c r="BH184" s="62">
        <f t="shared" si="116"/>
        <v>293.33333333334036</v>
      </c>
      <c r="BI184" s="62">
        <f ca="1">AVERAGE(OFFSET($BH$3,0,0,'Données projet'!$E$11+1,1))-AVERAGE(OFFSET($H$3,0,0,'Données projet'!$E$11+1,1))</f>
        <v>168.44987180339865</v>
      </c>
      <c r="BJ184" s="62">
        <f t="shared" si="146"/>
        <v>375.85422976031748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0.12718750747074728</v>
      </c>
      <c r="BR184" s="23">
        <f>EXP(-LN(2)/2)*BR183+(1-EXP(-LN(2)/2))/(LN(2)/2)*BL184*BO184*VLOOKUP('Données projet'!$B$11,Paramètres!$A$1:$I$88,3,0)*0.475*44/12</f>
        <v>4.4740439272164136E-22</v>
      </c>
      <c r="BS184" s="24">
        <f t="shared" si="169"/>
        <v>0.12718750747074728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-6.8212102632969618E-13</v>
      </c>
      <c r="O185" s="14">
        <f>N185*VLOOKUP('Données projet'!$B$9,Paramètres!$A$1:$I$88,3,0)*VLOOKUP('Données projet'!$B$9,Paramètres!$A$1:$I$88,5,0)</f>
        <v>-4.0790837374515837E-13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190.92799938679798</v>
      </c>
      <c r="T185" s="62">
        <f t="shared" si="142"/>
        <v>172.54286890368337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0.29434343203247187</v>
      </c>
      <c r="AB185" s="23">
        <f>EXP(-LN(2)/2)*AB184+(1-EXP(-LN(2)/2))/(LN(2)/2)*V185*Y185*VLOOKUP('Données projet'!$B$9,Paramètres!$A$1:$I$88,3,0)*0.475*44/12</f>
        <v>5.0181666486902122E-22</v>
      </c>
      <c r="AC185" s="24">
        <f t="shared" si="163"/>
        <v>0.29434343203247187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projet'!$B$10,Paramètres!$A$1:$I$88,3,0)*VLOOKUP('Données projet'!$B$10,Paramètres!$A$1:$I$88,5,0)</f>
        <v>5.7639226724859328E-14</v>
      </c>
      <c r="AK185" s="14">
        <f t="shared" si="164"/>
        <v>9.2325701996134334E-13</v>
      </c>
      <c r="AL185" s="22">
        <f t="shared" si="165"/>
        <v>1.708394296311803E-12</v>
      </c>
      <c r="AM185" s="62">
        <f t="shared" si="113"/>
        <v>293.33333333333502</v>
      </c>
      <c r="AN185" s="62">
        <f ca="1">AVERAGE(OFFSET($AM$3,0,0,'Données projet'!$E$10+1,1))-AVERAGE(OFFSET($H$3,0,0,'Données projet'!$E$10+1,1))</f>
        <v>95.135996821969457</v>
      </c>
      <c r="AO185" s="62">
        <f t="shared" si="144"/>
        <v>111.83039337220566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3.1263880373444408E-13</v>
      </c>
      <c r="BE185" s="14">
        <f>BD185*VLOOKUP('Données projet'!$B$11,Paramètres!$A$1:$I$88,3,0)*VLOOKUP('Données projet'!$B$11,Paramètres!$A$1:$I$88,5,0)</f>
        <v>2.82875589618925E-13</v>
      </c>
      <c r="BF185" s="14">
        <f t="shared" si="167"/>
        <v>3.7651460236245583E-12</v>
      </c>
      <c r="BG185" s="22">
        <f t="shared" si="168"/>
        <v>7.0503043097323991E-12</v>
      </c>
      <c r="BH185" s="62">
        <f t="shared" si="116"/>
        <v>293.33333333334036</v>
      </c>
      <c r="BI185" s="62">
        <f ca="1">AVERAGE(OFFSET($BH$3,0,0,'Données projet'!$E$11+1,1))-AVERAGE(OFFSET($H$3,0,0,'Données projet'!$E$11+1,1))</f>
        <v>168.44987180339865</v>
      </c>
      <c r="BJ185" s="62">
        <f t="shared" si="146"/>
        <v>375.85422976031748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0.12370955839045937</v>
      </c>
      <c r="BR185" s="23">
        <f>EXP(-LN(2)/2)*BR184+(1-EXP(-LN(2)/2))/(LN(2)/2)*BL185*BO185*VLOOKUP('Données projet'!$B$11,Paramètres!$A$1:$I$88,3,0)*0.475*44/12</f>
        <v>3.1636268002612183E-22</v>
      </c>
      <c r="BS185" s="24">
        <f t="shared" si="169"/>
        <v>0.12370955839045937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-6.8212102632969618E-13</v>
      </c>
      <c r="O186" s="14">
        <f>N186*VLOOKUP('Données projet'!$B$9,Paramètres!$A$1:$I$88,3,0)*VLOOKUP('Données projet'!$B$9,Paramètres!$A$1:$I$88,5,0)</f>
        <v>-4.0790837374515837E-13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190.92799938679798</v>
      </c>
      <c r="T186" s="62">
        <f t="shared" si="142"/>
        <v>172.54286890368337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0.2862945954046956</v>
      </c>
      <c r="AB186" s="23">
        <f>EXP(-LN(2)/2)*AB185+(1-EXP(-LN(2)/2))/(LN(2)/2)*V186*Y186*VLOOKUP('Données projet'!$B$9,Paramètres!$A$1:$I$88,3,0)*0.475*44/12</f>
        <v>3.5483796664130204E-22</v>
      </c>
      <c r="AC186" s="24">
        <f t="shared" si="163"/>
        <v>0.2862945954046956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projet'!$B$10,Paramètres!$A$1:$I$88,3,0)*VLOOKUP('Données projet'!$B$10,Paramètres!$A$1:$I$88,5,0)</f>
        <v>5.7639226724859328E-14</v>
      </c>
      <c r="AK186" s="14">
        <f t="shared" si="164"/>
        <v>9.2325701996134334E-13</v>
      </c>
      <c r="AL186" s="22">
        <f t="shared" si="165"/>
        <v>1.708394296311803E-12</v>
      </c>
      <c r="AM186" s="62">
        <f t="shared" si="113"/>
        <v>293.33333333333502</v>
      </c>
      <c r="AN186" s="62">
        <f ca="1">AVERAGE(OFFSET($AM$3,0,0,'Données projet'!$E$10+1,1))-AVERAGE(OFFSET($H$3,0,0,'Données projet'!$E$10+1,1))</f>
        <v>95.135996821969457</v>
      </c>
      <c r="AO186" s="62">
        <f t="shared" si="144"/>
        <v>111.83039337220566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3.1263880373444408E-13</v>
      </c>
      <c r="BE186" s="14">
        <f>BD186*VLOOKUP('Données projet'!$B$11,Paramètres!$A$1:$I$88,3,0)*VLOOKUP('Données projet'!$B$11,Paramètres!$A$1:$I$88,5,0)</f>
        <v>2.82875589618925E-13</v>
      </c>
      <c r="BF186" s="14">
        <f t="shared" si="167"/>
        <v>3.7651460236245583E-12</v>
      </c>
      <c r="BG186" s="22">
        <f t="shared" si="168"/>
        <v>7.0503043097323991E-12</v>
      </c>
      <c r="BH186" s="62">
        <f t="shared" si="116"/>
        <v>293.33333333334036</v>
      </c>
      <c r="BI186" s="62">
        <f ca="1">AVERAGE(OFFSET($BH$3,0,0,'Données projet'!$E$11+1,1))-AVERAGE(OFFSET($H$3,0,0,'Données projet'!$E$11+1,1))</f>
        <v>168.44987180339865</v>
      </c>
      <c r="BJ186" s="62">
        <f t="shared" si="146"/>
        <v>375.85422976031748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0.12032671401066933</v>
      </c>
      <c r="BR186" s="23">
        <f>EXP(-LN(2)/2)*BR185+(1-EXP(-LN(2)/2))/(LN(2)/2)*BL186*BO186*VLOOKUP('Données projet'!$B$11,Paramètres!$A$1:$I$88,3,0)*0.475*44/12</f>
        <v>2.2370219636082068E-22</v>
      </c>
      <c r="BS186" s="24">
        <f t="shared" si="169"/>
        <v>0.12032671401066933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-6.8212102632969618E-13</v>
      </c>
      <c r="O187" s="14">
        <f>N187*VLOOKUP('Données projet'!$B$9,Paramètres!$A$1:$I$88,3,0)*VLOOKUP('Données projet'!$B$9,Paramètres!$A$1:$I$88,5,0)</f>
        <v>-4.0790837374515837E-13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190.92799938679798</v>
      </c>
      <c r="T187" s="62">
        <f t="shared" si="142"/>
        <v>172.54286890368337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0.27846585463777573</v>
      </c>
      <c r="AB187" s="23">
        <f>EXP(-LN(2)/2)*AB186+(1-EXP(-LN(2)/2))/(LN(2)/2)*V187*Y187*VLOOKUP('Données projet'!$B$9,Paramètres!$A$1:$I$88,3,0)*0.475*44/12</f>
        <v>2.5090833243451061E-22</v>
      </c>
      <c r="AC187" s="24">
        <f t="shared" si="163"/>
        <v>0.27846585463777573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projet'!$B$10,Paramètres!$A$1:$I$88,3,0)*VLOOKUP('Données projet'!$B$10,Paramètres!$A$1:$I$88,5,0)</f>
        <v>5.7639226724859328E-14</v>
      </c>
      <c r="AK187" s="14">
        <f t="shared" si="164"/>
        <v>9.2325701996134334E-13</v>
      </c>
      <c r="AL187" s="22">
        <f t="shared" si="165"/>
        <v>1.708394296311803E-12</v>
      </c>
      <c r="AM187" s="62">
        <f t="shared" si="113"/>
        <v>293.33333333333502</v>
      </c>
      <c r="AN187" s="62">
        <f ca="1">AVERAGE(OFFSET($AM$3,0,0,'Données projet'!$E$10+1,1))-AVERAGE(OFFSET($H$3,0,0,'Données projet'!$E$10+1,1))</f>
        <v>95.135996821969457</v>
      </c>
      <c r="AO187" s="62">
        <f t="shared" si="144"/>
        <v>111.83039337220566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3.1263880373444408E-13</v>
      </c>
      <c r="BE187" s="14">
        <f>BD187*VLOOKUP('Données projet'!$B$11,Paramètres!$A$1:$I$88,3,0)*VLOOKUP('Données projet'!$B$11,Paramètres!$A$1:$I$88,5,0)</f>
        <v>2.82875589618925E-13</v>
      </c>
      <c r="BF187" s="14">
        <f t="shared" si="167"/>
        <v>3.7651460236245583E-12</v>
      </c>
      <c r="BG187" s="22">
        <f t="shared" si="168"/>
        <v>7.0503043097323991E-12</v>
      </c>
      <c r="BH187" s="62">
        <f t="shared" si="116"/>
        <v>293.33333333334036</v>
      </c>
      <c r="BI187" s="62">
        <f ca="1">AVERAGE(OFFSET($BH$3,0,0,'Données projet'!$E$11+1,1))-AVERAGE(OFFSET($H$3,0,0,'Données projet'!$E$11+1,1))</f>
        <v>168.44987180339865</v>
      </c>
      <c r="BJ187" s="62">
        <f t="shared" si="146"/>
        <v>375.85422976031748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0.11703637368834069</v>
      </c>
      <c r="BR187" s="23">
        <f>EXP(-LN(2)/2)*BR186+(1-EXP(-LN(2)/2))/(LN(2)/2)*BL187*BO187*VLOOKUP('Données projet'!$B$11,Paramètres!$A$1:$I$88,3,0)*0.475*44/12</f>
        <v>1.5818134001306092E-22</v>
      </c>
      <c r="BS187" s="24">
        <f t="shared" si="169"/>
        <v>0.11703637368834069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-6.8212102632969618E-13</v>
      </c>
      <c r="O188" s="14">
        <f>N188*VLOOKUP('Données projet'!$B$9,Paramètres!$A$1:$I$88,3,0)*VLOOKUP('Données projet'!$B$9,Paramètres!$A$1:$I$88,5,0)</f>
        <v>-4.0790837374515837E-13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190.92799938679798</v>
      </c>
      <c r="T188" s="62">
        <f t="shared" si="142"/>
        <v>172.54286890368337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0.27085119119882289</v>
      </c>
      <c r="AB188" s="23">
        <f>EXP(-LN(2)/2)*AB187+(1-EXP(-LN(2)/2))/(LN(2)/2)*V188*Y188*VLOOKUP('Données projet'!$B$9,Paramètres!$A$1:$I$88,3,0)*0.475*44/12</f>
        <v>1.7741898332065102E-22</v>
      </c>
      <c r="AC188" s="24">
        <f t="shared" si="163"/>
        <v>0.27085119119882289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projet'!$B$10,Paramètres!$A$1:$I$88,3,0)*VLOOKUP('Données projet'!$B$10,Paramètres!$A$1:$I$88,5,0)</f>
        <v>5.7639226724859328E-14</v>
      </c>
      <c r="AK188" s="14">
        <f t="shared" si="164"/>
        <v>9.2325701996134334E-13</v>
      </c>
      <c r="AL188" s="22">
        <f t="shared" si="165"/>
        <v>1.708394296311803E-12</v>
      </c>
      <c r="AM188" s="62">
        <f t="shared" si="113"/>
        <v>293.33333333333502</v>
      </c>
      <c r="AN188" s="62">
        <f ca="1">AVERAGE(OFFSET($AM$3,0,0,'Données projet'!$E$10+1,1))-AVERAGE(OFFSET($H$3,0,0,'Données projet'!$E$10+1,1))</f>
        <v>95.135996821969457</v>
      </c>
      <c r="AO188" s="62">
        <f t="shared" si="144"/>
        <v>111.83039337220566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3.1263880373444408E-13</v>
      </c>
      <c r="BE188" s="14">
        <f>BD188*VLOOKUP('Données projet'!$B$11,Paramètres!$A$1:$I$88,3,0)*VLOOKUP('Données projet'!$B$11,Paramètres!$A$1:$I$88,5,0)</f>
        <v>2.82875589618925E-13</v>
      </c>
      <c r="BF188" s="14">
        <f t="shared" si="167"/>
        <v>3.7651460236245583E-12</v>
      </c>
      <c r="BG188" s="22">
        <f t="shared" si="168"/>
        <v>7.0503043097323991E-12</v>
      </c>
      <c r="BH188" s="62">
        <f t="shared" si="116"/>
        <v>293.33333333334036</v>
      </c>
      <c r="BI188" s="62">
        <f ca="1">AVERAGE(OFFSET($BH$3,0,0,'Données projet'!$E$11+1,1))-AVERAGE(OFFSET($H$3,0,0,'Données projet'!$E$11+1,1))</f>
        <v>168.44987180339865</v>
      </c>
      <c r="BJ188" s="62">
        <f t="shared" si="146"/>
        <v>375.85422976031748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0.11383600789515762</v>
      </c>
      <c r="BR188" s="23">
        <f>EXP(-LN(2)/2)*BR187+(1-EXP(-LN(2)/2))/(LN(2)/2)*BL188*BO188*VLOOKUP('Données projet'!$B$11,Paramètres!$A$1:$I$88,3,0)*0.475*44/12</f>
        <v>1.1185109818041034E-22</v>
      </c>
      <c r="BS188" s="24">
        <f t="shared" si="169"/>
        <v>0.11383600789515762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-6.8212102632969618E-13</v>
      </c>
      <c r="O189" s="14">
        <f>N189*VLOOKUP('Données projet'!$B$9,Paramètres!$A$1:$I$88,3,0)*VLOOKUP('Données projet'!$B$9,Paramètres!$A$1:$I$88,5,0)</f>
        <v>-4.0790837374515837E-13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190.92799938679798</v>
      </c>
      <c r="T189" s="62">
        <f t="shared" si="142"/>
        <v>172.54286890368337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0.26344475113204596</v>
      </c>
      <c r="AB189" s="23">
        <f>EXP(-LN(2)/2)*AB188+(1-EXP(-LN(2)/2))/(LN(2)/2)*V189*Y189*VLOOKUP('Données projet'!$B$9,Paramètres!$A$1:$I$88,3,0)*0.475*44/12</f>
        <v>1.254541662172553E-22</v>
      </c>
      <c r="AC189" s="24">
        <f t="shared" si="163"/>
        <v>0.26344475113204596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projet'!$B$10,Paramètres!$A$1:$I$88,3,0)*VLOOKUP('Données projet'!$B$10,Paramètres!$A$1:$I$88,5,0)</f>
        <v>5.7639226724859328E-14</v>
      </c>
      <c r="AK189" s="14">
        <f t="shared" si="164"/>
        <v>9.2325701996134334E-13</v>
      </c>
      <c r="AL189" s="22">
        <f t="shared" si="165"/>
        <v>1.708394296311803E-12</v>
      </c>
      <c r="AM189" s="62">
        <f t="shared" si="113"/>
        <v>293.33333333333502</v>
      </c>
      <c r="AN189" s="62">
        <f ca="1">AVERAGE(OFFSET($AM$3,0,0,'Données projet'!$E$10+1,1))-AVERAGE(OFFSET($H$3,0,0,'Données projet'!$E$10+1,1))</f>
        <v>95.135996821969457</v>
      </c>
      <c r="AO189" s="62">
        <f t="shared" si="144"/>
        <v>111.83039337220566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3.1263880373444408E-13</v>
      </c>
      <c r="BE189" s="14">
        <f>BD189*VLOOKUP('Données projet'!$B$11,Paramètres!$A$1:$I$88,3,0)*VLOOKUP('Données projet'!$B$11,Paramètres!$A$1:$I$88,5,0)</f>
        <v>2.82875589618925E-13</v>
      </c>
      <c r="BF189" s="14">
        <f t="shared" si="167"/>
        <v>3.7651460236245583E-12</v>
      </c>
      <c r="BG189" s="22">
        <f t="shared" si="168"/>
        <v>7.0503043097323991E-12</v>
      </c>
      <c r="BH189" s="62">
        <f t="shared" si="116"/>
        <v>293.33333333334036</v>
      </c>
      <c r="BI189" s="62">
        <f ca="1">AVERAGE(OFFSET($BH$3,0,0,'Données projet'!$E$11+1,1))-AVERAGE(OFFSET($H$3,0,0,'Données projet'!$E$11+1,1))</f>
        <v>168.44987180339865</v>
      </c>
      <c r="BJ189" s="62">
        <f t="shared" si="146"/>
        <v>375.85422976031748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0.11072315627288905</v>
      </c>
      <c r="BR189" s="23">
        <f>EXP(-LN(2)/2)*BR188+(1-EXP(-LN(2)/2))/(LN(2)/2)*BL189*BO189*VLOOKUP('Données projet'!$B$11,Paramètres!$A$1:$I$88,3,0)*0.475*44/12</f>
        <v>7.9090670006530459E-23</v>
      </c>
      <c r="BS189" s="24">
        <f t="shared" si="169"/>
        <v>0.11072315627288905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-6.8212102632969618E-13</v>
      </c>
      <c r="O190" s="14">
        <f>N190*VLOOKUP('Données projet'!$B$9,Paramètres!$A$1:$I$88,3,0)*VLOOKUP('Données projet'!$B$9,Paramètres!$A$1:$I$88,5,0)</f>
        <v>-4.0790837374515837E-13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190.92799938679798</v>
      </c>
      <c r="T190" s="62">
        <f t="shared" si="142"/>
        <v>172.54286890368337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0.25624084055838281</v>
      </c>
      <c r="AB190" s="23">
        <f>EXP(-LN(2)/2)*AB189+(1-EXP(-LN(2)/2))/(LN(2)/2)*V190*Y190*VLOOKUP('Données projet'!$B$9,Paramètres!$A$1:$I$88,3,0)*0.475*44/12</f>
        <v>8.8709491660325511E-23</v>
      </c>
      <c r="AC190" s="24">
        <f t="shared" si="163"/>
        <v>0.25624084055838281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projet'!$B$10,Paramètres!$A$1:$I$88,3,0)*VLOOKUP('Données projet'!$B$10,Paramètres!$A$1:$I$88,5,0)</f>
        <v>5.7639226724859328E-14</v>
      </c>
      <c r="AK190" s="14">
        <f t="shared" si="164"/>
        <v>9.2325701996134334E-13</v>
      </c>
      <c r="AL190" s="22">
        <f t="shared" si="165"/>
        <v>1.708394296311803E-12</v>
      </c>
      <c r="AM190" s="62">
        <f t="shared" si="113"/>
        <v>293.33333333333502</v>
      </c>
      <c r="AN190" s="62">
        <f ca="1">AVERAGE(OFFSET($AM$3,0,0,'Données projet'!$E$10+1,1))-AVERAGE(OFFSET($H$3,0,0,'Données projet'!$E$10+1,1))</f>
        <v>95.135996821969457</v>
      </c>
      <c r="AO190" s="62">
        <f t="shared" si="144"/>
        <v>111.83039337220566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3.1263880373444408E-13</v>
      </c>
      <c r="BE190" s="14">
        <f>BD190*VLOOKUP('Données projet'!$B$11,Paramètres!$A$1:$I$88,3,0)*VLOOKUP('Données projet'!$B$11,Paramètres!$A$1:$I$88,5,0)</f>
        <v>2.82875589618925E-13</v>
      </c>
      <c r="BF190" s="14">
        <f t="shared" si="167"/>
        <v>3.7651460236245583E-12</v>
      </c>
      <c r="BG190" s="22">
        <f t="shared" si="168"/>
        <v>7.0503043097323991E-12</v>
      </c>
      <c r="BH190" s="62">
        <f t="shared" si="116"/>
        <v>293.33333333334036</v>
      </c>
      <c r="BI190" s="62">
        <f ca="1">AVERAGE(OFFSET($BH$3,0,0,'Données projet'!$E$11+1,1))-AVERAGE(OFFSET($H$3,0,0,'Données projet'!$E$11+1,1))</f>
        <v>168.44987180339865</v>
      </c>
      <c r="BJ190" s="62">
        <f t="shared" si="146"/>
        <v>375.85422976031748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0.10769542574192917</v>
      </c>
      <c r="BR190" s="23">
        <f>EXP(-LN(2)/2)*BR189+(1-EXP(-LN(2)/2))/(LN(2)/2)*BL190*BO190*VLOOKUP('Données projet'!$B$11,Paramètres!$A$1:$I$88,3,0)*0.475*44/12</f>
        <v>5.592554909020517E-23</v>
      </c>
      <c r="BS190" s="24">
        <f t="shared" si="169"/>
        <v>0.10769542574192917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-6.8212102632969618E-13</v>
      </c>
      <c r="O191" s="14">
        <f>N191*VLOOKUP('Données projet'!$B$9,Paramètres!$A$1:$I$88,3,0)*VLOOKUP('Données projet'!$B$9,Paramètres!$A$1:$I$88,5,0)</f>
        <v>-4.0790837374515837E-13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190.92799938679798</v>
      </c>
      <c r="T191" s="62">
        <f t="shared" si="142"/>
        <v>172.54286890368337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0.24923392129819366</v>
      </c>
      <c r="AB191" s="23">
        <f>EXP(-LN(2)/2)*AB190+(1-EXP(-LN(2)/2))/(LN(2)/2)*V191*Y191*VLOOKUP('Données projet'!$B$9,Paramètres!$A$1:$I$88,3,0)*0.475*44/12</f>
        <v>6.2727083108627652E-23</v>
      </c>
      <c r="AC191" s="24">
        <f t="shared" si="163"/>
        <v>0.24923392129819366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projet'!$B$10,Paramètres!$A$1:$I$88,3,0)*VLOOKUP('Données projet'!$B$10,Paramètres!$A$1:$I$88,5,0)</f>
        <v>5.7639226724859328E-14</v>
      </c>
      <c r="AK191" s="14">
        <f t="shared" si="164"/>
        <v>9.2325701996134334E-13</v>
      </c>
      <c r="AL191" s="22">
        <f t="shared" si="165"/>
        <v>1.708394296311803E-12</v>
      </c>
      <c r="AM191" s="62">
        <f t="shared" si="113"/>
        <v>293.33333333333502</v>
      </c>
      <c r="AN191" s="62">
        <f ca="1">AVERAGE(OFFSET($AM$3,0,0,'Données projet'!$E$10+1,1))-AVERAGE(OFFSET($H$3,0,0,'Données projet'!$E$10+1,1))</f>
        <v>95.135996821969457</v>
      </c>
      <c r="AO191" s="62">
        <f t="shared" si="144"/>
        <v>111.83039337220566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3.1263880373444408E-13</v>
      </c>
      <c r="BE191" s="14">
        <f>BD191*VLOOKUP('Données projet'!$B$11,Paramètres!$A$1:$I$88,3,0)*VLOOKUP('Données projet'!$B$11,Paramètres!$A$1:$I$88,5,0)</f>
        <v>2.82875589618925E-13</v>
      </c>
      <c r="BF191" s="14">
        <f t="shared" si="167"/>
        <v>3.7651460236245583E-12</v>
      </c>
      <c r="BG191" s="22">
        <f t="shared" si="168"/>
        <v>7.0503043097323991E-12</v>
      </c>
      <c r="BH191" s="62">
        <f t="shared" si="116"/>
        <v>293.33333333334036</v>
      </c>
      <c r="BI191" s="62">
        <f ca="1">AVERAGE(OFFSET($BH$3,0,0,'Données projet'!$E$11+1,1))-AVERAGE(OFFSET($H$3,0,0,'Données projet'!$E$11+1,1))</f>
        <v>168.44987180339865</v>
      </c>
      <c r="BJ191" s="62">
        <f t="shared" si="146"/>
        <v>375.85422976031748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0.10475048866155982</v>
      </c>
      <c r="BR191" s="23">
        <f>EXP(-LN(2)/2)*BR190+(1-EXP(-LN(2)/2))/(LN(2)/2)*BL191*BO191*VLOOKUP('Données projet'!$B$11,Paramètres!$A$1:$I$88,3,0)*0.475*44/12</f>
        <v>3.9545335003265229E-23</v>
      </c>
      <c r="BS191" s="24">
        <f t="shared" si="169"/>
        <v>0.10475048866155982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-6.8212102632969618E-13</v>
      </c>
      <c r="O192" s="14">
        <f>N192*VLOOKUP('Données projet'!$B$9,Paramètres!$A$1:$I$88,3,0)*VLOOKUP('Données projet'!$B$9,Paramètres!$A$1:$I$88,5,0)</f>
        <v>-4.0790837374515837E-13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190.92799938679798</v>
      </c>
      <c r="T192" s="62">
        <f t="shared" si="142"/>
        <v>172.54286890368337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0.24241860661365228</v>
      </c>
      <c r="AB192" s="23">
        <f>EXP(-LN(2)/2)*AB191+(1-EXP(-LN(2)/2))/(LN(2)/2)*V192*Y192*VLOOKUP('Données projet'!$B$9,Paramètres!$A$1:$I$88,3,0)*0.475*44/12</f>
        <v>4.4354745830162755E-23</v>
      </c>
      <c r="AC192" s="24">
        <f t="shared" si="163"/>
        <v>0.24241860661365228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projet'!$B$10,Paramètres!$A$1:$I$88,3,0)*VLOOKUP('Données projet'!$B$10,Paramètres!$A$1:$I$88,5,0)</f>
        <v>5.7639226724859328E-14</v>
      </c>
      <c r="AK192" s="14">
        <f t="shared" si="164"/>
        <v>9.2325701996134334E-13</v>
      </c>
      <c r="AL192" s="22">
        <f t="shared" si="165"/>
        <v>1.708394296311803E-12</v>
      </c>
      <c r="AM192" s="62">
        <f t="shared" si="113"/>
        <v>293.33333333333502</v>
      </c>
      <c r="AN192" s="62">
        <f ca="1">AVERAGE(OFFSET($AM$3,0,0,'Données projet'!$E$10+1,1))-AVERAGE(OFFSET($H$3,0,0,'Données projet'!$E$10+1,1))</f>
        <v>95.135996821969457</v>
      </c>
      <c r="AO192" s="62">
        <f t="shared" si="144"/>
        <v>111.83039337220566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3.1263880373444408E-13</v>
      </c>
      <c r="BE192" s="14">
        <f>BD192*VLOOKUP('Données projet'!$B$11,Paramètres!$A$1:$I$88,3,0)*VLOOKUP('Données projet'!$B$11,Paramètres!$A$1:$I$88,5,0)</f>
        <v>2.82875589618925E-13</v>
      </c>
      <c r="BF192" s="14">
        <f t="shared" si="167"/>
        <v>3.7651460236245583E-12</v>
      </c>
      <c r="BG192" s="22">
        <f t="shared" si="168"/>
        <v>7.0503043097323991E-12</v>
      </c>
      <c r="BH192" s="62">
        <f t="shared" si="116"/>
        <v>293.33333333334036</v>
      </c>
      <c r="BI192" s="62">
        <f ca="1">AVERAGE(OFFSET($BH$3,0,0,'Données projet'!$E$11+1,1))-AVERAGE(OFFSET($H$3,0,0,'Données projet'!$E$11+1,1))</f>
        <v>168.44987180339865</v>
      </c>
      <c r="BJ192" s="62">
        <f t="shared" si="146"/>
        <v>375.85422976031748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0.10188608104052069</v>
      </c>
      <c r="BR192" s="23">
        <f>EXP(-LN(2)/2)*BR191+(1-EXP(-LN(2)/2))/(LN(2)/2)*BL192*BO192*VLOOKUP('Données projet'!$B$11,Paramètres!$A$1:$I$88,3,0)*0.475*44/12</f>
        <v>2.7962774545102585E-23</v>
      </c>
      <c r="BS192" s="24">
        <f t="shared" si="169"/>
        <v>0.10188608104052069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-6.8212102632969618E-13</v>
      </c>
      <c r="O193" s="14">
        <f>N193*VLOOKUP('Données projet'!$B$9,Paramètres!$A$1:$I$88,3,0)*VLOOKUP('Données projet'!$B$9,Paramètres!$A$1:$I$88,5,0)</f>
        <v>-4.0790837374515837E-13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190.92799938679798</v>
      </c>
      <c r="T193" s="62">
        <f t="shared" si="142"/>
        <v>172.54286890368337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0.2357896570675615</v>
      </c>
      <c r="AB193" s="23">
        <f>EXP(-LN(2)/2)*AB192+(1-EXP(-LN(2)/2))/(LN(2)/2)*V193*Y193*VLOOKUP('Données projet'!$B$9,Paramètres!$A$1:$I$88,3,0)*0.475*44/12</f>
        <v>3.1363541554313826E-23</v>
      </c>
      <c r="AC193" s="24">
        <f t="shared" si="163"/>
        <v>0.2357896570675615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projet'!$B$10,Paramètres!$A$1:$I$88,3,0)*VLOOKUP('Données projet'!$B$10,Paramètres!$A$1:$I$88,5,0)</f>
        <v>5.7639226724859328E-14</v>
      </c>
      <c r="AK193" s="14">
        <f t="shared" si="164"/>
        <v>9.2325701996134334E-13</v>
      </c>
      <c r="AL193" s="22">
        <f t="shared" si="165"/>
        <v>1.708394296311803E-12</v>
      </c>
      <c r="AM193" s="62">
        <f t="shared" si="113"/>
        <v>293.33333333333502</v>
      </c>
      <c r="AN193" s="62">
        <f ca="1">AVERAGE(OFFSET($AM$3,0,0,'Données projet'!$E$10+1,1))-AVERAGE(OFFSET($H$3,0,0,'Données projet'!$E$10+1,1))</f>
        <v>95.135996821969457</v>
      </c>
      <c r="AO193" s="62">
        <f t="shared" si="144"/>
        <v>111.83039337220566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3.1263880373444408E-13</v>
      </c>
      <c r="BE193" s="14">
        <f>BD193*VLOOKUP('Données projet'!$B$11,Paramètres!$A$1:$I$88,3,0)*VLOOKUP('Données projet'!$B$11,Paramètres!$A$1:$I$88,5,0)</f>
        <v>2.82875589618925E-13</v>
      </c>
      <c r="BF193" s="14">
        <f t="shared" si="167"/>
        <v>3.7651460236245583E-12</v>
      </c>
      <c r="BG193" s="22">
        <f t="shared" si="168"/>
        <v>7.0503043097323991E-12</v>
      </c>
      <c r="BH193" s="62">
        <f t="shared" si="116"/>
        <v>293.33333333334036</v>
      </c>
      <c r="BI193" s="62">
        <f ca="1">AVERAGE(OFFSET($BH$3,0,0,'Données projet'!$E$11+1,1))-AVERAGE(OFFSET($H$3,0,0,'Données projet'!$E$11+1,1))</f>
        <v>168.44987180339865</v>
      </c>
      <c r="BJ193" s="62">
        <f t="shared" si="146"/>
        <v>375.85422976031748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9.9100000796511517E-2</v>
      </c>
      <c r="BR193" s="23">
        <f>EXP(-LN(2)/2)*BR192+(1-EXP(-LN(2)/2))/(LN(2)/2)*BL193*BO193*VLOOKUP('Données projet'!$B$11,Paramètres!$A$1:$I$88,3,0)*0.475*44/12</f>
        <v>1.9772667501632615E-23</v>
      </c>
      <c r="BS193" s="24">
        <f t="shared" si="169"/>
        <v>9.9100000796511517E-2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-6.8212102632969618E-13</v>
      </c>
      <c r="O194" s="14">
        <f>N194*VLOOKUP('Données projet'!$B$9,Paramètres!$A$1:$I$88,3,0)*VLOOKUP('Données projet'!$B$9,Paramètres!$A$1:$I$88,5,0)</f>
        <v>-4.0790837374515837E-13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190.92799938679798</v>
      </c>
      <c r="T194" s="62">
        <f t="shared" si="142"/>
        <v>172.54286890368337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0.22934197649540985</v>
      </c>
      <c r="AB194" s="23">
        <f>EXP(-LN(2)/2)*AB193+(1-EXP(-LN(2)/2))/(LN(2)/2)*V194*Y194*VLOOKUP('Données projet'!$B$9,Paramètres!$A$1:$I$88,3,0)*0.475*44/12</f>
        <v>2.2177372915081378E-23</v>
      </c>
      <c r="AC194" s="24">
        <f t="shared" si="163"/>
        <v>0.22934197649540985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projet'!$B$10,Paramètres!$A$1:$I$88,3,0)*VLOOKUP('Données projet'!$B$10,Paramètres!$A$1:$I$88,5,0)</f>
        <v>5.7639226724859328E-14</v>
      </c>
      <c r="AK194" s="14">
        <f t="shared" si="164"/>
        <v>9.2325701996134334E-13</v>
      </c>
      <c r="AL194" s="22">
        <f t="shared" si="165"/>
        <v>1.708394296311803E-12</v>
      </c>
      <c r="AM194" s="62">
        <f t="shared" si="113"/>
        <v>293.33333333333502</v>
      </c>
      <c r="AN194" s="62">
        <f ca="1">AVERAGE(OFFSET($AM$3,0,0,'Données projet'!$E$10+1,1))-AVERAGE(OFFSET($H$3,0,0,'Données projet'!$E$10+1,1))</f>
        <v>95.135996821969457</v>
      </c>
      <c r="AO194" s="62">
        <f t="shared" si="144"/>
        <v>111.83039337220566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3.1263880373444408E-13</v>
      </c>
      <c r="BE194" s="14">
        <f>BD194*VLOOKUP('Données projet'!$B$11,Paramètres!$A$1:$I$88,3,0)*VLOOKUP('Données projet'!$B$11,Paramètres!$A$1:$I$88,5,0)</f>
        <v>2.82875589618925E-13</v>
      </c>
      <c r="BF194" s="14">
        <f t="shared" si="167"/>
        <v>3.7651460236245583E-12</v>
      </c>
      <c r="BG194" s="22">
        <f t="shared" si="168"/>
        <v>7.0503043097323991E-12</v>
      </c>
      <c r="BH194" s="62">
        <f t="shared" si="116"/>
        <v>293.33333333334036</v>
      </c>
      <c r="BI194" s="62">
        <f ca="1">AVERAGE(OFFSET($BH$3,0,0,'Données projet'!$E$11+1,1))-AVERAGE(OFFSET($H$3,0,0,'Données projet'!$E$11+1,1))</f>
        <v>168.44987180339865</v>
      </c>
      <c r="BJ194" s="62">
        <f t="shared" si="146"/>
        <v>375.85422976031748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9.6390106063288364E-2</v>
      </c>
      <c r="BR194" s="23">
        <f>EXP(-LN(2)/2)*BR193+(1-EXP(-LN(2)/2))/(LN(2)/2)*BL194*BO194*VLOOKUP('Données projet'!$B$11,Paramètres!$A$1:$I$88,3,0)*0.475*44/12</f>
        <v>1.3981387272551293E-23</v>
      </c>
      <c r="BS194" s="24">
        <f t="shared" si="169"/>
        <v>9.6390106063288364E-2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-6.8212102632969618E-13</v>
      </c>
      <c r="O195" s="14">
        <f>N195*VLOOKUP('Données projet'!$B$9,Paramètres!$A$1:$I$88,3,0)*VLOOKUP('Données projet'!$B$9,Paramètres!$A$1:$I$88,5,0)</f>
        <v>-4.0790837374515837E-13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190.92799938679798</v>
      </c>
      <c r="T195" s="62">
        <f t="shared" si="142"/>
        <v>172.54286890368337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0.22307060808757251</v>
      </c>
      <c r="AB195" s="23">
        <f>EXP(-LN(2)/2)*AB194+(1-EXP(-LN(2)/2))/(LN(2)/2)*V195*Y195*VLOOKUP('Données projet'!$B$9,Paramètres!$A$1:$I$88,3,0)*0.475*44/12</f>
        <v>1.5681770777156913E-23</v>
      </c>
      <c r="AC195" s="24">
        <f t="shared" si="163"/>
        <v>0.22307060808757251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projet'!$B$10,Paramètres!$A$1:$I$88,3,0)*VLOOKUP('Données projet'!$B$10,Paramètres!$A$1:$I$88,5,0)</f>
        <v>5.7639226724859328E-14</v>
      </c>
      <c r="AK195" s="14">
        <f t="shared" si="164"/>
        <v>9.2325701996134334E-13</v>
      </c>
      <c r="AL195" s="22">
        <f t="shared" si="165"/>
        <v>1.708394296311803E-12</v>
      </c>
      <c r="AM195" s="62">
        <f t="shared" si="113"/>
        <v>293.33333333333502</v>
      </c>
      <c r="AN195" s="62">
        <f ca="1">AVERAGE(OFFSET($AM$3,0,0,'Données projet'!$E$10+1,1))-AVERAGE(OFFSET($H$3,0,0,'Données projet'!$E$10+1,1))</f>
        <v>95.135996821969457</v>
      </c>
      <c r="AO195" s="62">
        <f t="shared" si="144"/>
        <v>111.83039337220566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3.1263880373444408E-13</v>
      </c>
      <c r="BE195" s="14">
        <f>BD195*VLOOKUP('Données projet'!$B$11,Paramètres!$A$1:$I$88,3,0)*VLOOKUP('Données projet'!$B$11,Paramètres!$A$1:$I$88,5,0)</f>
        <v>2.82875589618925E-13</v>
      </c>
      <c r="BF195" s="14">
        <f t="shared" si="167"/>
        <v>3.7651460236245583E-12</v>
      </c>
      <c r="BG195" s="22">
        <f t="shared" si="168"/>
        <v>7.0503043097323991E-12</v>
      </c>
      <c r="BH195" s="62">
        <f t="shared" si="116"/>
        <v>293.33333333334036</v>
      </c>
      <c r="BI195" s="62">
        <f ca="1">AVERAGE(OFFSET($BH$3,0,0,'Données projet'!$E$11+1,1))-AVERAGE(OFFSET($H$3,0,0,'Données projet'!$E$11+1,1))</f>
        <v>168.44987180339865</v>
      </c>
      <c r="BJ195" s="62">
        <f t="shared" si="146"/>
        <v>375.85422976031748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9.3754313544052365E-2</v>
      </c>
      <c r="BR195" s="23">
        <f>EXP(-LN(2)/2)*BR194+(1-EXP(-LN(2)/2))/(LN(2)/2)*BL195*BO195*VLOOKUP('Données projet'!$B$11,Paramètres!$A$1:$I$88,3,0)*0.475*44/12</f>
        <v>9.8863337508163073E-24</v>
      </c>
      <c r="BS195" s="24">
        <f t="shared" si="169"/>
        <v>9.3754313544052365E-2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-6.8212102632969618E-13</v>
      </c>
      <c r="O196" s="14">
        <f>N196*VLOOKUP('Données projet'!$B$9,Paramètres!$A$1:$I$88,3,0)*VLOOKUP('Données projet'!$B$9,Paramètres!$A$1:$I$88,5,0)</f>
        <v>-4.0790837374515837E-13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190.92799938679798</v>
      </c>
      <c r="T196" s="62">
        <f t="shared" si="142"/>
        <v>172.54286890368337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0.21697073057864438</v>
      </c>
      <c r="AB196" s="23">
        <f>EXP(-LN(2)/2)*AB195+(1-EXP(-LN(2)/2))/(LN(2)/2)*V196*Y196*VLOOKUP('Données projet'!$B$9,Paramètres!$A$1:$I$88,3,0)*0.475*44/12</f>
        <v>1.1088686457540689E-23</v>
      </c>
      <c r="AC196" s="24">
        <f t="shared" si="163"/>
        <v>0.21697073057864438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projet'!$B$10,Paramètres!$A$1:$I$88,3,0)*VLOOKUP('Données projet'!$B$10,Paramètres!$A$1:$I$88,5,0)</f>
        <v>5.7639226724859328E-14</v>
      </c>
      <c r="AK196" s="14">
        <f t="shared" si="164"/>
        <v>9.2325701996134334E-13</v>
      </c>
      <c r="AL196" s="22">
        <f t="shared" si="165"/>
        <v>1.708394296311803E-12</v>
      </c>
      <c r="AM196" s="62">
        <f t="shared" ref="AM196:AM203" si="193">AL196+(AD196+AE196)*44/12</f>
        <v>293.33333333333502</v>
      </c>
      <c r="AN196" s="62">
        <f ca="1">AVERAGE(OFFSET($AM$3,0,0,'Données projet'!$E$10+1,1))-AVERAGE(OFFSET($H$3,0,0,'Données projet'!$E$10+1,1))</f>
        <v>95.135996821969457</v>
      </c>
      <c r="AO196" s="62">
        <f t="shared" si="144"/>
        <v>111.83039337220566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3.1263880373444408E-13</v>
      </c>
      <c r="BE196" s="14">
        <f>BD196*VLOOKUP('Données projet'!$B$11,Paramètres!$A$1:$I$88,3,0)*VLOOKUP('Données projet'!$B$11,Paramètres!$A$1:$I$88,5,0)</f>
        <v>2.82875589618925E-13</v>
      </c>
      <c r="BF196" s="14">
        <f t="shared" si="167"/>
        <v>3.7651460236245583E-12</v>
      </c>
      <c r="BG196" s="22">
        <f t="shared" si="168"/>
        <v>7.0503043097323991E-12</v>
      </c>
      <c r="BH196" s="62">
        <f t="shared" ref="BH196:BH203" si="194">BG196+(AY196+AZ196)*44/12</f>
        <v>293.33333333334036</v>
      </c>
      <c r="BI196" s="62">
        <f ca="1">AVERAGE(OFFSET($BH$3,0,0,'Données projet'!$E$11+1,1))-AVERAGE(OFFSET($H$3,0,0,'Données projet'!$E$11+1,1))</f>
        <v>168.44987180339865</v>
      </c>
      <c r="BJ196" s="62">
        <f t="shared" si="146"/>
        <v>375.85422976031748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9.1190596909865182E-2</v>
      </c>
      <c r="BR196" s="23">
        <f>EXP(-LN(2)/2)*BR195+(1-EXP(-LN(2)/2))/(LN(2)/2)*BL196*BO196*VLOOKUP('Données projet'!$B$11,Paramètres!$A$1:$I$88,3,0)*0.475*44/12</f>
        <v>6.9906936362756463E-24</v>
      </c>
      <c r="BS196" s="24">
        <f t="shared" si="169"/>
        <v>9.1190596909865182E-2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-6.8212102632969618E-13</v>
      </c>
      <c r="O197" s="14">
        <f>N197*VLOOKUP('Données projet'!$B$9,Paramètres!$A$1:$I$88,3,0)*VLOOKUP('Données projet'!$B$9,Paramètres!$A$1:$I$88,5,0)</f>
        <v>-4.0790837374515837E-13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190.92799938679798</v>
      </c>
      <c r="T197" s="62">
        <f t="shared" ref="T197:T203" si="204">$T$3</f>
        <v>172.54286890368337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0.21103765454097653</v>
      </c>
      <c r="AB197" s="23">
        <f>EXP(-LN(2)/2)*AB196+(1-EXP(-LN(2)/2))/(LN(2)/2)*V197*Y197*VLOOKUP('Données projet'!$B$9,Paramètres!$A$1:$I$88,3,0)*0.475*44/12</f>
        <v>7.8408853885784565E-24</v>
      </c>
      <c r="AC197" s="24">
        <f t="shared" si="163"/>
        <v>0.21103765454097653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projet'!$B$10,Paramètres!$A$1:$I$88,3,0)*VLOOKUP('Données projet'!$B$10,Paramètres!$A$1:$I$88,5,0)</f>
        <v>5.7639226724859328E-14</v>
      </c>
      <c r="AK197" s="14">
        <f t="shared" si="164"/>
        <v>9.2325701996134334E-13</v>
      </c>
      <c r="AL197" s="22">
        <f t="shared" si="165"/>
        <v>1.708394296311803E-12</v>
      </c>
      <c r="AM197" s="62">
        <f t="shared" si="193"/>
        <v>293.33333333333502</v>
      </c>
      <c r="AN197" s="62">
        <f ca="1">AVERAGE(OFFSET($AM$3,0,0,'Données projet'!$E$10+1,1))-AVERAGE(OFFSET($H$3,0,0,'Données projet'!$E$10+1,1))</f>
        <v>95.135996821969457</v>
      </c>
      <c r="AO197" s="62">
        <f t="shared" ref="AO197:AO203" si="205">$AO$3</f>
        <v>111.83039337220566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3.1263880373444408E-13</v>
      </c>
      <c r="BE197" s="14">
        <f>BD197*VLOOKUP('Données projet'!$B$11,Paramètres!$A$1:$I$88,3,0)*VLOOKUP('Données projet'!$B$11,Paramètres!$A$1:$I$88,5,0)</f>
        <v>2.82875589618925E-13</v>
      </c>
      <c r="BF197" s="14">
        <f t="shared" si="167"/>
        <v>3.7651460236245583E-12</v>
      </c>
      <c r="BG197" s="22">
        <f t="shared" si="168"/>
        <v>7.0503043097323991E-12</v>
      </c>
      <c r="BH197" s="62">
        <f t="shared" si="194"/>
        <v>293.33333333334036</v>
      </c>
      <c r="BI197" s="62">
        <f ca="1">AVERAGE(OFFSET($BH$3,0,0,'Données projet'!$E$11+1,1))-AVERAGE(OFFSET($H$3,0,0,'Données projet'!$E$11+1,1))</f>
        <v>168.44987180339865</v>
      </c>
      <c r="BJ197" s="62">
        <f t="shared" ref="BJ197:BJ203" si="206">$BJ$3</f>
        <v>375.85422976031748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8.8696985241859844E-2</v>
      </c>
      <c r="BR197" s="23">
        <f>EXP(-LN(2)/2)*BR196+(1-EXP(-LN(2)/2))/(LN(2)/2)*BL197*BO197*VLOOKUP('Données projet'!$B$11,Paramètres!$A$1:$I$88,3,0)*0.475*44/12</f>
        <v>4.9431668754081537E-24</v>
      </c>
      <c r="BS197" s="24">
        <f t="shared" si="169"/>
        <v>8.8696985241859844E-2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-6.8212102632969618E-13</v>
      </c>
      <c r="O198" s="14">
        <f>N198*VLOOKUP('Données projet'!$B$9,Paramètres!$A$1:$I$88,3,0)*VLOOKUP('Données projet'!$B$9,Paramètres!$A$1:$I$88,5,0)</f>
        <v>-4.0790837374515837E-13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190.92799938679798</v>
      </c>
      <c r="T198" s="62">
        <f t="shared" si="204"/>
        <v>172.54286890368337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0.2052668187795656</v>
      </c>
      <c r="AB198" s="23">
        <f>EXP(-LN(2)/2)*AB197+(1-EXP(-LN(2)/2))/(LN(2)/2)*V198*Y198*VLOOKUP('Données projet'!$B$9,Paramètres!$A$1:$I$88,3,0)*0.475*44/12</f>
        <v>5.5443432287703444E-24</v>
      </c>
      <c r="AC198" s="24">
        <f t="shared" si="163"/>
        <v>0.2052668187795656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projet'!$B$10,Paramètres!$A$1:$I$88,3,0)*VLOOKUP('Données projet'!$B$10,Paramètres!$A$1:$I$88,5,0)</f>
        <v>5.7639226724859328E-14</v>
      </c>
      <c r="AK198" s="14">
        <f t="shared" si="164"/>
        <v>9.2325701996134334E-13</v>
      </c>
      <c r="AL198" s="22">
        <f t="shared" si="165"/>
        <v>1.708394296311803E-12</v>
      </c>
      <c r="AM198" s="62">
        <f t="shared" si="193"/>
        <v>293.33333333333502</v>
      </c>
      <c r="AN198" s="62">
        <f ca="1">AVERAGE(OFFSET($AM$3,0,0,'Données projet'!$E$10+1,1))-AVERAGE(OFFSET($H$3,0,0,'Données projet'!$E$10+1,1))</f>
        <v>95.135996821969457</v>
      </c>
      <c r="AO198" s="62">
        <f t="shared" si="205"/>
        <v>111.83039337220566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3.1263880373444408E-13</v>
      </c>
      <c r="BE198" s="14">
        <f>BD198*VLOOKUP('Données projet'!$B$11,Paramètres!$A$1:$I$88,3,0)*VLOOKUP('Données projet'!$B$11,Paramètres!$A$1:$I$88,5,0)</f>
        <v>2.82875589618925E-13</v>
      </c>
      <c r="BF198" s="14">
        <f t="shared" si="167"/>
        <v>3.7651460236245583E-12</v>
      </c>
      <c r="BG198" s="22">
        <f t="shared" si="168"/>
        <v>7.0503043097323991E-12</v>
      </c>
      <c r="BH198" s="62">
        <f t="shared" si="194"/>
        <v>293.33333333334036</v>
      </c>
      <c r="BI198" s="62">
        <f ca="1">AVERAGE(OFFSET($BH$3,0,0,'Données projet'!$E$11+1,1))-AVERAGE(OFFSET($H$3,0,0,'Données projet'!$E$11+1,1))</f>
        <v>168.44987180339865</v>
      </c>
      <c r="BJ198" s="62">
        <f t="shared" si="206"/>
        <v>375.85422976031748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8.627156151604945E-2</v>
      </c>
      <c r="BR198" s="23">
        <f>EXP(-LN(2)/2)*BR197+(1-EXP(-LN(2)/2))/(LN(2)/2)*BL198*BO198*VLOOKUP('Données projet'!$B$11,Paramètres!$A$1:$I$88,3,0)*0.475*44/12</f>
        <v>3.4953468181378231E-24</v>
      </c>
      <c r="BS198" s="24">
        <f t="shared" si="169"/>
        <v>8.627156151604945E-2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-6.8212102632969618E-13</v>
      </c>
      <c r="O199" s="14">
        <f>N199*VLOOKUP('Données projet'!$B$9,Paramètres!$A$1:$I$88,3,0)*VLOOKUP('Données projet'!$B$9,Paramètres!$A$1:$I$88,5,0)</f>
        <v>-4.0790837374515837E-13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190.92799938679798</v>
      </c>
      <c r="T199" s="62">
        <f t="shared" si="204"/>
        <v>172.54286890368337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0.19965378682552551</v>
      </c>
      <c r="AB199" s="23">
        <f>EXP(-LN(2)/2)*AB198+(1-EXP(-LN(2)/2))/(LN(2)/2)*V199*Y199*VLOOKUP('Données projet'!$B$9,Paramètres!$A$1:$I$88,3,0)*0.475*44/12</f>
        <v>3.9204426942892283E-24</v>
      </c>
      <c r="AC199" s="24">
        <f t="shared" si="163"/>
        <v>0.19965378682552551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projet'!$B$10,Paramètres!$A$1:$I$88,3,0)*VLOOKUP('Données projet'!$B$10,Paramètres!$A$1:$I$88,5,0)</f>
        <v>5.7639226724859328E-14</v>
      </c>
      <c r="AK199" s="14">
        <f t="shared" si="164"/>
        <v>9.2325701996134334E-13</v>
      </c>
      <c r="AL199" s="22">
        <f t="shared" si="165"/>
        <v>1.708394296311803E-12</v>
      </c>
      <c r="AM199" s="62">
        <f t="shared" si="193"/>
        <v>293.33333333333502</v>
      </c>
      <c r="AN199" s="62">
        <f ca="1">AVERAGE(OFFSET($AM$3,0,0,'Données projet'!$E$10+1,1))-AVERAGE(OFFSET($H$3,0,0,'Données projet'!$E$10+1,1))</f>
        <v>95.135996821969457</v>
      </c>
      <c r="AO199" s="62">
        <f t="shared" si="205"/>
        <v>111.83039337220566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3.1263880373444408E-13</v>
      </c>
      <c r="BE199" s="14">
        <f>BD199*VLOOKUP('Données projet'!$B$11,Paramètres!$A$1:$I$88,3,0)*VLOOKUP('Données projet'!$B$11,Paramètres!$A$1:$I$88,5,0)</f>
        <v>2.82875589618925E-13</v>
      </c>
      <c r="BF199" s="14">
        <f t="shared" si="167"/>
        <v>3.7651460236245583E-12</v>
      </c>
      <c r="BG199" s="22">
        <f t="shared" si="168"/>
        <v>7.0503043097323991E-12</v>
      </c>
      <c r="BH199" s="62">
        <f t="shared" si="194"/>
        <v>293.33333333334036</v>
      </c>
      <c r="BI199" s="62">
        <f ca="1">AVERAGE(OFFSET($BH$3,0,0,'Données projet'!$E$11+1,1))-AVERAGE(OFFSET($H$3,0,0,'Données projet'!$E$11+1,1))</f>
        <v>168.44987180339865</v>
      </c>
      <c r="BJ199" s="62">
        <f t="shared" si="206"/>
        <v>375.85422976031748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8.3912461129568836E-2</v>
      </c>
      <c r="BR199" s="23">
        <f>EXP(-LN(2)/2)*BR198+(1-EXP(-LN(2)/2))/(LN(2)/2)*BL199*BO199*VLOOKUP('Données projet'!$B$11,Paramètres!$A$1:$I$88,3,0)*0.475*44/12</f>
        <v>2.4715834377040768E-24</v>
      </c>
      <c r="BS199" s="24">
        <f t="shared" si="169"/>
        <v>8.3912461129568836E-2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-6.8212102632969618E-13</v>
      </c>
      <c r="O200" s="14">
        <f>N200*VLOOKUP('Données projet'!$B$9,Paramètres!$A$1:$I$88,3,0)*VLOOKUP('Données projet'!$B$9,Paramètres!$A$1:$I$88,5,0)</f>
        <v>-4.0790837374515837E-13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190.92799938679798</v>
      </c>
      <c r="T200" s="62">
        <f t="shared" si="204"/>
        <v>172.54286890368337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0.19419424352544518</v>
      </c>
      <c r="AB200" s="23">
        <f>EXP(-LN(2)/2)*AB199+(1-EXP(-LN(2)/2))/(LN(2)/2)*V200*Y200*VLOOKUP('Données projet'!$B$9,Paramètres!$A$1:$I$88,3,0)*0.475*44/12</f>
        <v>2.7721716143851722E-24</v>
      </c>
      <c r="AC200" s="24">
        <f t="shared" si="163"/>
        <v>0.19419424352544518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projet'!$B$10,Paramètres!$A$1:$I$88,3,0)*VLOOKUP('Données projet'!$B$10,Paramètres!$A$1:$I$88,5,0)</f>
        <v>5.7639226724859328E-14</v>
      </c>
      <c r="AK200" s="14">
        <f t="shared" si="164"/>
        <v>9.2325701996134334E-13</v>
      </c>
      <c r="AL200" s="22">
        <f t="shared" si="165"/>
        <v>1.708394296311803E-12</v>
      </c>
      <c r="AM200" s="62">
        <f t="shared" si="193"/>
        <v>293.33333333333502</v>
      </c>
      <c r="AN200" s="62">
        <f ca="1">AVERAGE(OFFSET($AM$3,0,0,'Données projet'!$E$10+1,1))-AVERAGE(OFFSET($H$3,0,0,'Données projet'!$E$10+1,1))</f>
        <v>95.135996821969457</v>
      </c>
      <c r="AO200" s="62">
        <f t="shared" si="205"/>
        <v>111.83039337220566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3.1263880373444408E-13</v>
      </c>
      <c r="BE200" s="14">
        <f>BD200*VLOOKUP('Données projet'!$B$11,Paramètres!$A$1:$I$88,3,0)*VLOOKUP('Données projet'!$B$11,Paramètres!$A$1:$I$88,5,0)</f>
        <v>2.82875589618925E-13</v>
      </c>
      <c r="BF200" s="14">
        <f t="shared" si="167"/>
        <v>3.7651460236245583E-12</v>
      </c>
      <c r="BG200" s="22">
        <f t="shared" si="168"/>
        <v>7.0503043097323991E-12</v>
      </c>
      <c r="BH200" s="62">
        <f t="shared" si="194"/>
        <v>293.33333333334036</v>
      </c>
      <c r="BI200" s="62">
        <f ca="1">AVERAGE(OFFSET($BH$3,0,0,'Données projet'!$E$11+1,1))-AVERAGE(OFFSET($H$3,0,0,'Données projet'!$E$11+1,1))</f>
        <v>168.44987180339865</v>
      </c>
      <c r="BJ200" s="62">
        <f t="shared" si="206"/>
        <v>375.85422976031748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8.1617870467216233E-2</v>
      </c>
      <c r="BR200" s="23">
        <f>EXP(-LN(2)/2)*BR199+(1-EXP(-LN(2)/2))/(LN(2)/2)*BL200*BO200*VLOOKUP('Données projet'!$B$11,Paramètres!$A$1:$I$88,3,0)*0.475*44/12</f>
        <v>1.7476734090689116E-24</v>
      </c>
      <c r="BS200" s="24">
        <f t="shared" si="169"/>
        <v>8.1617870467216233E-2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-6.8212102632969618E-13</v>
      </c>
      <c r="O201" s="14">
        <f>N201*VLOOKUP('Données projet'!$B$9,Paramètres!$A$1:$I$88,3,0)*VLOOKUP('Données projet'!$B$9,Paramètres!$A$1:$I$88,5,0)</f>
        <v>-4.0790837374515837E-13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190.92799938679798</v>
      </c>
      <c r="T201" s="62">
        <f t="shared" si="204"/>
        <v>172.54286890368337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0.18888399172401044</v>
      </c>
      <c r="AB201" s="23">
        <f>EXP(-LN(2)/2)*AB200+(1-EXP(-LN(2)/2))/(LN(2)/2)*V201*Y201*VLOOKUP('Données projet'!$B$9,Paramètres!$A$1:$I$88,3,0)*0.475*44/12</f>
        <v>1.9602213471446141E-24</v>
      </c>
      <c r="AC201" s="24">
        <f t="shared" si="163"/>
        <v>0.18888399172401044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projet'!$B$10,Paramètres!$A$1:$I$88,3,0)*VLOOKUP('Données projet'!$B$10,Paramètres!$A$1:$I$88,5,0)</f>
        <v>5.7639226724859328E-14</v>
      </c>
      <c r="AK201" s="14">
        <f t="shared" si="164"/>
        <v>9.2325701996134334E-13</v>
      </c>
      <c r="AL201" s="22">
        <f t="shared" si="165"/>
        <v>1.708394296311803E-12</v>
      </c>
      <c r="AM201" s="62">
        <f t="shared" si="193"/>
        <v>293.33333333333502</v>
      </c>
      <c r="AN201" s="62">
        <f ca="1">AVERAGE(OFFSET($AM$3,0,0,'Données projet'!$E$10+1,1))-AVERAGE(OFFSET($H$3,0,0,'Données projet'!$E$10+1,1))</f>
        <v>95.135996821969457</v>
      </c>
      <c r="AO201" s="62">
        <f t="shared" si="205"/>
        <v>111.83039337220566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3.1263880373444408E-13</v>
      </c>
      <c r="BE201" s="14">
        <f>BD201*VLOOKUP('Données projet'!$B$11,Paramètres!$A$1:$I$88,3,0)*VLOOKUP('Données projet'!$B$11,Paramètres!$A$1:$I$88,5,0)</f>
        <v>2.82875589618925E-13</v>
      </c>
      <c r="BF201" s="14">
        <f t="shared" si="167"/>
        <v>3.7651460236245583E-12</v>
      </c>
      <c r="BG201" s="22">
        <f t="shared" si="168"/>
        <v>7.0503043097323991E-12</v>
      </c>
      <c r="BH201" s="62">
        <f t="shared" si="194"/>
        <v>293.33333333334036</v>
      </c>
      <c r="BI201" s="62">
        <f ca="1">AVERAGE(OFFSET($BH$3,0,0,'Données projet'!$E$11+1,1))-AVERAGE(OFFSET($H$3,0,0,'Données projet'!$E$11+1,1))</f>
        <v>168.44987180339865</v>
      </c>
      <c r="BJ201" s="62">
        <f t="shared" si="206"/>
        <v>375.85422976031748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7.9386025507192939E-2</v>
      </c>
      <c r="BR201" s="23">
        <f>EXP(-LN(2)/2)*BR200+(1-EXP(-LN(2)/2))/(LN(2)/2)*BL201*BO201*VLOOKUP('Données projet'!$B$11,Paramètres!$A$1:$I$88,3,0)*0.475*44/12</f>
        <v>1.2357917188520384E-24</v>
      </c>
      <c r="BS201" s="24">
        <f t="shared" si="169"/>
        <v>7.9386025507192939E-2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-6.8212102632969618E-13</v>
      </c>
      <c r="O202" s="14">
        <f>N202*VLOOKUP('Données projet'!$B$9,Paramètres!$A$1:$I$88,3,0)*VLOOKUP('Données projet'!$B$9,Paramètres!$A$1:$I$88,5,0)</f>
        <v>-4.0790837374515837E-13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190.92799938679798</v>
      </c>
      <c r="T202" s="62">
        <f t="shared" si="204"/>
        <v>172.54286890368337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0.18371894903733996</v>
      </c>
      <c r="AB202" s="23">
        <f>EXP(-LN(2)/2)*AB201+(1-EXP(-LN(2)/2))/(LN(2)/2)*V202*Y202*VLOOKUP('Données projet'!$B$9,Paramètres!$A$1:$I$88,3,0)*0.475*44/12</f>
        <v>1.3860858071925861E-24</v>
      </c>
      <c r="AC202" s="24">
        <f t="shared" si="163"/>
        <v>0.18371894903733996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projet'!$B$10,Paramètres!$A$1:$I$88,3,0)*VLOOKUP('Données projet'!$B$10,Paramètres!$A$1:$I$88,5,0)</f>
        <v>5.7639226724859328E-14</v>
      </c>
      <c r="AK202" s="14">
        <f t="shared" si="164"/>
        <v>9.2325701996134334E-13</v>
      </c>
      <c r="AL202" s="22">
        <f t="shared" si="165"/>
        <v>1.708394296311803E-12</v>
      </c>
      <c r="AM202" s="62">
        <f t="shared" si="193"/>
        <v>293.33333333333502</v>
      </c>
      <c r="AN202" s="62">
        <f ca="1">AVERAGE(OFFSET($AM$3,0,0,'Données projet'!$E$10+1,1))-AVERAGE(OFFSET($H$3,0,0,'Données projet'!$E$10+1,1))</f>
        <v>95.135996821969457</v>
      </c>
      <c r="AO202" s="62">
        <f t="shared" si="205"/>
        <v>111.83039337220566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3.1263880373444408E-13</v>
      </c>
      <c r="BE202" s="14">
        <f>BD202*VLOOKUP('Données projet'!$B$11,Paramètres!$A$1:$I$88,3,0)*VLOOKUP('Données projet'!$B$11,Paramètres!$A$1:$I$88,5,0)</f>
        <v>2.82875589618925E-13</v>
      </c>
      <c r="BF202" s="14">
        <f t="shared" si="167"/>
        <v>3.7651460236245583E-12</v>
      </c>
      <c r="BG202" s="22">
        <f t="shared" si="168"/>
        <v>7.0503043097323991E-12</v>
      </c>
      <c r="BH202" s="62">
        <f t="shared" si="194"/>
        <v>293.33333333334036</v>
      </c>
      <c r="BI202" s="62">
        <f ca="1">AVERAGE(OFFSET($BH$3,0,0,'Données projet'!$E$11+1,1))-AVERAGE(OFFSET($H$3,0,0,'Données projet'!$E$11+1,1))</f>
        <v>168.44987180339865</v>
      </c>
      <c r="BJ202" s="62">
        <f t="shared" si="206"/>
        <v>375.85422976031748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7.7215210464969111E-2</v>
      </c>
      <c r="BR202" s="23">
        <f>EXP(-LN(2)/2)*BR201+(1-EXP(-LN(2)/2))/(LN(2)/2)*BL202*BO202*VLOOKUP('Données projet'!$B$11,Paramètres!$A$1:$I$88,3,0)*0.475*44/12</f>
        <v>8.7383670453445578E-25</v>
      </c>
      <c r="BS202" s="24">
        <f t="shared" si="169"/>
        <v>7.7215210464969111E-2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-6.8212102632969618E-13</v>
      </c>
      <c r="O203" s="14">
        <f>N203*VLOOKUP('Données projet'!$B$9,Paramètres!$A$1:$I$88,3,0)*VLOOKUP('Données projet'!$B$9,Paramètres!$A$1:$I$88,5,0)</f>
        <v>-4.0790837374515837E-13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190.92799938679798</v>
      </c>
      <c r="T203" s="62">
        <f t="shared" si="204"/>
        <v>172.54286890368337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0.17869514471455425</v>
      </c>
      <c r="AB203" s="23">
        <f>EXP(-LN(2)/2)*AB202+(1-EXP(-LN(2)/2))/(LN(2)/2)*V203*Y203*VLOOKUP('Données projet'!$B$9,Paramètres!$A$1:$I$88,3,0)*0.475*44/12</f>
        <v>9.8011067357230706E-25</v>
      </c>
      <c r="AC203" s="24">
        <f t="shared" si="163"/>
        <v>0.17869514471455425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projet'!$B$10,Paramètres!$A$1:$I$88,3,0)*VLOOKUP('Données projet'!$B$10,Paramètres!$A$1:$I$88,5,0)</f>
        <v>5.7639226724859328E-14</v>
      </c>
      <c r="AK203" s="14">
        <f t="shared" si="164"/>
        <v>9.2325701996134334E-13</v>
      </c>
      <c r="AL203" s="22">
        <f t="shared" si="165"/>
        <v>1.708394296311803E-12</v>
      </c>
      <c r="AM203" s="62">
        <f t="shared" si="193"/>
        <v>293.33333333333502</v>
      </c>
      <c r="AN203" s="62">
        <f ca="1">AVERAGE(OFFSET($AM$3,0,0,'Données projet'!$E$10+1,1))-AVERAGE(OFFSET($H$3,0,0,'Données projet'!$E$10+1,1))</f>
        <v>95.135996821969457</v>
      </c>
      <c r="AO203" s="62">
        <f t="shared" si="205"/>
        <v>111.83039337220566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3.1263880373444408E-13</v>
      </c>
      <c r="BE203" s="14">
        <f>BD203*VLOOKUP('Données projet'!$B$11,Paramètres!$A$1:$I$88,3,0)*VLOOKUP('Données projet'!$B$11,Paramètres!$A$1:$I$88,5,0)</f>
        <v>2.82875589618925E-13</v>
      </c>
      <c r="BF203" s="14">
        <f t="shared" si="167"/>
        <v>3.7651460236245583E-12</v>
      </c>
      <c r="BG203" s="22">
        <f t="shared" si="168"/>
        <v>7.0503043097323991E-12</v>
      </c>
      <c r="BH203" s="62">
        <f t="shared" si="194"/>
        <v>293.33333333334036</v>
      </c>
      <c r="BI203" s="62">
        <f ca="1">AVERAGE(OFFSET($BH$3,0,0,'Données projet'!$E$11+1,1))-AVERAGE(OFFSET($H$3,0,0,'Données projet'!$E$11+1,1))</f>
        <v>168.44987180339865</v>
      </c>
      <c r="BJ203" s="62">
        <f t="shared" si="206"/>
        <v>375.85422976031748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7.5103756474233091E-2</v>
      </c>
      <c r="BR203" s="23">
        <f>EXP(-LN(2)/2)*BR202+(1-EXP(-LN(2)/2))/(LN(2)/2)*BL203*BO203*VLOOKUP('Données projet'!$B$11,Paramètres!$A$1:$I$88,3,0)*0.475*44/12</f>
        <v>6.1789585942601921E-25</v>
      </c>
      <c r="BS203" s="24">
        <f t="shared" si="169"/>
        <v>7.5103756474233091E-2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1.1813834479739271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1.1462298347576707</v>
      </c>
      <c r="BA205" s="88">
        <f>EXP(LN('Données projet'!B88)/'Données projet'!A88)</f>
        <v>1.1937586584854882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J22" sqref="J22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laricio</v>
      </c>
      <c r="B6" s="155">
        <f>'Données projet'!D9</f>
        <v>1.95</v>
      </c>
      <c r="C6" s="156">
        <f ca="1">IF(OR('Données projet'!B9="",'Données projet'!C9="",'Données projet'!C9=0%),0,Calculateur!S3)</f>
        <v>190.92799938679798</v>
      </c>
      <c r="D6" s="156">
        <f>IF(OR('Données projet'!B9="",'Données projet'!C9="",'Données projet'!C9=0%),0,Calculateur!T3)</f>
        <v>172.54286890368337</v>
      </c>
      <c r="E6" s="156">
        <f ca="1">MIN(C6,D6)</f>
        <v>172.54286890368337</v>
      </c>
      <c r="F6" s="156">
        <f ca="1">E6*B6</f>
        <v>336.45859436218257</v>
      </c>
      <c r="G6" s="156">
        <f ca="1">F6*(100%-'Données projet'!$C$24)*(100%-'Données projet'!$C$25)*(100%-'Données projet'!$C$26)*(100%-'Données projet'!$C$27)</f>
        <v>287.67209817966608</v>
      </c>
      <c r="H6" s="157">
        <f>IF(OR('Données projet'!B9="",'Données projet'!C9="",'Données projet'!C9=0%),0,AVERAGE(Calculateur!$AC$3:$AC$33)*B6)</f>
        <v>3.6375853244833181</v>
      </c>
      <c r="I6" s="158">
        <f>H6*(100%-'Données projet'!$C$24)*(100%-'Données projet'!$C$25)*(100%-'Données projet'!$C$26)*(100%-'Données projet'!$C$27)</f>
        <v>3.1101354524332367</v>
      </c>
      <c r="J6" s="159">
        <f>IF(OR('Données projet'!B9="",'Données projet'!C9="",'Données projet'!C9=0%),0,SUM(Calculateur!$V$3:$V$33)*VLOOKUP('Données projet'!$B$9,Paramètres!$A$1:$I$88,9,0)*B6)</f>
        <v>93.911999999999992</v>
      </c>
      <c r="K6" s="160">
        <f>J6*(100%-'Données projet'!$C$24)*(100%-'Données projet'!$C$25)*(100%-'Données projet'!$C$26)*(100%-'Données projet'!$C$27)</f>
        <v>80.294759999999997</v>
      </c>
      <c r="L6" s="161">
        <f ca="1">G6+I6+K6</f>
        <v>371.07699363209929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0.97499999999999998</v>
      </c>
      <c r="C7" s="156">
        <f ca="1">IF(OR('Données projet'!B10="",'Données projet'!C10="",'Données projet'!C10=0%),0,Calculateur!AN3)</f>
        <v>95.135996821969457</v>
      </c>
      <c r="D7" s="156">
        <f>IF(OR('Données projet'!B10="",'Données projet'!C10="",'Données projet'!C10=0%),0,Calculateur!AO3)</f>
        <v>111.83039337220566</v>
      </c>
      <c r="E7" s="156">
        <f t="shared" ref="E7:E15" ca="1" si="0">MIN(C7,D7)</f>
        <v>95.135996821969457</v>
      </c>
      <c r="F7" s="156">
        <f t="shared" ref="F7:F15" ca="1" si="1">E7*B7</f>
        <v>92.757596901420214</v>
      </c>
      <c r="G7" s="156">
        <f ca="1">F7*(100%-'Données projet'!$C$24)*(100%-'Données projet'!$C$25)*(100%-'Données projet'!$C$26)*(100%-'Données projet'!$C$27)</f>
        <v>79.307745350714271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79.307745350714271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Robinier faux-acacia</v>
      </c>
      <c r="B8" s="163">
        <f>'Données projet'!D11</f>
        <v>0.97499999999999998</v>
      </c>
      <c r="C8" s="156">
        <f ca="1">IF(OR('Données projet'!B11="",'Données projet'!C11="",'Données projet'!C11=0%),0,Calculateur!BI3)</f>
        <v>168.44987180339865</v>
      </c>
      <c r="D8" s="156">
        <f>IF(OR('Données projet'!B11="",'Données projet'!C11="",'Données projet'!C11=0%),0,Calculateur!BJ3)</f>
        <v>375.85422976031748</v>
      </c>
      <c r="E8" s="156">
        <f t="shared" ca="1" si="0"/>
        <v>168.44987180339865</v>
      </c>
      <c r="F8" s="156">
        <f t="shared" ca="1" si="1"/>
        <v>164.23862500831368</v>
      </c>
      <c r="G8" s="156">
        <f ca="1">F8*(100%-'Données projet'!$C$24)*(100%-'Données projet'!$C$25)*(100%-'Données projet'!$C$26)*(100%-'Données projet'!$C$27)</f>
        <v>140.42402438210817</v>
      </c>
      <c r="H8" s="164">
        <f>IF(OR('Données projet'!B11="",'Données projet'!C11="",'Données projet'!C11=0%),0,AVERAGE(Calculateur!$BS$3:$BS$33)*B8)</f>
        <v>1.015023287847765</v>
      </c>
      <c r="I8" s="158">
        <f>H8*(100%-'Données projet'!$C$24)*(100%-'Données projet'!$C$25)*(100%-'Données projet'!$C$26)*(100%-'Données projet'!$C$27)</f>
        <v>0.86784491110983897</v>
      </c>
      <c r="J8" s="159">
        <f>IF(OR('Données projet'!B11="",'Données projet'!C11="",'Données projet'!C11=0%),0,SUM(Calculateur!$BL$3:$BL$33)*VLOOKUP('Données projet'!$B$11,Paramètres!$A$1:$I$88,9,0)*B8)</f>
        <v>13.65</v>
      </c>
      <c r="K8" s="160">
        <f>J8*(100%-'Données projet'!$C$24)*(100%-'Données projet'!$C$25)*(100%-'Données projet'!$C$26)*(100%-'Données projet'!$C$27)</f>
        <v>11.67075</v>
      </c>
      <c r="L8" s="161">
        <f t="shared" ca="1" si="2"/>
        <v>152.96261929321801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593.45481627191646</v>
      </c>
      <c r="G16" s="175">
        <f t="shared" ca="1" si="3"/>
        <v>507.40386791248852</v>
      </c>
      <c r="H16" s="176">
        <f t="shared" si="3"/>
        <v>4.6526086123310826</v>
      </c>
      <c r="I16" s="176">
        <f t="shared" si="3"/>
        <v>3.9779803635430757</v>
      </c>
      <c r="J16" s="177">
        <f t="shared" si="3"/>
        <v>107.562</v>
      </c>
      <c r="K16" s="177">
        <f t="shared" si="3"/>
        <v>91.965509999999995</v>
      </c>
      <c r="L16" s="178">
        <f t="shared" ca="1" si="3"/>
        <v>603.34735827603163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6" zoomScaleNormal="100" workbookViewId="0">
      <selection activeCell="C54" sqref="C5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0" t="s">
        <v>316</v>
      </c>
      <c r="I4" s="320"/>
      <c r="K4" s="317" t="s">
        <v>253</v>
      </c>
      <c r="L4" s="31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-5167.1017793565998</v>
      </c>
      <c r="U10" s="190">
        <f>'Données projet'!D9</f>
        <v>1.95</v>
      </c>
      <c r="V10" s="189">
        <f>U10*T10</f>
        <v>-10075.84846974537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-2862.320942160834</v>
      </c>
      <c r="U11" s="190">
        <f>'Données projet'!D10</f>
        <v>0.97499999999999998</v>
      </c>
      <c r="V11" s="189">
        <f t="shared" ref="V11" si="0">U11*T11</f>
        <v>-2790.7629186068129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Robinier faux-acacia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-2510.9237188303719</v>
      </c>
      <c r="U12" s="190">
        <f>'Données projet'!D11</f>
        <v>0.97499999999999998</v>
      </c>
      <c r="V12" s="189">
        <f t="shared" ref="V12:V19" si="1">U12*T12</f>
        <v>-2448.1506258596123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1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1"/>
      <c r="H16" s="203"/>
      <c r="I16" s="204"/>
      <c r="J16" s="216"/>
      <c r="K16" s="225"/>
      <c r="L16" s="317" t="s">
        <v>254</v>
      </c>
      <c r="M16" s="318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12168/2</f>
        <v>6084</v>
      </c>
      <c r="F17" s="261"/>
      <c r="G17" s="321"/>
      <c r="J17" s="216"/>
      <c r="K17" s="225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100.00000000000016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1"/>
      <c r="J18" s="216"/>
      <c r="K18" s="225"/>
      <c r="L18" s="288" t="s">
        <v>255</v>
      </c>
      <c r="M18" s="290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1"/>
      <c r="H19" s="232" t="s">
        <v>178</v>
      </c>
      <c r="I19" s="232" t="s">
        <v>288</v>
      </c>
      <c r="J19" s="260"/>
      <c r="K19" s="183"/>
      <c r="L19" s="317" t="s">
        <v>289</v>
      </c>
      <c r="M19" s="318"/>
      <c r="N19" s="191">
        <f>N17*N18</f>
        <v>3000.0000000000045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1"/>
      <c r="H20" s="203">
        <v>0</v>
      </c>
      <c r="I20" s="204">
        <f>(3510+1881.36+1794+215.28)/3.9</f>
        <v>1897.6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(889.2+106.7+1794+215.28)/3.9</f>
        <v>770.55897435897441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(2145+257.4)/3.9</f>
        <v>616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30</v>
      </c>
      <c r="B23" s="193">
        <f>'Données projet'!D36</f>
        <v>112</v>
      </c>
      <c r="C23" s="206">
        <v>7</v>
      </c>
      <c r="D23" s="194">
        <f>B23*C23</f>
        <v>784</v>
      </c>
      <c r="E23" s="206"/>
      <c r="F23" s="261"/>
      <c r="H23" s="203">
        <v>3</v>
      </c>
      <c r="I23" s="204">
        <f>(2145+257.4)/3.9</f>
        <v>616</v>
      </c>
      <c r="K23" s="225"/>
      <c r="L23" s="319" t="s">
        <v>260</v>
      </c>
      <c r="M23" s="319"/>
      <c r="N23" s="319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-29896.336945574221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45</v>
      </c>
      <c r="B24" s="193">
        <f>'Données projet'!D37</f>
        <v>84</v>
      </c>
      <c r="C24" s="206">
        <v>13.5</v>
      </c>
      <c r="D24" s="194">
        <f t="shared" ref="D24:D42" si="2">B24*C24</f>
        <v>1134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143.40253116755176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60</v>
      </c>
      <c r="B25" s="193">
        <f>'Données projet'!D38</f>
        <v>84</v>
      </c>
      <c r="C25" s="206">
        <v>19.600000000000001</v>
      </c>
      <c r="D25" s="194">
        <f t="shared" si="2"/>
        <v>1646.4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-30039.739476741772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80</v>
      </c>
      <c r="B26" s="193">
        <f>'Données projet'!D39</f>
        <v>487.5</v>
      </c>
      <c r="C26" s="206">
        <v>30.1</v>
      </c>
      <c r="D26" s="194">
        <f t="shared" si="2"/>
        <v>14673.75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12168/4</f>
        <v>3042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45</v>
      </c>
      <c r="B55" s="193">
        <f>'Données projet'!D63</f>
        <v>28</v>
      </c>
      <c r="C55" s="204">
        <v>14</v>
      </c>
      <c r="D55" s="191">
        <f>B55*C55</f>
        <v>392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60</v>
      </c>
      <c r="B56" s="193">
        <f>'Données projet'!D64</f>
        <v>28</v>
      </c>
      <c r="C56" s="204">
        <v>20</v>
      </c>
      <c r="D56" s="191">
        <f>B56*C56</f>
        <v>560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80</v>
      </c>
      <c r="B57" s="193">
        <f>'Données projet'!D65</f>
        <v>157.6</v>
      </c>
      <c r="C57" s="204">
        <v>30</v>
      </c>
      <c r="D57" s="191">
        <f>B57*C57</f>
        <v>4728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ref="D58:D73" si="4">B58*C58</f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12168/4</f>
        <v>3042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56</v>
      </c>
      <c r="C85" s="204">
        <v>7</v>
      </c>
      <c r="D85" s="191">
        <f>B85*C85</f>
        <v>392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45</v>
      </c>
      <c r="B86" s="193">
        <f>'Données projet'!D89</f>
        <v>84</v>
      </c>
      <c r="C86" s="204">
        <v>13.5</v>
      </c>
      <c r="D86" s="191">
        <f t="shared" ref="D86:D104" si="6">B86*C86</f>
        <v>1134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60</v>
      </c>
      <c r="B87" s="193">
        <f>'Données projet'!D90</f>
        <v>84</v>
      </c>
      <c r="C87" s="204">
        <v>19.600000000000001</v>
      </c>
      <c r="D87" s="191">
        <f t="shared" si="6"/>
        <v>1646.4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80</v>
      </c>
      <c r="B88" s="193">
        <f>'Données projet'!D91</f>
        <v>171.5</v>
      </c>
      <c r="C88" s="204">
        <v>30.1</v>
      </c>
      <c r="D88" s="191">
        <f t="shared" si="6"/>
        <v>5162.1500000000005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2022-03-11T15:37:19Z</dcterms:modified>
</cp:coreProperties>
</file>