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Saint-Pierre-de-Maillé_082021\"/>
    </mc:Choice>
  </mc:AlternateContent>
  <bookViews>
    <workbookView xWindow="0" yWindow="0" windowWidth="19200" windowHeight="73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<sst xmlns="http://schemas.openxmlformats.org/spreadsheetml/2006/main" count="1174" uniqueCount="326">
  <si>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</si>
  <si>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</si>
  <si>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</si>
  <si>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</si>
  <si>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</si>
  <si>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</si>
  <si>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</si>
  <si>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</si>
  <si>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</si>
  <si>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</si>
  <si>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</si>
  <si>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</si>
  <si>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</si>
  <si>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</si>
  <si>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</si>
  <si>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</si>
  <si>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</si>
  <si>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</si>
  <si>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</si>
  <si>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</si>
  <si>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</si>
  <si>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</si>
  <si>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</si>
  <si>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</si>
  <si>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</si>
  <si>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</si>
  <si>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</si>
  <si>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</si>
  <si>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</si>
  <si>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</si>
  <si>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</si>
  <si>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</si>
  <si>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</si>
  <si>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</si>
  <si>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</si>
  <si>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</si>
  <si>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</si>
  <si>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</si>
  <si>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</si>
  <si>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</si>
  <si>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</si>
  <si>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</si>
  <si>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</si>
  <si>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</si>
  <si>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</si>
  <si>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</si>
  <si>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</si>
  <si>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</si>
  <si>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</si>
  <si>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</si>
  <si>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</si>
  <si>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</si>
  <si>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</si>
  <si>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</si>
  <si>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</si>
  <si>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</si>
  <si>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</si>
  <si>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</si>
  <si>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</si>
  <si>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</si>
  <si>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</si>
  <si>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</si>
  <si>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</si>
  <si>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</si>
  <si>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</si>
  <si>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</si>
  <si>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</si>
  <si>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</si>
  <si>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</si>
  <si>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</si>
  <si>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</si>
  <si>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</si>
  <si>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</si>
  <si>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</si>
  <si>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</si>
  <si>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</si>
  <si>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</si>
  <si>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</si>
  <si>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</si>
  <si>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</si>
  <si>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</si>
  <si>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</si>
  <si>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</si>
  <si>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</si>
  <si>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</si>
  <si>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</si>
  <si>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</si>
  <si>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</si>
  <si>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</si>
  <si>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</si>
  <si>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</si>
  <si>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</si>
  <si>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</si>
  <si>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</si>
  <si>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</si>
  <si>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</si>
  <si>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</si>
  <si>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</si>
  <si>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</si>
  <si>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</si>
  <si>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</si>
  <si>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</si>
  <si>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</si>
  <si>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</si>
  <si>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</si>
  <si>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</si>
  <si>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</si>
  <si>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</si>
  <si>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</si>
  <si>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</si>
  <si>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</si>
  <si>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</si>
  <si>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</si>
  <si>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</si>
  <si>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</si>
  <si>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</si>
  <si>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</si>
  <si>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</si>
  <si>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</si>
  <si>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</si>
  <si>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</si>
  <si>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</si>
  <si>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</si>
  <si>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</si>
  <si>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</si>
  <si>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</si>
  <si>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</si>
  <si>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</si>
  <si>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</si>
  <si>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</si>
  <si>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</si>
  <si>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</si>
  <si>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</si>
  <si>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</si>
  <si>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</si>
  <si>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</si>
  <si>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</si>
  <si>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</si>
  <si>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</si>
  <si>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</si>
  <si>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</si>
  <si>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</si>
  <si>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</si>
  <si>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</si>
  <si>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</si>
  <si>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</si>
  <si>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</si>
  <si>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</si>
  <si>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</si>
  <si>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</si>
  <si>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</si>
  <si>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</si>
  <si>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</si>
  <si>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</si>
  <si>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</si>
  <si>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</si>
  <si>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</si>
  <si>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</si>
  <si>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</si>
  <si>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</si>
  <si>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</si>
  <si>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</si>
  <si>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</si>
  <si>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</si>
  <si>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</si>
  <si>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</si>
  <si>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</si>
  <si>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</si>
  <si>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</si>
  <si>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</si>
  <si>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</si>
  <si>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</si>
  <si>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</si>
  <si>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</si>
  <si>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</si>
  <si>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</si>
  <si>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</si>
  <si>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</si>
  <si>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</si>
  <si>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</si>
  <si>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</si>
  <si>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</si>
  <si>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</si>
  <si>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</si>
  <si>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</si>
  <si>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</si>
  <si>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</si>
  <si>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</si>
  <si>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</si>
  <si>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</si>
  <si>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</si>
  <si>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</si>
  <si>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</si>
  <si>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</si>
  <si>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</si>
  <si>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</si>
  <si>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</si>
  <si>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</si>
  <si>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</si>
  <si>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</si>
  <si>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</si>
  <si>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</si>
  <si>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</si>
  <si>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</si>
  <si>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</si>
  <si>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</si>
  <si>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</si>
  <si>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</si>
  <si>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</si>
  <si>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</si>
  <si>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</si>
  <si>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</si>
  <si>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</si>
  <si>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</si>
  <si>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</si>
  <si>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</si>
  <si>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</si>
  <si>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</si>
  <si>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</si>
  <si>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</si>
  <si>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</si>
  <si>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</si>
  <si>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</si>
  <si>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</si>
  <si>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</si>
  <si>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</si>
  <si>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</si>
  <si>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</si>
  <si>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</si>
  <si>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</si>
  <si>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</si>
  <si>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</si>
  <si>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</si>
  <si>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</si>
  <si>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</si>
  <si>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</si>
  <si>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</si>
  <si>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</si>
  <si>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</si>
  <si>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</si>
  <si>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</si>
  <si>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</si>
  <si>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</si>
  <si>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</si>
  <si>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</si>
  <si>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</si>
  <si>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</si>
  <si>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</si>
  <si>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</si>
  <si>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</si>
  <si>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</si>
  <si>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</si>
  <si>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</si>
  <si>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</si>
  <si>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</si>
  <si>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</si>
  <si>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</si>
  <si>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</si>
  <si>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</si>
  <si>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</si>
  <si>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</si>
  <si>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</si>
  <si>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</si>
  <si>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</si>
  <si>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</si>
  <si>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</si>
  <si>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</si>
  <si>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</si>
  <si>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</si>
  <si>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</si>
  <si>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</si>
  <si>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</si>
  <si>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</si>
  <si>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</si>
  <si>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</si>
  <si>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</si>
  <si>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</si>
  <si>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</si>
  <si>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</si>
  <si>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</si>
  <si>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</si>
  <si>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</si>
  <si>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</si>
  <si>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</si>
  <si>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</si>
  <si>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</si>
  <si>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</si>
  <si>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</si>
  <si>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</si>
  <si>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</si>
  <si>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</si>
  <si>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</si>
  <si>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</si>
  <si>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</si>
  <si>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</si>
  <si>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</si>
  <si>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</si>
  <si>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</si>
  <si>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</si>
  <si>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</si>
  <si>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</si>
  <si>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</si>
  <si>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</si>
  <si>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</si>
  <si>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</si>
  <si>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</si>
  <si>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</si>
  <si>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</si>
  <si>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</si>
  <si>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</si>
  <si>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</si>
  <si>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</si>
  <si>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</si>
  <si>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</si>
  <si>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</si>
  <si>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</si>
  <si>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</si>
  <si>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</si>
  <si>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</si>
  <si>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</si>
  <si>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</si>
  <si>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</si>
  <si>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</si>
  <si>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</si>
  <si>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Pas de recettes liées au pâturage</t>
  </si>
  <si>
    <t>Négligéable car on estime une récolte de 200 T/ha à 2€/T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</si>
</sst>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5.5520839732842378</c:v>
                </c:pt>
                <c:pt idx="2">
                  <c:v>10.849835251867169</c:v>
                </c:pt>
                <c:pt idx="3">
                  <c:v>16.065449836764216</c:v>
                </c:pt>
                <c:pt idx="4">
                  <c:v>21.23043345256324</c:v>
                </c:pt>
                <c:pt idx="5">
                  <c:v>26.359065526473405</c:v>
                </c:pt>
                <c:pt idx="6">
                  <c:v>31.459491639957559</c:v>
                </c:pt>
                <c:pt idx="7">
                  <c:v>36.536962934431294</c:v>
                </c:pt>
                <c:pt idx="8">
                  <c:v>41.595137037205518</c:v>
                </c:pt>
                <c:pt idx="9">
                  <c:v>46.636702350882494</c:v>
                </c:pt>
                <c:pt idx="10">
                  <c:v>51.663714807377517</c:v>
                </c:pt>
                <c:pt idx="11">
                  <c:v>56.677795357965813</c:v>
                </c:pt>
                <c:pt idx="12">
                  <c:v>61.680253331430201</c:v>
                </c:pt>
                <c:pt idx="13">
                  <c:v>66.672167391181134</c:v>
                </c:pt>
                <c:pt idx="14">
                  <c:v>71.65444082548548</c:v>
                </c:pt>
                <c:pt idx="15">
                  <c:v>76.627840569347271</c:v>
                </c:pt>
                <c:pt idx="16">
                  <c:v>81.593025514562825</c:v>
                </c:pt>
                <c:pt idx="17">
                  <c:v>86.55056753636832</c:v>
                </c:pt>
                <c:pt idx="18">
                  <c:v>91.500967429895852</c:v>
                </c:pt>
                <c:pt idx="19">
                  <c:v>96.444667203664878</c:v>
                </c:pt>
                <c:pt idx="20">
                  <c:v>101.38205971113759</c:v>
                </c:pt>
                <c:pt idx="21">
                  <c:v>106.31349630122065</c:v>
                </c:pt>
                <c:pt idx="22">
                  <c:v>111.23929297023982</c:v>
                </c:pt>
                <c:pt idx="23">
                  <c:v>116.15973536375537</c:v>
                </c:pt>
                <c:pt idx="24">
                  <c:v>121.07508288395128</c:v>
                </c:pt>
                <c:pt idx="25">
                  <c:v>125.98557209316937</c:v>
                </c:pt>
                <c:pt idx="26">
                  <c:v>130.89141955754937</c:v>
                </c:pt>
                <c:pt idx="27">
                  <c:v>135.79282424088083</c:v>
                </c:pt>
                <c:pt idx="28">
                  <c:v>140.68996953384027</c:v>
                </c:pt>
                <c:pt idx="29">
                  <c:v>145.58302498519123</c:v>
                </c:pt>
                <c:pt idx="30">
                  <c:v>150.4721477874898</c:v>
                </c:pt>
                <c:pt idx="31">
                  <c:v>155.35748405913077</c:v>
                </c:pt>
                <c:pt idx="32">
                  <c:v>160.23916995632194</c:v>
                </c:pt>
                <c:pt idx="33">
                  <c:v>165.11733264215681</c:v>
                </c:pt>
                <c:pt idx="34">
                  <c:v>169.99209113492367</c:v>
                </c:pt>
                <c:pt idx="35">
                  <c:v>174.8635570538089</c:v>
                </c:pt>
                <c:pt idx="36">
                  <c:v>179.73183527698203</c:v>
                </c:pt>
                <c:pt idx="37">
                  <c:v>184.59702452450463</c:v>
                </c:pt>
                <c:pt idx="38">
                  <c:v>189.45921787644895</c:v>
                </c:pt>
                <c:pt idx="39">
                  <c:v>194.3185032349451</c:v>
                </c:pt>
                <c:pt idx="40">
                  <c:v>199.17496373750399</c:v>
                </c:pt>
                <c:pt idx="41">
                  <c:v>204.02867812784493</c:v>
                </c:pt>
                <c:pt idx="42">
                  <c:v>208.87972108952658</c:v>
                </c:pt>
                <c:pt idx="43">
                  <c:v>213.72816354690826</c:v>
                </c:pt>
                <c:pt idx="44">
                  <c:v>218.57407293732581</c:v>
                </c:pt>
                <c:pt idx="45">
                  <c:v>223.41751345782691</c:v>
                </c:pt>
                <c:pt idx="46">
                  <c:v>228.2585462893563</c:v>
                </c:pt>
                <c:pt idx="47">
                  <c:v>233.09722980089589</c:v>
                </c:pt>
                <c:pt idx="48">
                  <c:v>237.93361973574193</c:v>
                </c:pt>
                <c:pt idx="49">
                  <c:v>242.76776938182016</c:v>
                </c:pt>
                <c:pt idx="50">
                  <c:v>247.59972972770572</c:v>
                </c:pt>
                <c:pt idx="51">
                  <c:v>252.42954960580843</c:v>
                </c:pt>
                <c:pt idx="52">
                  <c:v>257.25727582401061</c:v>
                </c:pt>
                <c:pt idx="53">
                  <c:v>262.08295328689275</c:v>
                </c:pt>
                <c:pt idx="54">
                  <c:v>266.90662510755141</c:v>
                </c:pt>
                <c:pt idx="55">
                  <c:v>271.72833271090025</c:v>
                </c:pt>
                <c:pt idx="56">
                  <c:v>276.54811592924443</c:v>
                </c:pt>
                <c:pt idx="57">
                  <c:v>222.64411988385828</c:v>
                </c:pt>
                <c:pt idx="58">
                  <c:v>236.87607011657778</c:v>
                </c:pt>
                <c:pt idx="59">
                  <c:v>251.08853098807515</c:v>
                </c:pt>
                <c:pt idx="60">
                  <c:v>265.28276128060099</c:v>
                </c:pt>
                <c:pt idx="61">
                  <c:v>279.45987400922519</c:v>
                </c:pt>
                <c:pt idx="62">
                  <c:v>293.62085999795494</c:v>
                </c:pt>
                <c:pt idx="63">
                  <c:v>307.76660666579454</c:v>
                </c:pt>
                <c:pt idx="64">
                  <c:v>321.8979131758897</c:v>
                </c:pt>
                <c:pt idx="65">
                  <c:v>336.01550278385133</c:v>
                </c:pt>
                <c:pt idx="66">
                  <c:v>350.12003300139185</c:v>
                </c:pt>
                <c:pt idx="67">
                  <c:v>264.89411110617567</c:v>
                </c:pt>
                <c:pt idx="68">
                  <c:v>276.5481159292446</c:v>
                </c:pt>
                <c:pt idx="69">
                  <c:v>288.19109683703886</c:v>
                </c:pt>
                <c:pt idx="70">
                  <c:v>299.82356216018138</c:v>
                </c:pt>
                <c:pt idx="71">
                  <c:v>311.44597754536522</c:v>
                </c:pt>
                <c:pt idx="72">
                  <c:v>323.05877103273184</c:v>
                </c:pt>
                <c:pt idx="73">
                  <c:v>334.66233736464437</c:v>
                </c:pt>
                <c:pt idx="74">
                  <c:v>346.25704166537054</c:v>
                </c:pt>
                <c:pt idx="75">
                  <c:v>357.84322260194654</c:v>
                </c:pt>
                <c:pt idx="76">
                  <c:v>369.42119511414597</c:v>
                </c:pt>
                <c:pt idx="77">
                  <c:v>283.92325072308813</c:v>
                </c:pt>
                <c:pt idx="78">
                  <c:v>295.17180720665493</c:v>
                </c:pt>
                <c:pt idx="79">
                  <c:v>306.41080319949225</c:v>
                </c:pt>
                <c:pt idx="80">
                  <c:v>317.64063895913375</c:v>
                </c:pt>
                <c:pt idx="81">
                  <c:v>328.86168411801833</c:v>
                </c:pt>
                <c:pt idx="82">
                  <c:v>340.07428101414848</c:v>
                </c:pt>
                <c:pt idx="83">
                  <c:v>351.27874755933817</c:v>
                </c:pt>
                <c:pt idx="84">
                  <c:v>362.47537972225496</c:v>
                </c:pt>
                <c:pt idx="85">
                  <c:v>373.66445368853533</c:v>
                </c:pt>
                <c:pt idx="86">
                  <c:v>384.8462277485803</c:v>
                </c:pt>
                <c:pt idx="87">
                  <c:v>260.03489159171903</c:v>
                </c:pt>
                <c:pt idx="88">
                  <c:v>270.72252510244994</c:v>
                </c:pt>
                <c:pt idx="89">
                  <c:v>281.40066747860061</c:v>
                </c:pt>
                <c:pt idx="90">
                  <c:v>292.06972985560361</c:v>
                </c:pt>
                <c:pt idx="91">
                  <c:v>302.73009086074444</c:v>
                </c:pt>
                <c:pt idx="92">
                  <c:v>313.38210026249675</c:v>
                </c:pt>
                <c:pt idx="93">
                  <c:v>324.02608209744591</c:v>
                </c:pt>
                <c:pt idx="94">
                  <c:v>334.66233736464454</c:v>
                </c:pt>
                <c:pt idx="95">
                  <c:v>345.29114635937111</c:v>
                </c:pt>
                <c:pt idx="96">
                  <c:v>355.9127707043956</c:v>
                </c:pt>
                <c:pt idx="97">
                  <c:v>366.5274551260041</c:v>
                </c:pt>
                <c:pt idx="98">
                  <c:v>377.13542901347182</c:v>
                </c:pt>
                <c:pt idx="99">
                  <c:v>387.73690779386158</c:v>
                </c:pt>
                <c:pt idx="100">
                  <c:v>398.33209414857492</c:v>
                </c:pt>
                <c:pt idx="101">
                  <c:v>273.4414812754838</c:v>
                </c:pt>
                <c:pt idx="102">
                  <c:v>283.92325072308836</c:v>
                </c:pt>
                <c:pt idx="103">
                  <c:v>294.39635640002109</c:v>
                </c:pt>
                <c:pt idx="104">
                  <c:v>304.86115014789925</c:v>
                </c:pt>
                <c:pt idx="105">
                  <c:v>315.31795766675896</c:v>
                </c:pt>
                <c:pt idx="106">
                  <c:v>325.76708127859342</c:v>
                </c:pt>
                <c:pt idx="107">
                  <c:v>336.20880231759674</c:v>
                </c:pt>
                <c:pt idx="108">
                  <c:v>346.64338320780917</c:v>
                </c:pt>
                <c:pt idx="109">
                  <c:v>357.07106927741648</c:v>
                </c:pt>
                <c:pt idx="110">
                  <c:v>367.49209034996096</c:v>
                </c:pt>
                <c:pt idx="111">
                  <c:v>377.90666214557262</c:v>
                </c:pt>
                <c:pt idx="112">
                  <c:v>388.31498751962334</c:v>
                </c:pt>
                <c:pt idx="113">
                  <c:v>398.7172575616076</c:v>
                </c:pt>
                <c:pt idx="114">
                  <c:v>409.1136525733354</c:v>
                </c:pt>
                <c:pt idx="115">
                  <c:v>419.50434294248288</c:v>
                </c:pt>
                <c:pt idx="116">
                  <c:v>8.1829354963220586E-12</c:v>
                </c:pt>
                <c:pt idx="117">
                  <c:v>8.1829354963220586E-12</c:v>
                </c:pt>
                <c:pt idx="118">
                  <c:v>8.1829354963220586E-12</c:v>
                </c:pt>
                <c:pt idx="119">
                  <c:v>8.1829354963220586E-12</c:v>
                </c:pt>
                <c:pt idx="120">
                  <c:v>8.1829354963220586E-12</c:v>
                </c:pt>
                <c:pt idx="121">
                  <c:v>8.1829354963220586E-12</c:v>
                </c:pt>
                <c:pt idx="122">
                  <c:v>8.1829354963220586E-12</c:v>
                </c:pt>
                <c:pt idx="123">
                  <c:v>8.1829354963220586E-12</c:v>
                </c:pt>
                <c:pt idx="124">
                  <c:v>8.1829354963220586E-12</c:v>
                </c:pt>
                <c:pt idx="125">
                  <c:v>8.1829354963220586E-12</c:v>
                </c:pt>
                <c:pt idx="126">
                  <c:v>8.1829354963220586E-12</c:v>
                </c:pt>
                <c:pt idx="127">
                  <c:v>8.1829354963220586E-12</c:v>
                </c:pt>
                <c:pt idx="128">
                  <c:v>8.1829354963220586E-12</c:v>
                </c:pt>
                <c:pt idx="129">
                  <c:v>8.1829354963220586E-12</c:v>
                </c:pt>
                <c:pt idx="130">
                  <c:v>8.1829354963220586E-12</c:v>
                </c:pt>
                <c:pt idx="131">
                  <c:v>8.1829354963220586E-12</c:v>
                </c:pt>
                <c:pt idx="132">
                  <c:v>8.1829354963220586E-12</c:v>
                </c:pt>
                <c:pt idx="133">
                  <c:v>8.1829354963220586E-12</c:v>
                </c:pt>
                <c:pt idx="134">
                  <c:v>8.1829354963220586E-12</c:v>
                </c:pt>
                <c:pt idx="135">
                  <c:v>8.1829354963220586E-12</c:v>
                </c:pt>
                <c:pt idx="136">
                  <c:v>8.1829354963220586E-12</c:v>
                </c:pt>
                <c:pt idx="137">
                  <c:v>8.1829354963220586E-12</c:v>
                </c:pt>
                <c:pt idx="138">
                  <c:v>8.1829354963220586E-12</c:v>
                </c:pt>
                <c:pt idx="139">
                  <c:v>8.1829354963220586E-12</c:v>
                </c:pt>
                <c:pt idx="140">
                  <c:v>8.1829354963220586E-12</c:v>
                </c:pt>
                <c:pt idx="141">
                  <c:v>8.1829354963220586E-12</c:v>
                </c:pt>
                <c:pt idx="142">
                  <c:v>8.1829354963220586E-12</c:v>
                </c:pt>
                <c:pt idx="143">
                  <c:v>8.1829354963220586E-12</c:v>
                </c:pt>
                <c:pt idx="144">
                  <c:v>8.1829354963220586E-12</c:v>
                </c:pt>
                <c:pt idx="145">
                  <c:v>8.1829354963220586E-12</c:v>
                </c:pt>
                <c:pt idx="146">
                  <c:v>8.1829354963220586E-12</c:v>
                </c:pt>
                <c:pt idx="147">
                  <c:v>8.1829354963220586E-12</c:v>
                </c:pt>
                <c:pt idx="148">
                  <c:v>8.1829354963220586E-12</c:v>
                </c:pt>
                <c:pt idx="149">
                  <c:v>8.1829354963220586E-12</c:v>
                </c:pt>
                <c:pt idx="150">
                  <c:v>8.1829354963220586E-12</c:v>
                </c:pt>
                <c:pt idx="151">
                  <c:v>8.1829354963220586E-12</c:v>
                </c:pt>
                <c:pt idx="152">
                  <c:v>8.1829354963220586E-12</c:v>
                </c:pt>
                <c:pt idx="153">
                  <c:v>8.1829354963220586E-12</c:v>
                </c:pt>
                <c:pt idx="154">
                  <c:v>8.1829354963220586E-12</c:v>
                </c:pt>
                <c:pt idx="155">
                  <c:v>8.1829354963220586E-12</c:v>
                </c:pt>
                <c:pt idx="156">
                  <c:v>8.1829354963220586E-12</c:v>
                </c:pt>
                <c:pt idx="157">
                  <c:v>8.1829354963220586E-12</c:v>
                </c:pt>
                <c:pt idx="158">
                  <c:v>8.1829354963220586E-12</c:v>
                </c:pt>
                <c:pt idx="159">
                  <c:v>8.1829354963220586E-12</c:v>
                </c:pt>
                <c:pt idx="160">
                  <c:v>8.1829354963220586E-12</c:v>
                </c:pt>
                <c:pt idx="161">
                  <c:v>8.1829354963220586E-12</c:v>
                </c:pt>
                <c:pt idx="162">
                  <c:v>8.1829354963220586E-12</c:v>
                </c:pt>
                <c:pt idx="163">
                  <c:v>8.1829354963220586E-12</c:v>
                </c:pt>
                <c:pt idx="164">
                  <c:v>8.1829354963220586E-12</c:v>
                </c:pt>
                <c:pt idx="165">
                  <c:v>8.1829354963220586E-12</c:v>
                </c:pt>
                <c:pt idx="166">
                  <c:v>8.1829354963220586E-12</c:v>
                </c:pt>
                <c:pt idx="167">
                  <c:v>8.1829354963220586E-12</c:v>
                </c:pt>
                <c:pt idx="168">
                  <c:v>8.1829354963220586E-12</c:v>
                </c:pt>
                <c:pt idx="169">
                  <c:v>8.1829354963220586E-12</c:v>
                </c:pt>
                <c:pt idx="170">
                  <c:v>8.1829354963220586E-12</c:v>
                </c:pt>
                <c:pt idx="171">
                  <c:v>8.1829354963220586E-12</c:v>
                </c:pt>
                <c:pt idx="172">
                  <c:v>8.1829354963220586E-12</c:v>
                </c:pt>
                <c:pt idx="173">
                  <c:v>8.1829354963220586E-12</c:v>
                </c:pt>
                <c:pt idx="174">
                  <c:v>8.1829354963220586E-12</c:v>
                </c:pt>
                <c:pt idx="175">
                  <c:v>8.1829354963220586E-12</c:v>
                </c:pt>
                <c:pt idx="176">
                  <c:v>8.1829354963220586E-12</c:v>
                </c:pt>
                <c:pt idx="177">
                  <c:v>8.1829354963220586E-12</c:v>
                </c:pt>
                <c:pt idx="178">
                  <c:v>8.1829354963220586E-12</c:v>
                </c:pt>
                <c:pt idx="179">
                  <c:v>8.1829354963220586E-12</c:v>
                </c:pt>
                <c:pt idx="180">
                  <c:v>8.1829354963220586E-12</c:v>
                </c:pt>
                <c:pt idx="181">
                  <c:v>8.1829354963220586E-12</c:v>
                </c:pt>
                <c:pt idx="182">
                  <c:v>8.1829354963220586E-12</c:v>
                </c:pt>
                <c:pt idx="183">
                  <c:v>8.1829354963220586E-12</c:v>
                </c:pt>
                <c:pt idx="184">
                  <c:v>8.1829354963220586E-12</c:v>
                </c:pt>
                <c:pt idx="185">
                  <c:v>8.1829354963220586E-12</c:v>
                </c:pt>
                <c:pt idx="186">
                  <c:v>8.1829354963220586E-12</c:v>
                </c:pt>
                <c:pt idx="187">
                  <c:v>8.1829354963220586E-12</c:v>
                </c:pt>
                <c:pt idx="188">
                  <c:v>8.1829354963220586E-12</c:v>
                </c:pt>
                <c:pt idx="189">
                  <c:v>8.1829354963220586E-12</c:v>
                </c:pt>
                <c:pt idx="190">
                  <c:v>8.1829354963220586E-12</c:v>
                </c:pt>
                <c:pt idx="191">
                  <c:v>8.1829354963220586E-12</c:v>
                </c:pt>
                <c:pt idx="192">
                  <c:v>8.1829354963220586E-12</c:v>
                </c:pt>
                <c:pt idx="193">
                  <c:v>8.1829354963220586E-12</c:v>
                </c:pt>
                <c:pt idx="194">
                  <c:v>8.1829354963220586E-12</c:v>
                </c:pt>
                <c:pt idx="195">
                  <c:v>8.1829354963220586E-12</c:v>
                </c:pt>
                <c:pt idx="196">
                  <c:v>8.1829354963220586E-12</c:v>
                </c:pt>
                <c:pt idx="197">
                  <c:v>8.1829354963220586E-12</c:v>
                </c:pt>
                <c:pt idx="198">
                  <c:v>8.1829354963220586E-12</c:v>
                </c:pt>
                <c:pt idx="199">
                  <c:v>8.1829354963220586E-12</c:v>
                </c:pt>
                <c:pt idx="200">
                  <c:v>8.1829354963220586E-12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641344"/>
        <c:axId val="830641888"/>
      </c:scatterChart>
      <c:valAx>
        <c:axId val="830641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0641888"/>
        <c:crosses val="autoZero"/>
        <c:crossBetween val="midCat"/>
      </c:valAx>
      <c:valAx>
        <c:axId val="8306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0641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738816"/>
        <c:axId val="642740992"/>
      </c:scatterChart>
      <c:valAx>
        <c:axId val="64273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740992"/>
        <c:crosses val="autoZero"/>
        <c:crossBetween val="midCat"/>
      </c:valAx>
      <c:valAx>
        <c:axId val="64274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73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6.1979388513768754</c:v>
                </c:pt>
                <c:pt idx="2">
                  <c:v>12.114605082129641</c:v>
                </c:pt>
                <c:pt idx="3">
                  <c:v>17.940434375423138</c:v>
                </c:pt>
                <c:pt idx="4">
                  <c:v>23.710269666924372</c:v>
                </c:pt>
                <c:pt idx="5">
                  <c:v>29.439902917304551</c:v>
                </c:pt>
                <c:pt idx="6">
                  <c:v>35.13834252026335</c:v>
                </c:pt>
                <c:pt idx="7">
                  <c:v>40.811395838904296</c:v>
                </c:pt>
                <c:pt idx="8">
                  <c:v>46.463107930903583</c:v>
                </c:pt>
                <c:pt idx="9">
                  <c:v>52.096451965110425</c:v>
                </c:pt>
                <c:pt idx="10">
                  <c:v>57.71370164588803</c:v>
                </c:pt>
                <c:pt idx="11">
                  <c:v>63.316649622088001</c:v>
                </c:pt>
                <c:pt idx="12">
                  <c:v>68.906743911781476</c:v>
                </c:pt>
                <c:pt idx="13">
                  <c:v>74.485177434677738</c:v>
                </c:pt>
                <c:pt idx="14">
                  <c:v>80.052949158912966</c:v>
                </c:pt>
                <c:pt idx="15">
                  <c:v>85.610907256283156</c:v>
                </c:pt>
                <c:pt idx="16">
                  <c:v>91.159780411012207</c:v>
                </c:pt>
                <c:pt idx="17">
                  <c:v>96.700201073625351</c:v>
                </c:pt>
                <c:pt idx="18">
                  <c:v>102.23272308545775</c:v>
                </c:pt>
                <c:pt idx="19">
                  <c:v>107.75783527432115</c:v>
                </c:pt>
                <c:pt idx="20">
                  <c:v>113.27597210627171</c:v>
                </c:pt>
                <c:pt idx="21">
                  <c:v>118.7875221464833</c:v>
                </c:pt>
                <c:pt idx="22">
                  <c:v>124.2928348628635</c:v>
                </c:pt>
                <c:pt idx="23">
                  <c:v>129.79222615768128</c:v>
                </c:pt>
                <c:pt idx="24">
                  <c:v>135.28598291002686</c:v>
                </c:pt>
                <c:pt idx="25">
                  <c:v>140.77436673986182</c:v>
                </c:pt>
                <c:pt idx="26">
                  <c:v>146.2576171528689</c:v>
                </c:pt>
                <c:pt idx="27">
                  <c:v>151.73595418786977</c:v>
                </c:pt>
                <c:pt idx="28">
                  <c:v>157.20958066100755</c:v>
                </c:pt>
                <c:pt idx="29">
                  <c:v>162.67868408032214</c:v>
                </c:pt>
                <c:pt idx="30">
                  <c:v>168.14343828882735</c:v>
                </c:pt>
                <c:pt idx="31">
                  <c:v>173.6040048823568</c:v>
                </c:pt>
                <c:pt idx="32">
                  <c:v>179.06053443932299</c:v>
                </c:pt>
                <c:pt idx="33">
                  <c:v>184.51316759243784</c:v>
                </c:pt>
                <c:pt idx="34">
                  <c:v>189.96203596687749</c:v>
                </c:pt>
                <c:pt idx="35">
                  <c:v>195.40726300497485</c:v>
                </c:pt>
                <c:pt idx="36">
                  <c:v>200.84896469401028</c:v>
                </c:pt>
                <c:pt idx="37">
                  <c:v>206.28725021086493</c:v>
                </c:pt>
                <c:pt idx="38">
                  <c:v>211.72222249502099</c:v>
                </c:pt>
                <c:pt idx="39">
                  <c:v>217.1539787595502</c:v>
                </c:pt>
                <c:pt idx="40">
                  <c:v>222.58261094821759</c:v>
                </c:pt>
                <c:pt idx="41">
                  <c:v>228.00820614558907</c:v>
                </c:pt>
                <c:pt idx="42">
                  <c:v>233.43084694600165</c:v>
                </c:pt>
                <c:pt idx="43">
                  <c:v>238.85061178640339</c:v>
                </c:pt>
                <c:pt idx="44">
                  <c:v>244.2675752473597</c:v>
                </c:pt>
                <c:pt idx="45">
                  <c:v>249.68180832592392</c:v>
                </c:pt>
                <c:pt idx="46">
                  <c:v>255.09337868356843</c:v>
                </c:pt>
                <c:pt idx="47">
                  <c:v>260.50235087194892</c:v>
                </c:pt>
                <c:pt idx="48">
                  <c:v>265.90878653891224</c:v>
                </c:pt>
                <c:pt idx="49">
                  <c:v>271.31274461685211</c:v>
                </c:pt>
                <c:pt idx="50">
                  <c:v>276.71428149525565</c:v>
                </c:pt>
                <c:pt idx="51">
                  <c:v>282.11345117905461</c:v>
                </c:pt>
                <c:pt idx="52">
                  <c:v>287.51030543420762</c:v>
                </c:pt>
                <c:pt idx="53">
                  <c:v>292.90489392176602</c:v>
                </c:pt>
                <c:pt idx="54">
                  <c:v>298.29726432153649</c:v>
                </c:pt>
                <c:pt idx="55">
                  <c:v>303.68746244632302</c:v>
                </c:pt>
                <c:pt idx="56">
                  <c:v>309.07553234762696</c:v>
                </c:pt>
                <c:pt idx="57">
                  <c:v>248.81726947714185</c:v>
                </c:pt>
                <c:pt idx="58">
                  <c:v>264.72658551355164</c:v>
                </c:pt>
                <c:pt idx="59">
                  <c:v>280.61434779844052</c:v>
                </c:pt>
                <c:pt idx="60">
                  <c:v>296.48194844925848</c:v>
                </c:pt>
                <c:pt idx="61">
                  <c:v>312.33061837603822</c:v>
                </c:pt>
                <c:pt idx="62">
                  <c:v>328.16145335478825</c:v>
                </c:pt>
                <c:pt idx="63">
                  <c:v>343.97543480344717</c:v>
                </c:pt>
                <c:pt idx="64">
                  <c:v>359.7734465356852</c:v>
                </c:pt>
                <c:pt idx="65">
                  <c:v>375.55628841721028</c:v>
                </c:pt>
                <c:pt idx="66">
                  <c:v>391.32468760597902</c:v>
                </c:pt>
                <c:pt idx="67">
                  <c:v>296.04747717569887</c:v>
                </c:pt>
                <c:pt idx="68">
                  <c:v>309.07553234762707</c:v>
                </c:pt>
                <c:pt idx="69">
                  <c:v>322.09139590753131</c:v>
                </c:pt>
                <c:pt idx="70">
                  <c:v>335.09563003042643</c:v>
                </c:pt>
                <c:pt idx="71">
                  <c:v>348.08874968614663</c:v>
                </c:pt>
                <c:pt idx="72">
                  <c:v>361.07122825453979</c:v>
                </c:pt>
                <c:pt idx="73">
                  <c:v>374.04350229064295</c:v>
                </c:pt>
                <c:pt idx="74">
                  <c:v>387.005975594132</c:v>
                </c:pt>
                <c:pt idx="75">
                  <c:v>399.95902270499596</c:v>
                </c:pt>
                <c:pt idx="76">
                  <c:v>412.90299192267634</c:v>
                </c:pt>
                <c:pt idx="77">
                  <c:v>317.32029156286336</c:v>
                </c:pt>
                <c:pt idx="78">
                  <c:v>329.8952979680065</c:v>
                </c:pt>
                <c:pt idx="79">
                  <c:v>342.45973119739227</c:v>
                </c:pt>
                <c:pt idx="80">
                  <c:v>355.01403390541685</c:v>
                </c:pt>
                <c:pt idx="81">
                  <c:v>367.55861487745034</c:v>
                </c:pt>
                <c:pt idx="82">
                  <c:v>380.09385271329205</c:v>
                </c:pt>
                <c:pt idx="83">
                  <c:v>392.62009899923368</c:v>
                </c:pt>
                <c:pt idx="84">
                  <c:v>405.13768105411583</c:v>
                </c:pt>
                <c:pt idx="85">
                  <c:v>417.64690431825079</c:v>
                </c:pt>
                <c:pt idx="86">
                  <c:v>430.14805444118201</c:v>
                </c:pt>
                <c:pt idx="87">
                  <c:v>290.61537821770656</c:v>
                </c:pt>
                <c:pt idx="88">
                  <c:v>302.56306586704682</c:v>
                </c:pt>
                <c:pt idx="89">
                  <c:v>314.50025704325708</c:v>
                </c:pt>
                <c:pt idx="90">
                  <c:v>326.42740643086216</c:v>
                </c:pt>
                <c:pt idx="91">
                  <c:v>338.344932762849</c:v>
                </c:pt>
                <c:pt idx="92">
                  <c:v>350.25322285655244</c:v>
                </c:pt>
                <c:pt idx="93">
                  <c:v>362.15263507179583</c:v>
                </c:pt>
                <c:pt idx="94">
                  <c:v>374.04350229064312</c:v>
                </c:pt>
                <c:pt idx="95">
                  <c:v>385.92613449835852</c:v>
                </c:pt>
                <c:pt idx="96">
                  <c:v>397.8008210298313</c:v>
                </c:pt>
                <c:pt idx="97">
                  <c:v>409.667832533725</c:v>
                </c:pt>
                <c:pt idx="98">
                  <c:v>421.52742269713468</c:v>
                </c:pt>
                <c:pt idx="99">
                  <c:v>433.37982976601074</c:v>
                </c:pt>
                <c:pt idx="100">
                  <c:v>445.22527789057102</c:v>
                </c:pt>
                <c:pt idx="101">
                  <c:v>305.6026007802281</c:v>
                </c:pt>
                <c:pt idx="102">
                  <c:v>317.32029156286359</c:v>
                </c:pt>
                <c:pt idx="103">
                  <c:v>329.02840087393793</c:v>
                </c:pt>
                <c:pt idx="104">
                  <c:v>340.72731782352537</c:v>
                </c:pt>
                <c:pt idx="105">
                  <c:v>352.41740261109948</c:v>
                </c:pt>
                <c:pt idx="106">
                  <c:v>364.09898958179542</c:v>
                </c:pt>
                <c:pt idx="107">
                  <c:v>375.77238986983951</c:v>
                </c:pt>
                <c:pt idx="108">
                  <c:v>387.43789369626484</c:v>
                </c:pt>
                <c:pt idx="109">
                  <c:v>399.0957723753902</c:v>
                </c:pt>
                <c:pt idx="110">
                  <c:v>410.74628007457721</c:v>
                </c:pt>
                <c:pt idx="111">
                  <c:v>422.38965536388605</c:v>
                </c:pt>
                <c:pt idx="112">
                  <c:v>434.02612258593257</c:v>
                </c:pt>
                <c:pt idx="113">
                  <c:v>445.65589307116738</c:v>
                </c:pt>
                <c:pt idx="114">
                  <c:v>457.27916621968183</c:v>
                </c:pt>
                <c:pt idx="115">
                  <c:v>468.89613046728874</c:v>
                </c:pt>
                <c:pt idx="116">
                  <c:v>9.0583017801390244E-12</c:v>
                </c:pt>
                <c:pt idx="117">
                  <c:v>9.0583017801390244E-12</c:v>
                </c:pt>
                <c:pt idx="118">
                  <c:v>9.0583017801390244E-12</c:v>
                </c:pt>
                <c:pt idx="119">
                  <c:v>9.0583017801390244E-12</c:v>
                </c:pt>
                <c:pt idx="120">
                  <c:v>9.0583017801390244E-12</c:v>
                </c:pt>
                <c:pt idx="121">
                  <c:v>9.0583017801390244E-12</c:v>
                </c:pt>
                <c:pt idx="122">
                  <c:v>9.0583017801390244E-12</c:v>
                </c:pt>
                <c:pt idx="123">
                  <c:v>9.0583017801390244E-12</c:v>
                </c:pt>
                <c:pt idx="124">
                  <c:v>9.0583017801390244E-12</c:v>
                </c:pt>
                <c:pt idx="125">
                  <c:v>9.0583017801390244E-12</c:v>
                </c:pt>
                <c:pt idx="126">
                  <c:v>9.0583017801390244E-12</c:v>
                </c:pt>
                <c:pt idx="127">
                  <c:v>9.0583017801390244E-12</c:v>
                </c:pt>
                <c:pt idx="128">
                  <c:v>9.0583017801390244E-12</c:v>
                </c:pt>
                <c:pt idx="129">
                  <c:v>9.0583017801390244E-12</c:v>
                </c:pt>
                <c:pt idx="130">
                  <c:v>9.0583017801390244E-12</c:v>
                </c:pt>
                <c:pt idx="131">
                  <c:v>9.0583017801390244E-12</c:v>
                </c:pt>
                <c:pt idx="132">
                  <c:v>9.0583017801390244E-12</c:v>
                </c:pt>
                <c:pt idx="133">
                  <c:v>9.0583017801390244E-12</c:v>
                </c:pt>
                <c:pt idx="134">
                  <c:v>9.0583017801390244E-12</c:v>
                </c:pt>
                <c:pt idx="135">
                  <c:v>9.0583017801390244E-12</c:v>
                </c:pt>
                <c:pt idx="136">
                  <c:v>9.0583017801390244E-12</c:v>
                </c:pt>
                <c:pt idx="137">
                  <c:v>9.0583017801390244E-12</c:v>
                </c:pt>
                <c:pt idx="138">
                  <c:v>9.0583017801390244E-12</c:v>
                </c:pt>
                <c:pt idx="139">
                  <c:v>9.0583017801390244E-12</c:v>
                </c:pt>
                <c:pt idx="140">
                  <c:v>9.0583017801390244E-12</c:v>
                </c:pt>
                <c:pt idx="141">
                  <c:v>9.0583017801390244E-12</c:v>
                </c:pt>
                <c:pt idx="142">
                  <c:v>9.0583017801390244E-12</c:v>
                </c:pt>
                <c:pt idx="143">
                  <c:v>9.0583017801390244E-12</c:v>
                </c:pt>
                <c:pt idx="144">
                  <c:v>9.0583017801390244E-12</c:v>
                </c:pt>
                <c:pt idx="145">
                  <c:v>9.0583017801390244E-12</c:v>
                </c:pt>
                <c:pt idx="146">
                  <c:v>9.0583017801390244E-12</c:v>
                </c:pt>
                <c:pt idx="147">
                  <c:v>9.0583017801390244E-12</c:v>
                </c:pt>
                <c:pt idx="148">
                  <c:v>9.0583017801390244E-12</c:v>
                </c:pt>
                <c:pt idx="149">
                  <c:v>9.0583017801390244E-12</c:v>
                </c:pt>
                <c:pt idx="150">
                  <c:v>9.0583017801390244E-12</c:v>
                </c:pt>
                <c:pt idx="151">
                  <c:v>9.0583017801390244E-12</c:v>
                </c:pt>
                <c:pt idx="152">
                  <c:v>9.0583017801390244E-12</c:v>
                </c:pt>
                <c:pt idx="153">
                  <c:v>9.0583017801390244E-12</c:v>
                </c:pt>
                <c:pt idx="154">
                  <c:v>9.0583017801390244E-12</c:v>
                </c:pt>
                <c:pt idx="155">
                  <c:v>9.0583017801390244E-12</c:v>
                </c:pt>
                <c:pt idx="156">
                  <c:v>9.0583017801390244E-12</c:v>
                </c:pt>
                <c:pt idx="157">
                  <c:v>9.0583017801390244E-12</c:v>
                </c:pt>
                <c:pt idx="158">
                  <c:v>9.0583017801390244E-12</c:v>
                </c:pt>
                <c:pt idx="159">
                  <c:v>9.0583017801390244E-12</c:v>
                </c:pt>
                <c:pt idx="160">
                  <c:v>9.0583017801390244E-12</c:v>
                </c:pt>
                <c:pt idx="161">
                  <c:v>9.0583017801390244E-12</c:v>
                </c:pt>
                <c:pt idx="162">
                  <c:v>9.0583017801390244E-12</c:v>
                </c:pt>
                <c:pt idx="163">
                  <c:v>9.0583017801390244E-12</c:v>
                </c:pt>
                <c:pt idx="164">
                  <c:v>9.0583017801390244E-12</c:v>
                </c:pt>
                <c:pt idx="165">
                  <c:v>9.0583017801390244E-12</c:v>
                </c:pt>
                <c:pt idx="166">
                  <c:v>9.0583017801390244E-12</c:v>
                </c:pt>
                <c:pt idx="167">
                  <c:v>9.0583017801390244E-12</c:v>
                </c:pt>
                <c:pt idx="168">
                  <c:v>9.0583017801390244E-12</c:v>
                </c:pt>
                <c:pt idx="169">
                  <c:v>9.0583017801390244E-12</c:v>
                </c:pt>
                <c:pt idx="170">
                  <c:v>9.0583017801390244E-12</c:v>
                </c:pt>
                <c:pt idx="171">
                  <c:v>9.0583017801390244E-12</c:v>
                </c:pt>
                <c:pt idx="172">
                  <c:v>9.0583017801390244E-12</c:v>
                </c:pt>
                <c:pt idx="173">
                  <c:v>9.0583017801390244E-12</c:v>
                </c:pt>
                <c:pt idx="174">
                  <c:v>9.0583017801390244E-12</c:v>
                </c:pt>
                <c:pt idx="175">
                  <c:v>9.0583017801390244E-12</c:v>
                </c:pt>
                <c:pt idx="176">
                  <c:v>9.0583017801390244E-12</c:v>
                </c:pt>
                <c:pt idx="177">
                  <c:v>9.0583017801390244E-12</c:v>
                </c:pt>
                <c:pt idx="178">
                  <c:v>9.0583017801390244E-12</c:v>
                </c:pt>
                <c:pt idx="179">
                  <c:v>9.0583017801390244E-12</c:v>
                </c:pt>
                <c:pt idx="180">
                  <c:v>9.0583017801390244E-12</c:v>
                </c:pt>
                <c:pt idx="181">
                  <c:v>9.0583017801390244E-12</c:v>
                </c:pt>
                <c:pt idx="182">
                  <c:v>9.0583017801390244E-12</c:v>
                </c:pt>
                <c:pt idx="183">
                  <c:v>9.0583017801390244E-12</c:v>
                </c:pt>
                <c:pt idx="184">
                  <c:v>9.0583017801390244E-12</c:v>
                </c:pt>
                <c:pt idx="185">
                  <c:v>9.0583017801390244E-12</c:v>
                </c:pt>
                <c:pt idx="186">
                  <c:v>9.0583017801390244E-12</c:v>
                </c:pt>
                <c:pt idx="187">
                  <c:v>9.0583017801390244E-12</c:v>
                </c:pt>
                <c:pt idx="188">
                  <c:v>9.0583017801390244E-12</c:v>
                </c:pt>
                <c:pt idx="189">
                  <c:v>9.0583017801390244E-12</c:v>
                </c:pt>
                <c:pt idx="190">
                  <c:v>9.0583017801390244E-12</c:v>
                </c:pt>
                <c:pt idx="191">
                  <c:v>9.0583017801390244E-12</c:v>
                </c:pt>
                <c:pt idx="192">
                  <c:v>9.0583017801390244E-12</c:v>
                </c:pt>
                <c:pt idx="193">
                  <c:v>9.0583017801390244E-12</c:v>
                </c:pt>
                <c:pt idx="194">
                  <c:v>9.0583017801390244E-12</c:v>
                </c:pt>
                <c:pt idx="195">
                  <c:v>9.0583017801390244E-12</c:v>
                </c:pt>
                <c:pt idx="196">
                  <c:v>9.0583017801390244E-12</c:v>
                </c:pt>
                <c:pt idx="197">
                  <c:v>9.0583017801390244E-12</c:v>
                </c:pt>
                <c:pt idx="198">
                  <c:v>9.0583017801390244E-12</c:v>
                </c:pt>
                <c:pt idx="199">
                  <c:v>9.0583017801390244E-12</c:v>
                </c:pt>
                <c:pt idx="200">
                  <c:v>9.0583017801390244E-12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550848"/>
        <c:axId val="779550304"/>
      </c:scatterChart>
      <c:valAx>
        <c:axId val="779550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50304"/>
        <c:crosses val="autoZero"/>
        <c:crossBetween val="midCat"/>
      </c:valAx>
      <c:valAx>
        <c:axId val="77955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5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551936"/>
        <c:axId val="779553568"/>
      </c:scatterChart>
      <c:valAx>
        <c:axId val="77955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53568"/>
        <c:crosses val="autoZero"/>
        <c:crossBetween val="midCat"/>
      </c:valAx>
      <c:valAx>
        <c:axId val="77955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5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547040"/>
        <c:axId val="779549760"/>
      </c:scatterChart>
      <c:valAx>
        <c:axId val="779547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49760"/>
        <c:crosses val="autoZero"/>
        <c:crossBetween val="midCat"/>
      </c:valAx>
      <c:valAx>
        <c:axId val="77954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4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549216"/>
        <c:axId val="307789712"/>
      </c:scatterChart>
      <c:valAx>
        <c:axId val="779549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89712"/>
        <c:crosses val="autoZero"/>
        <c:crossBetween val="midCat"/>
      </c:valAx>
      <c:valAx>
        <c:axId val="30778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9549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792976"/>
        <c:axId val="307794064"/>
      </c:scatterChart>
      <c:valAx>
        <c:axId val="30779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94064"/>
        <c:crosses val="autoZero"/>
        <c:crossBetween val="midCat"/>
      </c:valAx>
      <c:valAx>
        <c:axId val="30779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9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795152"/>
        <c:axId val="307796240"/>
      </c:scatterChart>
      <c:valAx>
        <c:axId val="307795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96240"/>
        <c:crosses val="autoZero"/>
        <c:crossBetween val="midCat"/>
      </c:valAx>
      <c:valAx>
        <c:axId val="30779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9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790800"/>
        <c:axId val="307795696"/>
      </c:scatterChart>
      <c:valAx>
        <c:axId val="30779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95696"/>
        <c:crosses val="autoZero"/>
        <c:crossBetween val="midCat"/>
      </c:valAx>
      <c:valAx>
        <c:axId val="30779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79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739360"/>
        <c:axId val="642735552"/>
      </c:scatterChart>
      <c:valAx>
        <c:axId val="64273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735552"/>
        <c:crosses val="autoZero"/>
        <c:crossBetween val="midCat"/>
      </c:valAx>
      <c:valAx>
        <c:axId val="6427355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73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1" zoomScale="90" zoomScaleNormal="90" workbookViewId="0">
      <selection activeCell="D58" sqref="D58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0.17</v>
      </c>
      <c r="D9" s="36">
        <f t="shared" ref="D9:D18" si="0">C9*$C$5</f>
        <v>1.1900000000000002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12</v>
      </c>
      <c r="C10" s="35">
        <v>0.3</v>
      </c>
      <c r="D10" s="36">
        <f t="shared" si="0"/>
        <v>2.1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164</v>
      </c>
      <c r="C11" s="35">
        <v>0.4</v>
      </c>
      <c r="D11" s="36">
        <f t="shared" si="0"/>
        <v>2.8000000000000003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0.87</v>
      </c>
      <c r="D19" s="41">
        <f>SUM(D9:D18)</f>
        <v>6.09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56</v>
      </c>
      <c r="B36" s="63">
        <v>139</v>
      </c>
      <c r="C36" s="63">
        <v>1</v>
      </c>
      <c r="D36" s="63">
        <v>35</v>
      </c>
      <c r="E36" s="54"/>
      <c r="F36" s="54"/>
      <c r="G36" s="54"/>
      <c r="H36" s="54"/>
      <c r="I36" s="52">
        <f>IFERROR(B36/A36,"")</f>
        <v>2.4821428571428572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66</v>
      </c>
      <c r="B37" s="63">
        <v>177</v>
      </c>
      <c r="C37" s="63">
        <v>2</v>
      </c>
      <c r="D37" s="63">
        <v>50</v>
      </c>
      <c r="E37" s="54"/>
      <c r="F37" s="54"/>
      <c r="G37" s="54"/>
      <c r="H37" s="54"/>
      <c r="I37" s="56">
        <f t="shared" ref="I37:I55" si="1">IF(A37&lt;&gt;0,(B37-(B36-D36))/(A37-A36),"")</f>
        <v>7.3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76</v>
      </c>
      <c r="B38" s="63">
        <v>187</v>
      </c>
      <c r="C38" s="63">
        <v>3</v>
      </c>
      <c r="D38" s="63">
        <v>50</v>
      </c>
      <c r="E38" s="54"/>
      <c r="F38" s="54"/>
      <c r="G38" s="54"/>
      <c r="H38" s="54"/>
      <c r="I38" s="56">
        <f t="shared" si="1"/>
        <v>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86</v>
      </c>
      <c r="B39" s="63">
        <v>195</v>
      </c>
      <c r="C39" s="63">
        <v>4</v>
      </c>
      <c r="D39" s="63">
        <v>70</v>
      </c>
      <c r="E39" s="54"/>
      <c r="F39" s="54"/>
      <c r="G39" s="54"/>
      <c r="H39" s="54"/>
      <c r="I39" s="52">
        <f t="shared" si="1"/>
        <v>5.8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100</v>
      </c>
      <c r="B40" s="63">
        <v>202</v>
      </c>
      <c r="C40" s="63">
        <v>5</v>
      </c>
      <c r="D40" s="63">
        <v>70</v>
      </c>
      <c r="E40" s="54"/>
      <c r="F40" s="54"/>
      <c r="G40" s="54"/>
      <c r="H40" s="54"/>
      <c r="I40" s="52">
        <f t="shared" si="1"/>
        <v>5.5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115</v>
      </c>
      <c r="B41" s="63">
        <v>213</v>
      </c>
      <c r="C41" s="63"/>
      <c r="D41" s="63">
        <v>213</v>
      </c>
      <c r="E41" s="54"/>
      <c r="F41" s="54"/>
      <c r="G41" s="54"/>
      <c r="H41" s="54"/>
      <c r="I41" s="56">
        <f t="shared" si="1"/>
        <v>5.4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56</v>
      </c>
      <c r="B62" s="63">
        <v>139</v>
      </c>
      <c r="C62" s="63">
        <v>1</v>
      </c>
      <c r="D62" s="63">
        <v>35</v>
      </c>
      <c r="E62" s="54"/>
      <c r="F62" s="54"/>
      <c r="G62" s="54"/>
      <c r="H62" s="54"/>
      <c r="I62" s="56">
        <f>IFERROR(B62/A62,"")</f>
        <v>2.4821428571428572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66</v>
      </c>
      <c r="B63" s="63">
        <v>177</v>
      </c>
      <c r="C63" s="63">
        <v>2</v>
      </c>
      <c r="D63" s="63">
        <v>50</v>
      </c>
      <c r="E63" s="54"/>
      <c r="F63" s="54"/>
      <c r="G63" s="54"/>
      <c r="H63" s="54"/>
      <c r="I63" s="52">
        <f>IF(A63&lt;&gt;0,(B63-(B62-D62))/(A63-A62),"")</f>
        <v>7.3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76</v>
      </c>
      <c r="B64" s="63">
        <v>187</v>
      </c>
      <c r="C64" s="63">
        <v>3</v>
      </c>
      <c r="D64" s="63">
        <v>50</v>
      </c>
      <c r="E64" s="54"/>
      <c r="F64" s="54"/>
      <c r="G64" s="54"/>
      <c r="H64" s="54"/>
      <c r="I64" s="52">
        <f>IF(A64&lt;&gt;0,(B64-(B63-D63))/(A64-A63),"")</f>
        <v>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86</v>
      </c>
      <c r="B65" s="63">
        <v>195</v>
      </c>
      <c r="C65" s="63">
        <v>4</v>
      </c>
      <c r="D65" s="63">
        <v>70</v>
      </c>
      <c r="E65" s="54"/>
      <c r="F65" s="54"/>
      <c r="G65" s="54"/>
      <c r="H65" s="54"/>
      <c r="I65" s="52">
        <f>IF(A65&lt;&gt;0,(B65-(B64-D64))/(A65-A64),"")</f>
        <v>5.8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100</v>
      </c>
      <c r="B66" s="63">
        <v>202</v>
      </c>
      <c r="C66" s="63">
        <v>5</v>
      </c>
      <c r="D66" s="63">
        <v>70</v>
      </c>
      <c r="E66" s="54"/>
      <c r="F66" s="54"/>
      <c r="G66" s="54"/>
      <c r="H66" s="54"/>
      <c r="I66" s="52">
        <f t="shared" ref="I66:I81" si="2">IF(A66&lt;&gt;0,(B66-(B65-D65))/(A66-A65),"")</f>
        <v>5.5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115</v>
      </c>
      <c r="B67" s="63">
        <v>213</v>
      </c>
      <c r="C67" s="63"/>
      <c r="D67" s="63">
        <v>213</v>
      </c>
      <c r="E67" s="54"/>
      <c r="F67" s="54"/>
      <c r="G67" s="54"/>
      <c r="H67" s="54"/>
      <c r="I67" s="52">
        <f t="shared" si="2"/>
        <v>5.4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283"/>
      <c r="B69" s="63"/>
      <c r="C69" s="63"/>
      <c r="D69" s="6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283"/>
      <c r="B70" s="63"/>
      <c r="C70" s="63"/>
      <c r="D70" s="6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283"/>
      <c r="B71" s="63"/>
      <c r="C71" s="63"/>
      <c r="D71" s="6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20</v>
      </c>
      <c r="B88" s="63">
        <v>158</v>
      </c>
      <c r="C88" s="63">
        <v>1</v>
      </c>
      <c r="D88" s="63">
        <v>35</v>
      </c>
      <c r="E88" s="54">
        <v>0.2</v>
      </c>
      <c r="F88" s="54"/>
      <c r="G88" s="54">
        <v>0.8</v>
      </c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25</v>
      </c>
      <c r="B89" s="63">
        <v>169</v>
      </c>
      <c r="C89" s="63">
        <v>2</v>
      </c>
      <c r="D89" s="63">
        <v>35</v>
      </c>
      <c r="E89" s="54">
        <v>0.45</v>
      </c>
      <c r="F89" s="54"/>
      <c r="G89" s="54">
        <v>0.55000000000000004</v>
      </c>
      <c r="H89" s="93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30</v>
      </c>
      <c r="B90" s="63">
        <v>180</v>
      </c>
      <c r="C90" s="63">
        <v>3</v>
      </c>
      <c r="D90" s="63">
        <v>50</v>
      </c>
      <c r="E90" s="93">
        <v>0.5</v>
      </c>
      <c r="F90" s="93"/>
      <c r="G90" s="93">
        <v>0.5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37</v>
      </c>
      <c r="B91" s="63">
        <v>200</v>
      </c>
      <c r="C91" s="63">
        <v>4</v>
      </c>
      <c r="D91" s="63">
        <v>50</v>
      </c>
      <c r="E91" s="93"/>
      <c r="F91" s="93"/>
      <c r="G91" s="93"/>
      <c r="H91" s="93"/>
      <c r="I91" s="56">
        <f t="shared" si="3"/>
        <v>10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44</v>
      </c>
      <c r="B92" s="63">
        <v>226</v>
      </c>
      <c r="C92" s="63">
        <v>5</v>
      </c>
      <c r="D92" s="63">
        <v>60</v>
      </c>
      <c r="E92" s="93"/>
      <c r="F92" s="93"/>
      <c r="G92" s="93"/>
      <c r="H92" s="93"/>
      <c r="I92" s="56">
        <f t="shared" si="3"/>
        <v>10.857142857142858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51</v>
      </c>
      <c r="B93" s="63">
        <v>249</v>
      </c>
      <c r="C93" s="63">
        <v>6</v>
      </c>
      <c r="D93" s="63">
        <v>70</v>
      </c>
      <c r="E93" s="93"/>
      <c r="F93" s="93"/>
      <c r="G93" s="93"/>
      <c r="H93" s="93"/>
      <c r="I93" s="56">
        <f t="shared" si="3"/>
        <v>11.857142857142858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>
        <v>60</v>
      </c>
      <c r="B94" s="63">
        <v>300</v>
      </c>
      <c r="C94" s="63"/>
      <c r="D94" s="63">
        <v>300</v>
      </c>
      <c r="E94" s="93"/>
      <c r="F94" s="93"/>
      <c r="G94" s="93"/>
      <c r="H94" s="93"/>
      <c r="I94" s="56">
        <f t="shared" si="3"/>
        <v>13.444444444444445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0.68600000000000005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0.314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0.68600000000000005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0.68600000000000005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228.905960862347</v>
      </c>
      <c r="T3" s="62">
        <f>IF('Données projet'!E9&gt;30,$R$33-$H$33,LOOKUP('Données projet'!$E$9,$A$3:$A$203,R3:R203)-LOOKUP('Données projet'!$E$9,$A$3:$A$203,$H$3:$H$203))</f>
        <v>167.30057656688177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256.45433991419372</v>
      </c>
      <c r="AO3" s="62">
        <f>IF('Données projet'!E10&gt;30,$AM$33-$H$33,LOOKUP('Données projet'!$E$10,$A$3:$A$203,AM3:AM203)-LOOKUP('Données projet'!$E$10,$A$3:$A$203,$H$3:$H$203))</f>
        <v>184.9718670682193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152.72674713084456</v>
      </c>
      <c r="BJ3" s="62">
        <f>IF('Données projet'!E11&gt;30,$BH$33-$H$33,LOOKUP('Données projet'!$E$11,$A$3:$A$203,BH3:BH203)-LOOKUP('Données projet'!$E$11,$A$3:$A$203,$H$3:$H$203))</f>
        <v>203.90215120562164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0.27920879999999998</v>
      </c>
      <c r="D4" s="12">
        <f>IFERROR(EXP(-1.0587+0.8836*LN(C4)+0.284),0)</f>
        <v>0.14927085468709725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1.0385745454661293</v>
      </c>
      <c r="H4" s="70">
        <f t="shared" ref="H4:H67" si="1">(B4+E4+F4)*44/12+(C4+D4)*0.475*44/12</f>
        <v>257.41293539858003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2.4821428571428572</v>
      </c>
      <c r="N4" s="14">
        <f>IF('Données projet'!$A$36&gt;35,N3+M4-V3,IF(A4&lt;'Données projet'!$A$36,$K$205^A4,IF(A4='Données projet'!$A$36,'Données projet'!$B$36,N3+M4-V3)))</f>
        <v>2.4821428571428572</v>
      </c>
      <c r="O4" s="14">
        <f>N4*VLOOKUP('Données projet'!$B$9,Paramètres!$A$1:$I$89,3,0)*VLOOKUP('Données projet'!$B$9,Paramètres!$A$1:$I$89,5,0)</f>
        <v>2.2458428571428568</v>
      </c>
      <c r="P4" s="14">
        <f>EXP(-1.0587+0.8836*LN(O4)+0.284)</f>
        <v>0.94195655335527073</v>
      </c>
      <c r="Q4" s="22">
        <f t="shared" ref="Q4:Q34" si="2">(O4+P4)*0.475*44/12</f>
        <v>5.5520839732842378</v>
      </c>
      <c r="R4" s="62">
        <f t="shared" si="0"/>
        <v>263.44097286217311</v>
      </c>
      <c r="S4" s="62">
        <f ca="1">AVERAGE(OFFSET($R$3,0,0,'Données projet'!$E$9+1,1))-AVERAGE(OFFSET($H$3,0,0,'Données projet'!$E$9+1,1))</f>
        <v>228.905960862347</v>
      </c>
      <c r="T4" s="62">
        <f>$T$3</f>
        <v>167.30057656688177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2.4821428571428572</v>
      </c>
      <c r="AI4" s="14">
        <f>IF('Données projet'!$A$62&gt;35,AI3+AH4-AQ3,IF(A4&lt;'Données projet'!$A$62,$AF$205^A4,IF(A4='Données projet'!$A$62,'Données projet'!$B$62,AI3+AH4-AQ3)))</f>
        <v>2.4821428571428572</v>
      </c>
      <c r="AJ4" s="14">
        <f>AI4*VLOOKUP('Données projet'!$B$10,Paramètres!$A$1:$I$89,3,0)*VLOOKUP('Données projet'!$B$10,Paramètres!$A$1:$I$89,5,0)</f>
        <v>2.5168928571428575</v>
      </c>
      <c r="AK4" s="14">
        <f>EXP(-1.0587+0.8836*LN(AJ4)+0.284)</f>
        <v>1.0417323206811864</v>
      </c>
      <c r="AL4" s="22">
        <f t="shared" ref="AL4:AL67" si="4">(AJ4+AK4)*0.475*44/12</f>
        <v>6.1979388513768754</v>
      </c>
      <c r="AM4" s="62">
        <f t="shared" ref="AM4:AM67" si="5">AL4+(AD4+AE4)*44/12</f>
        <v>264.08682774026573</v>
      </c>
      <c r="AN4" s="62">
        <f ca="1">AVERAGE(OFFSET($AM$3,0,0,'Données projet'!$E$10+1,1))-AVERAGE(OFFSET($H$3,0,0,'Données projet'!$E$10+1,1))</f>
        <v>256.45433991419372</v>
      </c>
      <c r="AO4" s="62">
        <f>$AO$3</f>
        <v>184.9718670682193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0.60280758376398436</v>
      </c>
      <c r="BF4" s="14">
        <f>EXP(-1.0587+0.8836*LN(BE4)+0.284)</f>
        <v>0.29465781953181042</v>
      </c>
      <c r="BG4" s="22">
        <f t="shared" ref="BG4:BG67" si="7">(BE4+BF4)*0.475*44/12</f>
        <v>1.5630855774068424</v>
      </c>
      <c r="BH4" s="62">
        <f t="shared" ref="BH4:BH67" si="8">BG4+(AY4+AZ4)*44/12</f>
        <v>259.45197446629572</v>
      </c>
      <c r="BI4" s="62">
        <f ca="1">AVERAGE(OFFSET($BH$3,0,0,'Données projet'!$E$11+1,1))-AVERAGE(OFFSET($H$3,0,0,'Données projet'!$E$11+1,1))</f>
        <v>152.72674713084456</v>
      </c>
      <c r="BJ4" s="62">
        <f>$BJ$3</f>
        <v>203.90215120562164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0.55841759999999996</v>
      </c>
      <c r="D5" s="12">
        <f t="shared" ref="D5:D68" si="32">IFERROR(EXP(-1.0587+0.8836*LN(C5)+0.284),0)</f>
        <v>0.27540075318048551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2.021058660972209</v>
      </c>
      <c r="H5" s="70">
        <f t="shared" si="1"/>
        <v>258.11890029845603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2.4821428571428572</v>
      </c>
      <c r="N5" s="14">
        <f>IF('Données projet'!$A$36&gt;35,N4+M5-V4,IF(A5&lt;'Données projet'!$A$36,$K$205^A5,IF(A5='Données projet'!$A$36,'Données projet'!$B$36,N4+M5-V4)))</f>
        <v>4.9642857142857144</v>
      </c>
      <c r="O5" s="14">
        <f>N5*VLOOKUP('Données projet'!$B$9,Paramètres!$A$1:$I$89,3,0)*VLOOKUP('Données projet'!$B$9,Paramètres!$A$1:$I$89,5,0)</f>
        <v>4.4916857142857136</v>
      </c>
      <c r="P5" s="14">
        <f t="shared" ref="P5:P68" si="33">EXP(-1.0587+0.8836*LN(O5)+0.284)</f>
        <v>1.7378847652552449</v>
      </c>
      <c r="Q5" s="22">
        <f t="shared" si="2"/>
        <v>10.849835251867169</v>
      </c>
      <c r="R5" s="62">
        <f t="shared" si="0"/>
        <v>269.96094636297829</v>
      </c>
      <c r="S5" s="62">
        <f ca="1">AVERAGE(OFFSET($R$3,0,0,'Données projet'!$E$9+1,1))-AVERAGE(OFFSET($H$3,0,0,'Données projet'!$E$9+1,1))</f>
        <v>228.905960862347</v>
      </c>
      <c r="T5" s="62">
        <f t="shared" ref="T5:T68" si="34">$T$3</f>
        <v>167.30057656688177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2.4821428571428572</v>
      </c>
      <c r="AI5" s="14">
        <f>IF('Données projet'!$A$62&gt;35,AI4+AH5-AQ4,IF(A5&lt;'Données projet'!$A$62,$AF$205^A5,IF(A5='Données projet'!$A$62,'Données projet'!$B$62,AI4+AH5-AQ4)))</f>
        <v>4.9642857142857144</v>
      </c>
      <c r="AJ5" s="14">
        <f>AI5*VLOOKUP('Données projet'!$B$10,Paramètres!$A$1:$I$89,3,0)*VLOOKUP('Données projet'!$B$10,Paramètres!$A$1:$I$89,5,0)</f>
        <v>5.033785714285715</v>
      </c>
      <c r="AK5" s="14">
        <f t="shared" ref="AK5:AK68" si="35">EXP(-1.0587+0.8836*LN(AJ5)+0.284)</f>
        <v>1.9219683998557049</v>
      </c>
      <c r="AL5" s="22">
        <f t="shared" si="4"/>
        <v>12.114605082129641</v>
      </c>
      <c r="AM5" s="62">
        <f t="shared" si="5"/>
        <v>271.22571619324077</v>
      </c>
      <c r="AN5" s="62">
        <f ca="1">AVERAGE(OFFSET($AM$3,0,0,'Données projet'!$E$10+1,1))-AVERAGE(OFFSET($H$3,0,0,'Données projet'!$E$10+1,1))</f>
        <v>256.45433991419372</v>
      </c>
      <c r="AO5" s="62">
        <f t="shared" ref="AO5:AO68" si="36">$AO$3</f>
        <v>184.9718670682193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0.77644654496447219</v>
      </c>
      <c r="BF5" s="14">
        <f t="shared" ref="BF5:BF68" si="37">EXP(-1.0587+0.8836*LN(BE5)+0.284)</f>
        <v>0.36851455096495994</v>
      </c>
      <c r="BG5" s="22">
        <f t="shared" si="7"/>
        <v>1.9941405754104276</v>
      </c>
      <c r="BH5" s="62">
        <f t="shared" si="8"/>
        <v>261.10525168652157</v>
      </c>
      <c r="BI5" s="62">
        <f ca="1">AVERAGE(OFFSET($BH$3,0,0,'Données projet'!$E$11+1,1))-AVERAGE(OFFSET($H$3,0,0,'Données projet'!$E$11+1,1))</f>
        <v>152.72674713084456</v>
      </c>
      <c r="BJ5" s="62">
        <f t="shared" ref="BJ5:BJ68" si="38">$BJ$3</f>
        <v>203.90215120562164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0.83762639999999999</v>
      </c>
      <c r="D6" s="12">
        <f t="shared" si="32"/>
        <v>0.3940572844266414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2.9854283831646455</v>
      </c>
      <c r="H6" s="70">
        <f t="shared" si="1"/>
        <v>258.81184908370977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2.4821428571428572</v>
      </c>
      <c r="N6" s="14">
        <f>IF('Données projet'!$A$36&gt;35,N5+M6-V5,IF(A6&lt;'Données projet'!$A$36,$K$205^A6,IF(A6='Données projet'!$A$36,'Données projet'!$B$36,N5+M6-V5)))</f>
        <v>7.4464285714285712</v>
      </c>
      <c r="O6" s="14">
        <f>N6*VLOOKUP('Données projet'!$B$9,Paramètres!$A$1:$I$89,3,0)*VLOOKUP('Données projet'!$B$9,Paramètres!$A$1:$I$89,5,0)</f>
        <v>6.7375285714285704</v>
      </c>
      <c r="P6" s="14">
        <f t="shared" si="33"/>
        <v>2.4866531530293527</v>
      </c>
      <c r="Q6" s="22">
        <f t="shared" si="2"/>
        <v>16.065449836764216</v>
      </c>
      <c r="R6" s="62">
        <f t="shared" si="0"/>
        <v>276.39878317009754</v>
      </c>
      <c r="S6" s="62">
        <f ca="1">AVERAGE(OFFSET($R$3,0,0,'Données projet'!$E$9+1,1))-AVERAGE(OFFSET($H$3,0,0,'Données projet'!$E$9+1,1))</f>
        <v>228.905960862347</v>
      </c>
      <c r="T6" s="62">
        <f t="shared" si="34"/>
        <v>167.30057656688177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2.4821428571428572</v>
      </c>
      <c r="AI6" s="14">
        <f>IF('Données projet'!$A$62&gt;35,AI5+AH6-AQ5,IF(A6&lt;'Données projet'!$A$62,$AF$205^A6,IF(A6='Données projet'!$A$62,'Données projet'!$B$62,AI5+AH6-AQ5)))</f>
        <v>7.4464285714285712</v>
      </c>
      <c r="AJ6" s="14">
        <f>AI6*VLOOKUP('Données projet'!$B$10,Paramètres!$A$1:$I$89,3,0)*VLOOKUP('Données projet'!$B$10,Paramètres!$A$1:$I$89,5,0)</f>
        <v>7.5506785714285707</v>
      </c>
      <c r="AK6" s="14">
        <f t="shared" si="35"/>
        <v>2.7500492996277761</v>
      </c>
      <c r="AL6" s="22">
        <f t="shared" si="4"/>
        <v>17.940434375423138</v>
      </c>
      <c r="AM6" s="62">
        <f t="shared" si="5"/>
        <v>278.27376770875645</v>
      </c>
      <c r="AN6" s="62">
        <f ca="1">AVERAGE(OFFSET($AM$3,0,0,'Données projet'!$E$10+1,1))-AVERAGE(OFFSET($H$3,0,0,'Données projet'!$E$10+1,1))</f>
        <v>256.45433991419372</v>
      </c>
      <c r="AO6" s="62">
        <f t="shared" si="36"/>
        <v>184.9718670682193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1.0001022771195029</v>
      </c>
      <c r="BF6" s="14">
        <f t="shared" si="37"/>
        <v>0.46088365986243646</v>
      </c>
      <c r="BG6" s="22">
        <f t="shared" si="7"/>
        <v>2.5445505069102112</v>
      </c>
      <c r="BH6" s="62">
        <f t="shared" si="8"/>
        <v>262.8778838402435</v>
      </c>
      <c r="BI6" s="62">
        <f ca="1">AVERAGE(OFFSET($BH$3,0,0,'Données projet'!$E$11+1,1))-AVERAGE(OFFSET($H$3,0,0,'Données projet'!$E$11+1,1))</f>
        <v>152.72674713084456</v>
      </c>
      <c r="BJ6" s="62">
        <f t="shared" si="38"/>
        <v>203.90215120562164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1.1168351999999999</v>
      </c>
      <c r="D7" s="12">
        <f t="shared" si="32"/>
        <v>0.50810705821552893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3.938631971843114</v>
      </c>
      <c r="H7" s="70">
        <f t="shared" si="1"/>
        <v>259.4967744330587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2.4821428571428572</v>
      </c>
      <c r="N7" s="14">
        <f>IF('Données projet'!$A$36&gt;35,N6+M7-V6,IF(A7&lt;'Données projet'!$A$36,$K$205^A7,IF(A7='Données projet'!$A$36,'Données projet'!$B$36,N6+M7-V6)))</f>
        <v>9.9285714285714288</v>
      </c>
      <c r="O7" s="14">
        <f>N7*VLOOKUP('Données projet'!$B$9,Paramètres!$A$1:$I$89,3,0)*VLOOKUP('Données projet'!$B$9,Paramètres!$A$1:$I$89,5,0)</f>
        <v>8.9833714285714272</v>
      </c>
      <c r="P7" s="14">
        <f t="shared" si="33"/>
        <v>3.2063511279242132</v>
      </c>
      <c r="Q7" s="22">
        <f t="shared" si="2"/>
        <v>21.23043345256324</v>
      </c>
      <c r="R7" s="62">
        <f t="shared" si="0"/>
        <v>282.7859890081188</v>
      </c>
      <c r="S7" s="62">
        <f ca="1">AVERAGE(OFFSET($R$3,0,0,'Données projet'!$E$9+1,1))-AVERAGE(OFFSET($H$3,0,0,'Données projet'!$E$9+1,1))</f>
        <v>228.905960862347</v>
      </c>
      <c r="T7" s="62">
        <f t="shared" si="34"/>
        <v>167.30057656688177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2.4821428571428572</v>
      </c>
      <c r="AI7" s="14">
        <f>IF('Données projet'!$A$62&gt;35,AI6+AH7-AQ6,IF(A7&lt;'Données projet'!$A$62,$AF$205^A7,IF(A7='Données projet'!$A$62,'Données projet'!$B$62,AI6+AH7-AQ6)))</f>
        <v>9.9285714285714288</v>
      </c>
      <c r="AJ7" s="14">
        <f>AI7*VLOOKUP('Données projet'!$B$10,Paramètres!$A$1:$I$89,3,0)*VLOOKUP('Données projet'!$B$10,Paramètres!$A$1:$I$89,5,0)</f>
        <v>10.06757142857143</v>
      </c>
      <c r="AK7" s="14">
        <f t="shared" si="35"/>
        <v>3.5459805332990211</v>
      </c>
      <c r="AL7" s="22">
        <f t="shared" si="4"/>
        <v>23.710269666924372</v>
      </c>
      <c r="AM7" s="62">
        <f t="shared" si="5"/>
        <v>285.26582522247992</v>
      </c>
      <c r="AN7" s="62">
        <f ca="1">AVERAGE(OFFSET($AM$3,0,0,'Données projet'!$E$10+1,1))-AVERAGE(OFFSET($H$3,0,0,'Données projet'!$E$10+1,1))</f>
        <v>256.45433991419372</v>
      </c>
      <c r="AO7" s="62">
        <f t="shared" si="36"/>
        <v>184.9718670682193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1.2881821307420218</v>
      </c>
      <c r="BF7" s="14">
        <f t="shared" si="37"/>
        <v>0.57640532069082717</v>
      </c>
      <c r="BG7" s="22">
        <f t="shared" si="7"/>
        <v>3.2474898112455457</v>
      </c>
      <c r="BH7" s="62">
        <f t="shared" si="8"/>
        <v>264.80304536680109</v>
      </c>
      <c r="BI7" s="62">
        <f ca="1">AVERAGE(OFFSET($BH$3,0,0,'Données projet'!$E$11+1,1))-AVERAGE(OFFSET($H$3,0,0,'Données projet'!$E$11+1,1))</f>
        <v>152.72674713084456</v>
      </c>
      <c r="BJ7" s="62">
        <f t="shared" si="38"/>
        <v>203.90215120562164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1.3960439999999998</v>
      </c>
      <c r="D8" s="12">
        <f t="shared" si="32"/>
        <v>0.61884931607764293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4.8838186061278455</v>
      </c>
      <c r="H8" s="70">
        <f t="shared" si="1"/>
        <v>260.17593919216858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2.4821428571428572</v>
      </c>
      <c r="N8" s="14">
        <f>IF('Données projet'!$A$36&gt;35,N7+M8-V7,IF(A8&lt;'Données projet'!$A$36,$K$205^A8,IF(A8='Données projet'!$A$36,'Données projet'!$B$36,N7+M8-V7)))</f>
        <v>12.410714285714286</v>
      </c>
      <c r="O8" s="14">
        <f>N8*VLOOKUP('Données projet'!$B$9,Paramètres!$A$1:$I$89,3,0)*VLOOKUP('Données projet'!$B$9,Paramètres!$A$1:$I$89,5,0)</f>
        <v>11.229214285714285</v>
      </c>
      <c r="P8" s="14">
        <f t="shared" si="33"/>
        <v>3.9051774041269058</v>
      </c>
      <c r="Q8" s="22">
        <f t="shared" si="2"/>
        <v>26.359065526473405</v>
      </c>
      <c r="R8" s="62">
        <f t="shared" si="0"/>
        <v>289.13684330425116</v>
      </c>
      <c r="S8" s="62">
        <f ca="1">AVERAGE(OFFSET($R$3,0,0,'Données projet'!$E$9+1,1))-AVERAGE(OFFSET($H$3,0,0,'Données projet'!$E$9+1,1))</f>
        <v>228.905960862347</v>
      </c>
      <c r="T8" s="62">
        <f t="shared" si="34"/>
        <v>167.30057656688177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2.4821428571428572</v>
      </c>
      <c r="AI8" s="14">
        <f>IF('Données projet'!$A$62&gt;35,AI7+AH8-AQ7,IF(A8&lt;'Données projet'!$A$62,$AF$205^A8,IF(A8='Données projet'!$A$62,'Données projet'!$B$62,AI7+AH8-AQ7)))</f>
        <v>12.410714285714286</v>
      </c>
      <c r="AJ8" s="14">
        <f>AI8*VLOOKUP('Données projet'!$B$10,Paramètres!$A$1:$I$89,3,0)*VLOOKUP('Données projet'!$B$10,Paramètres!$A$1:$I$89,5,0)</f>
        <v>12.584464285714287</v>
      </c>
      <c r="AK8" s="14">
        <f t="shared" si="35"/>
        <v>4.3188292553218206</v>
      </c>
      <c r="AL8" s="22">
        <f t="shared" si="4"/>
        <v>29.439902917304551</v>
      </c>
      <c r="AM8" s="62">
        <f t="shared" si="5"/>
        <v>292.21768069508232</v>
      </c>
      <c r="AN8" s="62">
        <f ca="1">AVERAGE(OFFSET($AM$3,0,0,'Données projet'!$E$10+1,1))-AVERAGE(OFFSET($H$3,0,0,'Données projet'!$E$10+1,1))</f>
        <v>256.45433991419372</v>
      </c>
      <c r="AO8" s="62">
        <f t="shared" si="36"/>
        <v>184.9718670682193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1.6592434993173915</v>
      </c>
      <c r="BF8" s="14">
        <f t="shared" si="37"/>
        <v>0.72088277944126433</v>
      </c>
      <c r="BG8" s="22">
        <f t="shared" si="7"/>
        <v>4.1453866021713255</v>
      </c>
      <c r="BH8" s="62">
        <f t="shared" si="8"/>
        <v>266.92316437994907</v>
      </c>
      <c r="BI8" s="62">
        <f ca="1">AVERAGE(OFFSET($BH$3,0,0,'Données projet'!$E$11+1,1))-AVERAGE(OFFSET($H$3,0,0,'Données projet'!$E$11+1,1))</f>
        <v>152.72674713084456</v>
      </c>
      <c r="BJ8" s="62">
        <f t="shared" si="38"/>
        <v>203.90215120562164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1.6752527999999998</v>
      </c>
      <c r="D9" s="12">
        <f t="shared" si="32"/>
        <v>0.72702519962682599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5.8227847092709162</v>
      </c>
      <c r="H9" s="70">
        <f t="shared" si="1"/>
        <v>260.85063418268339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2.4821428571428572</v>
      </c>
      <c r="N9" s="14">
        <f>IF('Données projet'!$A$36&gt;35,N8+M9-V8,IF(A9&lt;'Données projet'!$A$36,$K$205^A9,IF(A9='Données projet'!$A$36,'Données projet'!$B$36,N8+M9-V8)))</f>
        <v>14.892857142857144</v>
      </c>
      <c r="O9" s="14">
        <f>N9*VLOOKUP('Données projet'!$B$9,Paramètres!$A$1:$I$89,3,0)*VLOOKUP('Données projet'!$B$9,Paramètres!$A$1:$I$89,5,0)</f>
        <v>13.475057142857144</v>
      </c>
      <c r="P9" s="14">
        <f t="shared" si="33"/>
        <v>4.5878088705156195</v>
      </c>
      <c r="Q9" s="22">
        <f t="shared" si="2"/>
        <v>31.459491639957559</v>
      </c>
      <c r="R9" s="62">
        <f t="shared" si="0"/>
        <v>295.45949163995755</v>
      </c>
      <c r="S9" s="62">
        <f ca="1">AVERAGE(OFFSET($R$3,0,0,'Données projet'!$E$9+1,1))-AVERAGE(OFFSET($H$3,0,0,'Données projet'!$E$9+1,1))</f>
        <v>228.905960862347</v>
      </c>
      <c r="T9" s="62">
        <f t="shared" si="34"/>
        <v>167.30057656688177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2.4821428571428572</v>
      </c>
      <c r="AI9" s="14">
        <f>IF('Données projet'!$A$62&gt;35,AI8+AH9-AQ8,IF(A9&lt;'Données projet'!$A$62,$AF$205^A9,IF(A9='Données projet'!$A$62,'Données projet'!$B$62,AI8+AH9-AQ8)))</f>
        <v>14.892857142857144</v>
      </c>
      <c r="AJ9" s="14">
        <f>AI9*VLOOKUP('Données projet'!$B$10,Paramètres!$A$1:$I$89,3,0)*VLOOKUP('Données projet'!$B$10,Paramètres!$A$1:$I$89,5,0)</f>
        <v>15.101357142857145</v>
      </c>
      <c r="AK9" s="14">
        <f t="shared" si="35"/>
        <v>5.0737677491600905</v>
      </c>
      <c r="AL9" s="22">
        <f t="shared" si="4"/>
        <v>35.13834252026335</v>
      </c>
      <c r="AM9" s="62">
        <f t="shared" si="5"/>
        <v>299.13834252026334</v>
      </c>
      <c r="AN9" s="62">
        <f ca="1">AVERAGE(OFFSET($AM$3,0,0,'Données projet'!$E$10+1,1))-AVERAGE(OFFSET($H$3,0,0,'Données projet'!$E$10+1,1))</f>
        <v>256.45433991419372</v>
      </c>
      <c r="AO9" s="62">
        <f t="shared" si="36"/>
        <v>184.9718670682193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2.1371892408111433</v>
      </c>
      <c r="BF9" s="14">
        <f t="shared" si="37"/>
        <v>0.9015738804633705</v>
      </c>
      <c r="BG9" s="22">
        <f t="shared" si="7"/>
        <v>5.292512436219778</v>
      </c>
      <c r="BH9" s="62">
        <f t="shared" si="8"/>
        <v>269.29251243621979</v>
      </c>
      <c r="BI9" s="62">
        <f ca="1">AVERAGE(OFFSET($BH$3,0,0,'Données projet'!$E$11+1,1))-AVERAGE(OFFSET($H$3,0,0,'Données projet'!$E$11+1,1))</f>
        <v>152.72674713084456</v>
      </c>
      <c r="BJ9" s="62">
        <f t="shared" si="38"/>
        <v>203.90215120562164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1.9544615999999997</v>
      </c>
      <c r="D10" s="12">
        <f t="shared" si="32"/>
        <v>0.83311249420486488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6.7566883658832309</v>
      </c>
      <c r="H10" s="70">
        <f t="shared" si="1"/>
        <v>261.52169154740682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2.4821428571428572</v>
      </c>
      <c r="N10" s="14">
        <f>IF('Données projet'!$A$36&gt;35,N9+M10-V9,IF(A10&lt;'Données projet'!$A$36,$K$205^A10,IF(A10='Données projet'!$A$36,'Données projet'!$B$36,N9+M10-V9)))</f>
        <v>17.375</v>
      </c>
      <c r="O10" s="14">
        <f>N10*VLOOKUP('Données projet'!$B$9,Paramètres!$A$1:$I$89,3,0)*VLOOKUP('Données projet'!$B$9,Paramètres!$A$1:$I$89,5,0)</f>
        <v>15.720899999999999</v>
      </c>
      <c r="P10" s="14">
        <f t="shared" si="33"/>
        <v>5.2572605365155782</v>
      </c>
      <c r="Q10" s="22">
        <f t="shared" si="2"/>
        <v>36.536962934431294</v>
      </c>
      <c r="R10" s="62">
        <f t="shared" si="0"/>
        <v>301.75918515665353</v>
      </c>
      <c r="S10" s="62">
        <f ca="1">AVERAGE(OFFSET($R$3,0,0,'Données projet'!$E$9+1,1))-AVERAGE(OFFSET($H$3,0,0,'Données projet'!$E$9+1,1))</f>
        <v>228.905960862347</v>
      </c>
      <c r="T10" s="62">
        <f t="shared" si="34"/>
        <v>167.30057656688177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2.4821428571428572</v>
      </c>
      <c r="AI10" s="14">
        <f>IF('Données projet'!$A$62&gt;35,AI9+AH10-AQ9,IF(A10&lt;'Données projet'!$A$62,$AF$205^A10,IF(A10='Données projet'!$A$62,'Données projet'!$B$62,AI9+AH10-AQ9)))</f>
        <v>17.375</v>
      </c>
      <c r="AJ10" s="14">
        <f>AI10*VLOOKUP('Données projet'!$B$10,Paramètres!$A$1:$I$89,3,0)*VLOOKUP('Données projet'!$B$10,Paramètres!$A$1:$I$89,5,0)</f>
        <v>17.618250000000003</v>
      </c>
      <c r="AK10" s="14">
        <f t="shared" si="35"/>
        <v>5.8141303859737592</v>
      </c>
      <c r="AL10" s="22">
        <f t="shared" si="4"/>
        <v>40.811395838904296</v>
      </c>
      <c r="AM10" s="62">
        <f t="shared" si="5"/>
        <v>306.0336180611265</v>
      </c>
      <c r="AN10" s="62">
        <f ca="1">AVERAGE(OFFSET($AM$3,0,0,'Données projet'!$E$10+1,1))-AVERAGE(OFFSET($H$3,0,0,'Données projet'!$E$10+1,1))</f>
        <v>256.45433991419372</v>
      </c>
      <c r="AO10" s="62">
        <f t="shared" si="36"/>
        <v>184.9718670682193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2.7528074408114294</v>
      </c>
      <c r="BF10" s="14">
        <f t="shared" si="37"/>
        <v>1.1275556652411438</v>
      </c>
      <c r="BG10" s="22">
        <f t="shared" si="7"/>
        <v>6.7582990763748976</v>
      </c>
      <c r="BH10" s="62">
        <f t="shared" si="8"/>
        <v>271.98052129859713</v>
      </c>
      <c r="BI10" s="62">
        <f ca="1">AVERAGE(OFFSET($BH$3,0,0,'Données projet'!$E$11+1,1))-AVERAGE(OFFSET($H$3,0,0,'Données projet'!$E$11+1,1))</f>
        <v>152.72674713084456</v>
      </c>
      <c r="BJ10" s="62">
        <f t="shared" si="38"/>
        <v>203.90215120562164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2.2336703999999998</v>
      </c>
      <c r="D11" s="12">
        <f t="shared" si="32"/>
        <v>0.93744399616526808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7.6863362276174287</v>
      </c>
      <c r="H11" s="70">
        <f t="shared" si="1"/>
        <v>262.1896909066545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2.4821428571428572</v>
      </c>
      <c r="N11" s="14">
        <f>IF('Données projet'!$A$36&gt;35,N10+M11-V10,IF(A11&lt;'Données projet'!$A$36,$K$205^A11,IF(A11='Données projet'!$A$36,'Données projet'!$B$36,N10+M11-V10)))</f>
        <v>19.857142857142858</v>
      </c>
      <c r="O11" s="14">
        <f>N11*VLOOKUP('Données projet'!$B$9,Paramètres!$A$1:$I$89,3,0)*VLOOKUP('Données projet'!$B$9,Paramètres!$A$1:$I$89,5,0)</f>
        <v>17.966742857142854</v>
      </c>
      <c r="P11" s="14">
        <f t="shared" si="33"/>
        <v>5.9156324752239504</v>
      </c>
      <c r="Q11" s="22">
        <f t="shared" si="2"/>
        <v>41.595137037205518</v>
      </c>
      <c r="R11" s="62">
        <f t="shared" si="0"/>
        <v>308.03958148164998</v>
      </c>
      <c r="S11" s="62">
        <f ca="1">AVERAGE(OFFSET($R$3,0,0,'Données projet'!$E$9+1,1))-AVERAGE(OFFSET($H$3,0,0,'Données projet'!$E$9+1,1))</f>
        <v>228.905960862347</v>
      </c>
      <c r="T11" s="62">
        <f t="shared" si="34"/>
        <v>167.30057656688177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2.4821428571428572</v>
      </c>
      <c r="AI11" s="14">
        <f>IF('Données projet'!$A$62&gt;35,AI10+AH11-AQ10,IF(A11&lt;'Données projet'!$A$62,$AF$205^A11,IF(A11='Données projet'!$A$62,'Données projet'!$B$62,AI10+AH11-AQ10)))</f>
        <v>19.857142857142858</v>
      </c>
      <c r="AJ11" s="14">
        <f>AI11*VLOOKUP('Données projet'!$B$10,Paramètres!$A$1:$I$89,3,0)*VLOOKUP('Données projet'!$B$10,Paramètres!$A$1:$I$89,5,0)</f>
        <v>20.13514285714286</v>
      </c>
      <c r="AK11" s="14">
        <f t="shared" si="35"/>
        <v>6.5422396869166111</v>
      </c>
      <c r="AL11" s="22">
        <f t="shared" si="4"/>
        <v>46.463107930903583</v>
      </c>
      <c r="AM11" s="62">
        <f t="shared" si="5"/>
        <v>312.90755237534802</v>
      </c>
      <c r="AN11" s="62">
        <f ca="1">AVERAGE(OFFSET($AM$3,0,0,'Données projet'!$E$10+1,1))-AVERAGE(OFFSET($H$3,0,0,'Données projet'!$E$10+1,1))</f>
        <v>256.45433991419372</v>
      </c>
      <c r="AO11" s="62">
        <f t="shared" si="36"/>
        <v>184.9718670682193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3.5457547050492639</v>
      </c>
      <c r="BF11" s="14">
        <f t="shared" si="37"/>
        <v>1.4101803587787649</v>
      </c>
      <c r="BG11" s="22">
        <f t="shared" si="7"/>
        <v>8.631586902833817</v>
      </c>
      <c r="BH11" s="62">
        <f t="shared" si="8"/>
        <v>275.07603134727827</v>
      </c>
      <c r="BI11" s="62">
        <f ca="1">AVERAGE(OFFSET($BH$3,0,0,'Données projet'!$E$11+1,1))-AVERAGE(OFFSET($H$3,0,0,'Données projet'!$E$11+1,1))</f>
        <v>152.72674713084456</v>
      </c>
      <c r="BJ11" s="62">
        <f t="shared" si="38"/>
        <v>203.90215120562164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2.5128792</v>
      </c>
      <c r="D12" s="12">
        <f t="shared" si="32"/>
        <v>1.0402643150613728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8.6123211936996373</v>
      </c>
      <c r="H12" s="70">
        <f t="shared" si="1"/>
        <v>262.85505828873193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2.4821428571428572</v>
      </c>
      <c r="N12" s="14">
        <f>IF('Données projet'!$A$36&gt;35,N11+M12-V11,IF(A12&lt;'Données projet'!$A$36,$K$205^A12,IF(A12='Données projet'!$A$36,'Données projet'!$B$36,N11+M12-V11)))</f>
        <v>22.339285714285715</v>
      </c>
      <c r="O12" s="14">
        <f>N12*VLOOKUP('Données projet'!$B$9,Paramètres!$A$1:$I$89,3,0)*VLOOKUP('Données projet'!$B$9,Paramètres!$A$1:$I$89,5,0)</f>
        <v>20.212585714285712</v>
      </c>
      <c r="P12" s="14">
        <f t="shared" si="33"/>
        <v>6.5644682670822263</v>
      </c>
      <c r="Q12" s="22">
        <f t="shared" si="2"/>
        <v>46.636702350882494</v>
      </c>
      <c r="R12" s="62">
        <f t="shared" si="0"/>
        <v>314.30336901754919</v>
      </c>
      <c r="S12" s="62">
        <f ca="1">AVERAGE(OFFSET($R$3,0,0,'Données projet'!$E$9+1,1))-AVERAGE(OFFSET($H$3,0,0,'Données projet'!$E$9+1,1))</f>
        <v>228.905960862347</v>
      </c>
      <c r="T12" s="62">
        <f t="shared" si="34"/>
        <v>167.30057656688177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2.4821428571428572</v>
      </c>
      <c r="AI12" s="14">
        <f>IF('Données projet'!$A$62&gt;35,AI11+AH12-AQ11,IF(A12&lt;'Données projet'!$A$62,$AF$205^A12,IF(A12='Données projet'!$A$62,'Données projet'!$B$62,AI11+AH12-AQ11)))</f>
        <v>22.339285714285715</v>
      </c>
      <c r="AJ12" s="14">
        <f>AI12*VLOOKUP('Données projet'!$B$10,Paramètres!$A$1:$I$89,3,0)*VLOOKUP('Données projet'!$B$10,Paramètres!$A$1:$I$89,5,0)</f>
        <v>22.652035714285716</v>
      </c>
      <c r="AK12" s="14">
        <f t="shared" si="35"/>
        <v>7.2598027345815153</v>
      </c>
      <c r="AL12" s="22">
        <f t="shared" si="4"/>
        <v>52.096451965110425</v>
      </c>
      <c r="AM12" s="62">
        <f t="shared" si="5"/>
        <v>319.7631186317771</v>
      </c>
      <c r="AN12" s="62">
        <f ca="1">AVERAGE(OFFSET($AM$3,0,0,'Données projet'!$E$10+1,1))-AVERAGE(OFFSET($H$3,0,0,'Données projet'!$E$10+1,1))</f>
        <v>256.45433991419372</v>
      </c>
      <c r="AO12" s="62">
        <f t="shared" si="36"/>
        <v>184.9718670682193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4.5671107401079603</v>
      </c>
      <c r="BF12" s="14">
        <f t="shared" si="37"/>
        <v>1.763645650133036</v>
      </c>
      <c r="BG12" s="22">
        <f t="shared" si="7"/>
        <v>11.026067379669733</v>
      </c>
      <c r="BH12" s="62">
        <f t="shared" si="8"/>
        <v>278.6927340463364</v>
      </c>
      <c r="BI12" s="62">
        <f ca="1">AVERAGE(OFFSET($BH$3,0,0,'Données projet'!$E$11+1,1))-AVERAGE(OFFSET($H$3,0,0,'Données projet'!$E$11+1,1))</f>
        <v>152.72674713084456</v>
      </c>
      <c r="BJ12" s="62">
        <f t="shared" si="38"/>
        <v>203.90215120562164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2.7920880000000001</v>
      </c>
      <c r="D13" s="12">
        <f t="shared" si="32"/>
        <v>1.1417605138677021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9.5350966785256457</v>
      </c>
      <c r="H13" s="70">
        <f t="shared" si="1"/>
        <v>263.51811949498625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2.4821428571428572</v>
      </c>
      <c r="N13" s="14">
        <f>IF('Données projet'!$A$36&gt;35,N12+M13-V12,IF(A13&lt;'Données projet'!$A$36,$K$205^A13,IF(A13='Données projet'!$A$36,'Données projet'!$B$36,N12+M13-V12)))</f>
        <v>24.821428571428573</v>
      </c>
      <c r="O13" s="14">
        <f>N13*VLOOKUP('Données projet'!$B$9,Paramètres!$A$1:$I$89,3,0)*VLOOKUP('Données projet'!$B$9,Paramètres!$A$1:$I$89,5,0)</f>
        <v>22.45842857142857</v>
      </c>
      <c r="P13" s="14">
        <f t="shared" si="33"/>
        <v>7.204948351467614</v>
      </c>
      <c r="Q13" s="22">
        <f t="shared" si="2"/>
        <v>51.663714807377517</v>
      </c>
      <c r="R13" s="62">
        <f t="shared" si="0"/>
        <v>320.55260369626637</v>
      </c>
      <c r="S13" s="62">
        <f ca="1">AVERAGE(OFFSET($R$3,0,0,'Données projet'!$E$9+1,1))-AVERAGE(OFFSET($H$3,0,0,'Données projet'!$E$9+1,1))</f>
        <v>228.905960862347</v>
      </c>
      <c r="T13" s="62">
        <f t="shared" si="34"/>
        <v>167.30057656688177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2.4821428571428572</v>
      </c>
      <c r="AI13" s="14">
        <f>IF('Données projet'!$A$62&gt;35,AI12+AH13-AQ12,IF(A13&lt;'Données projet'!$A$62,$AF$205^A13,IF(A13='Données projet'!$A$62,'Données projet'!$B$62,AI12+AH13-AQ12)))</f>
        <v>24.821428571428573</v>
      </c>
      <c r="AJ13" s="14">
        <f>AI13*VLOOKUP('Données projet'!$B$10,Paramètres!$A$1:$I$89,3,0)*VLOOKUP('Données projet'!$B$10,Paramètres!$A$1:$I$89,5,0)</f>
        <v>25.168928571428573</v>
      </c>
      <c r="AK13" s="14">
        <f t="shared" si="35"/>
        <v>7.9681250051578605</v>
      </c>
      <c r="AL13" s="22">
        <f t="shared" si="4"/>
        <v>57.71370164588803</v>
      </c>
      <c r="AM13" s="62">
        <f t="shared" si="5"/>
        <v>326.60259053477688</v>
      </c>
      <c r="AN13" s="62">
        <f ca="1">AVERAGE(OFFSET($AM$3,0,0,'Données projet'!$E$10+1,1))-AVERAGE(OFFSET($H$3,0,0,'Données projet'!$E$10+1,1))</f>
        <v>256.45433991419372</v>
      </c>
      <c r="AO13" s="62">
        <f t="shared" si="36"/>
        <v>184.9718670682193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5.8826687821090227</v>
      </c>
      <c r="BF13" s="14">
        <f t="shared" si="37"/>
        <v>2.2057079152108381</v>
      </c>
      <c r="BG13" s="22">
        <f t="shared" si="7"/>
        <v>14.087256081165423</v>
      </c>
      <c r="BH13" s="62">
        <f t="shared" si="8"/>
        <v>282.97614497005429</v>
      </c>
      <c r="BI13" s="62">
        <f ca="1">AVERAGE(OFFSET($BH$3,0,0,'Données projet'!$E$11+1,1))-AVERAGE(OFFSET($H$3,0,0,'Données projet'!$E$11+1,1))</f>
        <v>152.72674713084456</v>
      </c>
      <c r="BJ13" s="62">
        <f t="shared" si="38"/>
        <v>203.90215120562164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3.0712968000000003</v>
      </c>
      <c r="D14" s="12">
        <f t="shared" si="32"/>
        <v>1.2420800779969972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10.455020166036233</v>
      </c>
      <c r="H14" s="70">
        <f t="shared" si="1"/>
        <v>264.17913139584476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2.4821428571428572</v>
      </c>
      <c r="N14" s="14">
        <f>IF('Données projet'!$A$36&gt;35,N13+M14-V13,IF(A14&lt;'Données projet'!$A$36,$K$205^A14,IF(A14='Données projet'!$A$36,'Données projet'!$B$36,N13+M14-V13)))</f>
        <v>27.303571428571431</v>
      </c>
      <c r="O14" s="14">
        <f>N14*VLOOKUP('Données projet'!$B$9,Paramètres!$A$1:$I$89,3,0)*VLOOKUP('Données projet'!$B$9,Paramètres!$A$1:$I$89,5,0)</f>
        <v>24.704271428571431</v>
      </c>
      <c r="P14" s="14">
        <f t="shared" si="33"/>
        <v>7.8380034181075073</v>
      </c>
      <c r="Q14" s="22">
        <f t="shared" si="2"/>
        <v>56.677795357965813</v>
      </c>
      <c r="R14" s="62">
        <f t="shared" si="0"/>
        <v>326.78890646907695</v>
      </c>
      <c r="S14" s="62">
        <f ca="1">AVERAGE(OFFSET($R$3,0,0,'Données projet'!$E$9+1,1))-AVERAGE(OFFSET($H$3,0,0,'Données projet'!$E$9+1,1))</f>
        <v>228.905960862347</v>
      </c>
      <c r="T14" s="62">
        <f t="shared" si="34"/>
        <v>167.30057656688177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2.4821428571428572</v>
      </c>
      <c r="AI14" s="14">
        <f>IF('Données projet'!$A$62&gt;35,AI13+AH14-AQ13,IF(A14&lt;'Données projet'!$A$62,$AF$205^A14,IF(A14='Données projet'!$A$62,'Données projet'!$B$62,AI13+AH14-AQ13)))</f>
        <v>27.303571428571431</v>
      </c>
      <c r="AJ14" s="14">
        <f>AI14*VLOOKUP('Données projet'!$B$10,Paramètres!$A$1:$I$89,3,0)*VLOOKUP('Données projet'!$B$10,Paramètres!$A$1:$I$89,5,0)</f>
        <v>27.685821428571433</v>
      </c>
      <c r="AK14" s="14">
        <f t="shared" si="35"/>
        <v>8.6682357707135509</v>
      </c>
      <c r="AL14" s="22">
        <f t="shared" si="4"/>
        <v>63.316649622088001</v>
      </c>
      <c r="AM14" s="62">
        <f t="shared" si="5"/>
        <v>333.42776073319914</v>
      </c>
      <c r="AN14" s="62">
        <f ca="1">AVERAGE(OFFSET($AM$3,0,0,'Données projet'!$E$10+1,1))-AVERAGE(OFFSET($H$3,0,0,'Données projet'!$E$10+1,1))</f>
        <v>256.45433991419372</v>
      </c>
      <c r="AO14" s="62">
        <f t="shared" si="36"/>
        <v>184.9718670682193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7.5771738346729904</v>
      </c>
      <c r="BF14" s="14">
        <f t="shared" si="37"/>
        <v>2.7585742106736397</v>
      </c>
      <c r="BG14" s="22">
        <f t="shared" si="7"/>
        <v>18.001427845645381</v>
      </c>
      <c r="BH14" s="62">
        <f t="shared" si="8"/>
        <v>288.11253895675651</v>
      </c>
      <c r="BI14" s="62">
        <f ca="1">AVERAGE(OFFSET($BH$3,0,0,'Données projet'!$E$11+1,1))-AVERAGE(OFFSET($H$3,0,0,'Données projet'!$E$11+1,1))</f>
        <v>152.72674713084456</v>
      </c>
      <c r="BJ14" s="62">
        <f t="shared" si="38"/>
        <v>203.90215120562164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3.3505056000000004</v>
      </c>
      <c r="D15" s="12">
        <f t="shared" si="32"/>
        <v>1.3413421392818472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11.372380415073335</v>
      </c>
      <c r="H15" s="70">
        <f t="shared" si="1"/>
        <v>264.83830147924925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2.4821428571428572</v>
      </c>
      <c r="N15" s="14">
        <f>IF('Données projet'!$A$36&gt;35,N14+M15-V14,IF(A15&lt;'Données projet'!$A$36,$K$205^A15,IF(A15='Données projet'!$A$36,'Données projet'!$B$36,N14+M15-V14)))</f>
        <v>29.785714285714288</v>
      </c>
      <c r="O15" s="14">
        <f>N15*VLOOKUP('Données projet'!$B$9,Paramètres!$A$1:$I$89,3,0)*VLOOKUP('Données projet'!$B$9,Paramètres!$A$1:$I$89,5,0)</f>
        <v>26.950114285714289</v>
      </c>
      <c r="P15" s="14">
        <f t="shared" si="33"/>
        <v>8.4643852347241086</v>
      </c>
      <c r="Q15" s="22">
        <f t="shared" si="2"/>
        <v>61.680253331430201</v>
      </c>
      <c r="R15" s="62">
        <f t="shared" si="0"/>
        <v>333.01358666476352</v>
      </c>
      <c r="S15" s="62">
        <f ca="1">AVERAGE(OFFSET($R$3,0,0,'Données projet'!$E$9+1,1))-AVERAGE(OFFSET($H$3,0,0,'Données projet'!$E$9+1,1))</f>
        <v>228.905960862347</v>
      </c>
      <c r="T15" s="62">
        <f t="shared" si="34"/>
        <v>167.30057656688177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2.4821428571428572</v>
      </c>
      <c r="AI15" s="14">
        <f>IF('Données projet'!$A$62&gt;35,AI14+AH15-AQ14,IF(A15&lt;'Données projet'!$A$62,$AF$205^A15,IF(A15='Données projet'!$A$62,'Données projet'!$B$62,AI14+AH15-AQ14)))</f>
        <v>29.785714285714288</v>
      </c>
      <c r="AJ15" s="14">
        <f>AI15*VLOOKUP('Données projet'!$B$10,Paramètres!$A$1:$I$89,3,0)*VLOOKUP('Données projet'!$B$10,Paramètres!$A$1:$I$89,5,0)</f>
        <v>30.20271428571429</v>
      </c>
      <c r="AK15" s="14">
        <f t="shared" si="35"/>
        <v>9.3609664291841668</v>
      </c>
      <c r="AL15" s="22">
        <f t="shared" si="4"/>
        <v>68.906743911781476</v>
      </c>
      <c r="AM15" s="62">
        <f t="shared" si="5"/>
        <v>340.24007724511478</v>
      </c>
      <c r="AN15" s="62">
        <f ca="1">AVERAGE(OFFSET($AM$3,0,0,'Données projet'!$E$10+1,1))-AVERAGE(OFFSET($H$3,0,0,'Données projet'!$E$10+1,1))</f>
        <v>256.45433991419372</v>
      </c>
      <c r="AO15" s="62">
        <f t="shared" si="36"/>
        <v>184.9718670682193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9.7597817329891239</v>
      </c>
      <c r="BF15" s="14">
        <f t="shared" si="37"/>
        <v>3.4500178483814818</v>
      </c>
      <c r="BG15" s="22">
        <f t="shared" si="7"/>
        <v>23.00706760422047</v>
      </c>
      <c r="BH15" s="62">
        <f t="shared" si="8"/>
        <v>294.3404009375538</v>
      </c>
      <c r="BI15" s="62">
        <f ca="1">AVERAGE(OFFSET($BH$3,0,0,'Données projet'!$E$11+1,1))-AVERAGE(OFFSET($H$3,0,0,'Données projet'!$E$11+1,1))</f>
        <v>152.72674713084456</v>
      </c>
      <c r="BJ15" s="62">
        <f t="shared" si="38"/>
        <v>203.90215120562164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3.6297144000000006</v>
      </c>
      <c r="D16" s="12">
        <f t="shared" si="32"/>
        <v>1.4396448420161179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12.287415313630648</v>
      </c>
      <c r="H16" s="70">
        <f t="shared" si="1"/>
        <v>265.49580067984476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2.4821428571428572</v>
      </c>
      <c r="N16" s="14">
        <f>IF('Données projet'!$A$36&gt;35,N15+M16-V15,IF(A16&lt;'Données projet'!$A$36,$K$205^A16,IF(A16='Données projet'!$A$36,'Données projet'!$B$36,N15+M16-V15)))</f>
        <v>32.267857142857146</v>
      </c>
      <c r="O16" s="14">
        <f>N16*VLOOKUP('Données projet'!$B$9,Paramètres!$A$1:$I$89,3,0)*VLOOKUP('Données projet'!$B$9,Paramètres!$A$1:$I$89,5,0)</f>
        <v>29.195957142857146</v>
      </c>
      <c r="P16" s="14">
        <f t="shared" si="33"/>
        <v>9.0847131295913552</v>
      </c>
      <c r="Q16" s="22">
        <f t="shared" si="2"/>
        <v>66.672167391181134</v>
      </c>
      <c r="R16" s="62">
        <f t="shared" si="0"/>
        <v>339.22772294673666</v>
      </c>
      <c r="S16" s="62">
        <f ca="1">AVERAGE(OFFSET($R$3,0,0,'Données projet'!$E$9+1,1))-AVERAGE(OFFSET($H$3,0,0,'Données projet'!$E$9+1,1))</f>
        <v>228.905960862347</v>
      </c>
      <c r="T16" s="62">
        <f t="shared" si="34"/>
        <v>167.30057656688177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2.4821428571428572</v>
      </c>
      <c r="AI16" s="14">
        <f>IF('Données projet'!$A$62&gt;35,AI15+AH16-AQ15,IF(A16&lt;'Données projet'!$A$62,$AF$205^A16,IF(A16='Données projet'!$A$62,'Données projet'!$B$62,AI15+AH16-AQ15)))</f>
        <v>32.267857142857146</v>
      </c>
      <c r="AJ16" s="14">
        <f>AI16*VLOOKUP('Données projet'!$B$10,Paramètres!$A$1:$I$89,3,0)*VLOOKUP('Données projet'!$B$10,Paramètres!$A$1:$I$89,5,0)</f>
        <v>32.71960714285715</v>
      </c>
      <c r="AK16" s="14">
        <f t="shared" si="35"/>
        <v>10.047001910546335</v>
      </c>
      <c r="AL16" s="22">
        <f t="shared" si="4"/>
        <v>74.485177434677738</v>
      </c>
      <c r="AM16" s="62">
        <f t="shared" si="5"/>
        <v>347.04073299023327</v>
      </c>
      <c r="AN16" s="62">
        <f ca="1">AVERAGE(OFFSET($AM$3,0,0,'Données projet'!$E$10+1,1))-AVERAGE(OFFSET($H$3,0,0,'Données projet'!$E$10+1,1))</f>
        <v>256.45433991419372</v>
      </c>
      <c r="AO16" s="62">
        <f t="shared" si="36"/>
        <v>184.9718670682193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12.571090693433858</v>
      </c>
      <c r="BF16" s="14">
        <f t="shared" si="37"/>
        <v>4.3147735914069099</v>
      </c>
      <c r="BG16" s="22">
        <f t="shared" si="7"/>
        <v>29.409546962764335</v>
      </c>
      <c r="BH16" s="62">
        <f t="shared" si="8"/>
        <v>301.9651025183199</v>
      </c>
      <c r="BI16" s="62">
        <f ca="1">AVERAGE(OFFSET($BH$3,0,0,'Données projet'!$E$11+1,1))-AVERAGE(OFFSET($H$3,0,0,'Données projet'!$E$11+1,1))</f>
        <v>152.72674713084456</v>
      </c>
      <c r="BJ16" s="62">
        <f t="shared" si="38"/>
        <v>203.90215120562164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3.9089232000000007</v>
      </c>
      <c r="D17" s="12">
        <f t="shared" si="32"/>
        <v>1.5370703736442475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13.200324072538413</v>
      </c>
      <c r="H17" s="70">
        <f t="shared" si="1"/>
        <v>266.15177214076374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2.4821428571428572</v>
      </c>
      <c r="N17" s="14">
        <f>IF('Données projet'!$A$36&gt;35,N16+M17-V16,IF(A17&lt;'Données projet'!$A$36,$K$205^A17,IF(A17='Données projet'!$A$36,'Données projet'!$B$36,N16+M17-V16)))</f>
        <v>34.75</v>
      </c>
      <c r="O17" s="14">
        <f>N17*VLOOKUP('Données projet'!$B$9,Paramètres!$A$1:$I$89,3,0)*VLOOKUP('Données projet'!$B$9,Paramètres!$A$1:$I$89,5,0)</f>
        <v>31.441799999999997</v>
      </c>
      <c r="P17" s="14">
        <f t="shared" si="33"/>
        <v>9.6995057371208553</v>
      </c>
      <c r="Q17" s="22">
        <f t="shared" si="2"/>
        <v>71.65444082548548</v>
      </c>
      <c r="R17" s="62">
        <f t="shared" si="0"/>
        <v>345.43221860326327</v>
      </c>
      <c r="S17" s="62">
        <f ca="1">AVERAGE(OFFSET($R$3,0,0,'Données projet'!$E$9+1,1))-AVERAGE(OFFSET($H$3,0,0,'Données projet'!$E$9+1,1))</f>
        <v>228.905960862347</v>
      </c>
      <c r="T17" s="62">
        <f t="shared" si="34"/>
        <v>167.30057656688177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2.4821428571428572</v>
      </c>
      <c r="AI17" s="14">
        <f>IF('Données projet'!$A$62&gt;35,AI16+AH17-AQ16,IF(A17&lt;'Données projet'!$A$62,$AF$205^A17,IF(A17='Données projet'!$A$62,'Données projet'!$B$62,AI16+AH17-AQ16)))</f>
        <v>34.75</v>
      </c>
      <c r="AJ17" s="14">
        <f>AI17*VLOOKUP('Données projet'!$B$10,Paramètres!$A$1:$I$89,3,0)*VLOOKUP('Données projet'!$B$10,Paramètres!$A$1:$I$89,5,0)</f>
        <v>35.236500000000007</v>
      </c>
      <c r="AK17" s="14">
        <f t="shared" si="35"/>
        <v>10.726915785021806</v>
      </c>
      <c r="AL17" s="22">
        <f t="shared" si="4"/>
        <v>80.052949158912966</v>
      </c>
      <c r="AM17" s="62">
        <f t="shared" si="5"/>
        <v>353.83072693669072</v>
      </c>
      <c r="AN17" s="62">
        <f ca="1">AVERAGE(OFFSET($AM$3,0,0,'Données projet'!$E$10+1,1))-AVERAGE(OFFSET($H$3,0,0,'Données projet'!$E$10+1,1))</f>
        <v>256.45433991419372</v>
      </c>
      <c r="AO17" s="62">
        <f t="shared" si="36"/>
        <v>184.9718670682193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16.192198303817896</v>
      </c>
      <c r="BF17" s="14">
        <f t="shared" si="37"/>
        <v>5.3962825594761723</v>
      </c>
      <c r="BG17" s="22">
        <f t="shared" si="7"/>
        <v>37.599937503570509</v>
      </c>
      <c r="BH17" s="62">
        <f t="shared" si="8"/>
        <v>311.37771528134829</v>
      </c>
      <c r="BI17" s="62">
        <f ca="1">AVERAGE(OFFSET($BH$3,0,0,'Données projet'!$E$11+1,1))-AVERAGE(OFFSET($H$3,0,0,'Données projet'!$E$11+1,1))</f>
        <v>152.72674713084456</v>
      </c>
      <c r="BJ17" s="62">
        <f t="shared" si="38"/>
        <v>203.90215120562164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4.1881320000000004</v>
      </c>
      <c r="D18" s="12">
        <f t="shared" si="32"/>
        <v>1.6336885152431526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14.111275831333229</v>
      </c>
      <c r="H18" s="70">
        <f t="shared" si="1"/>
        <v>266.80633739738187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2.4821428571428572</v>
      </c>
      <c r="N18" s="14">
        <f>IF('Données projet'!$A$36&gt;35,N17+M18-V17,IF(A18&lt;'Données projet'!$A$36,$K$205^A18,IF(A18='Données projet'!$A$36,'Données projet'!$B$36,N17+M18-V17)))</f>
        <v>37.232142857142854</v>
      </c>
      <c r="O18" s="14">
        <f>N18*VLOOKUP('Données projet'!$B$9,Paramètres!$A$1:$I$89,3,0)*VLOOKUP('Données projet'!$B$9,Paramètres!$A$1:$I$89,5,0)</f>
        <v>33.687642857142855</v>
      </c>
      <c r="P18" s="14">
        <f t="shared" si="33"/>
        <v>10.309203402769464</v>
      </c>
      <c r="Q18" s="22">
        <f t="shared" si="2"/>
        <v>76.627840569347271</v>
      </c>
      <c r="R18" s="62">
        <f t="shared" si="0"/>
        <v>351.62784056934726</v>
      </c>
      <c r="S18" s="62">
        <f ca="1">AVERAGE(OFFSET($R$3,0,0,'Données projet'!$E$9+1,1))-AVERAGE(OFFSET($H$3,0,0,'Données projet'!$E$9+1,1))</f>
        <v>228.905960862347</v>
      </c>
      <c r="T18" s="62">
        <f t="shared" si="34"/>
        <v>167.30057656688177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2.4821428571428572</v>
      </c>
      <c r="AI18" s="14">
        <f>IF('Données projet'!$A$62&gt;35,AI17+AH18-AQ17,IF(A18&lt;'Données projet'!$A$62,$AF$205^A18,IF(A18='Données projet'!$A$62,'Données projet'!$B$62,AI17+AH18-AQ17)))</f>
        <v>37.232142857142854</v>
      </c>
      <c r="AJ18" s="14">
        <f>AI18*VLOOKUP('Données projet'!$B$10,Paramètres!$A$1:$I$89,3,0)*VLOOKUP('Données projet'!$B$10,Paramètres!$A$1:$I$89,5,0)</f>
        <v>37.753392857142856</v>
      </c>
      <c r="AK18" s="14">
        <f t="shared" si="35"/>
        <v>11.401195041201547</v>
      </c>
      <c r="AL18" s="22">
        <f t="shared" si="4"/>
        <v>85.610907256283156</v>
      </c>
      <c r="AM18" s="62">
        <f t="shared" si="5"/>
        <v>360.61090725628316</v>
      </c>
      <c r="AN18" s="62">
        <f ca="1">AVERAGE(OFFSET($AM$3,0,0,'Données projet'!$E$10+1,1))-AVERAGE(OFFSET($H$3,0,0,'Données projet'!$E$10+1,1))</f>
        <v>256.45433991419372</v>
      </c>
      <c r="AO18" s="62">
        <f t="shared" si="36"/>
        <v>184.9718670682193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20.856367383230236</v>
      </c>
      <c r="BF18" s="14">
        <f t="shared" si="37"/>
        <v>6.7488744993944465</v>
      </c>
      <c r="BG18" s="22">
        <f t="shared" si="7"/>
        <v>48.079129612237985</v>
      </c>
      <c r="BH18" s="62">
        <f t="shared" si="8"/>
        <v>323.07912961223798</v>
      </c>
      <c r="BI18" s="62">
        <f ca="1">AVERAGE(OFFSET($BH$3,0,0,'Données projet'!$E$11+1,1))-AVERAGE(OFFSET($H$3,0,0,'Données projet'!$E$11+1,1))</f>
        <v>152.72674713084456</v>
      </c>
      <c r="BJ18" s="62">
        <f t="shared" si="38"/>
        <v>203.90215120562164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4.4673408000000006</v>
      </c>
      <c r="D19" s="12">
        <f t="shared" si="32"/>
        <v>1.7295592173678034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15.020415901746242</v>
      </c>
      <c r="H19" s="70">
        <f t="shared" si="1"/>
        <v>267.4596008635823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2.4821428571428572</v>
      </c>
      <c r="N19" s="14">
        <f>IF('Données projet'!$A$36&gt;35,N18+M19-V18,IF(A19&lt;'Données projet'!$A$36,$K$205^A19,IF(A19='Données projet'!$A$36,'Données projet'!$B$36,N18+M19-V18)))</f>
        <v>39.714285714285708</v>
      </c>
      <c r="O19" s="14">
        <f>N19*VLOOKUP('Données projet'!$B$9,Paramètres!$A$1:$I$89,3,0)*VLOOKUP('Données projet'!$B$9,Paramètres!$A$1:$I$89,5,0)</f>
        <v>35.933485714285709</v>
      </c>
      <c r="P19" s="14">
        <f t="shared" si="33"/>
        <v>10.914184437616397</v>
      </c>
      <c r="Q19" s="22">
        <f t="shared" si="2"/>
        <v>81.593025514562825</v>
      </c>
      <c r="R19" s="62">
        <f t="shared" si="0"/>
        <v>357.81524773678507</v>
      </c>
      <c r="S19" s="62">
        <f ca="1">AVERAGE(OFFSET($R$3,0,0,'Données projet'!$E$9+1,1))-AVERAGE(OFFSET($H$3,0,0,'Données projet'!$E$9+1,1))</f>
        <v>228.905960862347</v>
      </c>
      <c r="T19" s="62">
        <f t="shared" si="34"/>
        <v>167.30057656688177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2.4821428571428572</v>
      </c>
      <c r="AI19" s="14">
        <f>IF('Données projet'!$A$62&gt;35,AI18+AH19-AQ18,IF(A19&lt;'Données projet'!$A$62,$AF$205^A19,IF(A19='Données projet'!$A$62,'Données projet'!$B$62,AI18+AH19-AQ18)))</f>
        <v>39.714285714285708</v>
      </c>
      <c r="AJ19" s="14">
        <f>AI19*VLOOKUP('Données projet'!$B$10,Paramètres!$A$1:$I$89,3,0)*VLOOKUP('Données projet'!$B$10,Paramètres!$A$1:$I$89,5,0)</f>
        <v>40.270285714285706</v>
      </c>
      <c r="AK19" s="14">
        <f t="shared" si="35"/>
        <v>12.070258062372016</v>
      </c>
      <c r="AL19" s="22">
        <f t="shared" si="4"/>
        <v>91.159780411012207</v>
      </c>
      <c r="AM19" s="62">
        <f t="shared" si="5"/>
        <v>367.38200263323444</v>
      </c>
      <c r="AN19" s="62">
        <f ca="1">AVERAGE(OFFSET($AM$3,0,0,'Données projet'!$E$10+1,1))-AVERAGE(OFFSET($H$3,0,0,'Données projet'!$E$10+1,1))</f>
        <v>256.45433991419372</v>
      </c>
      <c r="AO19" s="62">
        <f t="shared" si="36"/>
        <v>184.9718670682193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26.864052197391008</v>
      </c>
      <c r="BF19" s="14">
        <f t="shared" si="37"/>
        <v>8.4404970471001413</v>
      </c>
      <c r="BG19" s="22">
        <f t="shared" si="7"/>
        <v>61.488756600822086</v>
      </c>
      <c r="BH19" s="62">
        <f t="shared" si="8"/>
        <v>337.71097882304434</v>
      </c>
      <c r="BI19" s="62">
        <f ca="1">AVERAGE(OFFSET($BH$3,0,0,'Données projet'!$E$11+1,1))-AVERAGE(OFFSET($H$3,0,0,'Données projet'!$E$11+1,1))</f>
        <v>152.72674713084456</v>
      </c>
      <c r="BJ19" s="62">
        <f t="shared" si="38"/>
        <v>203.90215120562164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4.7465496000000007</v>
      </c>
      <c r="D20" s="12">
        <f t="shared" si="32"/>
        <v>1.8247345132017634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15.927870404911502</v>
      </c>
      <c r="H20" s="70">
        <f t="shared" si="1"/>
        <v>268.11165316382642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2.4821428571428572</v>
      </c>
      <c r="N20" s="14">
        <f>IF('Données projet'!$A$36&gt;35,N19+M20-V19,IF(A20&lt;'Données projet'!$A$36,$K$205^A20,IF(A20='Données projet'!$A$36,'Données projet'!$B$36,N19+M20-V19)))</f>
        <v>42.196428571428562</v>
      </c>
      <c r="O20" s="14">
        <f>N20*VLOOKUP('Données projet'!$B$9,Paramètres!$A$1:$I$89,3,0)*VLOOKUP('Données projet'!$B$9,Paramètres!$A$1:$I$89,5,0)</f>
        <v>38.179328571428563</v>
      </c>
      <c r="P20" s="14">
        <f t="shared" si="33"/>
        <v>11.514777191079567</v>
      </c>
      <c r="Q20" s="22">
        <f t="shared" si="2"/>
        <v>86.55056753636832</v>
      </c>
      <c r="R20" s="62">
        <f t="shared" si="0"/>
        <v>363.99501198081276</v>
      </c>
      <c r="S20" s="62">
        <f ca="1">AVERAGE(OFFSET($R$3,0,0,'Données projet'!$E$9+1,1))-AVERAGE(OFFSET($H$3,0,0,'Données projet'!$E$9+1,1))</f>
        <v>228.905960862347</v>
      </c>
      <c r="T20" s="62">
        <f t="shared" si="34"/>
        <v>167.30057656688177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2.4821428571428572</v>
      </c>
      <c r="AI20" s="14">
        <f>IF('Données projet'!$A$62&gt;35,AI19+AH20-AQ19,IF(A20&lt;'Données projet'!$A$62,$AF$205^A20,IF(A20='Données projet'!$A$62,'Données projet'!$B$62,AI19+AH20-AQ19)))</f>
        <v>42.196428571428562</v>
      </c>
      <c r="AJ20" s="14">
        <f>AI20*VLOOKUP('Données projet'!$B$10,Paramètres!$A$1:$I$89,3,0)*VLOOKUP('Données projet'!$B$10,Paramètres!$A$1:$I$89,5,0)</f>
        <v>42.787178571428562</v>
      </c>
      <c r="AK20" s="14">
        <f t="shared" si="35"/>
        <v>12.734467978021403</v>
      </c>
      <c r="AL20" s="22">
        <f t="shared" si="4"/>
        <v>96.700201073625351</v>
      </c>
      <c r="AM20" s="62">
        <f t="shared" si="5"/>
        <v>374.14464551806981</v>
      </c>
      <c r="AN20" s="62">
        <f ca="1">AVERAGE(OFFSET($AM$3,0,0,'Données projet'!$E$10+1,1))-AVERAGE(OFFSET($H$3,0,0,'Données projet'!$E$10+1,1))</f>
        <v>256.45433991419372</v>
      </c>
      <c r="AO20" s="62">
        <f t="shared" si="36"/>
        <v>184.9718670682193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34.602252981236802</v>
      </c>
      <c r="BF20" s="14">
        <f t="shared" si="37"/>
        <v>10.556129086190376</v>
      </c>
      <c r="BG20" s="22">
        <f t="shared" si="7"/>
        <v>78.650848767435647</v>
      </c>
      <c r="BH20" s="62">
        <f t="shared" si="8"/>
        <v>356.09529321188012</v>
      </c>
      <c r="BI20" s="62">
        <f ca="1">AVERAGE(OFFSET($BH$3,0,0,'Données projet'!$E$11+1,1))-AVERAGE(OFFSET($H$3,0,0,'Données projet'!$E$11+1,1))</f>
        <v>152.72674713084456</v>
      </c>
      <c r="BJ20" s="62">
        <f t="shared" si="38"/>
        <v>203.90215120562164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5.0257584000000008</v>
      </c>
      <c r="D21" s="12">
        <f t="shared" si="32"/>
        <v>1.9192599685667087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16.833749785985557</v>
      </c>
      <c r="H21" s="70">
        <f t="shared" si="1"/>
        <v>268.76257365858703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2.4821428571428572</v>
      </c>
      <c r="N21" s="14">
        <f>IF('Données projet'!$A$36&gt;35,N20+M21-V20,IF(A21&lt;'Données projet'!$A$36,$K$205^A21,IF(A21='Données projet'!$A$36,'Données projet'!$B$36,N20+M21-V20)))</f>
        <v>44.678571428571416</v>
      </c>
      <c r="O21" s="14">
        <f>N21*VLOOKUP('Données projet'!$B$9,Paramètres!$A$1:$I$89,3,0)*VLOOKUP('Données projet'!$B$9,Paramètres!$A$1:$I$89,5,0)</f>
        <v>40.425171428571417</v>
      </c>
      <c r="P21" s="14">
        <f t="shared" si="33"/>
        <v>12.111269201033856</v>
      </c>
      <c r="Q21" s="22">
        <f t="shared" si="2"/>
        <v>91.500967429895852</v>
      </c>
      <c r="R21" s="62">
        <f t="shared" si="0"/>
        <v>370.16763409656255</v>
      </c>
      <c r="S21" s="62">
        <f ca="1">AVERAGE(OFFSET($R$3,0,0,'Données projet'!$E$9+1,1))-AVERAGE(OFFSET($H$3,0,0,'Données projet'!$E$9+1,1))</f>
        <v>228.905960862347</v>
      </c>
      <c r="T21" s="62">
        <f t="shared" si="34"/>
        <v>167.30057656688177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2.4821428571428572</v>
      </c>
      <c r="AI21" s="14">
        <f>IF('Données projet'!$A$62&gt;35,AI20+AH21-AQ20,IF(A21&lt;'Données projet'!$A$62,$AF$205^A21,IF(A21='Données projet'!$A$62,'Données projet'!$B$62,AI20+AH21-AQ20)))</f>
        <v>44.678571428571416</v>
      </c>
      <c r="AJ21" s="14">
        <f>AI21*VLOOKUP('Données projet'!$B$10,Paramètres!$A$1:$I$89,3,0)*VLOOKUP('Données projet'!$B$10,Paramètres!$A$1:$I$89,5,0)</f>
        <v>45.304071428571419</v>
      </c>
      <c r="AK21" s="14">
        <f t="shared" si="35"/>
        <v>13.394142783174662</v>
      </c>
      <c r="AL21" s="22">
        <f t="shared" si="4"/>
        <v>102.23272308545775</v>
      </c>
      <c r="AM21" s="62">
        <f t="shared" si="5"/>
        <v>380.89938975212442</v>
      </c>
      <c r="AN21" s="62">
        <f ca="1">AVERAGE(OFFSET($AM$3,0,0,'Données projet'!$E$10+1,1))-AVERAGE(OFFSET($H$3,0,0,'Données projet'!$E$10+1,1))</f>
        <v>256.45433991419372</v>
      </c>
      <c r="AO21" s="62">
        <f t="shared" si="36"/>
        <v>184.9718670682193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44.569445539336513</v>
      </c>
      <c r="BF21" s="14">
        <f t="shared" si="37"/>
        <v>13.202049673437019</v>
      </c>
      <c r="BG21" s="22">
        <f t="shared" si="7"/>
        <v>100.61868749558056</v>
      </c>
      <c r="BH21" s="62">
        <f t="shared" si="8"/>
        <v>379.28535416224724</v>
      </c>
      <c r="BI21" s="62">
        <f ca="1">AVERAGE(OFFSET($BH$3,0,0,'Données projet'!$E$11+1,1))-AVERAGE(OFFSET($H$3,0,0,'Données projet'!$E$11+1,1))</f>
        <v>152.72674713084456</v>
      </c>
      <c r="BJ21" s="62">
        <f t="shared" si="38"/>
        <v>203.90215120562164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5.304967200000001</v>
      </c>
      <c r="D22" s="12">
        <f t="shared" si="32"/>
        <v>2.0131758004697318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17.738151525349092</v>
      </c>
      <c r="H22" s="70">
        <f t="shared" si="1"/>
        <v>269.41243239248479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2.4821428571428572</v>
      </c>
      <c r="N22" s="14">
        <f>IF('Données projet'!$A$36&gt;35,N21+M22-V21,IF(A22&lt;'Données projet'!$A$36,$K$205^A22,IF(A22='Données projet'!$A$36,'Données projet'!$B$36,N21+M22-V21)))</f>
        <v>47.16071428571427</v>
      </c>
      <c r="O22" s="14">
        <f>N22*VLOOKUP('Données projet'!$B$9,Paramètres!$A$1:$I$89,3,0)*VLOOKUP('Données projet'!$B$9,Paramètres!$A$1:$I$89,5,0)</f>
        <v>42.671014285714271</v>
      </c>
      <c r="P22" s="14">
        <f t="shared" si="33"/>
        <v>12.703914252275139</v>
      </c>
      <c r="Q22" s="22">
        <f t="shared" si="2"/>
        <v>96.444667203664878</v>
      </c>
      <c r="R22" s="62">
        <f t="shared" si="0"/>
        <v>376.33355609255375</v>
      </c>
      <c r="S22" s="62">
        <f ca="1">AVERAGE(OFFSET($R$3,0,0,'Données projet'!$E$9+1,1))-AVERAGE(OFFSET($H$3,0,0,'Données projet'!$E$9+1,1))</f>
        <v>228.905960862347</v>
      </c>
      <c r="T22" s="62">
        <f t="shared" si="34"/>
        <v>167.30057656688177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2.4821428571428572</v>
      </c>
      <c r="AI22" s="14">
        <f>IF('Données projet'!$A$62&gt;35,AI21+AH22-AQ21,IF(A22&lt;'Données projet'!$A$62,$AF$205^A22,IF(A22='Données projet'!$A$62,'Données projet'!$B$62,AI21+AH22-AQ21)))</f>
        <v>47.16071428571427</v>
      </c>
      <c r="AJ22" s="14">
        <f>AI22*VLOOKUP('Données projet'!$B$10,Paramètres!$A$1:$I$89,3,0)*VLOOKUP('Données projet'!$B$10,Paramètres!$A$1:$I$89,5,0)</f>
        <v>47.820964285714275</v>
      </c>
      <c r="AK22" s="14">
        <f t="shared" si="35"/>
        <v>14.049563144517961</v>
      </c>
      <c r="AL22" s="22">
        <f t="shared" si="4"/>
        <v>107.75783527432115</v>
      </c>
      <c r="AM22" s="62">
        <f t="shared" si="5"/>
        <v>387.64672416321002</v>
      </c>
      <c r="AN22" s="62">
        <f ca="1">AVERAGE(OFFSET($AM$3,0,0,'Données projet'!$E$10+1,1))-AVERAGE(OFFSET($H$3,0,0,'Données projet'!$E$10+1,1))</f>
        <v>256.45433991419372</v>
      </c>
      <c r="AO22" s="62">
        <f t="shared" si="36"/>
        <v>184.9718670682193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57.407691827495569</v>
      </c>
      <c r="BF22" s="14">
        <f t="shared" si="37"/>
        <v>16.511176981334152</v>
      </c>
      <c r="BG22" s="22">
        <f t="shared" si="7"/>
        <v>128.7420298420451</v>
      </c>
      <c r="BH22" s="62">
        <f t="shared" si="8"/>
        <v>408.63091873093396</v>
      </c>
      <c r="BI22" s="62">
        <f ca="1">AVERAGE(OFFSET($BH$3,0,0,'Données projet'!$E$11+1,1))-AVERAGE(OFFSET($H$3,0,0,'Données projet'!$E$11+1,1))</f>
        <v>152.72674713084456</v>
      </c>
      <c r="BJ22" s="62">
        <f t="shared" si="38"/>
        <v>203.90215120562164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5.5841760000000011</v>
      </c>
      <c r="D23" s="12">
        <f t="shared" si="32"/>
        <v>2.1065177534491815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18.641162262746299</v>
      </c>
      <c r="H23" s="70">
        <f t="shared" si="1"/>
        <v>270.06129162059068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2.4821428571428572</v>
      </c>
      <c r="N23" s="14">
        <f>IF('Données projet'!$A$36&gt;35,N22+M23-V22,IF(A23&lt;'Données projet'!$A$36,$K$205^A23,IF(A23='Données projet'!$A$36,'Données projet'!$B$36,N22+M23-V22)))</f>
        <v>49.642857142857125</v>
      </c>
      <c r="O23" s="14">
        <f>N23*VLOOKUP('Données projet'!$B$9,Paramètres!$A$1:$I$89,3,0)*VLOOKUP('Données projet'!$B$9,Paramètres!$A$1:$I$89,5,0)</f>
        <v>44.916857142857125</v>
      </c>
      <c r="P23" s="14">
        <f t="shared" si="33"/>
        <v>13.292937906599876</v>
      </c>
      <c r="Q23" s="22">
        <f t="shared" si="2"/>
        <v>101.38205971113759</v>
      </c>
      <c r="R23" s="62">
        <f t="shared" si="0"/>
        <v>382.49317082224871</v>
      </c>
      <c r="S23" s="62">
        <f ca="1">AVERAGE(OFFSET($R$3,0,0,'Données projet'!$E$9+1,1))-AVERAGE(OFFSET($H$3,0,0,'Données projet'!$E$9+1,1))</f>
        <v>228.905960862347</v>
      </c>
      <c r="T23" s="62">
        <f t="shared" si="34"/>
        <v>167.30057656688177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2.4821428571428572</v>
      </c>
      <c r="AI23" s="14">
        <f>IF('Données projet'!$A$62&gt;35,AI22+AH23-AQ22,IF(A23&lt;'Données projet'!$A$62,$AF$205^A23,IF(A23='Données projet'!$A$62,'Données projet'!$B$62,AI22+AH23-AQ22)))</f>
        <v>49.642857142857125</v>
      </c>
      <c r="AJ23" s="14">
        <f>AI23*VLOOKUP('Données projet'!$B$10,Paramètres!$A$1:$I$89,3,0)*VLOOKUP('Données projet'!$B$10,Paramètres!$A$1:$I$89,5,0)</f>
        <v>50.337857142857125</v>
      </c>
      <c r="AK23" s="14">
        <f t="shared" si="35"/>
        <v>14.700978516246257</v>
      </c>
      <c r="AL23" s="22">
        <f t="shared" si="4"/>
        <v>113.27597210627171</v>
      </c>
      <c r="AM23" s="62">
        <f t="shared" si="5"/>
        <v>394.38708321738284</v>
      </c>
      <c r="AN23" s="62">
        <f ca="1">AVERAGE(OFFSET($AM$3,0,0,'Données projet'!$E$10+1,1))-AVERAGE(OFFSET($H$3,0,0,'Données projet'!$E$10+1,1))</f>
        <v>256.45433991419372</v>
      </c>
      <c r="AO23" s="62">
        <f t="shared" si="36"/>
        <v>184.9718670682193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73.944000000000003</v>
      </c>
      <c r="BF23" s="14">
        <f t="shared" si="37"/>
        <v>20.649745460165708</v>
      </c>
      <c r="BG23" s="22">
        <f t="shared" si="7"/>
        <v>164.75077334312192</v>
      </c>
      <c r="BH23" s="62">
        <f t="shared" si="8"/>
        <v>445.86188445423306</v>
      </c>
      <c r="BI23" s="62">
        <f ca="1">AVERAGE(OFFSET($BH$3,0,0,'Données projet'!$E$11+1,1))-AVERAGE(OFFSET($H$3,0,0,'Données projet'!$E$11+1,1))</f>
        <v>152.72674713084456</v>
      </c>
      <c r="BJ23" s="62">
        <f t="shared" si="38"/>
        <v>203.90215120562164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35</v>
      </c>
      <c r="BM23" s="17">
        <f>IF(ISNA(VLOOKUP(A23,'Données projet'!$A$87:$I$107,5,0)),0%,VLOOKUP(A23,'Données projet'!$A$87:$I$107,5,0)*VLOOKUP('Données projet'!$B$11,Paramètres!$A$1:$I$89,7,0))</f>
        <v>0.11000000000000001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0.8</v>
      </c>
      <c r="BP23" s="23">
        <f>EXP(-LN(2)/35)*BP22+(1-EXP(-LN(2)/35))/(LN(2)/35)*BL23*BM23*VLOOKUP('Données projet'!$B$11,Paramètres!$A$1:$I$89,3,0)*0.475*44/12</f>
        <v>2.3902038358109636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14.836772026786809</v>
      </c>
      <c r="BS23" s="24">
        <f t="shared" si="9"/>
        <v>17.226975862597772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5.8633848000000013</v>
      </c>
      <c r="D24" s="12">
        <f t="shared" si="32"/>
        <v>2.1993177956704795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19.542859484523397</v>
      </c>
      <c r="H24" s="70">
        <f t="shared" si="1"/>
        <v>270.70920702079275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2.4821428571428572</v>
      </c>
      <c r="N24" s="14">
        <f>IF('Données projet'!$A$36&gt;35,N23+M24-V23,IF(A24&lt;'Données projet'!$A$36,$K$205^A24,IF(A24='Données projet'!$A$36,'Données projet'!$B$36,N23+M24-V23)))</f>
        <v>52.124999999999979</v>
      </c>
      <c r="O24" s="14">
        <f>N24*VLOOKUP('Données projet'!$B$9,Paramètres!$A$1:$I$89,3,0)*VLOOKUP('Données projet'!$B$9,Paramètres!$A$1:$I$89,5,0)</f>
        <v>47.16269999999998</v>
      </c>
      <c r="P24" s="14">
        <f t="shared" si="33"/>
        <v>13.878541895437722</v>
      </c>
      <c r="Q24" s="22">
        <f t="shared" si="2"/>
        <v>106.31349630122065</v>
      </c>
      <c r="R24" s="62">
        <f t="shared" si="0"/>
        <v>388.64682963455397</v>
      </c>
      <c r="S24" s="62">
        <f ca="1">AVERAGE(OFFSET($R$3,0,0,'Données projet'!$E$9+1,1))-AVERAGE(OFFSET($H$3,0,0,'Données projet'!$E$9+1,1))</f>
        <v>228.905960862347</v>
      </c>
      <c r="T24" s="62">
        <f t="shared" si="34"/>
        <v>167.30057656688177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2.4821428571428572</v>
      </c>
      <c r="AI24" s="14">
        <f>IF('Données projet'!$A$62&gt;35,AI23+AH24-AQ23,IF(A24&lt;'Données projet'!$A$62,$AF$205^A24,IF(A24='Données projet'!$A$62,'Données projet'!$B$62,AI23+AH24-AQ23)))</f>
        <v>52.124999999999979</v>
      </c>
      <c r="AJ24" s="14">
        <f>AI24*VLOOKUP('Données projet'!$B$10,Paramètres!$A$1:$I$89,3,0)*VLOOKUP('Données projet'!$B$10,Paramètres!$A$1:$I$89,5,0)</f>
        <v>52.854749999999981</v>
      </c>
      <c r="AK24" s="14">
        <f t="shared" si="35"/>
        <v>15.348611997980857</v>
      </c>
      <c r="AL24" s="22">
        <f t="shared" si="4"/>
        <v>118.7875221464833</v>
      </c>
      <c r="AM24" s="62">
        <f t="shared" si="5"/>
        <v>401.12085547981661</v>
      </c>
      <c r="AN24" s="62">
        <f ca="1">AVERAGE(OFFSET($AM$3,0,0,'Données projet'!$E$10+1,1))-AVERAGE(OFFSET($H$3,0,0,'Données projet'!$E$10+1,1))</f>
        <v>256.45433991419372</v>
      </c>
      <c r="AO24" s="62">
        <f t="shared" si="36"/>
        <v>184.9718670682193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132.19999999999999</v>
      </c>
      <c r="BE24" s="14">
        <f>BD24*VLOOKUP('Données projet'!$B$11,Paramètres!$A$1:$I$89,3,0)*VLOOKUP('Données projet'!$B$11,Paramètres!$A$1:$I$89,5,0)</f>
        <v>61.869599999999991</v>
      </c>
      <c r="BF24" s="14">
        <f t="shared" si="37"/>
        <v>17.640115095232353</v>
      </c>
      <c r="BG24" s="22">
        <f t="shared" si="7"/>
        <v>138.47942045752964</v>
      </c>
      <c r="BH24" s="62">
        <f t="shared" si="8"/>
        <v>420.81275379086298</v>
      </c>
      <c r="BI24" s="62">
        <f ca="1">AVERAGE(OFFSET($BH$3,0,0,'Données projet'!$E$11+1,1))-AVERAGE(OFFSET($H$3,0,0,'Données projet'!$E$11+1,1))</f>
        <v>152.72674713084456</v>
      </c>
      <c r="BJ24" s="62">
        <f t="shared" si="38"/>
        <v>203.90215120562164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2.3433333964710967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10.49118211105983</v>
      </c>
      <c r="BS24" s="24">
        <f t="shared" si="9"/>
        <v>12.834515507530927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6.1425936000000014</v>
      </c>
      <c r="D25" s="12">
        <f t="shared" si="32"/>
        <v>2.2916046786755433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20.443312880382688</v>
      </c>
      <c r="H25" s="70">
        <f t="shared" si="1"/>
        <v>271.35622866869323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2.4821428571428572</v>
      </c>
      <c r="N25" s="14">
        <f>IF('Données projet'!$A$36&gt;35,N24+M25-V24,IF(A25&lt;'Données projet'!$A$36,$K$205^A25,IF(A25='Données projet'!$A$36,'Données projet'!$B$36,N24+M25-V24)))</f>
        <v>54.607142857142833</v>
      </c>
      <c r="O25" s="14">
        <f>N25*VLOOKUP('Données projet'!$B$9,Paramètres!$A$1:$I$89,3,0)*VLOOKUP('Données projet'!$B$9,Paramètres!$A$1:$I$89,5,0)</f>
        <v>49.408542857142834</v>
      </c>
      <c r="P25" s="14">
        <f t="shared" si="33"/>
        <v>14.460907652085762</v>
      </c>
      <c r="Q25" s="22">
        <f t="shared" si="2"/>
        <v>111.23929297023982</v>
      </c>
      <c r="R25" s="62">
        <f t="shared" si="0"/>
        <v>394.79484852579537</v>
      </c>
      <c r="S25" s="62">
        <f ca="1">AVERAGE(OFFSET($R$3,0,0,'Données projet'!$E$9+1,1))-AVERAGE(OFFSET($H$3,0,0,'Données projet'!$E$9+1,1))</f>
        <v>228.905960862347</v>
      </c>
      <c r="T25" s="62">
        <f t="shared" si="34"/>
        <v>167.30057656688177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2.4821428571428572</v>
      </c>
      <c r="AI25" s="14">
        <f>IF('Données projet'!$A$62&gt;35,AI24+AH25-AQ24,IF(A25&lt;'Données projet'!$A$62,$AF$205^A25,IF(A25='Données projet'!$A$62,'Données projet'!$B$62,AI24+AH25-AQ24)))</f>
        <v>54.607142857142833</v>
      </c>
      <c r="AJ25" s="14">
        <f>AI25*VLOOKUP('Données projet'!$B$10,Paramètres!$A$1:$I$89,3,0)*VLOOKUP('Données projet'!$B$10,Paramètres!$A$1:$I$89,5,0)</f>
        <v>55.371642857142838</v>
      </c>
      <c r="AK25" s="14">
        <f t="shared" si="35"/>
        <v>15.992664241151996</v>
      </c>
      <c r="AL25" s="22">
        <f t="shared" si="4"/>
        <v>124.2928348628635</v>
      </c>
      <c r="AM25" s="62">
        <f t="shared" si="5"/>
        <v>407.84839041841906</v>
      </c>
      <c r="AN25" s="62">
        <f ca="1">AVERAGE(OFFSET($AM$3,0,0,'Données projet'!$E$10+1,1))-AVERAGE(OFFSET($H$3,0,0,'Données projet'!$E$10+1,1))</f>
        <v>256.45433991419372</v>
      </c>
      <c r="AO25" s="62">
        <f t="shared" si="36"/>
        <v>184.9718670682193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141.39999999999998</v>
      </c>
      <c r="BE25" s="14">
        <f>BD25*VLOOKUP('Données projet'!$B$11,Paramètres!$A$1:$I$89,3,0)*VLOOKUP('Données projet'!$B$11,Paramètres!$A$1:$I$89,5,0)</f>
        <v>66.17519999999999</v>
      </c>
      <c r="BF25" s="14">
        <f t="shared" si="37"/>
        <v>18.720541159483023</v>
      </c>
      <c r="BG25" s="22">
        <f t="shared" si="7"/>
        <v>147.86008251943289</v>
      </c>
      <c r="BH25" s="62">
        <f t="shared" si="8"/>
        <v>431.41563807498846</v>
      </c>
      <c r="BI25" s="62">
        <f ca="1">AVERAGE(OFFSET($BH$3,0,0,'Données projet'!$E$11+1,1))-AVERAGE(OFFSET($H$3,0,0,'Données projet'!$E$11+1,1))</f>
        <v>152.72674713084456</v>
      </c>
      <c r="BJ25" s="62">
        <f t="shared" si="38"/>
        <v>203.90215120562164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2.2973820578585396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7.4183860133934054</v>
      </c>
      <c r="BS25" s="24">
        <f t="shared" si="9"/>
        <v>9.7157680712519454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6.4218024000000016</v>
      </c>
      <c r="D26" s="12">
        <f t="shared" si="32"/>
        <v>2.38340439248271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21.3425854464809</v>
      </c>
      <c r="H26" s="70">
        <f t="shared" si="1"/>
        <v>272.00240183024073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2.4821428571428572</v>
      </c>
      <c r="N26" s="14">
        <f>IF('Données projet'!$A$36&gt;35,N25+M26-V25,IF(A26&lt;'Données projet'!$A$36,$K$205^A26,IF(A26='Données projet'!$A$36,'Données projet'!$B$36,N25+M26-V25)))</f>
        <v>57.089285714285687</v>
      </c>
      <c r="O26" s="14">
        <f>N26*VLOOKUP('Données projet'!$B$9,Paramètres!$A$1:$I$89,3,0)*VLOOKUP('Données projet'!$B$9,Paramètres!$A$1:$I$89,5,0)</f>
        <v>51.654385714285688</v>
      </c>
      <c r="P26" s="14">
        <f t="shared" si="33"/>
        <v>15.040199183564292</v>
      </c>
      <c r="Q26" s="22">
        <f t="shared" si="2"/>
        <v>116.15973536375537</v>
      </c>
      <c r="R26" s="62">
        <f t="shared" si="0"/>
        <v>400.93751314153315</v>
      </c>
      <c r="S26" s="62">
        <f ca="1">AVERAGE(OFFSET($R$3,0,0,'Données projet'!$E$9+1,1))-AVERAGE(OFFSET($H$3,0,0,'Données projet'!$E$9+1,1))</f>
        <v>228.905960862347</v>
      </c>
      <c r="T26" s="62">
        <f t="shared" si="34"/>
        <v>167.30057656688177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2.4821428571428572</v>
      </c>
      <c r="AI26" s="14">
        <f>IF('Données projet'!$A$62&gt;35,AI25+AH26-AQ25,IF(A26&lt;'Données projet'!$A$62,$AF$205^A26,IF(A26='Données projet'!$A$62,'Données projet'!$B$62,AI25+AH26-AQ25)))</f>
        <v>57.089285714285687</v>
      </c>
      <c r="AJ26" s="14">
        <f>AI26*VLOOKUP('Données projet'!$B$10,Paramètres!$A$1:$I$89,3,0)*VLOOKUP('Données projet'!$B$10,Paramètres!$A$1:$I$89,5,0)</f>
        <v>57.888535714285695</v>
      </c>
      <c r="AK26" s="14">
        <f t="shared" si="35"/>
        <v>16.633316625052863</v>
      </c>
      <c r="AL26" s="22">
        <f t="shared" si="4"/>
        <v>129.79222615768128</v>
      </c>
      <c r="AM26" s="62">
        <f t="shared" si="5"/>
        <v>414.57000393545906</v>
      </c>
      <c r="AN26" s="62">
        <f ca="1">AVERAGE(OFFSET($AM$3,0,0,'Données projet'!$E$10+1,1))-AVERAGE(OFFSET($H$3,0,0,'Données projet'!$E$10+1,1))</f>
        <v>256.45433991419372</v>
      </c>
      <c r="AO26" s="62">
        <f t="shared" si="36"/>
        <v>184.9718670682193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150.59999999999997</v>
      </c>
      <c r="BE26" s="14">
        <f>BD26*VLOOKUP('Données projet'!$B$11,Paramètres!$A$1:$I$89,3,0)*VLOOKUP('Données projet'!$B$11,Paramètres!$A$1:$I$89,5,0)</f>
        <v>70.480799999999988</v>
      </c>
      <c r="BF26" s="14">
        <f t="shared" si="37"/>
        <v>19.792809548371892</v>
      </c>
      <c r="BG26" s="22">
        <f t="shared" si="7"/>
        <v>157.226536630081</v>
      </c>
      <c r="BH26" s="62">
        <f t="shared" si="8"/>
        <v>442.00431440785877</v>
      </c>
      <c r="BI26" s="62">
        <f ca="1">AVERAGE(OFFSET($BH$3,0,0,'Données projet'!$E$11+1,1))-AVERAGE(OFFSET($H$3,0,0,'Données projet'!$E$11+1,1))</f>
        <v>152.72674713084456</v>
      </c>
      <c r="BJ26" s="62">
        <f t="shared" si="38"/>
        <v>203.90215120562164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2.2523317969686256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5.2455910555299159</v>
      </c>
      <c r="BS26" s="24">
        <f t="shared" si="9"/>
        <v>7.497922852498542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6.7010112000000017</v>
      </c>
      <c r="D27" s="12">
        <f t="shared" si="32"/>
        <v>2.4747405393055302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22.240734391271094</v>
      </c>
      <c r="H27" s="70">
        <f t="shared" si="1"/>
        <v>272.6477676126238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2.4821428571428572</v>
      </c>
      <c r="N27" s="14">
        <f>IF('Données projet'!$A$36&gt;35,N26+M27-V26,IF(A27&lt;'Données projet'!$A$36,$K$205^A27,IF(A27='Données projet'!$A$36,'Données projet'!$B$36,N26+M27-V26)))</f>
        <v>59.571428571428541</v>
      </c>
      <c r="O27" s="14">
        <f>N27*VLOOKUP('Données projet'!$B$9,Paramètres!$A$1:$I$89,3,0)*VLOOKUP('Données projet'!$B$9,Paramètres!$A$1:$I$89,5,0)</f>
        <v>53.900228571428542</v>
      </c>
      <c r="P27" s="14">
        <f t="shared" si="33"/>
        <v>15.616565428926265</v>
      </c>
      <c r="Q27" s="22">
        <f t="shared" si="2"/>
        <v>121.07508288395128</v>
      </c>
      <c r="R27" s="62">
        <f t="shared" si="0"/>
        <v>407.07508288395127</v>
      </c>
      <c r="S27" s="62">
        <f ca="1">AVERAGE(OFFSET($R$3,0,0,'Données projet'!$E$9+1,1))-AVERAGE(OFFSET($H$3,0,0,'Données projet'!$E$9+1,1))</f>
        <v>228.905960862347</v>
      </c>
      <c r="T27" s="62">
        <f t="shared" si="34"/>
        <v>167.30057656688177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2.4821428571428572</v>
      </c>
      <c r="AI27" s="14">
        <f>IF('Données projet'!$A$62&gt;35,AI26+AH27-AQ26,IF(A27&lt;'Données projet'!$A$62,$AF$205^A27,IF(A27='Données projet'!$A$62,'Données projet'!$B$62,AI26+AH27-AQ26)))</f>
        <v>59.571428571428541</v>
      </c>
      <c r="AJ27" s="14">
        <f>AI27*VLOOKUP('Données projet'!$B$10,Paramètres!$A$1:$I$89,3,0)*VLOOKUP('Données projet'!$B$10,Paramètres!$A$1:$I$89,5,0)</f>
        <v>60.405428571428544</v>
      </c>
      <c r="AK27" s="14">
        <f t="shared" si="35"/>
        <v>17.270733864950518</v>
      </c>
      <c r="AL27" s="22">
        <f t="shared" si="4"/>
        <v>135.28598291002686</v>
      </c>
      <c r="AM27" s="62">
        <f t="shared" si="5"/>
        <v>421.28598291002686</v>
      </c>
      <c r="AN27" s="62">
        <f ca="1">AVERAGE(OFFSET($AM$3,0,0,'Données projet'!$E$10+1,1))-AVERAGE(OFFSET($H$3,0,0,'Données projet'!$E$10+1,1))</f>
        <v>256.45433991419372</v>
      </c>
      <c r="AO27" s="62">
        <f t="shared" si="36"/>
        <v>184.9718670682193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159.79999999999995</v>
      </c>
      <c r="BE27" s="14">
        <f>BD27*VLOOKUP('Données projet'!$B$11,Paramètres!$A$1:$I$89,3,0)*VLOOKUP('Données projet'!$B$11,Paramètres!$A$1:$I$89,5,0)</f>
        <v>74.786399999999986</v>
      </c>
      <c r="BF27" s="14">
        <f t="shared" si="37"/>
        <v>20.857475351088951</v>
      </c>
      <c r="BG27" s="22">
        <f t="shared" si="7"/>
        <v>166.57974956981323</v>
      </c>
      <c r="BH27" s="62">
        <f t="shared" si="8"/>
        <v>452.5797495698132</v>
      </c>
      <c r="BI27" s="62">
        <f ca="1">AVERAGE(OFFSET($BH$3,0,0,'Données projet'!$E$11+1,1))-AVERAGE(OFFSET($H$3,0,0,'Données projet'!$E$11+1,1))</f>
        <v>152.72674713084456</v>
      </c>
      <c r="BJ27" s="62">
        <f t="shared" si="38"/>
        <v>203.90215120562164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2.2081649442168167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3.7091930066967032</v>
      </c>
      <c r="BS27" s="24">
        <f t="shared" si="9"/>
        <v>5.9173579509135195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6.9802200000000019</v>
      </c>
      <c r="D28" s="12">
        <f t="shared" si="32"/>
        <v>2.5656346432299904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23.137811886116765</v>
      </c>
      <c r="H28" s="70">
        <f t="shared" si="1"/>
        <v>273.29236350362561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2.4821428571428572</v>
      </c>
      <c r="N28" s="14">
        <f>IF('Données projet'!$A$36&gt;35,N27+M28-V27,IF(A28&lt;'Données projet'!$A$36,$K$205^A28,IF(A28='Données projet'!$A$36,'Données projet'!$B$36,N27+M28-V27)))</f>
        <v>62.053571428571395</v>
      </c>
      <c r="O28" s="14">
        <f>N28*VLOOKUP('Données projet'!$B$9,Paramètres!$A$1:$I$89,3,0)*VLOOKUP('Données projet'!$B$9,Paramètres!$A$1:$I$89,5,0)</f>
        <v>56.146071428571403</v>
      </c>
      <c r="P28" s="14">
        <f t="shared" si="33"/>
        <v>16.190142213439721</v>
      </c>
      <c r="Q28" s="22">
        <f t="shared" si="2"/>
        <v>125.98557209316937</v>
      </c>
      <c r="R28" s="62">
        <f t="shared" si="0"/>
        <v>413.2077943153916</v>
      </c>
      <c r="S28" s="62">
        <f ca="1">AVERAGE(OFFSET($R$3,0,0,'Données projet'!$E$9+1,1))-AVERAGE(OFFSET($H$3,0,0,'Données projet'!$E$9+1,1))</f>
        <v>228.905960862347</v>
      </c>
      <c r="T28" s="62">
        <f t="shared" si="34"/>
        <v>167.30057656688177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2.4821428571428572</v>
      </c>
      <c r="AI28" s="14">
        <f>IF('Données projet'!$A$62&gt;35,AI27+AH28-AQ27,IF(A28&lt;'Données projet'!$A$62,$AF$205^A28,IF(A28='Données projet'!$A$62,'Données projet'!$B$62,AI27+AH28-AQ27)))</f>
        <v>62.053571428571395</v>
      </c>
      <c r="AJ28" s="14">
        <f>AI28*VLOOKUP('Données projet'!$B$10,Paramètres!$A$1:$I$89,3,0)*VLOOKUP('Données projet'!$B$10,Paramètres!$A$1:$I$89,5,0)</f>
        <v>62.922321428571401</v>
      </c>
      <c r="AK28" s="14">
        <f t="shared" si="35"/>
        <v>17.905066173263144</v>
      </c>
      <c r="AL28" s="22">
        <f t="shared" si="4"/>
        <v>140.77436673986182</v>
      </c>
      <c r="AM28" s="62">
        <f t="shared" si="5"/>
        <v>427.99658896208405</v>
      </c>
      <c r="AN28" s="62">
        <f ca="1">AVERAGE(OFFSET($AM$3,0,0,'Données projet'!$E$10+1,1))-AVERAGE(OFFSET($H$3,0,0,'Données projet'!$E$10+1,1))</f>
        <v>256.45433991419372</v>
      </c>
      <c r="AO28" s="62">
        <f t="shared" si="36"/>
        <v>184.9718670682193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169</v>
      </c>
      <c r="BB28" s="13">
        <f>VLOOKUP(A28,'Données projet'!$A$87:$I$107,9,0)</f>
        <v>9.1999999999999993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168.99999999999994</v>
      </c>
      <c r="BE28" s="14">
        <f>BD28*VLOOKUP('Données projet'!$B$11,Paramètres!$A$1:$I$89,3,0)*VLOOKUP('Données projet'!$B$11,Paramètres!$A$1:$I$89,5,0)</f>
        <v>79.09199999999997</v>
      </c>
      <c r="BF28" s="14">
        <f t="shared" si="37"/>
        <v>21.915026131449999</v>
      </c>
      <c r="BG28" s="22">
        <f t="shared" si="7"/>
        <v>175.92057051227536</v>
      </c>
      <c r="BH28" s="62">
        <f t="shared" si="8"/>
        <v>463.14279273449756</v>
      </c>
      <c r="BI28" s="62">
        <f ca="1">AVERAGE(OFFSET($BH$3,0,0,'Données projet'!$E$11+1,1))-AVERAGE(OFFSET($H$3,0,0,'Données projet'!$E$11+1,1))</f>
        <v>152.72674713084456</v>
      </c>
      <c r="BJ28" s="62">
        <f t="shared" si="38"/>
        <v>203.90215120562164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35</v>
      </c>
      <c r="BM28" s="17">
        <f>IF(ISNA(VLOOKUP(A28,'Données projet'!$A$87:$I$107,5,0)),0%,VLOOKUP(A28,'Données projet'!$A$87:$I$107,5,0)*VLOOKUP('Données projet'!$B$11,Paramètres!$A$1:$I$89,7,0))</f>
        <v>0.24750000000000003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0.55000000000000004</v>
      </c>
      <c r="BP28" s="23">
        <f>EXP(-LN(2)/35)*BP27+(1-EXP(-LN(2)/35))/(LN(2)/35)*BL28*BM28*VLOOKUP('Données projet'!$B$11,Paramètres!$A$1:$I$89,3,0)*0.475*44/12</f>
        <v>7.5428228070830192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12.82307629618089</v>
      </c>
      <c r="BS28" s="24">
        <f t="shared" si="9"/>
        <v>20.36589910326391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7.259428800000002</v>
      </c>
      <c r="D29" s="12">
        <f t="shared" si="32"/>
        <v>2.6561064089486388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24.033865692427089</v>
      </c>
      <c r="H29" s="70">
        <f t="shared" si="1"/>
        <v>273.93622382225226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2.4821428571428572</v>
      </c>
      <c r="N29" s="14">
        <f>IF('Données projet'!$A$36&gt;35,N28+M29-V28,IF(A29&lt;'Données projet'!$A$36,$K$205^A29,IF(A29='Données projet'!$A$36,'Données projet'!$B$36,N28+M29-V28)))</f>
        <v>64.535714285714249</v>
      </c>
      <c r="O29" s="14">
        <f>N29*VLOOKUP('Données projet'!$B$9,Paramètres!$A$1:$I$89,3,0)*VLOOKUP('Données projet'!$B$9,Paramètres!$A$1:$I$89,5,0)</f>
        <v>58.391914285714243</v>
      </c>
      <c r="P29" s="14">
        <f t="shared" si="33"/>
        <v>16.761053881299759</v>
      </c>
      <c r="Q29" s="22">
        <f t="shared" si="2"/>
        <v>130.89141955754937</v>
      </c>
      <c r="R29" s="62">
        <f t="shared" si="0"/>
        <v>419.33586400199385</v>
      </c>
      <c r="S29" s="62">
        <f ca="1">AVERAGE(OFFSET($R$3,0,0,'Données projet'!$E$9+1,1))-AVERAGE(OFFSET($H$3,0,0,'Données projet'!$E$9+1,1))</f>
        <v>228.905960862347</v>
      </c>
      <c r="T29" s="62">
        <f t="shared" si="34"/>
        <v>167.30057656688177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2.4821428571428572</v>
      </c>
      <c r="AI29" s="14">
        <f>IF('Données projet'!$A$62&gt;35,AI28+AH29-AQ28,IF(A29&lt;'Données projet'!$A$62,$AF$205^A29,IF(A29='Données projet'!$A$62,'Données projet'!$B$62,AI28+AH29-AQ28)))</f>
        <v>64.535714285714249</v>
      </c>
      <c r="AJ29" s="14">
        <f>AI29*VLOOKUP('Données projet'!$B$10,Paramètres!$A$1:$I$89,3,0)*VLOOKUP('Données projet'!$B$10,Paramètres!$A$1:$I$89,5,0)</f>
        <v>65.439214285714257</v>
      </c>
      <c r="AK29" s="14">
        <f t="shared" si="35"/>
        <v>18.536451065215253</v>
      </c>
      <c r="AL29" s="22">
        <f t="shared" si="4"/>
        <v>146.2576171528689</v>
      </c>
      <c r="AM29" s="62">
        <f t="shared" si="5"/>
        <v>434.70206159731333</v>
      </c>
      <c r="AN29" s="62">
        <f ca="1">AVERAGE(OFFSET($AM$3,0,0,'Données projet'!$E$10+1,1))-AVERAGE(OFFSET($H$3,0,0,'Données projet'!$E$10+1,1))</f>
        <v>256.45433991419372</v>
      </c>
      <c r="AO29" s="62">
        <f t="shared" si="36"/>
        <v>184.9718670682193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143.19999999999993</v>
      </c>
      <c r="BE29" s="14">
        <f>BD29*VLOOKUP('Données projet'!$B$11,Paramètres!$A$1:$I$89,3,0)*VLOOKUP('Données projet'!$B$11,Paramètres!$A$1:$I$89,5,0)</f>
        <v>67.017599999999959</v>
      </c>
      <c r="BF29" s="14">
        <f t="shared" si="37"/>
        <v>18.93095622847579</v>
      </c>
      <c r="BG29" s="22">
        <f t="shared" si="7"/>
        <v>149.69373543126193</v>
      </c>
      <c r="BH29" s="62">
        <f t="shared" si="8"/>
        <v>438.13817987570638</v>
      </c>
      <c r="BI29" s="62">
        <f ca="1">AVERAGE(OFFSET($BH$3,0,0,'Données projet'!$E$11+1,1))-AVERAGE(OFFSET($H$3,0,0,'Données projet'!$E$11+1,1))</f>
        <v>152.72674713084456</v>
      </c>
      <c r="BJ29" s="62">
        <f t="shared" si="38"/>
        <v>203.90215120562164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7.3949126525037556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9.0672842047019859</v>
      </c>
      <c r="BS29" s="24">
        <f t="shared" si="9"/>
        <v>16.46219685720574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7.5386376000000022</v>
      </c>
      <c r="D30" s="12">
        <f t="shared" si="32"/>
        <v>2.7461739395698523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24.928939689595982</v>
      </c>
      <c r="H30" s="70">
        <f t="shared" si="1"/>
        <v>274.57938009808419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2.4821428571428572</v>
      </c>
      <c r="N30" s="14">
        <f>IF('Données projet'!$A$36&gt;35,N29+M30-V29,IF(A30&lt;'Données projet'!$A$36,$K$205^A30,IF(A30='Données projet'!$A$36,'Données projet'!$B$36,N29+M30-V29)))</f>
        <v>67.01785714285711</v>
      </c>
      <c r="O30" s="14">
        <f>N30*VLOOKUP('Données projet'!$B$9,Paramètres!$A$1:$I$89,3,0)*VLOOKUP('Données projet'!$B$9,Paramètres!$A$1:$I$89,5,0)</f>
        <v>60.637757142857112</v>
      </c>
      <c r="P30" s="14">
        <f t="shared" si="33"/>
        <v>17.329414670088827</v>
      </c>
      <c r="Q30" s="22">
        <f t="shared" si="2"/>
        <v>135.79282424088083</v>
      </c>
      <c r="R30" s="62">
        <f t="shared" si="0"/>
        <v>425.45949090754755</v>
      </c>
      <c r="S30" s="62">
        <f ca="1">AVERAGE(OFFSET($R$3,0,0,'Données projet'!$E$9+1,1))-AVERAGE(OFFSET($H$3,0,0,'Données projet'!$E$9+1,1))</f>
        <v>228.905960862347</v>
      </c>
      <c r="T30" s="62">
        <f t="shared" si="34"/>
        <v>167.30057656688177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2.4821428571428572</v>
      </c>
      <c r="AI30" s="14">
        <f>IF('Données projet'!$A$62&gt;35,AI29+AH30-AQ29,IF(A30&lt;'Données projet'!$A$62,$AF$205^A30,IF(A30='Données projet'!$A$62,'Données projet'!$B$62,AI29+AH30-AQ29)))</f>
        <v>67.01785714285711</v>
      </c>
      <c r="AJ30" s="14">
        <f>AI30*VLOOKUP('Données projet'!$B$10,Paramètres!$A$1:$I$89,3,0)*VLOOKUP('Données projet'!$B$10,Paramètres!$A$1:$I$89,5,0)</f>
        <v>67.956107142857107</v>
      </c>
      <c r="AK30" s="14">
        <f t="shared" si="35"/>
        <v>19.165014878886307</v>
      </c>
      <c r="AL30" s="22">
        <f t="shared" si="4"/>
        <v>151.73595418786977</v>
      </c>
      <c r="AM30" s="62">
        <f t="shared" si="5"/>
        <v>441.40262085453645</v>
      </c>
      <c r="AN30" s="62">
        <f ca="1">AVERAGE(OFFSET($AM$3,0,0,'Données projet'!$E$10+1,1))-AVERAGE(OFFSET($H$3,0,0,'Données projet'!$E$10+1,1))</f>
        <v>256.45433991419372</v>
      </c>
      <c r="AO30" s="62">
        <f t="shared" si="36"/>
        <v>184.9718670682193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152.39999999999992</v>
      </c>
      <c r="BE30" s="14">
        <f>BD30*VLOOKUP('Données projet'!$B$11,Paramètres!$A$1:$I$89,3,0)*VLOOKUP('Données projet'!$B$11,Paramètres!$A$1:$I$89,5,0)</f>
        <v>71.323199999999957</v>
      </c>
      <c r="BF30" s="14">
        <f t="shared" si="37"/>
        <v>20.001695779651133</v>
      </c>
      <c r="BG30" s="22">
        <f t="shared" si="7"/>
        <v>159.05752681622565</v>
      </c>
      <c r="BH30" s="62">
        <f t="shared" si="8"/>
        <v>448.72419348289236</v>
      </c>
      <c r="BI30" s="62">
        <f ca="1">AVERAGE(OFFSET($BH$3,0,0,'Données projet'!$E$11+1,1))-AVERAGE(OFFSET($H$3,0,0,'Données projet'!$E$11+1,1))</f>
        <v>152.72674713084456</v>
      </c>
      <c r="BJ30" s="62">
        <f t="shared" si="38"/>
        <v>203.90215120562164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7.2499029258395051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6.4115381480904459</v>
      </c>
      <c r="BS30" s="24">
        <f t="shared" si="9"/>
        <v>13.66144107392995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7.8178464000000023</v>
      </c>
      <c r="D31" s="12">
        <f t="shared" si="32"/>
        <v>2.8358539212519593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25.823074322529312</v>
      </c>
      <c r="H31" s="70">
        <f t="shared" si="1"/>
        <v>275.22186139284719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2.4821428571428572</v>
      </c>
      <c r="N31" s="14">
        <f>IF('Données projet'!$A$36&gt;35,N30+M31-V30,IF(A31&lt;'Données projet'!$A$36,$K$205^A31,IF(A31='Données projet'!$A$36,'Données projet'!$B$36,N30+M31-V30)))</f>
        <v>69.499999999999972</v>
      </c>
      <c r="O31" s="14">
        <f>N31*VLOOKUP('Données projet'!$B$9,Paramètres!$A$1:$I$89,3,0)*VLOOKUP('Données projet'!$B$9,Paramètres!$A$1:$I$89,5,0)</f>
        <v>62.883599999999973</v>
      </c>
      <c r="P31" s="14">
        <f t="shared" si="33"/>
        <v>17.895329875889171</v>
      </c>
      <c r="Q31" s="22">
        <f t="shared" si="2"/>
        <v>140.68996953384027</v>
      </c>
      <c r="R31" s="62">
        <f t="shared" si="0"/>
        <v>431.57885842272913</v>
      </c>
      <c r="S31" s="62">
        <f ca="1">AVERAGE(OFFSET($R$3,0,0,'Données projet'!$E$9+1,1))-AVERAGE(OFFSET($H$3,0,0,'Données projet'!$E$9+1,1))</f>
        <v>228.905960862347</v>
      </c>
      <c r="T31" s="62">
        <f t="shared" si="34"/>
        <v>167.30057656688177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2.4821428571428572</v>
      </c>
      <c r="AI31" s="14">
        <f>IF('Données projet'!$A$62&gt;35,AI30+AH31-AQ30,IF(A31&lt;'Données projet'!$A$62,$AF$205^A31,IF(A31='Données projet'!$A$62,'Données projet'!$B$62,AI30+AH31-AQ30)))</f>
        <v>69.499999999999972</v>
      </c>
      <c r="AJ31" s="14">
        <f>AI31*VLOOKUP('Données projet'!$B$10,Paramètres!$A$1:$I$89,3,0)*VLOOKUP('Données projet'!$B$10,Paramètres!$A$1:$I$89,5,0)</f>
        <v>70.472999999999971</v>
      </c>
      <c r="AK31" s="14">
        <f t="shared" si="35"/>
        <v>19.790874063736425</v>
      </c>
      <c r="AL31" s="22">
        <f t="shared" si="4"/>
        <v>157.20958066100755</v>
      </c>
      <c r="AM31" s="62">
        <f t="shared" si="5"/>
        <v>448.09846954989644</v>
      </c>
      <c r="AN31" s="62">
        <f ca="1">AVERAGE(OFFSET($AM$3,0,0,'Données projet'!$E$10+1,1))-AVERAGE(OFFSET($H$3,0,0,'Données projet'!$E$10+1,1))</f>
        <v>256.45433991419372</v>
      </c>
      <c r="AO31" s="62">
        <f t="shared" si="36"/>
        <v>184.9718670682193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161.59999999999991</v>
      </c>
      <c r="BE31" s="14">
        <f>BD31*VLOOKUP('Données projet'!$B$11,Paramètres!$A$1:$I$89,3,0)*VLOOKUP('Données projet'!$B$11,Paramètres!$A$1:$I$89,5,0)</f>
        <v>75.628799999999956</v>
      </c>
      <c r="BF31" s="14">
        <f t="shared" si="37"/>
        <v>21.064933051654201</v>
      </c>
      <c r="BG31" s="22">
        <f t="shared" si="7"/>
        <v>168.408251731631</v>
      </c>
      <c r="BH31" s="62">
        <f t="shared" si="8"/>
        <v>459.29714062051983</v>
      </c>
      <c r="BI31" s="62">
        <f ca="1">AVERAGE(OFFSET($BH$3,0,0,'Données projet'!$E$11+1,1))-AVERAGE(OFFSET($H$3,0,0,'Données projet'!$E$11+1,1))</f>
        <v>152.72674713084456</v>
      </c>
      <c r="BJ31" s="62">
        <f t="shared" si="38"/>
        <v>203.90215120562164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7.1077367514679404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4.533642102350993</v>
      </c>
      <c r="BS31" s="24">
        <f t="shared" si="9"/>
        <v>11.641378853818933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8.0970552000000016</v>
      </c>
      <c r="D32" s="12">
        <f t="shared" si="32"/>
        <v>2.9251617807198498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26.716306983443062</v>
      </c>
      <c r="H32" s="70">
        <f t="shared" si="1"/>
        <v>275.86369457475377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2.4821428571428572</v>
      </c>
      <c r="N32" s="14">
        <f>IF('Données projet'!$A$36&gt;35,N31+M32-V31,IF(A32&lt;'Données projet'!$A$36,$K$205^A32,IF(A32='Données projet'!$A$36,'Données projet'!$B$36,N31+M32-V31)))</f>
        <v>71.982142857142833</v>
      </c>
      <c r="O32" s="14">
        <f>N32*VLOOKUP('Données projet'!$B$9,Paramètres!$A$1:$I$89,3,0)*VLOOKUP('Données projet'!$B$9,Paramètres!$A$1:$I$89,5,0)</f>
        <v>65.129442857142834</v>
      </c>
      <c r="P32" s="14">
        <f t="shared" si="33"/>
        <v>18.458896847273195</v>
      </c>
      <c r="Q32" s="22">
        <f t="shared" si="2"/>
        <v>145.58302498519123</v>
      </c>
      <c r="R32" s="62">
        <f t="shared" si="0"/>
        <v>437.69413609630237</v>
      </c>
      <c r="S32" s="62">
        <f ca="1">AVERAGE(OFFSET($R$3,0,0,'Données projet'!$E$9+1,1))-AVERAGE(OFFSET($H$3,0,0,'Données projet'!$E$9+1,1))</f>
        <v>228.905960862347</v>
      </c>
      <c r="T32" s="62">
        <f t="shared" si="34"/>
        <v>167.30057656688177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2.4821428571428572</v>
      </c>
      <c r="AI32" s="14">
        <f>IF('Données projet'!$A$62&gt;35,AI31+AH32-AQ31,IF(A32&lt;'Données projet'!$A$62,$AF$205^A32,IF(A32='Données projet'!$A$62,'Données projet'!$B$62,AI31+AH32-AQ31)))</f>
        <v>71.982142857142833</v>
      </c>
      <c r="AJ32" s="14">
        <f>AI32*VLOOKUP('Données projet'!$B$10,Paramètres!$A$1:$I$89,3,0)*VLOOKUP('Données projet'!$B$10,Paramètres!$A$1:$I$89,5,0)</f>
        <v>72.989892857142848</v>
      </c>
      <c r="AK32" s="14">
        <f t="shared" si="35"/>
        <v>20.414136279884222</v>
      </c>
      <c r="AL32" s="22">
        <f t="shared" si="4"/>
        <v>162.67868408032214</v>
      </c>
      <c r="AM32" s="62">
        <f t="shared" si="5"/>
        <v>454.78979519143331</v>
      </c>
      <c r="AN32" s="62">
        <f ca="1">AVERAGE(OFFSET($AM$3,0,0,'Données projet'!$E$10+1,1))-AVERAGE(OFFSET($H$3,0,0,'Données projet'!$E$10+1,1))</f>
        <v>256.45433991419372</v>
      </c>
      <c r="AO32" s="62">
        <f t="shared" si="36"/>
        <v>184.9718670682193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170.7999999999999</v>
      </c>
      <c r="BE32" s="14">
        <f>BD32*VLOOKUP('Données projet'!$B$11,Paramètres!$A$1:$I$89,3,0)*VLOOKUP('Données projet'!$B$11,Paramètres!$A$1:$I$89,5,0)</f>
        <v>79.934399999999954</v>
      </c>
      <c r="BF32" s="14">
        <f t="shared" si="37"/>
        <v>22.121143821921795</v>
      </c>
      <c r="BG32" s="22">
        <f t="shared" si="7"/>
        <v>177.74673882318038</v>
      </c>
      <c r="BH32" s="62">
        <f t="shared" si="8"/>
        <v>469.85784993429149</v>
      </c>
      <c r="BI32" s="62">
        <f ca="1">AVERAGE(OFFSET($BH$3,0,0,'Données projet'!$E$11+1,1))-AVERAGE(OFFSET($H$3,0,0,'Données projet'!$E$11+1,1))</f>
        <v>152.72674713084456</v>
      </c>
      <c r="BJ32" s="62">
        <f t="shared" si="38"/>
        <v>203.90215120562164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6.9683583690629982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3.2057690740452229</v>
      </c>
      <c r="BS32" s="24">
        <f t="shared" si="9"/>
        <v>10.174127443108221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8.3762640000000008</v>
      </c>
      <c r="D33" s="12">
        <f t="shared" si="32"/>
        <v>3.0141118204447692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27.608672339520165</v>
      </c>
      <c r="H33" s="70">
        <f t="shared" si="1"/>
        <v>276.50490455394134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2.4821428571428572</v>
      </c>
      <c r="N33" s="14">
        <f>IF('Données projet'!$A$36&gt;35,N32+M33-V32,IF(A33&lt;'Données projet'!$A$36,$K$205^A33,IF(A33='Données projet'!$A$36,'Données projet'!$B$36,N32+M33-V32)))</f>
        <v>74.464285714285694</v>
      </c>
      <c r="O33" s="14">
        <f>N33*VLOOKUP('Données projet'!$B$9,Paramètres!$A$1:$I$89,3,0)*VLOOKUP('Données projet'!$B$9,Paramètres!$A$1:$I$89,5,0)</f>
        <v>67.375285714285695</v>
      </c>
      <c r="P33" s="14">
        <f t="shared" si="33"/>
        <v>19.020205838340029</v>
      </c>
      <c r="Q33" s="22">
        <f t="shared" si="2"/>
        <v>150.4721477874898</v>
      </c>
      <c r="R33" s="62">
        <f t="shared" si="0"/>
        <v>443.80548112082312</v>
      </c>
      <c r="S33" s="62">
        <f ca="1">AVERAGE(OFFSET($R$3,0,0,'Données projet'!$E$9+1,1))-AVERAGE(OFFSET($H$3,0,0,'Données projet'!$E$9+1,1))</f>
        <v>228.905960862347</v>
      </c>
      <c r="T33" s="62">
        <f t="shared" si="34"/>
        <v>167.30057656688177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2.4821428571428572</v>
      </c>
      <c r="AI33" s="14">
        <f>IF('Données projet'!$A$62&gt;35,AI32+AH33-AQ32,IF(A33&lt;'Données projet'!$A$62,$AF$205^A33,IF(A33='Données projet'!$A$62,'Données projet'!$B$62,AI32+AH33-AQ32)))</f>
        <v>74.464285714285694</v>
      </c>
      <c r="AJ33" s="14">
        <f>AI33*VLOOKUP('Données projet'!$B$10,Paramètres!$A$1:$I$89,3,0)*VLOOKUP('Données projet'!$B$10,Paramètres!$A$1:$I$89,5,0)</f>
        <v>75.506785714285698</v>
      </c>
      <c r="AK33" s="14">
        <f t="shared" si="35"/>
        <v>21.034901341500326</v>
      </c>
      <c r="AL33" s="22">
        <f t="shared" si="4"/>
        <v>168.14343828882735</v>
      </c>
      <c r="AM33" s="62">
        <f t="shared" si="5"/>
        <v>461.47677162216064</v>
      </c>
      <c r="AN33" s="62">
        <f ca="1">AVERAGE(OFFSET($AM$3,0,0,'Données projet'!$E$10+1,1))-AVERAGE(OFFSET($H$3,0,0,'Données projet'!$E$10+1,1))</f>
        <v>256.45433991419372</v>
      </c>
      <c r="AO33" s="62">
        <f t="shared" si="36"/>
        <v>184.9718670682193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179.99999999999989</v>
      </c>
      <c r="BE33" s="14">
        <f>BD33*VLOOKUP('Données projet'!$B$11,Paramètres!$A$1:$I$89,3,0)*VLOOKUP('Données projet'!$B$11,Paramètres!$A$1:$I$89,5,0)</f>
        <v>84.239999999999938</v>
      </c>
      <c r="BF33" s="14">
        <f t="shared" si="37"/>
        <v>23.170749718409446</v>
      </c>
      <c r="BG33" s="22">
        <f t="shared" si="7"/>
        <v>187.07372242622966</v>
      </c>
      <c r="BH33" s="62">
        <f t="shared" si="8"/>
        <v>480.40705575956298</v>
      </c>
      <c r="BI33" s="62">
        <f ca="1">AVERAGE(OFFSET($BH$3,0,0,'Données projet'!$E$11+1,1))-AVERAGE(OFFSET($H$3,0,0,'Données projet'!$E$11+1,1))</f>
        <v>152.72674713084456</v>
      </c>
      <c r="BJ33" s="62">
        <f t="shared" si="38"/>
        <v>203.90215120562164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50</v>
      </c>
      <c r="BM33" s="17">
        <f>IF(ISNA(VLOOKUP(A33,'Données projet'!$A$87:$I$107,5,0)),0%,VLOOKUP(A33,'Données projet'!$A$87:$I$107,5,0)*VLOOKUP('Données projet'!$B$11,Paramètres!$A$1:$I$89,7,0))</f>
        <v>0.27500000000000002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15.36815538247804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15.513938932235146</v>
      </c>
      <c r="BS33" s="24">
        <f t="shared" si="9"/>
        <v>30.882094314713186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8.6554728000000001</v>
      </c>
      <c r="D34" s="12">
        <f t="shared" si="32"/>
        <v>3.1027173352938102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28.500202615652508</v>
      </c>
      <c r="H34" s="70">
        <f t="shared" si="1"/>
        <v>277.14551448563674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2.4821428571428572</v>
      </c>
      <c r="N34" s="14">
        <f>IF('Données projet'!$A$36&gt;35,N33+M34-V33,IF(A34&lt;'Données projet'!$A$36,$K$205^A34,IF(A34='Données projet'!$A$36,'Données projet'!$B$36,N33+M34-V33)))</f>
        <v>76.946428571428555</v>
      </c>
      <c r="O34" s="14">
        <f>N34*VLOOKUP('Données projet'!$B$9,Paramètres!$A$1:$I$89,3,0)*VLOOKUP('Données projet'!$B$9,Paramètres!$A$1:$I$89,5,0)</f>
        <v>69.621128571428557</v>
      </c>
      <c r="P34" s="14">
        <f t="shared" si="33"/>
        <v>19.579340744818779</v>
      </c>
      <c r="Q34" s="22">
        <f t="shared" si="2"/>
        <v>155.35748405913077</v>
      </c>
      <c r="R34" s="62">
        <f t="shared" si="0"/>
        <v>448.69081739246406</v>
      </c>
      <c r="S34" s="62">
        <f ca="1">AVERAGE(OFFSET($R$3,0,0,'Données projet'!$E$9+1,1))-AVERAGE(OFFSET($H$3,0,0,'Données projet'!$E$9+1,1))</f>
        <v>228.905960862347</v>
      </c>
      <c r="T34" s="62">
        <f t="shared" si="34"/>
        <v>167.30057656688177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2.4821428571428572</v>
      </c>
      <c r="AI34" s="14">
        <f>IF('Données projet'!$A$62&gt;35,AI33+AH34-AQ33,IF(A34&lt;'Données projet'!$A$62,$AF$205^A34,IF(A34='Données projet'!$A$62,'Données projet'!$B$62,AI33+AH34-AQ33)))</f>
        <v>76.946428571428555</v>
      </c>
      <c r="AJ34" s="14">
        <f>AI34*VLOOKUP('Données projet'!$B$10,Paramètres!$A$1:$I$89,3,0)*VLOOKUP('Données projet'!$B$10,Paramètres!$A$1:$I$89,5,0)</f>
        <v>78.023678571428562</v>
      </c>
      <c r="AK34" s="14">
        <f t="shared" si="35"/>
        <v>21.653262030881582</v>
      </c>
      <c r="AL34" s="22">
        <f t="shared" si="4"/>
        <v>173.6040048823568</v>
      </c>
      <c r="AM34" s="62">
        <f t="shared" si="5"/>
        <v>466.93733821569015</v>
      </c>
      <c r="AN34" s="62">
        <f ca="1">AVERAGE(OFFSET($AM$3,0,0,'Données projet'!$E$10+1,1))-AVERAGE(OFFSET($H$3,0,0,'Données projet'!$E$10+1,1))</f>
        <v>256.45433991419372</v>
      </c>
      <c r="AO34" s="62">
        <f t="shared" si="36"/>
        <v>184.9718670682193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139.99999999999989</v>
      </c>
      <c r="BE34" s="14">
        <f>BD34*VLOOKUP('Données projet'!$B$11,Paramètres!$A$1:$I$89,3,0)*VLOOKUP('Données projet'!$B$11,Paramètres!$A$1:$I$89,5,0)</f>
        <v>65.519999999999939</v>
      </c>
      <c r="BF34" s="14">
        <f t="shared" si="37"/>
        <v>18.556669503136707</v>
      </c>
      <c r="BG34" s="22">
        <f t="shared" si="7"/>
        <v>146.43353271796298</v>
      </c>
      <c r="BH34" s="62">
        <f t="shared" si="8"/>
        <v>439.76686605129629</v>
      </c>
      <c r="BI34" s="62">
        <f ca="1">AVERAGE(OFFSET($BH$3,0,0,'Données projet'!$E$11+1,1))-AVERAGE(OFFSET($H$3,0,0,'Données projet'!$E$11+1,1))</f>
        <v>152.72674713084456</v>
      </c>
      <c r="BJ34" s="62">
        <f t="shared" si="38"/>
        <v>203.90215120562164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15.066795229076858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10.970011421897459</v>
      </c>
      <c r="BS34" s="24">
        <f t="shared" si="9"/>
        <v>26.036806650974317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8.9346815999999993</v>
      </c>
      <c r="D35" s="12">
        <f t="shared" si="32"/>
        <v>3.1909907137050557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29.390927839675271</v>
      </c>
      <c r="H35" s="70">
        <f t="shared" si="1"/>
        <v>277.78554594636967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2.4821428571428572</v>
      </c>
      <c r="N35" s="14">
        <f>IF('Données projet'!$A$36&gt;35,N34+M35-V34,IF(A35&lt;'Données projet'!$A$36,$K$205^A35,IF(A35='Données projet'!$A$36,'Données projet'!$B$36,N34+M35-V34)))</f>
        <v>79.428571428571416</v>
      </c>
      <c r="O35" s="14">
        <f>N35*VLOOKUP('Données projet'!$B$9,Paramètres!$A$1:$I$89,3,0)*VLOOKUP('Données projet'!$B$9,Paramètres!$A$1:$I$89,5,0)</f>
        <v>71.866971428571418</v>
      </c>
      <c r="P35" s="14">
        <f t="shared" si="33"/>
        <v>20.136379742522521</v>
      </c>
      <c r="Q35" s="22">
        <f t="shared" ref="Q35:Q66" si="53">(O35+P35)*0.475*44/12</f>
        <v>160.23916995632194</v>
      </c>
      <c r="R35" s="62">
        <f t="shared" si="0"/>
        <v>453.57250328965529</v>
      </c>
      <c r="S35" s="62">
        <f ca="1">AVERAGE(OFFSET($R$3,0,0,'Données projet'!$E$9+1,1))-AVERAGE(OFFSET($H$3,0,0,'Données projet'!$E$9+1,1))</f>
        <v>228.905960862347</v>
      </c>
      <c r="T35" s="62">
        <f t="shared" si="34"/>
        <v>167.30057656688177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2.4821428571428572</v>
      </c>
      <c r="AI35" s="14">
        <f>IF('Données projet'!$A$62&gt;35,AI34+AH35-AQ34,IF(A35&lt;'Données projet'!$A$62,$AF$205^A35,IF(A35='Données projet'!$A$62,'Données projet'!$B$62,AI34+AH35-AQ34)))</f>
        <v>79.428571428571416</v>
      </c>
      <c r="AJ35" s="14">
        <f>AI35*VLOOKUP('Données projet'!$B$10,Paramètres!$A$1:$I$89,3,0)*VLOOKUP('Données projet'!$B$10,Paramètres!$A$1:$I$89,5,0)</f>
        <v>80.540571428571411</v>
      </c>
      <c r="AK35" s="14">
        <f t="shared" si="35"/>
        <v>22.269304804532712</v>
      </c>
      <c r="AL35" s="22">
        <f t="shared" si="4"/>
        <v>179.06053443932299</v>
      </c>
      <c r="AM35" s="62">
        <f t="shared" si="5"/>
        <v>472.39386777265634</v>
      </c>
      <c r="AN35" s="62">
        <f ca="1">AVERAGE(OFFSET($AM$3,0,0,'Données projet'!$E$10+1,1))-AVERAGE(OFFSET($H$3,0,0,'Données projet'!$E$10+1,1))</f>
        <v>256.45433991419372</v>
      </c>
      <c r="AO35" s="62">
        <f t="shared" si="36"/>
        <v>184.9718670682193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149.99999999999989</v>
      </c>
      <c r="BE35" s="14">
        <f>BD35*VLOOKUP('Données projet'!$B$11,Paramètres!$A$1:$I$89,3,0)*VLOOKUP('Données projet'!$B$11,Paramètres!$A$1:$I$89,5,0)</f>
        <v>70.199999999999946</v>
      </c>
      <c r="BF35" s="14">
        <f t="shared" si="37"/>
        <v>19.723116370112184</v>
      </c>
      <c r="BG35" s="22">
        <f t="shared" si="7"/>
        <v>156.61609434461192</v>
      </c>
      <c r="BH35" s="62">
        <f t="shared" si="8"/>
        <v>449.94942767794521</v>
      </c>
      <c r="BI35" s="62">
        <f ca="1">AVERAGE(OFFSET($BH$3,0,0,'Données projet'!$E$11+1,1))-AVERAGE(OFFSET($H$3,0,0,'Données projet'!$E$11+1,1))</f>
        <v>152.72674713084456</v>
      </c>
      <c r="BJ35" s="62">
        <f t="shared" si="38"/>
        <v>203.90215120562164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14.771344564472329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7.7569694661175737</v>
      </c>
      <c r="BS35" s="24">
        <f t="shared" si="9"/>
        <v>22.528314030589904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9.2138903999999986</v>
      </c>
      <c r="D36" s="12">
        <f t="shared" si="32"/>
        <v>3.2789435258605435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30.280876056085834</v>
      </c>
      <c r="H36" s="70">
        <f t="shared" si="1"/>
        <v>278.42501908754048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2.4821428571428572</v>
      </c>
      <c r="N36" s="14">
        <f>IF('Données projet'!$A$36&gt;35,N35+M36-V35,IF(A36&lt;'Données projet'!$A$36,$K$205^A36,IF(A36='Données projet'!$A$36,'Données projet'!$B$36,N35+M36-V35)))</f>
        <v>81.910714285714278</v>
      </c>
      <c r="O36" s="14">
        <f>N36*VLOOKUP('Données projet'!$B$9,Paramètres!$A$1:$I$89,3,0)*VLOOKUP('Données projet'!$B$9,Paramètres!$A$1:$I$89,5,0)</f>
        <v>74.112814285714265</v>
      </c>
      <c r="P36" s="14">
        <f t="shared" si="33"/>
        <v>20.69139584375376</v>
      </c>
      <c r="Q36" s="22">
        <f t="shared" si="53"/>
        <v>165.11733264215681</v>
      </c>
      <c r="R36" s="62">
        <f t="shared" si="0"/>
        <v>458.4506659754901</v>
      </c>
      <c r="S36" s="62">
        <f ca="1">AVERAGE(OFFSET($R$3,0,0,'Données projet'!$E$9+1,1))-AVERAGE(OFFSET($H$3,0,0,'Données projet'!$E$9+1,1))</f>
        <v>228.905960862347</v>
      </c>
      <c r="T36" s="62">
        <f t="shared" si="34"/>
        <v>167.30057656688177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2.4821428571428572</v>
      </c>
      <c r="AI36" s="14">
        <f>IF('Données projet'!$A$62&gt;35,AI35+AH36-AQ35,IF(A36&lt;'Données projet'!$A$62,$AF$205^A36,IF(A36='Données projet'!$A$62,'Données projet'!$B$62,AI35+AH36-AQ35)))</f>
        <v>81.910714285714278</v>
      </c>
      <c r="AJ36" s="14">
        <f>AI36*VLOOKUP('Données projet'!$B$10,Paramètres!$A$1:$I$89,3,0)*VLOOKUP('Données projet'!$B$10,Paramètres!$A$1:$I$89,5,0)</f>
        <v>83.057464285714289</v>
      </c>
      <c r="AK36" s="14">
        <f t="shared" si="35"/>
        <v>22.883110408508383</v>
      </c>
      <c r="AL36" s="22">
        <f t="shared" si="4"/>
        <v>184.51316759243784</v>
      </c>
      <c r="AM36" s="62">
        <f t="shared" si="5"/>
        <v>477.84650092577112</v>
      </c>
      <c r="AN36" s="62">
        <f ca="1">AVERAGE(OFFSET($AM$3,0,0,'Données projet'!$E$10+1,1))-AVERAGE(OFFSET($H$3,0,0,'Données projet'!$E$10+1,1))</f>
        <v>256.45433991419372</v>
      </c>
      <c r="AO36" s="62">
        <f t="shared" si="36"/>
        <v>184.9718670682193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159.99999999999989</v>
      </c>
      <c r="BE36" s="14">
        <f>BD36*VLOOKUP('Données projet'!$B$11,Paramètres!$A$1:$I$89,3,0)*VLOOKUP('Données projet'!$B$11,Paramètres!$A$1:$I$89,5,0)</f>
        <v>74.879999999999953</v>
      </c>
      <c r="BF36" s="14">
        <f t="shared" si="37"/>
        <v>20.880539585643213</v>
      </c>
      <c r="BG36" s="22">
        <f t="shared" si="7"/>
        <v>166.78293977832848</v>
      </c>
      <c r="BH36" s="62">
        <f t="shared" si="8"/>
        <v>460.11627311166183</v>
      </c>
      <c r="BI36" s="62">
        <f ca="1">AVERAGE(OFFSET($BH$3,0,0,'Données projet'!$E$11+1,1))-AVERAGE(OFFSET($H$3,0,0,'Données projet'!$E$11+1,1))</f>
        <v>152.72674713084456</v>
      </c>
      <c r="BJ36" s="62">
        <f t="shared" si="38"/>
        <v>203.90215120562164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14.481687507193584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5.4850057109487302</v>
      </c>
      <c r="BS36" s="24">
        <f t="shared" si="9"/>
        <v>19.966693218142314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9.4930991999999979</v>
      </c>
      <c r="D37" s="12">
        <f t="shared" si="32"/>
        <v>3.3665866008713241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31.170073513129505</v>
      </c>
      <c r="H37" s="70">
        <f t="shared" si="1"/>
        <v>279.06395276985091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2.4821428571428572</v>
      </c>
      <c r="N37" s="14">
        <f>IF('Données projet'!$A$36&gt;35,N36+M37-V36,IF(A37&lt;'Données projet'!$A$36,$K$205^A37,IF(A37='Données projet'!$A$36,'Données projet'!$B$36,N36+M37-V36)))</f>
        <v>84.392857142857139</v>
      </c>
      <c r="O37" s="14">
        <f>N37*VLOOKUP('Données projet'!$B$9,Paramètres!$A$1:$I$89,3,0)*VLOOKUP('Données projet'!$B$9,Paramètres!$A$1:$I$89,5,0)</f>
        <v>76.35865714285714</v>
      </c>
      <c r="P37" s="14">
        <f t="shared" si="33"/>
        <v>21.244457384371774</v>
      </c>
      <c r="Q37" s="22">
        <f t="shared" si="53"/>
        <v>169.99209113492367</v>
      </c>
      <c r="R37" s="62">
        <f t="shared" si="0"/>
        <v>463.32542446825698</v>
      </c>
      <c r="S37" s="62">
        <f ca="1">AVERAGE(OFFSET($R$3,0,0,'Données projet'!$E$9+1,1))-AVERAGE(OFFSET($H$3,0,0,'Données projet'!$E$9+1,1))</f>
        <v>228.905960862347</v>
      </c>
      <c r="T37" s="62">
        <f t="shared" si="34"/>
        <v>167.30057656688177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2.4821428571428572</v>
      </c>
      <c r="AI37" s="14">
        <f>IF('Données projet'!$A$62&gt;35,AI36+AH37-AQ36,IF(A37&lt;'Données projet'!$A$62,$AF$205^A37,IF(A37='Données projet'!$A$62,'Données projet'!$B$62,AI36+AH37-AQ36)))</f>
        <v>84.392857142857139</v>
      </c>
      <c r="AJ37" s="14">
        <f>AI37*VLOOKUP('Données projet'!$B$10,Paramètres!$A$1:$I$89,3,0)*VLOOKUP('Données projet'!$B$10,Paramètres!$A$1:$I$89,5,0)</f>
        <v>85.574357142857153</v>
      </c>
      <c r="AK37" s="14">
        <f t="shared" si="35"/>
        <v>23.494754417072532</v>
      </c>
      <c r="AL37" s="22">
        <f t="shared" si="4"/>
        <v>189.96203596687749</v>
      </c>
      <c r="AM37" s="62">
        <f t="shared" si="5"/>
        <v>483.29536930021084</v>
      </c>
      <c r="AN37" s="62">
        <f ca="1">AVERAGE(OFFSET($AM$3,0,0,'Données projet'!$E$10+1,1))-AVERAGE(OFFSET($H$3,0,0,'Données projet'!$E$10+1,1))</f>
        <v>256.45433991419372</v>
      </c>
      <c r="AO37" s="62">
        <f t="shared" si="36"/>
        <v>184.9718670682193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169.99999999999989</v>
      </c>
      <c r="BE37" s="14">
        <f>BD37*VLOOKUP('Données projet'!$B$11,Paramètres!$A$1:$I$89,3,0)*VLOOKUP('Données projet'!$B$11,Paramètres!$A$1:$I$89,5,0)</f>
        <v>79.559999999999945</v>
      </c>
      <c r="BF37" s="14">
        <f t="shared" si="37"/>
        <v>22.029567333453301</v>
      </c>
      <c r="BG37" s="22">
        <f t="shared" si="7"/>
        <v>176.93516310576442</v>
      </c>
      <c r="BH37" s="62">
        <f t="shared" si="8"/>
        <v>470.2684964390977</v>
      </c>
      <c r="BI37" s="62">
        <f ca="1">AVERAGE(OFFSET($BH$3,0,0,'Données projet'!$E$11+1,1))-AVERAGE(OFFSET($H$3,0,0,'Données projet'!$E$11+1,1))</f>
        <v>152.72674713084456</v>
      </c>
      <c r="BJ37" s="62">
        <f t="shared" si="38"/>
        <v>203.90215120562164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14.197710448134716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3.8784847330587877</v>
      </c>
      <c r="BS37" s="24">
        <f t="shared" si="9"/>
        <v>18.076195181193505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9.7723079999999971</v>
      </c>
      <c r="D38" s="12">
        <f t="shared" si="32"/>
        <v>3.4539300946267382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32.058544827256661</v>
      </c>
      <c r="H38" s="70">
        <f t="shared" si="1"/>
        <v>279.70236468147493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2.4821428571428572</v>
      </c>
      <c r="N38" s="14">
        <f>IF('Données projet'!$A$36&gt;35,N37+M38-V37,IF(A38&lt;'Données projet'!$A$36,$K$205^A38,IF(A38='Données projet'!$A$36,'Données projet'!$B$36,N37+M38-V37)))</f>
        <v>86.875</v>
      </c>
      <c r="O38" s="14">
        <f>N38*VLOOKUP('Données projet'!$B$9,Paramètres!$A$1:$I$89,3,0)*VLOOKUP('Données projet'!$B$9,Paramètres!$A$1:$I$89,5,0)</f>
        <v>78.604500000000002</v>
      </c>
      <c r="P38" s="14">
        <f t="shared" si="33"/>
        <v>21.795628451947699</v>
      </c>
      <c r="Q38" s="22">
        <f t="shared" si="53"/>
        <v>174.8635570538089</v>
      </c>
      <c r="R38" s="62">
        <f t="shared" si="0"/>
        <v>468.19689038714222</v>
      </c>
      <c r="S38" s="62">
        <f ca="1">AVERAGE(OFFSET($R$3,0,0,'Données projet'!$E$9+1,1))-AVERAGE(OFFSET($H$3,0,0,'Données projet'!$E$9+1,1))</f>
        <v>228.905960862347</v>
      </c>
      <c r="T38" s="62">
        <f t="shared" si="34"/>
        <v>167.30057656688177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2.4821428571428572</v>
      </c>
      <c r="AI38" s="14">
        <f>IF('Données projet'!$A$62&gt;35,AI37+AH38-AQ37,IF(A38&lt;'Données projet'!$A$62,$AF$205^A38,IF(A38='Données projet'!$A$62,'Données projet'!$B$62,AI37+AH38-AQ37)))</f>
        <v>86.875</v>
      </c>
      <c r="AJ38" s="14">
        <f>AI38*VLOOKUP('Données projet'!$B$10,Paramètres!$A$1:$I$89,3,0)*VLOOKUP('Données projet'!$B$10,Paramètres!$A$1:$I$89,5,0)</f>
        <v>88.091250000000002</v>
      </c>
      <c r="AK38" s="14">
        <f t="shared" si="35"/>
        <v>24.104307706205656</v>
      </c>
      <c r="AL38" s="22">
        <f t="shared" si="4"/>
        <v>195.40726300497485</v>
      </c>
      <c r="AM38" s="62">
        <f t="shared" si="5"/>
        <v>488.74059633830814</v>
      </c>
      <c r="AN38" s="62">
        <f ca="1">AVERAGE(OFFSET($AM$3,0,0,'Données projet'!$E$10+1,1))-AVERAGE(OFFSET($H$3,0,0,'Données projet'!$E$10+1,1))</f>
        <v>256.45433991419372</v>
      </c>
      <c r="AO38" s="62">
        <f t="shared" si="36"/>
        <v>184.9718670682193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179.99999999999989</v>
      </c>
      <c r="BE38" s="14">
        <f>BD38*VLOOKUP('Données projet'!$B$11,Paramètres!$A$1:$I$89,3,0)*VLOOKUP('Données projet'!$B$11,Paramètres!$A$1:$I$89,5,0)</f>
        <v>84.239999999999938</v>
      </c>
      <c r="BF38" s="14">
        <f t="shared" si="37"/>
        <v>23.170749718409446</v>
      </c>
      <c r="BG38" s="22">
        <f t="shared" si="7"/>
        <v>187.07372242622966</v>
      </c>
      <c r="BH38" s="62">
        <f t="shared" si="8"/>
        <v>480.40705575956298</v>
      </c>
      <c r="BI38" s="62">
        <f ca="1">AVERAGE(OFFSET($BH$3,0,0,'Données projet'!$E$11+1,1))-AVERAGE(OFFSET($H$3,0,0,'Données projet'!$E$11+1,1))</f>
        <v>152.72674713084456</v>
      </c>
      <c r="BJ38" s="62">
        <f t="shared" si="38"/>
        <v>203.90215120562164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13.919302005995089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2.7425028554743656</v>
      </c>
      <c r="BS38" s="24">
        <f t="shared" si="9"/>
        <v>16.661804861469456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10.051516799999996</v>
      </c>
      <c r="D39" s="12">
        <f t="shared" si="32"/>
        <v>3.5409835496715671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32.946313128256548</v>
      </c>
      <c r="H39" s="70">
        <f t="shared" si="1"/>
        <v>280.34027144234466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2.4821428571428572</v>
      </c>
      <c r="N39" s="14">
        <f>IF('Données projet'!$A$36&gt;35,N38+M39-V38,IF(A39&lt;'Données projet'!$A$36,$K$205^A39,IF(A39='Données projet'!$A$36,'Données projet'!$B$36,N38+M39-V38)))</f>
        <v>89.357142857142861</v>
      </c>
      <c r="O39" s="14">
        <f>N39*VLOOKUP('Données projet'!$B$9,Paramètres!$A$1:$I$89,3,0)*VLOOKUP('Données projet'!$B$9,Paramètres!$A$1:$I$89,5,0)</f>
        <v>80.850342857142849</v>
      </c>
      <c r="P39" s="14">
        <f t="shared" si="33"/>
        <v>22.344969263612402</v>
      </c>
      <c r="Q39" s="22">
        <f t="shared" si="53"/>
        <v>179.73183527698203</v>
      </c>
      <c r="R39" s="62">
        <f t="shared" si="0"/>
        <v>473.06516861031537</v>
      </c>
      <c r="S39" s="62">
        <f ca="1">AVERAGE(OFFSET($R$3,0,0,'Données projet'!$E$9+1,1))-AVERAGE(OFFSET($H$3,0,0,'Données projet'!$E$9+1,1))</f>
        <v>228.905960862347</v>
      </c>
      <c r="T39" s="62">
        <f t="shared" si="34"/>
        <v>167.30057656688177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2.4821428571428572</v>
      </c>
      <c r="AI39" s="14">
        <f>IF('Données projet'!$A$62&gt;35,AI38+AH39-AQ38,IF(A39&lt;'Données projet'!$A$62,$AF$205^A39,IF(A39='Données projet'!$A$62,'Données projet'!$B$62,AI38+AH39-AQ38)))</f>
        <v>89.357142857142861</v>
      </c>
      <c r="AJ39" s="14">
        <f>AI39*VLOOKUP('Données projet'!$B$10,Paramètres!$A$1:$I$89,3,0)*VLOOKUP('Données projet'!$B$10,Paramètres!$A$1:$I$89,5,0)</f>
        <v>90.608142857142866</v>
      </c>
      <c r="AK39" s="14">
        <f t="shared" si="35"/>
        <v>24.711836871475466</v>
      </c>
      <c r="AL39" s="22">
        <f t="shared" si="4"/>
        <v>200.84896469401028</v>
      </c>
      <c r="AM39" s="62">
        <f t="shared" si="5"/>
        <v>494.18229802734356</v>
      </c>
      <c r="AN39" s="62">
        <f ca="1">AVERAGE(OFFSET($AM$3,0,0,'Données projet'!$E$10+1,1))-AVERAGE(OFFSET($H$3,0,0,'Données projet'!$E$10+1,1))</f>
        <v>256.45433991419372</v>
      </c>
      <c r="AO39" s="62">
        <f t="shared" si="36"/>
        <v>184.9718670682193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189.99999999999989</v>
      </c>
      <c r="BE39" s="14">
        <f>BD39*VLOOKUP('Données projet'!$B$11,Paramètres!$A$1:$I$89,3,0)*VLOOKUP('Données projet'!$B$11,Paramètres!$A$1:$I$89,5,0)</f>
        <v>88.919999999999959</v>
      </c>
      <c r="BF39" s="14">
        <f t="shared" si="37"/>
        <v>24.30457227046648</v>
      </c>
      <c r="BG39" s="22">
        <f t="shared" si="7"/>
        <v>197.19946337106239</v>
      </c>
      <c r="BH39" s="62">
        <f t="shared" si="8"/>
        <v>490.53279670439571</v>
      </c>
      <c r="BI39" s="62">
        <f ca="1">AVERAGE(OFFSET($BH$3,0,0,'Données projet'!$E$11+1,1))-AVERAGE(OFFSET($H$3,0,0,'Données projet'!$E$11+1,1))</f>
        <v>152.72674713084456</v>
      </c>
      <c r="BJ39" s="62">
        <f t="shared" si="38"/>
        <v>203.90215120562164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13.646352983593438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1.9392423665293941</v>
      </c>
      <c r="BS39" s="24">
        <f t="shared" si="9"/>
        <v>15.585595350122832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10.330725599999996</v>
      </c>
      <c r="D40" s="12">
        <f t="shared" si="32"/>
        <v>3.6277559482431032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33.833400187811698</v>
      </c>
      <c r="H40" s="70">
        <f t="shared" si="1"/>
        <v>280.97768869652339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2.4821428571428572</v>
      </c>
      <c r="N40" s="14">
        <f>IF('Données projet'!$A$36&gt;35,N39+M40-V39,IF(A40&lt;'Données projet'!$A$36,$K$205^A40,IF(A40='Données projet'!$A$36,'Données projet'!$B$36,N39+M40-V39)))</f>
        <v>91.839285714285722</v>
      </c>
      <c r="O40" s="14">
        <f>N40*VLOOKUP('Données projet'!$B$9,Paramètres!$A$1:$I$89,3,0)*VLOOKUP('Données projet'!$B$9,Paramètres!$A$1:$I$89,5,0)</f>
        <v>83.096185714285724</v>
      </c>
      <c r="P40" s="14">
        <f t="shared" si="33"/>
        <v>22.892536500740857</v>
      </c>
      <c r="Q40" s="22">
        <f t="shared" si="53"/>
        <v>184.59702452450463</v>
      </c>
      <c r="R40" s="62">
        <f t="shared" si="0"/>
        <v>477.93035785783798</v>
      </c>
      <c r="S40" s="62">
        <f ca="1">AVERAGE(OFFSET($R$3,0,0,'Données projet'!$E$9+1,1))-AVERAGE(OFFSET($H$3,0,0,'Données projet'!$E$9+1,1))</f>
        <v>228.905960862347</v>
      </c>
      <c r="T40" s="62">
        <f t="shared" si="34"/>
        <v>167.30057656688177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2.4821428571428572</v>
      </c>
      <c r="AI40" s="14">
        <f>IF('Données projet'!$A$62&gt;35,AI39+AH40-AQ39,IF(A40&lt;'Données projet'!$A$62,$AF$205^A40,IF(A40='Données projet'!$A$62,'Données projet'!$B$62,AI39+AH40-AQ39)))</f>
        <v>91.839285714285722</v>
      </c>
      <c r="AJ40" s="14">
        <f>AI40*VLOOKUP('Données projet'!$B$10,Paramètres!$A$1:$I$89,3,0)*VLOOKUP('Données projet'!$B$10,Paramètres!$A$1:$I$89,5,0)</f>
        <v>93.12503571428573</v>
      </c>
      <c r="AK40" s="14">
        <f t="shared" si="35"/>
        <v>25.317404598172594</v>
      </c>
      <c r="AL40" s="22">
        <f t="shared" si="4"/>
        <v>206.28725021086493</v>
      </c>
      <c r="AM40" s="62">
        <f t="shared" si="5"/>
        <v>499.62058354419821</v>
      </c>
      <c r="AN40" s="62">
        <f ca="1">AVERAGE(OFFSET($AM$3,0,0,'Données projet'!$E$10+1,1))-AVERAGE(OFFSET($H$3,0,0,'Données projet'!$E$10+1,1))</f>
        <v>256.45433991419372</v>
      </c>
      <c r="AO40" s="62">
        <f t="shared" si="36"/>
        <v>184.9718670682193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200</v>
      </c>
      <c r="BB40" s="13">
        <f>VLOOKUP(A40,'Données projet'!$A$87:$I$107,9,0)</f>
        <v>10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199.99999999999989</v>
      </c>
      <c r="BE40" s="14">
        <f>BD40*VLOOKUP('Données projet'!$B$11,Paramètres!$A$1:$I$89,3,0)*VLOOKUP('Données projet'!$B$11,Paramètres!$A$1:$I$89,5,0)</f>
        <v>93.599999999999952</v>
      </c>
      <c r="BF40" s="14">
        <f t="shared" si="37"/>
        <v>25.431466524572915</v>
      </c>
      <c r="BG40" s="22">
        <f t="shared" si="7"/>
        <v>207.31313753029772</v>
      </c>
      <c r="BH40" s="62">
        <f t="shared" si="8"/>
        <v>500.64647086363107</v>
      </c>
      <c r="BI40" s="62">
        <f ca="1">AVERAGE(OFFSET($BH$3,0,0,'Données projet'!$E$11+1,1))-AVERAGE(OFFSET($H$3,0,0,'Données projet'!$E$11+1,1))</f>
        <v>152.72674713084456</v>
      </c>
      <c r="BJ40" s="62">
        <f t="shared" si="38"/>
        <v>203.90215120562164</v>
      </c>
      <c r="BK40" s="16">
        <f>IF(ISNA(VLOOKUP(A40,'Données projet'!$A$87:$I$107,3,0)),0,VLOOKUP(A40,'Données projet'!$A$87:$I$107,3,0))</f>
        <v>4</v>
      </c>
      <c r="BL40" s="16">
        <f>IF(ISNA(VLOOKUP(A40,'Données projet'!$A$87:$I$107,4,0)),0,VLOOKUP(A40,'Données projet'!$A$87:$I$107,4,0))</f>
        <v>50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13.378756325038617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1.371251427737183</v>
      </c>
      <c r="BS40" s="24">
        <f t="shared" si="9"/>
        <v>14.750007752775801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10.609934399999995</v>
      </c>
      <c r="D41" s="12">
        <f t="shared" si="32"/>
        <v>3.7142557594132595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34.719826533763772</v>
      </c>
      <c r="H41" s="70">
        <f t="shared" si="1"/>
        <v>281.61463119431141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2.4821428571428572</v>
      </c>
      <c r="N41" s="14">
        <f>IF('Données projet'!$A$36&gt;35,N40+M41-V40,IF(A41&lt;'Données projet'!$A$36,$K$205^A41,IF(A41='Données projet'!$A$36,'Données projet'!$B$36,N40+M41-V40)))</f>
        <v>94.321428571428584</v>
      </c>
      <c r="O41" s="14">
        <f>N41*VLOOKUP('Données projet'!$B$9,Paramètres!$A$1:$I$89,3,0)*VLOOKUP('Données projet'!$B$9,Paramètres!$A$1:$I$89,5,0)</f>
        <v>85.342028571428585</v>
      </c>
      <c r="P41" s="14">
        <f t="shared" si="33"/>
        <v>23.438383606436851</v>
      </c>
      <c r="Q41" s="22">
        <f t="shared" si="53"/>
        <v>189.45921787644895</v>
      </c>
      <c r="R41" s="62">
        <f t="shared" si="0"/>
        <v>482.79255120978223</v>
      </c>
      <c r="S41" s="62">
        <f ca="1">AVERAGE(OFFSET($R$3,0,0,'Données projet'!$E$9+1,1))-AVERAGE(OFFSET($H$3,0,0,'Données projet'!$E$9+1,1))</f>
        <v>228.905960862347</v>
      </c>
      <c r="T41" s="62">
        <f t="shared" si="34"/>
        <v>167.30057656688177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2.4821428571428572</v>
      </c>
      <c r="AI41" s="14">
        <f>IF('Données projet'!$A$62&gt;35,AI40+AH41-AQ40,IF(A41&lt;'Données projet'!$A$62,$AF$205^A41,IF(A41='Données projet'!$A$62,'Données projet'!$B$62,AI40+AH41-AQ40)))</f>
        <v>94.321428571428584</v>
      </c>
      <c r="AJ41" s="14">
        <f>AI41*VLOOKUP('Données projet'!$B$10,Paramètres!$A$1:$I$89,3,0)*VLOOKUP('Données projet'!$B$10,Paramètres!$A$1:$I$89,5,0)</f>
        <v>95.641928571428593</v>
      </c>
      <c r="AK41" s="14">
        <f t="shared" si="35"/>
        <v>25.921069990305952</v>
      </c>
      <c r="AL41" s="22">
        <f t="shared" si="4"/>
        <v>211.72222249502099</v>
      </c>
      <c r="AM41" s="62">
        <f t="shared" si="5"/>
        <v>505.05555582835427</v>
      </c>
      <c r="AN41" s="62">
        <f ca="1">AVERAGE(OFFSET($AM$3,0,0,'Données projet'!$E$10+1,1))-AVERAGE(OFFSET($H$3,0,0,'Données projet'!$E$10+1,1))</f>
        <v>256.45433991419372</v>
      </c>
      <c r="AO41" s="62">
        <f t="shared" si="36"/>
        <v>184.9718670682193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10.857142857142858</v>
      </c>
      <c r="BD41" s="13">
        <f>IF('Données projet'!$A$88&gt;35,BD40+BC41-BL40,IF(A41&lt;'Données projet'!$A$88,$BA$205^A41,IF(A41='Données projet'!$A$88,'Données projet'!$B$88,BD40+BC41-BL40)))</f>
        <v>160.85714285714275</v>
      </c>
      <c r="BE41" s="14">
        <f>BD41*VLOOKUP('Données projet'!$B$11,Paramètres!$A$1:$I$89,3,0)*VLOOKUP('Données projet'!$B$11,Paramètres!$A$1:$I$89,5,0)</f>
        <v>75.281142857142797</v>
      </c>
      <c r="BF41" s="14">
        <f t="shared" si="37"/>
        <v>20.979348355748712</v>
      </c>
      <c r="BG41" s="22">
        <f t="shared" si="7"/>
        <v>167.6536888624527</v>
      </c>
      <c r="BH41" s="62">
        <f t="shared" si="8"/>
        <v>460.98702219578604</v>
      </c>
      <c r="BI41" s="62">
        <f ca="1">AVERAGE(OFFSET($BH$3,0,0,'Données projet'!$E$11+1,1))-AVERAGE(OFFSET($H$3,0,0,'Données projet'!$E$11+1,1))</f>
        <v>152.72674713084456</v>
      </c>
      <c r="BJ41" s="62">
        <f t="shared" si="38"/>
        <v>203.90215120562164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13.116407073740213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0.96962118326469726</v>
      </c>
      <c r="BS41" s="24">
        <f t="shared" si="9"/>
        <v>14.08602825700491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10.889143199999994</v>
      </c>
      <c r="D42" s="12">
        <f t="shared" si="32"/>
        <v>3.8004909811287431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35.605611552013094</v>
      </c>
      <c r="H42" s="70">
        <f t="shared" si="1"/>
        <v>282.25111286546587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2.4821428571428572</v>
      </c>
      <c r="N42" s="14">
        <f>IF('Données projet'!$A$36&gt;35,N41+M42-V41,IF(A42&lt;'Données projet'!$A$36,$K$205^A42,IF(A42='Données projet'!$A$36,'Données projet'!$B$36,N41+M42-V41)))</f>
        <v>96.803571428571445</v>
      </c>
      <c r="O42" s="14">
        <f>N42*VLOOKUP('Données projet'!$B$9,Paramètres!$A$1:$I$89,3,0)*VLOOKUP('Données projet'!$B$9,Paramètres!$A$1:$I$89,5,0)</f>
        <v>87.587871428571432</v>
      </c>
      <c r="P42" s="14">
        <f t="shared" si="33"/>
        <v>23.982561050822898</v>
      </c>
      <c r="Q42" s="22">
        <f t="shared" si="53"/>
        <v>194.3185032349451</v>
      </c>
      <c r="R42" s="62">
        <f t="shared" si="0"/>
        <v>487.65183656827844</v>
      </c>
      <c r="S42" s="62">
        <f ca="1">AVERAGE(OFFSET($R$3,0,0,'Données projet'!$E$9+1,1))-AVERAGE(OFFSET($H$3,0,0,'Données projet'!$E$9+1,1))</f>
        <v>228.905960862347</v>
      </c>
      <c r="T42" s="62">
        <f t="shared" si="34"/>
        <v>167.30057656688177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2.4821428571428572</v>
      </c>
      <c r="AI42" s="14">
        <f>IF('Données projet'!$A$62&gt;35,AI41+AH42-AQ41,IF(A42&lt;'Données projet'!$A$62,$AF$205^A42,IF(A42='Données projet'!$A$62,'Données projet'!$B$62,AI41+AH42-AQ41)))</f>
        <v>96.803571428571445</v>
      </c>
      <c r="AJ42" s="14">
        <f>AI42*VLOOKUP('Données projet'!$B$10,Paramètres!$A$1:$I$89,3,0)*VLOOKUP('Données projet'!$B$10,Paramètres!$A$1:$I$89,5,0)</f>
        <v>98.158821428571457</v>
      </c>
      <c r="AK42" s="14">
        <f t="shared" si="35"/>
        <v>26.522888863993259</v>
      </c>
      <c r="AL42" s="22">
        <f t="shared" si="4"/>
        <v>217.1539787595502</v>
      </c>
      <c r="AM42" s="62">
        <f t="shared" si="5"/>
        <v>510.48731209288349</v>
      </c>
      <c r="AN42" s="62">
        <f ca="1">AVERAGE(OFFSET($AM$3,0,0,'Données projet'!$E$10+1,1))-AVERAGE(OFFSET($H$3,0,0,'Données projet'!$E$10+1,1))</f>
        <v>256.45433991419372</v>
      </c>
      <c r="AO42" s="62">
        <f t="shared" si="36"/>
        <v>184.9718670682193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10.857142857142858</v>
      </c>
      <c r="BD42" s="13">
        <f>IF('Données projet'!$A$88&gt;35,BD41+BC42-BL41,IF(A42&lt;'Données projet'!$A$88,$BA$205^A42,IF(A42='Données projet'!$A$88,'Données projet'!$B$88,BD41+BC42-BL41)))</f>
        <v>171.71428571428561</v>
      </c>
      <c r="BE42" s="14">
        <f>BD42*VLOOKUP('Données projet'!$B$11,Paramètres!$A$1:$I$89,3,0)*VLOOKUP('Données projet'!$B$11,Paramètres!$A$1:$I$89,5,0)</f>
        <v>80.362285714285662</v>
      </c>
      <c r="BF42" s="14">
        <f t="shared" si="37"/>
        <v>22.225741561876685</v>
      </c>
      <c r="BG42" s="22">
        <f t="shared" si="7"/>
        <v>178.67414750598275</v>
      </c>
      <c r="BH42" s="62">
        <f t="shared" si="8"/>
        <v>472.00748083931603</v>
      </c>
      <c r="BI42" s="62">
        <f ca="1">AVERAGE(OFFSET($BH$3,0,0,'Données projet'!$E$11+1,1))-AVERAGE(OFFSET($H$3,0,0,'Données projet'!$E$11+1,1))</f>
        <v>152.72674713084456</v>
      </c>
      <c r="BJ42" s="62">
        <f t="shared" si="38"/>
        <v>203.90215120562164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12.859202331242527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0.68562571386859161</v>
      </c>
      <c r="BS42" s="24">
        <f t="shared" si="9"/>
        <v>13.544828045111117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11.168351999999993</v>
      </c>
      <c r="D43" s="12">
        <f t="shared" si="32"/>
        <v>3.8864691778181024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36.490773577672776</v>
      </c>
      <c r="H43" s="70">
        <f t="shared" si="1"/>
        <v>282.88714688469986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2.4821428571428572</v>
      </c>
      <c r="N43" s="14">
        <f>IF('Données projet'!$A$36&gt;35,N42+M43-V42,IF(A43&lt;'Données projet'!$A$36,$K$205^A43,IF(A43='Données projet'!$A$36,'Données projet'!$B$36,N42+M43-V42)))</f>
        <v>99.285714285714306</v>
      </c>
      <c r="O43" s="14">
        <f>N43*VLOOKUP('Données projet'!$B$9,Paramètres!$A$1:$I$89,3,0)*VLOOKUP('Données projet'!$B$9,Paramètres!$A$1:$I$89,5,0)</f>
        <v>89.833714285714308</v>
      </c>
      <c r="P43" s="14">
        <f t="shared" si="33"/>
        <v>24.525116568354967</v>
      </c>
      <c r="Q43" s="22">
        <f t="shared" si="53"/>
        <v>199.17496373750399</v>
      </c>
      <c r="R43" s="62">
        <f t="shared" si="0"/>
        <v>492.50829707083733</v>
      </c>
      <c r="S43" s="62">
        <f ca="1">AVERAGE(OFFSET($R$3,0,0,'Données projet'!$E$9+1,1))-AVERAGE(OFFSET($H$3,0,0,'Données projet'!$E$9+1,1))</f>
        <v>228.905960862347</v>
      </c>
      <c r="T43" s="62">
        <f t="shared" si="34"/>
        <v>167.30057656688177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2.4821428571428572</v>
      </c>
      <c r="AI43" s="14">
        <f>IF('Données projet'!$A$62&gt;35,AI42+AH43-AQ42,IF(A43&lt;'Données projet'!$A$62,$AF$205^A43,IF(A43='Données projet'!$A$62,'Données projet'!$B$62,AI42+AH43-AQ42)))</f>
        <v>99.285714285714306</v>
      </c>
      <c r="AJ43" s="14">
        <f>AI43*VLOOKUP('Données projet'!$B$10,Paramètres!$A$1:$I$89,3,0)*VLOOKUP('Données projet'!$B$10,Paramètres!$A$1:$I$89,5,0)</f>
        <v>100.67571428571432</v>
      </c>
      <c r="AK43" s="14">
        <f t="shared" si="35"/>
        <v>27.122914009913</v>
      </c>
      <c r="AL43" s="22">
        <f t="shared" si="4"/>
        <v>222.58261094821759</v>
      </c>
      <c r="AM43" s="62">
        <f t="shared" si="5"/>
        <v>515.91594428155088</v>
      </c>
      <c r="AN43" s="62">
        <f ca="1">AVERAGE(OFFSET($AM$3,0,0,'Données projet'!$E$10+1,1))-AVERAGE(OFFSET($H$3,0,0,'Données projet'!$E$10+1,1))</f>
        <v>256.45433991419372</v>
      </c>
      <c r="AO43" s="62">
        <f t="shared" si="36"/>
        <v>184.9718670682193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10.857142857142858</v>
      </c>
      <c r="BD43" s="13">
        <f>IF('Données projet'!$A$88&gt;35,BD42+BC43-BL42,IF(A43&lt;'Données projet'!$A$88,$BA$205^A43,IF(A43='Données projet'!$A$88,'Données projet'!$B$88,BD42+BC43-BL42)))</f>
        <v>182.57142857142847</v>
      </c>
      <c r="BE43" s="14">
        <f>BD43*VLOOKUP('Données projet'!$B$11,Paramètres!$A$1:$I$89,3,0)*VLOOKUP('Données projet'!$B$11,Paramètres!$A$1:$I$89,5,0)</f>
        <v>85.443428571428527</v>
      </c>
      <c r="BF43" s="14">
        <f t="shared" si="37"/>
        <v>23.462988887975445</v>
      </c>
      <c r="BG43" s="22">
        <f t="shared" si="7"/>
        <v>189.67867707512858</v>
      </c>
      <c r="BH43" s="62">
        <f t="shared" si="8"/>
        <v>483.01201040846189</v>
      </c>
      <c r="BI43" s="62">
        <f ca="1">AVERAGE(OFFSET($BH$3,0,0,'Données projet'!$E$11+1,1))-AVERAGE(OFFSET($H$3,0,0,'Données projet'!$E$11+1,1))</f>
        <v>152.72674713084456</v>
      </c>
      <c r="BJ43" s="62">
        <f t="shared" si="38"/>
        <v>203.90215120562164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12.607041216865817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0.48481059163234869</v>
      </c>
      <c r="BS43" s="24">
        <f t="shared" si="9"/>
        <v>13.091851808498165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11.447560799999993</v>
      </c>
      <c r="D44" s="12">
        <f t="shared" si="32"/>
        <v>3.9721975141322088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37.375329976850971</v>
      </c>
      <c r="H44" s="70">
        <f t="shared" si="1"/>
        <v>283.52274573044696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2.4821428571428572</v>
      </c>
      <c r="N44" s="14">
        <f>IF('Données projet'!$A$36&gt;35,N43+M44-V43,IF(A44&lt;'Données projet'!$A$36,$K$205^A44,IF(A44='Données projet'!$A$36,'Données projet'!$B$36,N43+M44-V43)))</f>
        <v>101.76785714285717</v>
      </c>
      <c r="O44" s="14">
        <f>N44*VLOOKUP('Données projet'!$B$9,Paramètres!$A$1:$I$89,3,0)*VLOOKUP('Données projet'!$B$9,Paramètres!$A$1:$I$89,5,0)</f>
        <v>92.079557142857169</v>
      </c>
      <c r="P44" s="14">
        <f t="shared" si="33"/>
        <v>25.066095370737997</v>
      </c>
      <c r="Q44" s="22">
        <f t="shared" si="53"/>
        <v>204.02867812784493</v>
      </c>
      <c r="R44" s="62">
        <f t="shared" si="0"/>
        <v>497.36201146117821</v>
      </c>
      <c r="S44" s="62">
        <f ca="1">AVERAGE(OFFSET($R$3,0,0,'Données projet'!$E$9+1,1))-AVERAGE(OFFSET($H$3,0,0,'Données projet'!$E$9+1,1))</f>
        <v>228.905960862347</v>
      </c>
      <c r="T44" s="62">
        <f t="shared" si="34"/>
        <v>167.30057656688177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2.4821428571428572</v>
      </c>
      <c r="AI44" s="14">
        <f>IF('Données projet'!$A$62&gt;35,AI43+AH44-AQ43,IF(A44&lt;'Données projet'!$A$62,$AF$205^A44,IF(A44='Données projet'!$A$62,'Données projet'!$B$62,AI43+AH44-AQ43)))</f>
        <v>101.76785714285717</v>
      </c>
      <c r="AJ44" s="14">
        <f>AI44*VLOOKUP('Données projet'!$B$10,Paramètres!$A$1:$I$89,3,0)*VLOOKUP('Données projet'!$B$10,Paramètres!$A$1:$I$89,5,0)</f>
        <v>103.19260714285717</v>
      </c>
      <c r="AK44" s="14">
        <f t="shared" si="35"/>
        <v>27.72119542877293</v>
      </c>
      <c r="AL44" s="22">
        <f t="shared" si="4"/>
        <v>228.00820614558907</v>
      </c>
      <c r="AM44" s="62">
        <f t="shared" si="5"/>
        <v>521.34153947892241</v>
      </c>
      <c r="AN44" s="62">
        <f ca="1">AVERAGE(OFFSET($AM$3,0,0,'Données projet'!$E$10+1,1))-AVERAGE(OFFSET($H$3,0,0,'Données projet'!$E$10+1,1))</f>
        <v>256.45433991419372</v>
      </c>
      <c r="AO44" s="62">
        <f t="shared" si="36"/>
        <v>184.9718670682193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10.857142857142858</v>
      </c>
      <c r="BD44" s="13">
        <f>IF('Données projet'!$A$88&gt;35,BD43+BC44-BL43,IF(A44&lt;'Données projet'!$A$88,$BA$205^A44,IF(A44='Données projet'!$A$88,'Données projet'!$B$88,BD43+BC44-BL43)))</f>
        <v>193.42857142857133</v>
      </c>
      <c r="BE44" s="14">
        <f>BD44*VLOOKUP('Données projet'!$B$11,Paramètres!$A$1:$I$89,3,0)*VLOOKUP('Données projet'!$B$11,Paramètres!$A$1:$I$89,5,0)</f>
        <v>90.524571428571392</v>
      </c>
      <c r="BF44" s="14">
        <f t="shared" si="37"/>
        <v>24.691696167188251</v>
      </c>
      <c r="BG44" s="22">
        <f t="shared" si="7"/>
        <v>200.66833272928136</v>
      </c>
      <c r="BH44" s="62">
        <f t="shared" si="8"/>
        <v>494.00166606261467</v>
      </c>
      <c r="BI44" s="62">
        <f ca="1">AVERAGE(OFFSET($BH$3,0,0,'Données projet'!$E$11+1,1))-AVERAGE(OFFSET($H$3,0,0,'Données projet'!$E$11+1,1))</f>
        <v>152.72674713084456</v>
      </c>
      <c r="BJ44" s="62">
        <f t="shared" si="38"/>
        <v>203.90215120562164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12.359824828138942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0.34281285693429586</v>
      </c>
      <c r="BS44" s="24">
        <f t="shared" si="9"/>
        <v>12.702637685073238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11.726769599999992</v>
      </c>
      <c r="D45" s="12">
        <f t="shared" si="32"/>
        <v>4.0576827853002841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38.259297220229584</v>
      </c>
      <c r="H45" s="70">
        <f t="shared" si="1"/>
        <v>284.15792123773133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2.4821428571428572</v>
      </c>
      <c r="N45" s="14">
        <f>IF('Données projet'!$A$36&gt;35,N44+M45-V44,IF(A45&lt;'Données projet'!$A$36,$K$205^A45,IF(A45='Données projet'!$A$36,'Données projet'!$B$36,N44+M45-V44)))</f>
        <v>104.25000000000003</v>
      </c>
      <c r="O45" s="14">
        <f>N45*VLOOKUP('Données projet'!$B$9,Paramètres!$A$1:$I$89,3,0)*VLOOKUP('Données projet'!$B$9,Paramètres!$A$1:$I$89,5,0)</f>
        <v>94.325400000000016</v>
      </c>
      <c r="P45" s="14">
        <f t="shared" si="33"/>
        <v>25.605540338484143</v>
      </c>
      <c r="Q45" s="22">
        <f t="shared" si="53"/>
        <v>208.87972108952658</v>
      </c>
      <c r="R45" s="62">
        <f t="shared" si="0"/>
        <v>502.2130544228599</v>
      </c>
      <c r="S45" s="62">
        <f ca="1">AVERAGE(OFFSET($R$3,0,0,'Données projet'!$E$9+1,1))-AVERAGE(OFFSET($H$3,0,0,'Données projet'!$E$9+1,1))</f>
        <v>228.905960862347</v>
      </c>
      <c r="T45" s="62">
        <f t="shared" si="34"/>
        <v>167.30057656688177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2.4821428571428572</v>
      </c>
      <c r="AI45" s="14">
        <f>IF('Données projet'!$A$62&gt;35,AI44+AH45-AQ44,IF(A45&lt;'Données projet'!$A$62,$AF$205^A45,IF(A45='Données projet'!$A$62,'Données projet'!$B$62,AI44+AH45-AQ44)))</f>
        <v>104.25000000000003</v>
      </c>
      <c r="AJ45" s="14">
        <f>AI45*VLOOKUP('Données projet'!$B$10,Paramètres!$A$1:$I$89,3,0)*VLOOKUP('Données projet'!$B$10,Paramètres!$A$1:$I$89,5,0)</f>
        <v>105.70950000000003</v>
      </c>
      <c r="AK45" s="14">
        <f t="shared" si="35"/>
        <v>28.317780543158797</v>
      </c>
      <c r="AL45" s="22">
        <f t="shared" si="4"/>
        <v>233.43084694600165</v>
      </c>
      <c r="AM45" s="62">
        <f t="shared" si="5"/>
        <v>526.76418027933494</v>
      </c>
      <c r="AN45" s="62">
        <f ca="1">AVERAGE(OFFSET($AM$3,0,0,'Données projet'!$E$10+1,1))-AVERAGE(OFFSET($H$3,0,0,'Données projet'!$E$10+1,1))</f>
        <v>256.45433991419372</v>
      </c>
      <c r="AO45" s="62">
        <f t="shared" si="36"/>
        <v>184.9718670682193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10.857142857142858</v>
      </c>
      <c r="BD45" s="13">
        <f>IF('Données projet'!$A$88&gt;35,BD44+BC45-BL44,IF(A45&lt;'Données projet'!$A$88,$BA$205^A45,IF(A45='Données projet'!$A$88,'Données projet'!$B$88,BD44+BC45-BL44)))</f>
        <v>204.28571428571419</v>
      </c>
      <c r="BE45" s="14">
        <f>BD45*VLOOKUP('Données projet'!$B$11,Paramètres!$A$1:$I$89,3,0)*VLOOKUP('Données projet'!$B$11,Paramètres!$A$1:$I$89,5,0)</f>
        <v>95.605714285714242</v>
      </c>
      <c r="BF45" s="14">
        <f t="shared" si="37"/>
        <v>25.912397380593962</v>
      </c>
      <c r="BG45" s="22">
        <f t="shared" si="7"/>
        <v>211.64404448548677</v>
      </c>
      <c r="BH45" s="62">
        <f t="shared" si="8"/>
        <v>504.97737781882006</v>
      </c>
      <c r="BI45" s="62">
        <f ca="1">AVERAGE(OFFSET($BH$3,0,0,'Données projet'!$E$11+1,1))-AVERAGE(OFFSET($H$3,0,0,'Données projet'!$E$11+1,1))</f>
        <v>152.72674713084456</v>
      </c>
      <c r="BJ45" s="62">
        <f t="shared" si="38"/>
        <v>203.90215120562164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12.117456202007894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0.24240529581617437</v>
      </c>
      <c r="BS45" s="24">
        <f t="shared" si="9"/>
        <v>12.359861497824069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12.005978399999991</v>
      </c>
      <c r="D46" s="12">
        <f t="shared" si="32"/>
        <v>4.1429314445134606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39.142690949438212</v>
      </c>
      <c r="H46" s="70">
        <f t="shared" si="1"/>
        <v>284.79268464586096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2.4821428571428572</v>
      </c>
      <c r="N46" s="14">
        <f>IF('Données projet'!$A$36&gt;35,N45+M46-V45,IF(A46&lt;'Données projet'!$A$36,$K$205^A46,IF(A46='Données projet'!$A$36,'Données projet'!$B$36,N45+M46-V45)))</f>
        <v>106.73214285714289</v>
      </c>
      <c r="O46" s="14">
        <f>N46*VLOOKUP('Données projet'!$B$9,Paramètres!$A$1:$I$89,3,0)*VLOOKUP('Données projet'!$B$9,Paramètres!$A$1:$I$89,5,0)</f>
        <v>96.571242857142892</v>
      </c>
      <c r="P46" s="14">
        <f t="shared" si="33"/>
        <v>26.143492193713545</v>
      </c>
      <c r="Q46" s="22">
        <f t="shared" si="53"/>
        <v>213.72816354690826</v>
      </c>
      <c r="R46" s="62">
        <f t="shared" si="0"/>
        <v>507.06149688024158</v>
      </c>
      <c r="S46" s="62">
        <f ca="1">AVERAGE(OFFSET($R$3,0,0,'Données projet'!$E$9+1,1))-AVERAGE(OFFSET($H$3,0,0,'Données projet'!$E$9+1,1))</f>
        <v>228.905960862347</v>
      </c>
      <c r="T46" s="62">
        <f t="shared" si="34"/>
        <v>167.30057656688177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2.4821428571428572</v>
      </c>
      <c r="AI46" s="14">
        <f>IF('Données projet'!$A$62&gt;35,AI45+AH46-AQ45,IF(A46&lt;'Données projet'!$A$62,$AF$205^A46,IF(A46='Données projet'!$A$62,'Données projet'!$B$62,AI45+AH46-AQ45)))</f>
        <v>106.73214285714289</v>
      </c>
      <c r="AJ46" s="14">
        <f>AI46*VLOOKUP('Données projet'!$B$10,Paramètres!$A$1:$I$89,3,0)*VLOOKUP('Données projet'!$B$10,Paramètres!$A$1:$I$89,5,0)</f>
        <v>108.22639285714291</v>
      </c>
      <c r="AK46" s="14">
        <f t="shared" si="35"/>
        <v>28.912714388638939</v>
      </c>
      <c r="AL46" s="22">
        <f t="shared" si="4"/>
        <v>238.85061178640339</v>
      </c>
      <c r="AM46" s="62">
        <f t="shared" si="5"/>
        <v>532.18394511973668</v>
      </c>
      <c r="AN46" s="62">
        <f ca="1">AVERAGE(OFFSET($AM$3,0,0,'Données projet'!$E$10+1,1))-AVERAGE(OFFSET($H$3,0,0,'Données projet'!$E$10+1,1))</f>
        <v>256.45433991419372</v>
      </c>
      <c r="AO46" s="62">
        <f t="shared" si="36"/>
        <v>184.9718670682193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10.857142857142858</v>
      </c>
      <c r="BD46" s="13">
        <f>IF('Données projet'!$A$88&gt;35,BD45+BC46-BL45,IF(A46&lt;'Données projet'!$A$88,$BA$205^A46,IF(A46='Données projet'!$A$88,'Données projet'!$B$88,BD45+BC46-BL45)))</f>
        <v>215.14285714285705</v>
      </c>
      <c r="BE46" s="14">
        <f>BD46*VLOOKUP('Données projet'!$B$11,Paramètres!$A$1:$I$89,3,0)*VLOOKUP('Données projet'!$B$11,Paramètres!$A$1:$I$89,5,0)</f>
        <v>100.68685714285711</v>
      </c>
      <c r="BF46" s="14">
        <f t="shared" si="37"/>
        <v>27.125566544771527</v>
      </c>
      <c r="BG46" s="22">
        <f t="shared" si="7"/>
        <v>222.60663792261985</v>
      </c>
      <c r="BH46" s="62">
        <f t="shared" si="8"/>
        <v>515.9399712559532</v>
      </c>
      <c r="BI46" s="62">
        <f ca="1">AVERAGE(OFFSET($BH$3,0,0,'Données projet'!$E$11+1,1))-AVERAGE(OFFSET($H$3,0,0,'Données projet'!$E$11+1,1))</f>
        <v>152.72674713084456</v>
      </c>
      <c r="BJ46" s="62">
        <f t="shared" si="38"/>
        <v>203.90215120562164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11.879840276805009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0.17140642846714796</v>
      </c>
      <c r="BS46" s="24">
        <f t="shared" si="9"/>
        <v>12.051246705272156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12.28518719999999</v>
      </c>
      <c r="D47" s="12">
        <f t="shared" si="32"/>
        <v>4.227949627689247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40.025526037079736</v>
      </c>
      <c r="H47" s="70">
        <f t="shared" si="1"/>
        <v>285.42704664155877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2.4821428571428572</v>
      </c>
      <c r="N47" s="14">
        <f>IF('Données projet'!$A$36&gt;35,N46+M47-V46,IF(A47&lt;'Données projet'!$A$36,$K$205^A47,IF(A47='Données projet'!$A$36,'Données projet'!$B$36,N46+M47-V46)))</f>
        <v>109.21428571428575</v>
      </c>
      <c r="O47" s="14">
        <f>N47*VLOOKUP('Données projet'!$B$9,Paramètres!$A$1:$I$89,3,0)*VLOOKUP('Données projet'!$B$9,Paramètres!$A$1:$I$89,5,0)</f>
        <v>98.817085714285739</v>
      </c>
      <c r="P47" s="14">
        <f t="shared" si="33"/>
        <v>26.679989656427644</v>
      </c>
      <c r="Q47" s="22">
        <f t="shared" si="53"/>
        <v>218.57407293732581</v>
      </c>
      <c r="R47" s="62">
        <f t="shared" si="0"/>
        <v>511.90740627065912</v>
      </c>
      <c r="S47" s="62">
        <f ca="1">AVERAGE(OFFSET($R$3,0,0,'Données projet'!$E$9+1,1))-AVERAGE(OFFSET($H$3,0,0,'Données projet'!$E$9+1,1))</f>
        <v>228.905960862347</v>
      </c>
      <c r="T47" s="62">
        <f t="shared" si="34"/>
        <v>167.30057656688177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2.4821428571428572</v>
      </c>
      <c r="AI47" s="14">
        <f>IF('Données projet'!$A$62&gt;35,AI46+AH47-AQ46,IF(A47&lt;'Données projet'!$A$62,$AF$205^A47,IF(A47='Données projet'!$A$62,'Données projet'!$B$62,AI46+AH47-AQ46)))</f>
        <v>109.21428571428575</v>
      </c>
      <c r="AJ47" s="14">
        <f>AI47*VLOOKUP('Données projet'!$B$10,Paramètres!$A$1:$I$89,3,0)*VLOOKUP('Données projet'!$B$10,Paramètres!$A$1:$I$89,5,0)</f>
        <v>110.74328571428576</v>
      </c>
      <c r="AK47" s="14">
        <f t="shared" si="35"/>
        <v>29.506039786590637</v>
      </c>
      <c r="AL47" s="22">
        <f t="shared" si="4"/>
        <v>244.2675752473597</v>
      </c>
      <c r="AM47" s="62">
        <f t="shared" si="5"/>
        <v>537.60090858069304</v>
      </c>
      <c r="AN47" s="62">
        <f ca="1">AVERAGE(OFFSET($AM$3,0,0,'Données projet'!$E$10+1,1))-AVERAGE(OFFSET($H$3,0,0,'Données projet'!$E$10+1,1))</f>
        <v>256.45433991419372</v>
      </c>
      <c r="AO47" s="62">
        <f t="shared" si="36"/>
        <v>184.9718670682193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226</v>
      </c>
      <c r="BB47" s="13">
        <f>VLOOKUP(A47,'Données projet'!$A$87:$I$107,9,0)</f>
        <v>10.857142857142858</v>
      </c>
      <c r="BC47" s="13">
        <f t="array" ref="BC47">INDEX(BB:BB,MIN(IF(ISNUMBER(BB47:BB243),ROW(BB47:BB243),"")))</f>
        <v>10.857142857142858</v>
      </c>
      <c r="BD47" s="13">
        <f>IF('Données projet'!$A$88&gt;35,BD46+BC47-BL46,IF(A47&lt;'Données projet'!$A$88,$BA$205^A47,IF(A47='Données projet'!$A$88,'Données projet'!$B$88,BD46+BC47-BL46)))</f>
        <v>225.99999999999991</v>
      </c>
      <c r="BE47" s="14">
        <f>BD47*VLOOKUP('Données projet'!$B$11,Paramètres!$A$1:$I$89,3,0)*VLOOKUP('Données projet'!$B$11,Paramètres!$A$1:$I$89,5,0)</f>
        <v>105.76799999999997</v>
      </c>
      <c r="BF47" s="14">
        <f t="shared" si="37"/>
        <v>28.33162713151323</v>
      </c>
      <c r="BG47" s="22">
        <f t="shared" si="7"/>
        <v>233.5568505873855</v>
      </c>
      <c r="BH47" s="62">
        <f t="shared" si="8"/>
        <v>526.89018392071875</v>
      </c>
      <c r="BI47" s="62">
        <f ca="1">AVERAGE(OFFSET($BH$3,0,0,'Données projet'!$E$11+1,1))-AVERAGE(OFFSET($H$3,0,0,'Données projet'!$E$11+1,1))</f>
        <v>152.72674713084456</v>
      </c>
      <c r="BJ47" s="62">
        <f t="shared" si="38"/>
        <v>203.90215120562164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60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11.646883854963949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0.12120264790808721</v>
      </c>
      <c r="BS47" s="24">
        <f t="shared" si="9"/>
        <v>11.768086502872036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12.56439599999999</v>
      </c>
      <c r="D48" s="12">
        <f t="shared" si="32"/>
        <v>4.312743175921228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40.907816641145189</v>
      </c>
      <c r="H48" s="70">
        <f t="shared" si="1"/>
        <v>286.0610173980628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2.4821428571428572</v>
      </c>
      <c r="N48" s="14">
        <f>IF('Données projet'!$A$36&gt;35,N47+M48-V47,IF(A48&lt;'Données projet'!$A$36,$K$205^A48,IF(A48='Données projet'!$A$36,'Données projet'!$B$36,N47+M48-V47)))</f>
        <v>111.69642857142861</v>
      </c>
      <c r="O48" s="14">
        <f>N48*VLOOKUP('Données projet'!$B$9,Paramètres!$A$1:$I$89,3,0)*VLOOKUP('Données projet'!$B$9,Paramètres!$A$1:$I$89,5,0)</f>
        <v>101.0629285714286</v>
      </c>
      <c r="P48" s="14">
        <f t="shared" si="33"/>
        <v>27.215069586175371</v>
      </c>
      <c r="Q48" s="22">
        <f t="shared" si="53"/>
        <v>223.41751345782691</v>
      </c>
      <c r="R48" s="62">
        <f t="shared" si="0"/>
        <v>516.75084679116026</v>
      </c>
      <c r="S48" s="62">
        <f ca="1">AVERAGE(OFFSET($R$3,0,0,'Données projet'!$E$9+1,1))-AVERAGE(OFFSET($H$3,0,0,'Données projet'!$E$9+1,1))</f>
        <v>228.905960862347</v>
      </c>
      <c r="T48" s="62">
        <f t="shared" si="34"/>
        <v>167.30057656688177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2.4821428571428572</v>
      </c>
      <c r="AI48" s="14">
        <f>IF('Données projet'!$A$62&gt;35,AI47+AH48-AQ47,IF(A48&lt;'Données projet'!$A$62,$AF$205^A48,IF(A48='Données projet'!$A$62,'Données projet'!$B$62,AI47+AH48-AQ47)))</f>
        <v>111.69642857142861</v>
      </c>
      <c r="AJ48" s="14">
        <f>AI48*VLOOKUP('Données projet'!$B$10,Paramètres!$A$1:$I$89,3,0)*VLOOKUP('Données projet'!$B$10,Paramètres!$A$1:$I$89,5,0)</f>
        <v>113.26017857142861</v>
      </c>
      <c r="AK48" s="14">
        <f t="shared" si="35"/>
        <v>30.097797500872225</v>
      </c>
      <c r="AL48" s="22">
        <f t="shared" si="4"/>
        <v>249.68180832592392</v>
      </c>
      <c r="AM48" s="62">
        <f t="shared" si="5"/>
        <v>543.01514165925721</v>
      </c>
      <c r="AN48" s="62">
        <f ca="1">AVERAGE(OFFSET($AM$3,0,0,'Données projet'!$E$10+1,1))-AVERAGE(OFFSET($H$3,0,0,'Données projet'!$E$10+1,1))</f>
        <v>256.45433991419372</v>
      </c>
      <c r="AO48" s="62">
        <f t="shared" si="36"/>
        <v>184.9718670682193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11.857142857142858</v>
      </c>
      <c r="BD48" s="13">
        <f>IF('Données projet'!$A$88&gt;35,BD47+BC48-BL47,IF(A48&lt;'Données projet'!$A$88,$BA$205^A48,IF(A48='Données projet'!$A$88,'Données projet'!$B$88,BD47+BC48-BL47)))</f>
        <v>177.85714285714278</v>
      </c>
      <c r="BE48" s="14">
        <f>BD48*VLOOKUP('Données projet'!$B$11,Paramètres!$A$1:$I$89,3,0)*VLOOKUP('Données projet'!$B$11,Paramètres!$A$1:$I$89,5,0)</f>
        <v>83.237142857142814</v>
      </c>
      <c r="BF48" s="14">
        <f t="shared" si="37"/>
        <v>22.926845872875649</v>
      </c>
      <c r="BG48" s="22">
        <f t="shared" si="7"/>
        <v>184.9022803714488</v>
      </c>
      <c r="BH48" s="62">
        <f t="shared" si="8"/>
        <v>478.23561370478211</v>
      </c>
      <c r="BI48" s="62">
        <f ca="1">AVERAGE(OFFSET($BH$3,0,0,'Données projet'!$E$11+1,1))-AVERAGE(OFFSET($H$3,0,0,'Données projet'!$E$11+1,1))</f>
        <v>152.72674713084456</v>
      </c>
      <c r="BJ48" s="62">
        <f t="shared" si="38"/>
        <v>203.90215120562164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11.418495566465806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8.5703214233573993E-2</v>
      </c>
      <c r="BS48" s="24">
        <f t="shared" si="9"/>
        <v>11.50419878069938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12.843604799999989</v>
      </c>
      <c r="D49" s="12">
        <f t="shared" si="32"/>
        <v>4.3973176558769493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41.789576254455405</v>
      </c>
      <c r="H49" s="70">
        <f t="shared" si="1"/>
        <v>286.69460661065233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2.4821428571428572</v>
      </c>
      <c r="N49" s="14">
        <f>IF('Données projet'!$A$36&gt;35,N48+M49-V48,IF(A49&lt;'Données projet'!$A$36,$K$205^A49,IF(A49='Données projet'!$A$36,'Données projet'!$B$36,N48+M49-V48)))</f>
        <v>114.17857142857147</v>
      </c>
      <c r="O49" s="14">
        <f>N49*VLOOKUP('Données projet'!$B$9,Paramètres!$A$1:$I$89,3,0)*VLOOKUP('Données projet'!$B$9,Paramètres!$A$1:$I$89,5,0)</f>
        <v>103.30877142857146</v>
      </c>
      <c r="P49" s="14">
        <f t="shared" si="33"/>
        <v>27.74876711077188</v>
      </c>
      <c r="Q49" s="22">
        <f t="shared" si="53"/>
        <v>228.2585462893563</v>
      </c>
      <c r="R49" s="62">
        <f t="shared" si="0"/>
        <v>521.59187962268959</v>
      </c>
      <c r="S49" s="62">
        <f ca="1">AVERAGE(OFFSET($R$3,0,0,'Données projet'!$E$9+1,1))-AVERAGE(OFFSET($H$3,0,0,'Données projet'!$E$9+1,1))</f>
        <v>228.905960862347</v>
      </c>
      <c r="T49" s="62">
        <f t="shared" si="34"/>
        <v>167.30057656688177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2.4821428571428572</v>
      </c>
      <c r="AI49" s="14">
        <f>IF('Données projet'!$A$62&gt;35,AI48+AH49-AQ48,IF(A49&lt;'Données projet'!$A$62,$AF$205^A49,IF(A49='Données projet'!$A$62,'Données projet'!$B$62,AI48+AH49-AQ48)))</f>
        <v>114.17857142857147</v>
      </c>
      <c r="AJ49" s="14">
        <f>AI49*VLOOKUP('Données projet'!$B$10,Paramètres!$A$1:$I$89,3,0)*VLOOKUP('Données projet'!$B$10,Paramètres!$A$1:$I$89,5,0)</f>
        <v>115.77707142857147</v>
      </c>
      <c r="AK49" s="14">
        <f t="shared" si="35"/>
        <v>30.688026380175945</v>
      </c>
      <c r="AL49" s="22">
        <f t="shared" si="4"/>
        <v>255.09337868356843</v>
      </c>
      <c r="AM49" s="62">
        <f t="shared" si="5"/>
        <v>548.42671201690177</v>
      </c>
      <c r="AN49" s="62">
        <f ca="1">AVERAGE(OFFSET($AM$3,0,0,'Données projet'!$E$10+1,1))-AVERAGE(OFFSET($H$3,0,0,'Données projet'!$E$10+1,1))</f>
        <v>256.45433991419372</v>
      </c>
      <c r="AO49" s="62">
        <f t="shared" si="36"/>
        <v>184.9718670682193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11.857142857142858</v>
      </c>
      <c r="BD49" s="13">
        <f>IF('Données projet'!$A$88&gt;35,BD48+BC49-BL48,IF(A49&lt;'Données projet'!$A$88,$BA$205^A49,IF(A49='Données projet'!$A$88,'Données projet'!$B$88,BD48+BC49-BL48)))</f>
        <v>189.71428571428564</v>
      </c>
      <c r="BE49" s="14">
        <f>BD49*VLOOKUP('Données projet'!$B$11,Paramètres!$A$1:$I$89,3,0)*VLOOKUP('Données projet'!$B$11,Paramètres!$A$1:$I$89,5,0)</f>
        <v>88.786285714285683</v>
      </c>
      <c r="BF49" s="14">
        <f t="shared" si="37"/>
        <v>24.27227542742515</v>
      </c>
      <c r="BG49" s="22">
        <f t="shared" si="7"/>
        <v>196.91032732181304</v>
      </c>
      <c r="BH49" s="62">
        <f t="shared" si="8"/>
        <v>490.24366065514636</v>
      </c>
      <c r="BI49" s="62">
        <f ca="1">AVERAGE(OFFSET($BH$3,0,0,'Données projet'!$E$11+1,1))-AVERAGE(OFFSET($H$3,0,0,'Données projet'!$E$11+1,1))</f>
        <v>152.72674713084456</v>
      </c>
      <c r="BJ49" s="62">
        <f t="shared" si="38"/>
        <v>203.90215120562164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11.19458583300201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6.0601323954043614E-2</v>
      </c>
      <c r="BS49" s="24">
        <f t="shared" si="9"/>
        <v>11.255187156956055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13.122813599999988</v>
      </c>
      <c r="D50" s="12">
        <f t="shared" si="32"/>
        <v>4.481678378372064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42.670817749682158</v>
      </c>
      <c r="H50" s="70">
        <f t="shared" si="1"/>
        <v>287.32782352899801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2.4821428571428572</v>
      </c>
      <c r="N50" s="14">
        <f>IF('Données projet'!$A$36&gt;35,N49+M50-V49,IF(A50&lt;'Données projet'!$A$36,$K$205^A50,IF(A50='Données projet'!$A$36,'Données projet'!$B$36,N49+M50-V49)))</f>
        <v>116.66071428571433</v>
      </c>
      <c r="O50" s="14">
        <f>N50*VLOOKUP('Données projet'!$B$9,Paramètres!$A$1:$I$89,3,0)*VLOOKUP('Données projet'!$B$9,Paramètres!$A$1:$I$89,5,0)</f>
        <v>105.55461428571432</v>
      </c>
      <c r="P50" s="14">
        <f t="shared" si="33"/>
        <v>28.281115743508206</v>
      </c>
      <c r="Q50" s="22">
        <f t="shared" si="53"/>
        <v>233.09722980089589</v>
      </c>
      <c r="R50" s="62">
        <f t="shared" si="0"/>
        <v>526.43056313422926</v>
      </c>
      <c r="S50" s="62">
        <f ca="1">AVERAGE(OFFSET($R$3,0,0,'Données projet'!$E$9+1,1))-AVERAGE(OFFSET($H$3,0,0,'Données projet'!$E$9+1,1))</f>
        <v>228.905960862347</v>
      </c>
      <c r="T50" s="62">
        <f t="shared" si="34"/>
        <v>167.30057656688177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2.4821428571428572</v>
      </c>
      <c r="AI50" s="14">
        <f>IF('Données projet'!$A$62&gt;35,AI49+AH50-AQ49,IF(A50&lt;'Données projet'!$A$62,$AF$205^A50,IF(A50='Données projet'!$A$62,'Données projet'!$B$62,AI49+AH50-AQ49)))</f>
        <v>116.66071428571433</v>
      </c>
      <c r="AJ50" s="14">
        <f>AI50*VLOOKUP('Données projet'!$B$10,Paramètres!$A$1:$I$89,3,0)*VLOOKUP('Données projet'!$B$10,Paramètres!$A$1:$I$89,5,0)</f>
        <v>118.29396428571435</v>
      </c>
      <c r="AK50" s="14">
        <f t="shared" si="35"/>
        <v>31.276763487653483</v>
      </c>
      <c r="AL50" s="22">
        <f t="shared" si="4"/>
        <v>260.50235087194892</v>
      </c>
      <c r="AM50" s="62">
        <f t="shared" si="5"/>
        <v>553.83568420528218</v>
      </c>
      <c r="AN50" s="62">
        <f ca="1">AVERAGE(OFFSET($AM$3,0,0,'Données projet'!$E$10+1,1))-AVERAGE(OFFSET($H$3,0,0,'Données projet'!$E$10+1,1))</f>
        <v>256.45433991419372</v>
      </c>
      <c r="AO50" s="62">
        <f t="shared" si="36"/>
        <v>184.9718670682193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11.857142857142858</v>
      </c>
      <c r="BD50" s="13">
        <f>IF('Données projet'!$A$88&gt;35,BD49+BC50-BL49,IF(A50&lt;'Données projet'!$A$88,$BA$205^A50,IF(A50='Données projet'!$A$88,'Données projet'!$B$88,BD49+BC50-BL49)))</f>
        <v>201.5714285714285</v>
      </c>
      <c r="BE50" s="14">
        <f>BD50*VLOOKUP('Données projet'!$B$11,Paramètres!$A$1:$I$89,3,0)*VLOOKUP('Données projet'!$B$11,Paramètres!$A$1:$I$89,5,0)</f>
        <v>94.335428571428523</v>
      </c>
      <c r="BF50" s="14">
        <f t="shared" si="37"/>
        <v>25.607945794285612</v>
      </c>
      <c r="BG50" s="22">
        <f t="shared" si="7"/>
        <v>208.90137702028542</v>
      </c>
      <c r="BH50" s="62">
        <f t="shared" si="8"/>
        <v>502.23471035361877</v>
      </c>
      <c r="BI50" s="62">
        <f ca="1">AVERAGE(OFFSET($BH$3,0,0,'Données projet'!$E$11+1,1))-AVERAGE(OFFSET($H$3,0,0,'Données projet'!$E$11+1,1))</f>
        <v>152.72674713084456</v>
      </c>
      <c r="BJ50" s="62">
        <f t="shared" si="38"/>
        <v>203.90215120562164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10.975066832839987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4.2851607116787004E-2</v>
      </c>
      <c r="BS50" s="24">
        <f t="shared" si="9"/>
        <v>11.017918439956775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13.402022399999987</v>
      </c>
      <c r="D51" s="12">
        <f t="shared" si="32"/>
        <v>4.5658304153190787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43.551553420429514</v>
      </c>
      <c r="H51" s="70">
        <f t="shared" si="1"/>
        <v>287.96067698668071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2.4821428571428572</v>
      </c>
      <c r="N51" s="14">
        <f>IF('Données projet'!$A$36&gt;35,N50+M51-V50,IF(A51&lt;'Données projet'!$A$36,$K$205^A51,IF(A51='Données projet'!$A$36,'Données projet'!$B$36,N50+M51-V50)))</f>
        <v>119.1428571428572</v>
      </c>
      <c r="O51" s="14">
        <f>N51*VLOOKUP('Données projet'!$B$9,Paramètres!$A$1:$I$89,3,0)*VLOOKUP('Données projet'!$B$9,Paramètres!$A$1:$I$89,5,0)</f>
        <v>107.8004571428572</v>
      </c>
      <c r="P51" s="14">
        <f t="shared" si="33"/>
        <v>28.812147490104689</v>
      </c>
      <c r="Q51" s="22">
        <f t="shared" si="53"/>
        <v>237.93361973574193</v>
      </c>
      <c r="R51" s="62">
        <f t="shared" si="0"/>
        <v>531.26695306907527</v>
      </c>
      <c r="S51" s="62">
        <f ca="1">AVERAGE(OFFSET($R$3,0,0,'Données projet'!$E$9+1,1))-AVERAGE(OFFSET($H$3,0,0,'Données projet'!$E$9+1,1))</f>
        <v>228.905960862347</v>
      </c>
      <c r="T51" s="62">
        <f t="shared" si="34"/>
        <v>167.30057656688177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2.4821428571428572</v>
      </c>
      <c r="AI51" s="14">
        <f>IF('Données projet'!$A$62&gt;35,AI50+AH51-AQ50,IF(A51&lt;'Données projet'!$A$62,$AF$205^A51,IF(A51='Données projet'!$A$62,'Données projet'!$B$62,AI50+AH51-AQ50)))</f>
        <v>119.1428571428572</v>
      </c>
      <c r="AJ51" s="14">
        <f>AI51*VLOOKUP('Données projet'!$B$10,Paramètres!$A$1:$I$89,3,0)*VLOOKUP('Données projet'!$B$10,Paramètres!$A$1:$I$89,5,0)</f>
        <v>120.8108571428572</v>
      </c>
      <c r="AK51" s="14">
        <f t="shared" si="35"/>
        <v>31.864044219197655</v>
      </c>
      <c r="AL51" s="22">
        <f t="shared" si="4"/>
        <v>265.90878653891224</v>
      </c>
      <c r="AM51" s="62">
        <f t="shared" si="5"/>
        <v>559.24211987224555</v>
      </c>
      <c r="AN51" s="62">
        <f ca="1">AVERAGE(OFFSET($AM$3,0,0,'Données projet'!$E$10+1,1))-AVERAGE(OFFSET($H$3,0,0,'Données projet'!$E$10+1,1))</f>
        <v>256.45433991419372</v>
      </c>
      <c r="AO51" s="62">
        <f t="shared" si="36"/>
        <v>184.9718670682193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11.857142857142858</v>
      </c>
      <c r="BD51" s="13">
        <f>IF('Données projet'!$A$88&gt;35,BD50+BC51-BL50,IF(A51&lt;'Données projet'!$A$88,$BA$205^A51,IF(A51='Données projet'!$A$88,'Données projet'!$B$88,BD50+BC51-BL50)))</f>
        <v>213.42857142857136</v>
      </c>
      <c r="BE51" s="14">
        <f>BD51*VLOOKUP('Données projet'!$B$11,Paramètres!$A$1:$I$89,3,0)*VLOOKUP('Données projet'!$B$11,Paramètres!$A$1:$I$89,5,0)</f>
        <v>99.884571428571391</v>
      </c>
      <c r="BF51" s="14">
        <f t="shared" si="37"/>
        <v>26.934496434750237</v>
      </c>
      <c r="BG51" s="22">
        <f t="shared" si="7"/>
        <v>220.87654319528517</v>
      </c>
      <c r="BH51" s="62">
        <f t="shared" si="8"/>
        <v>514.20987652861845</v>
      </c>
      <c r="BI51" s="62">
        <f ca="1">AVERAGE(OFFSET($BH$3,0,0,'Données projet'!$E$11+1,1))-AVERAGE(OFFSET($H$3,0,0,'Données projet'!$E$11+1,1))</f>
        <v>152.72674713084456</v>
      </c>
      <c r="BJ51" s="62">
        <f t="shared" si="38"/>
        <v>203.90215120562164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10.759852466377772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3.0300661977021814E-2</v>
      </c>
      <c r="BS51" s="24">
        <f t="shared" si="9"/>
        <v>10.790153128354794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13.681231199999987</v>
      </c>
      <c r="D52" s="12">
        <f t="shared" si="32"/>
        <v>4.6497786152238438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44.431795018795164</v>
      </c>
      <c r="H52" s="70">
        <f t="shared" si="1"/>
        <v>288.5931754281815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2.4821428571428572</v>
      </c>
      <c r="N52" s="14">
        <f>IF('Données projet'!$A$36&gt;35,N51+M52-V51,IF(A52&lt;'Données projet'!$A$36,$K$205^A52,IF(A52='Données projet'!$A$36,'Données projet'!$B$36,N51+M52-V51)))</f>
        <v>121.62500000000006</v>
      </c>
      <c r="O52" s="14">
        <f>N52*VLOOKUP('Données projet'!$B$9,Paramètres!$A$1:$I$89,3,0)*VLOOKUP('Données projet'!$B$9,Paramètres!$A$1:$I$89,5,0)</f>
        <v>110.04630000000006</v>
      </c>
      <c r="P52" s="14">
        <f t="shared" si="33"/>
        <v>29.34189294649957</v>
      </c>
      <c r="Q52" s="22">
        <f t="shared" si="53"/>
        <v>242.76776938182016</v>
      </c>
      <c r="R52" s="62">
        <f t="shared" si="0"/>
        <v>536.1011027151535</v>
      </c>
      <c r="S52" s="62">
        <f ca="1">AVERAGE(OFFSET($R$3,0,0,'Données projet'!$E$9+1,1))-AVERAGE(OFFSET($H$3,0,0,'Données projet'!$E$9+1,1))</f>
        <v>228.905960862347</v>
      </c>
      <c r="T52" s="62">
        <f t="shared" si="34"/>
        <v>167.30057656688177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2.4821428571428572</v>
      </c>
      <c r="AI52" s="14">
        <f>IF('Données projet'!$A$62&gt;35,AI51+AH52-AQ51,IF(A52&lt;'Données projet'!$A$62,$AF$205^A52,IF(A52='Données projet'!$A$62,'Données projet'!$B$62,AI51+AH52-AQ51)))</f>
        <v>121.62500000000006</v>
      </c>
      <c r="AJ52" s="14">
        <f>AI52*VLOOKUP('Données projet'!$B$10,Paramètres!$A$1:$I$89,3,0)*VLOOKUP('Données projet'!$B$10,Paramètres!$A$1:$I$89,5,0)</f>
        <v>123.32775000000005</v>
      </c>
      <c r="AK52" s="14">
        <f t="shared" si="35"/>
        <v>32.449902411589697</v>
      </c>
      <c r="AL52" s="22">
        <f t="shared" si="4"/>
        <v>271.31274461685211</v>
      </c>
      <c r="AM52" s="62">
        <f t="shared" si="5"/>
        <v>564.64607795018537</v>
      </c>
      <c r="AN52" s="62">
        <f ca="1">AVERAGE(OFFSET($AM$3,0,0,'Données projet'!$E$10+1,1))-AVERAGE(OFFSET($H$3,0,0,'Données projet'!$E$10+1,1))</f>
        <v>256.45433991419372</v>
      </c>
      <c r="AO52" s="62">
        <f t="shared" si="36"/>
        <v>184.9718670682193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11.857142857142858</v>
      </c>
      <c r="BD52" s="13">
        <f>IF('Données projet'!$A$88&gt;35,BD51+BC52-BL51,IF(A52&lt;'Données projet'!$A$88,$BA$205^A52,IF(A52='Données projet'!$A$88,'Données projet'!$B$88,BD51+BC52-BL51)))</f>
        <v>225.28571428571422</v>
      </c>
      <c r="BE52" s="14">
        <f>BD52*VLOOKUP('Données projet'!$B$11,Paramètres!$A$1:$I$89,3,0)*VLOOKUP('Données projet'!$B$11,Paramètres!$A$1:$I$89,5,0)</f>
        <v>105.43371428571426</v>
      </c>
      <c r="BF52" s="14">
        <f t="shared" si="37"/>
        <v>28.252491745957425</v>
      </c>
      <c r="BG52" s="22">
        <f t="shared" si="7"/>
        <v>232.83680883849482</v>
      </c>
      <c r="BH52" s="62">
        <f t="shared" si="8"/>
        <v>526.17014217182816</v>
      </c>
      <c r="BI52" s="62">
        <f ca="1">AVERAGE(OFFSET($BH$3,0,0,'Données projet'!$E$11+1,1))-AVERAGE(OFFSET($H$3,0,0,'Données projet'!$E$11+1,1))</f>
        <v>152.72674713084456</v>
      </c>
      <c r="BJ52" s="62">
        <f t="shared" si="38"/>
        <v>203.90215120562164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10.54885832237408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2.1425803558393505E-2</v>
      </c>
      <c r="BS52" s="24">
        <f t="shared" si="9"/>
        <v>10.570284125932474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13.960439999999986</v>
      </c>
      <c r="D53" s="12">
        <f t="shared" si="32"/>
        <v>4.7335276173812959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45.311553789778912</v>
      </c>
      <c r="H53" s="70">
        <f t="shared" si="1"/>
        <v>289.22532693360574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2.4821428571428572</v>
      </c>
      <c r="N53" s="14">
        <f>IF('Données projet'!$A$36&gt;35,N52+M53-V52,IF(A53&lt;'Données projet'!$A$36,$K$205^A53,IF(A53='Données projet'!$A$36,'Données projet'!$B$36,N52+M53-V52)))</f>
        <v>124.10714285714292</v>
      </c>
      <c r="O53" s="14">
        <f>N53*VLOOKUP('Données projet'!$B$9,Paramètres!$A$1:$I$89,3,0)*VLOOKUP('Données projet'!$B$9,Paramètres!$A$1:$I$89,5,0)</f>
        <v>112.29214285714291</v>
      </c>
      <c r="P53" s="14">
        <f t="shared" si="33"/>
        <v>29.870381388429763</v>
      </c>
      <c r="Q53" s="22">
        <f t="shared" si="53"/>
        <v>247.59972972770572</v>
      </c>
      <c r="R53" s="62">
        <f t="shared" si="0"/>
        <v>540.93306306103909</v>
      </c>
      <c r="S53" s="62">
        <f ca="1">AVERAGE(OFFSET($R$3,0,0,'Données projet'!$E$9+1,1))-AVERAGE(OFFSET($H$3,0,0,'Données projet'!$E$9+1,1))</f>
        <v>228.905960862347</v>
      </c>
      <c r="T53" s="62">
        <f t="shared" si="34"/>
        <v>167.30057656688177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2.4821428571428572</v>
      </c>
      <c r="AI53" s="14">
        <f>IF('Données projet'!$A$62&gt;35,AI52+AH53-AQ52,IF(A53&lt;'Données projet'!$A$62,$AF$205^A53,IF(A53='Données projet'!$A$62,'Données projet'!$B$62,AI52+AH53-AQ52)))</f>
        <v>124.10714285714292</v>
      </c>
      <c r="AJ53" s="14">
        <f>AI53*VLOOKUP('Données projet'!$B$10,Paramètres!$A$1:$I$89,3,0)*VLOOKUP('Données projet'!$B$10,Paramètres!$A$1:$I$89,5,0)</f>
        <v>125.84464285714293</v>
      </c>
      <c r="AK53" s="14">
        <f t="shared" si="35"/>
        <v>33.03437044156847</v>
      </c>
      <c r="AL53" s="22">
        <f t="shared" si="4"/>
        <v>276.71428149525565</v>
      </c>
      <c r="AM53" s="62">
        <f t="shared" si="5"/>
        <v>570.04761482858896</v>
      </c>
      <c r="AN53" s="62">
        <f ca="1">AVERAGE(OFFSET($AM$3,0,0,'Données projet'!$E$10+1,1))-AVERAGE(OFFSET($H$3,0,0,'Données projet'!$E$10+1,1))</f>
        <v>256.45433991419372</v>
      </c>
      <c r="AO53" s="62">
        <f t="shared" si="36"/>
        <v>184.9718670682193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11.857142857142858</v>
      </c>
      <c r="BD53" s="13">
        <f>IF('Données projet'!$A$88&gt;35,BD52+BC53-BL52,IF(A53&lt;'Données projet'!$A$88,$BA$205^A53,IF(A53='Données projet'!$A$88,'Données projet'!$B$88,BD52+BC53-BL52)))</f>
        <v>237.14285714285708</v>
      </c>
      <c r="BE53" s="14">
        <f>BD53*VLOOKUP('Données projet'!$B$11,Paramètres!$A$1:$I$89,3,0)*VLOOKUP('Données projet'!$B$11,Paramètres!$A$1:$I$89,5,0)</f>
        <v>110.98285714285713</v>
      </c>
      <c r="BF53" s="14">
        <f t="shared" si="37"/>
        <v>29.562433359346652</v>
      </c>
      <c r="BG53" s="22">
        <f t="shared" si="7"/>
        <v>244.78304762467158</v>
      </c>
      <c r="BH53" s="62">
        <f t="shared" si="8"/>
        <v>538.11638095800492</v>
      </c>
      <c r="BI53" s="62">
        <f ca="1">AVERAGE(OFFSET($BH$3,0,0,'Données projet'!$E$11+1,1))-AVERAGE(OFFSET($H$3,0,0,'Données projet'!$E$11+1,1))</f>
        <v>152.72674713084456</v>
      </c>
      <c r="BJ53" s="62">
        <f t="shared" si="38"/>
        <v>203.90215120562164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10.342001644840581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1.5150330988510909E-2</v>
      </c>
      <c r="BS53" s="24">
        <f t="shared" si="9"/>
        <v>10.357151975829092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14.239648799999985</v>
      </c>
      <c r="D54" s="12">
        <f t="shared" si="32"/>
        <v>4.8170818649034564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46.190840502860688</v>
      </c>
      <c r="H54" s="70">
        <f t="shared" si="1"/>
        <v>289.85713924137349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2.4821428571428572</v>
      </c>
      <c r="N54" s="14">
        <f>IF('Données projet'!$A$36&gt;35,N53+M54-V53,IF(A54&lt;'Données projet'!$A$36,$K$205^A54,IF(A54='Données projet'!$A$36,'Données projet'!$B$36,N53+M54-V53)))</f>
        <v>126.58928571428578</v>
      </c>
      <c r="O54" s="14">
        <f>N54*VLOOKUP('Données projet'!$B$9,Paramètres!$A$1:$I$89,3,0)*VLOOKUP('Données projet'!$B$9,Paramètres!$A$1:$I$89,5,0)</f>
        <v>114.53798571428577</v>
      </c>
      <c r="P54" s="14">
        <f t="shared" si="33"/>
        <v>30.397640853642532</v>
      </c>
      <c r="Q54" s="22">
        <f t="shared" si="53"/>
        <v>252.42954960580843</v>
      </c>
      <c r="R54" s="62">
        <f t="shared" si="0"/>
        <v>545.76288293914172</v>
      </c>
      <c r="S54" s="62">
        <f ca="1">AVERAGE(OFFSET($R$3,0,0,'Données projet'!$E$9+1,1))-AVERAGE(OFFSET($H$3,0,0,'Données projet'!$E$9+1,1))</f>
        <v>228.905960862347</v>
      </c>
      <c r="T54" s="62">
        <f t="shared" si="34"/>
        <v>167.30057656688177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2.4821428571428572</v>
      </c>
      <c r="AI54" s="14">
        <f>IF('Données projet'!$A$62&gt;35,AI53+AH54-AQ53,IF(A54&lt;'Données projet'!$A$62,$AF$205^A54,IF(A54='Données projet'!$A$62,'Données projet'!$B$62,AI53+AH54-AQ53)))</f>
        <v>126.58928571428578</v>
      </c>
      <c r="AJ54" s="14">
        <f>AI54*VLOOKUP('Données projet'!$B$10,Paramètres!$A$1:$I$89,3,0)*VLOOKUP('Données projet'!$B$10,Paramètres!$A$1:$I$89,5,0)</f>
        <v>128.36153571428579</v>
      </c>
      <c r="AK54" s="14">
        <f t="shared" si="35"/>
        <v>33.617479316750376</v>
      </c>
      <c r="AL54" s="22">
        <f t="shared" si="4"/>
        <v>282.11345117905461</v>
      </c>
      <c r="AM54" s="62">
        <f t="shared" si="5"/>
        <v>575.44678451238792</v>
      </c>
      <c r="AN54" s="62">
        <f ca="1">AVERAGE(OFFSET($AM$3,0,0,'Données projet'!$E$10+1,1))-AVERAGE(OFFSET($H$3,0,0,'Données projet'!$E$10+1,1))</f>
        <v>256.45433991419372</v>
      </c>
      <c r="AO54" s="62">
        <f t="shared" si="36"/>
        <v>184.9718670682193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249</v>
      </c>
      <c r="BB54" s="13">
        <f>VLOOKUP(A54,'Données projet'!$A$87:$I$107,9,0)</f>
        <v>11.857142857142858</v>
      </c>
      <c r="BC54" s="13">
        <f t="array" ref="BC54">INDEX(BB:BB,MIN(IF(ISNUMBER(BB54:BB250),ROW(BB54:BB250),"")))</f>
        <v>11.857142857142858</v>
      </c>
      <c r="BD54" s="13">
        <f>IF('Données projet'!$A$88&gt;35,BD53+BC54-BL53,IF(A54&lt;'Données projet'!$A$88,$BA$205^A54,IF(A54='Données projet'!$A$88,'Données projet'!$B$88,BD53+BC54-BL53)))</f>
        <v>248.99999999999994</v>
      </c>
      <c r="BE54" s="14">
        <f>BD54*VLOOKUP('Données projet'!$B$11,Paramètres!$A$1:$I$89,3,0)*VLOOKUP('Données projet'!$B$11,Paramètres!$A$1:$I$89,5,0)</f>
        <v>116.53199999999997</v>
      </c>
      <c r="BF54" s="14">
        <f t="shared" si="37"/>
        <v>30.864769909522728</v>
      </c>
      <c r="BG54" s="22">
        <f t="shared" si="7"/>
        <v>256.71604092575205</v>
      </c>
      <c r="BH54" s="62">
        <f t="shared" si="8"/>
        <v>550.04937425908543</v>
      </c>
      <c r="BI54" s="62">
        <f ca="1">AVERAGE(OFFSET($BH$3,0,0,'Données projet'!$E$11+1,1))-AVERAGE(OFFSET($H$3,0,0,'Données projet'!$E$11+1,1))</f>
        <v>152.72674713084456</v>
      </c>
      <c r="BJ54" s="62">
        <f t="shared" si="38"/>
        <v>203.90215120562164</v>
      </c>
      <c r="BK54" s="16">
        <f>IF(ISNA(VLOOKUP(A54,'Données projet'!$A$87:$I$107,3,0)),0,VLOOKUP(A54,'Données projet'!$A$87:$I$107,3,0))</f>
        <v>6</v>
      </c>
      <c r="BL54" s="16">
        <f>IF(ISNA(VLOOKUP(A54,'Données projet'!$A$87:$I$107,4,0)),0,VLOOKUP(A54,'Données projet'!$A$87:$I$107,4,0))</f>
        <v>70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10.139201300583398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1.0712901779196754E-2</v>
      </c>
      <c r="BS54" s="24">
        <f t="shared" si="9"/>
        <v>10.149914202362595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14.518857599999984</v>
      </c>
      <c r="D55" s="12">
        <f t="shared" si="32"/>
        <v>4.9004456166967874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47.06966548103204</v>
      </c>
      <c r="H55" s="70">
        <f t="shared" si="1"/>
        <v>290.48861976908023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2.4821428571428572</v>
      </c>
      <c r="N55" s="14">
        <f>IF('Données projet'!$A$36&gt;35,N54+M55-V54,IF(A55&lt;'Données projet'!$A$36,$K$205^A55,IF(A55='Données projet'!$A$36,'Données projet'!$B$36,N54+M55-V54)))</f>
        <v>129.07142857142864</v>
      </c>
      <c r="O55" s="14">
        <f>N55*VLOOKUP('Données projet'!$B$9,Paramètres!$A$1:$I$89,3,0)*VLOOKUP('Données projet'!$B$9,Paramètres!$A$1:$I$89,5,0)</f>
        <v>116.78382857142863</v>
      </c>
      <c r="P55" s="14">
        <f t="shared" si="33"/>
        <v>30.923698217477</v>
      </c>
      <c r="Q55" s="22">
        <f t="shared" si="53"/>
        <v>257.25727582401061</v>
      </c>
      <c r="R55" s="62">
        <f t="shared" si="0"/>
        <v>550.59060915734392</v>
      </c>
      <c r="S55" s="62">
        <f ca="1">AVERAGE(OFFSET($R$3,0,0,'Données projet'!$E$9+1,1))-AVERAGE(OFFSET($H$3,0,0,'Données projet'!$E$9+1,1))</f>
        <v>228.905960862347</v>
      </c>
      <c r="T55" s="62">
        <f t="shared" si="34"/>
        <v>167.30057656688177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2.4821428571428572</v>
      </c>
      <c r="AI55" s="14">
        <f>IF('Données projet'!$A$62&gt;35,AI54+AH55-AQ54,IF(A55&lt;'Données projet'!$A$62,$AF$205^A55,IF(A55='Données projet'!$A$62,'Données projet'!$B$62,AI54+AH55-AQ54)))</f>
        <v>129.07142857142864</v>
      </c>
      <c r="AJ55" s="14">
        <f>AI55*VLOOKUP('Données projet'!$B$10,Paramètres!$A$1:$I$89,3,0)*VLOOKUP('Données projet'!$B$10,Paramètres!$A$1:$I$89,5,0)</f>
        <v>130.87842857142866</v>
      </c>
      <c r="AK55" s="14">
        <f t="shared" si="35"/>
        <v>34.19925875921686</v>
      </c>
      <c r="AL55" s="22">
        <f t="shared" si="4"/>
        <v>287.51030543420762</v>
      </c>
      <c r="AM55" s="62">
        <f t="shared" si="5"/>
        <v>580.84363876754094</v>
      </c>
      <c r="AN55" s="62">
        <f ca="1">AVERAGE(OFFSET($AM$3,0,0,'Données projet'!$E$10+1,1))-AVERAGE(OFFSET($H$3,0,0,'Données projet'!$E$10+1,1))</f>
        <v>256.45433991419372</v>
      </c>
      <c r="AO55" s="62">
        <f t="shared" si="36"/>
        <v>184.9718670682193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13.444444444444445</v>
      </c>
      <c r="BD55" s="13">
        <f>IF('Données projet'!$A$88&gt;35,BD54+BC55-BL54,IF(A55&lt;'Données projet'!$A$88,$BA$205^A55,IF(A55='Données projet'!$A$88,'Données projet'!$B$88,BD54+BC55-BL54)))</f>
        <v>192.4444444444444</v>
      </c>
      <c r="BE55" s="14">
        <f>BD55*VLOOKUP('Données projet'!$B$11,Paramètres!$A$1:$I$89,3,0)*VLOOKUP('Données projet'!$B$11,Paramètres!$A$1:$I$89,5,0)</f>
        <v>90.063999999999993</v>
      </c>
      <c r="BF55" s="14">
        <f t="shared" si="37"/>
        <v>24.580659614147791</v>
      </c>
      <c r="BG55" s="22">
        <f t="shared" si="7"/>
        <v>199.6727821613074</v>
      </c>
      <c r="BH55" s="62">
        <f t="shared" si="8"/>
        <v>493.00611549464071</v>
      </c>
      <c r="BI55" s="62">
        <f ca="1">AVERAGE(OFFSET($BH$3,0,0,'Données projet'!$E$11+1,1))-AVERAGE(OFFSET($H$3,0,0,'Données projet'!$E$11+1,1))</f>
        <v>152.72674713084456</v>
      </c>
      <c r="BJ55" s="62">
        <f t="shared" si="38"/>
        <v>203.90215120562164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9.9403777473811026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7.5751654942554552E-3</v>
      </c>
      <c r="BS55" s="24">
        <f t="shared" si="9"/>
        <v>9.9479529128753583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14.798066399999984</v>
      </c>
      <c r="D56" s="12">
        <f t="shared" si="32"/>
        <v>4.983622958492111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47.948038627531012</v>
      </c>
      <c r="H56" s="70">
        <f t="shared" si="1"/>
        <v>291.1197756327071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2.4821428571428572</v>
      </c>
      <c r="N56" s="14">
        <f>IF('Données projet'!$A$36&gt;35,N55+M56-V55,IF(A56&lt;'Données projet'!$A$36,$K$205^A56,IF(A56='Données projet'!$A$36,'Données projet'!$B$36,N55+M56-V55)))</f>
        <v>131.5535714285715</v>
      </c>
      <c r="O56" s="14">
        <f>N56*VLOOKUP('Données projet'!$B$9,Paramètres!$A$1:$I$89,3,0)*VLOOKUP('Données projet'!$B$9,Paramètres!$A$1:$I$89,5,0)</f>
        <v>119.02967142857149</v>
      </c>
      <c r="P56" s="14">
        <f t="shared" si="33"/>
        <v>31.448579262467423</v>
      </c>
      <c r="Q56" s="22">
        <f t="shared" si="53"/>
        <v>262.08295328689275</v>
      </c>
      <c r="R56" s="62">
        <f t="shared" si="0"/>
        <v>555.41628662022606</v>
      </c>
      <c r="S56" s="62">
        <f ca="1">AVERAGE(OFFSET($R$3,0,0,'Données projet'!$E$9+1,1))-AVERAGE(OFFSET($H$3,0,0,'Données projet'!$E$9+1,1))</f>
        <v>228.905960862347</v>
      </c>
      <c r="T56" s="62">
        <f t="shared" si="34"/>
        <v>167.30057656688177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2.4821428571428572</v>
      </c>
      <c r="AI56" s="14">
        <f>IF('Données projet'!$A$62&gt;35,AI55+AH56-AQ55,IF(A56&lt;'Données projet'!$A$62,$AF$205^A56,IF(A56='Données projet'!$A$62,'Données projet'!$B$62,AI55+AH56-AQ55)))</f>
        <v>131.5535714285715</v>
      </c>
      <c r="AJ56" s="14">
        <f>AI56*VLOOKUP('Données projet'!$B$10,Paramètres!$A$1:$I$89,3,0)*VLOOKUP('Données projet'!$B$10,Paramètres!$A$1:$I$89,5,0)</f>
        <v>133.39532142857152</v>
      </c>
      <c r="AK56" s="14">
        <f t="shared" si="35"/>
        <v>34.779737282490331</v>
      </c>
      <c r="AL56" s="22">
        <f t="shared" si="4"/>
        <v>292.90489392176602</v>
      </c>
      <c r="AM56" s="62">
        <f t="shared" si="5"/>
        <v>586.23822725509933</v>
      </c>
      <c r="AN56" s="62">
        <f ca="1">AVERAGE(OFFSET($AM$3,0,0,'Données projet'!$E$10+1,1))-AVERAGE(OFFSET($H$3,0,0,'Données projet'!$E$10+1,1))</f>
        <v>256.45433991419372</v>
      </c>
      <c r="AO56" s="62">
        <f t="shared" si="36"/>
        <v>184.9718670682193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13.444444444444445</v>
      </c>
      <c r="BD56" s="13">
        <f>IF('Données projet'!$A$88&gt;35,BD55+BC56-BL55,IF(A56&lt;'Données projet'!$A$88,$BA$205^A56,IF(A56='Données projet'!$A$88,'Données projet'!$B$88,BD55+BC56-BL55)))</f>
        <v>205.88888888888886</v>
      </c>
      <c r="BE56" s="14">
        <f>BD56*VLOOKUP('Données projet'!$B$11,Paramètres!$A$1:$I$89,3,0)*VLOOKUP('Données projet'!$B$11,Paramètres!$A$1:$I$89,5,0)</f>
        <v>96.355999999999995</v>
      </c>
      <c r="BF56" s="14">
        <f t="shared" si="37"/>
        <v>26.091998195525026</v>
      </c>
      <c r="BG56" s="22">
        <f t="shared" si="7"/>
        <v>213.26359685720604</v>
      </c>
      <c r="BH56" s="62">
        <f t="shared" si="8"/>
        <v>506.59693019053935</v>
      </c>
      <c r="BI56" s="62">
        <f ca="1">AVERAGE(OFFSET($BH$3,0,0,'Données projet'!$E$11+1,1))-AVERAGE(OFFSET($H$3,0,0,'Données projet'!$E$11+1,1))</f>
        <v>152.72674713084456</v>
      </c>
      <c r="BJ56" s="62">
        <f t="shared" si="38"/>
        <v>203.90215120562164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9.7454530027867108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5.356450889598378E-3</v>
      </c>
      <c r="BS56" s="24">
        <f t="shared" si="9"/>
        <v>9.7508094536763092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15.077275199999983</v>
      </c>
      <c r="D57" s="12">
        <f t="shared" si="32"/>
        <v>5.0666178130185973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48.825969450502583</v>
      </c>
      <c r="H57" s="70">
        <f t="shared" si="1"/>
        <v>291.75061366434073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2.4821428571428572</v>
      </c>
      <c r="N57" s="14">
        <f>IF('Données projet'!$A$36&gt;35,N56+M57-V56,IF(A57&lt;'Données projet'!$A$36,$K$205^A57,IF(A57='Données projet'!$A$36,'Données projet'!$B$36,N56+M57-V56)))</f>
        <v>134.03571428571436</v>
      </c>
      <c r="O57" s="14">
        <f>N57*VLOOKUP('Données projet'!$B$9,Paramètres!$A$1:$I$89,3,0)*VLOOKUP('Données projet'!$B$9,Paramètres!$A$1:$I$89,5,0)</f>
        <v>121.27551428571434</v>
      </c>
      <c r="P57" s="14">
        <f t="shared" si="33"/>
        <v>31.972308742544865</v>
      </c>
      <c r="Q57" s="22">
        <f t="shared" si="53"/>
        <v>266.90662510755141</v>
      </c>
      <c r="R57" s="62">
        <f t="shared" si="0"/>
        <v>560.23995844088472</v>
      </c>
      <c r="S57" s="62">
        <f ca="1">AVERAGE(OFFSET($R$3,0,0,'Données projet'!$E$9+1,1))-AVERAGE(OFFSET($H$3,0,0,'Données projet'!$E$9+1,1))</f>
        <v>228.905960862347</v>
      </c>
      <c r="T57" s="62">
        <f t="shared" si="34"/>
        <v>167.30057656688177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2.4821428571428572</v>
      </c>
      <c r="AI57" s="14">
        <f>IF('Données projet'!$A$62&gt;35,AI56+AH57-AQ56,IF(A57&lt;'Données projet'!$A$62,$AF$205^A57,IF(A57='Données projet'!$A$62,'Données projet'!$B$62,AI56+AH57-AQ56)))</f>
        <v>134.03571428571436</v>
      </c>
      <c r="AJ57" s="14">
        <f>AI57*VLOOKUP('Données projet'!$B$10,Paramètres!$A$1:$I$89,3,0)*VLOOKUP('Données projet'!$B$10,Paramètres!$A$1:$I$89,5,0)</f>
        <v>135.91221428571438</v>
      </c>
      <c r="AK57" s="14">
        <f t="shared" si="35"/>
        <v>35.358942262536246</v>
      </c>
      <c r="AL57" s="22">
        <f t="shared" si="4"/>
        <v>298.29726432153649</v>
      </c>
      <c r="AM57" s="62">
        <f t="shared" si="5"/>
        <v>591.6305976548698</v>
      </c>
      <c r="AN57" s="62">
        <f ca="1">AVERAGE(OFFSET($AM$3,0,0,'Données projet'!$E$10+1,1))-AVERAGE(OFFSET($H$3,0,0,'Données projet'!$E$10+1,1))</f>
        <v>256.45433991419372</v>
      </c>
      <c r="AO57" s="62">
        <f t="shared" si="36"/>
        <v>184.9718670682193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13.444444444444445</v>
      </c>
      <c r="BD57" s="13">
        <f>IF('Données projet'!$A$88&gt;35,BD56+BC57-BL56,IF(A57&lt;'Données projet'!$A$88,$BA$205^A57,IF(A57='Données projet'!$A$88,'Données projet'!$B$88,BD56+BC57-BL56)))</f>
        <v>219.33333333333331</v>
      </c>
      <c r="BE57" s="14">
        <f>BD57*VLOOKUP('Données projet'!$B$11,Paramètres!$A$1:$I$89,3,0)*VLOOKUP('Données projet'!$B$11,Paramètres!$A$1:$I$89,5,0)</f>
        <v>102.648</v>
      </c>
      <c r="BF57" s="14">
        <f t="shared" si="37"/>
        <v>27.591884256813071</v>
      </c>
      <c r="BG57" s="22">
        <f t="shared" si="7"/>
        <v>226.83446508061607</v>
      </c>
      <c r="BH57" s="62">
        <f t="shared" si="8"/>
        <v>520.16779841394941</v>
      </c>
      <c r="BI57" s="62">
        <f ca="1">AVERAGE(OFFSET($BH$3,0,0,'Données projet'!$E$11+1,1))-AVERAGE(OFFSET($H$3,0,0,'Données projet'!$E$11+1,1))</f>
        <v>152.72674713084456</v>
      </c>
      <c r="BJ57" s="62">
        <f t="shared" si="38"/>
        <v>203.90215120562164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9.5543506135414606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3.7875827471277284E-3</v>
      </c>
      <c r="BS57" s="24">
        <f t="shared" si="9"/>
        <v>9.5581381962885885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15.356483999999982</v>
      </c>
      <c r="D58" s="12">
        <f t="shared" si="32"/>
        <v>5.1494339494027708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49.703467085780431</v>
      </c>
      <c r="H58" s="70">
        <f t="shared" si="1"/>
        <v>292.38114042854318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2.4821428571428572</v>
      </c>
      <c r="N58" s="14">
        <f>IF('Données projet'!$A$36&gt;35,N57+M58-V57,IF(A58&lt;'Données projet'!$A$36,$K$205^A58,IF(A58='Données projet'!$A$36,'Données projet'!$B$36,N57+M58-V57)))</f>
        <v>136.51785714285722</v>
      </c>
      <c r="O58" s="14">
        <f>N58*VLOOKUP('Données projet'!$B$9,Paramètres!$A$1:$I$89,3,0)*VLOOKUP('Données projet'!$B$9,Paramètres!$A$1:$I$89,5,0)</f>
        <v>123.52135714285723</v>
      </c>
      <c r="P58" s="14">
        <f t="shared" si="33"/>
        <v>32.494910442348633</v>
      </c>
      <c r="Q58" s="22">
        <f t="shared" si="53"/>
        <v>271.72833271090025</v>
      </c>
      <c r="R58" s="62">
        <f t="shared" si="0"/>
        <v>565.06166604423356</v>
      </c>
      <c r="S58" s="62">
        <f ca="1">AVERAGE(OFFSET($R$3,0,0,'Données projet'!$E$9+1,1))-AVERAGE(OFFSET($H$3,0,0,'Données projet'!$E$9+1,1))</f>
        <v>228.905960862347</v>
      </c>
      <c r="T58" s="62">
        <f t="shared" si="34"/>
        <v>167.30057656688177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2.4821428571428572</v>
      </c>
      <c r="AI58" s="14">
        <f>IF('Données projet'!$A$62&gt;35,AI57+AH58-AQ57,IF(A58&lt;'Données projet'!$A$62,$AF$205^A58,IF(A58='Données projet'!$A$62,'Données projet'!$B$62,AI57+AH58-AQ57)))</f>
        <v>136.51785714285722</v>
      </c>
      <c r="AJ58" s="14">
        <f>AI58*VLOOKUP('Données projet'!$B$10,Paramètres!$A$1:$I$89,3,0)*VLOOKUP('Données projet'!$B$10,Paramètres!$A$1:$I$89,5,0)</f>
        <v>138.42910714285722</v>
      </c>
      <c r="AK58" s="14">
        <f t="shared" si="35"/>
        <v>35.936900003356961</v>
      </c>
      <c r="AL58" s="22">
        <f t="shared" si="4"/>
        <v>303.68746244632302</v>
      </c>
      <c r="AM58" s="62">
        <f t="shared" si="5"/>
        <v>597.02079577965628</v>
      </c>
      <c r="AN58" s="62">
        <f ca="1">AVERAGE(OFFSET($AM$3,0,0,'Données projet'!$E$10+1,1))-AVERAGE(OFFSET($H$3,0,0,'Données projet'!$E$10+1,1))</f>
        <v>256.45433991419372</v>
      </c>
      <c r="AO58" s="62">
        <f t="shared" si="36"/>
        <v>184.9718670682193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13.444444444444445</v>
      </c>
      <c r="BD58" s="13">
        <f>IF('Données projet'!$A$88&gt;35,BD57+BC58-BL57,IF(A58&lt;'Données projet'!$A$88,$BA$205^A58,IF(A58='Données projet'!$A$88,'Données projet'!$B$88,BD57+BC58-BL57)))</f>
        <v>232.77777777777777</v>
      </c>
      <c r="BE58" s="14">
        <f>BD58*VLOOKUP('Données projet'!$B$11,Paramètres!$A$1:$I$89,3,0)*VLOOKUP('Données projet'!$B$11,Paramètres!$A$1:$I$89,5,0)</f>
        <v>108.94</v>
      </c>
      <c r="BF58" s="14">
        <f t="shared" si="37"/>
        <v>29.081099734343869</v>
      </c>
      <c r="BG58" s="22">
        <f t="shared" si="7"/>
        <v>240.38674870398219</v>
      </c>
      <c r="BH58" s="62">
        <f t="shared" si="8"/>
        <v>533.72008203731548</v>
      </c>
      <c r="BI58" s="62">
        <f ca="1">AVERAGE(OFFSET($BH$3,0,0,'Données projet'!$E$11+1,1))-AVERAGE(OFFSET($H$3,0,0,'Données projet'!$E$11+1,1))</f>
        <v>152.72674713084456</v>
      </c>
      <c r="BJ58" s="62">
        <f t="shared" si="38"/>
        <v>203.90215120562164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9.3669956255883609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2.6782254447991895E-3</v>
      </c>
      <c r="BS58" s="24">
        <f t="shared" si="9"/>
        <v>9.3696738510331592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15.635692799999982</v>
      </c>
      <c r="D59" s="12">
        <f t="shared" si="32"/>
        <v>5.2320749918646348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50.58054031796518</v>
      </c>
      <c r="H59" s="70">
        <f t="shared" si="1"/>
        <v>293.01136223749756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139</v>
      </c>
      <c r="L59" s="13">
        <f>VLOOKUP(A59,'Données projet'!$A$35:$I$55,9,0)</f>
        <v>2.4821428571428572</v>
      </c>
      <c r="M59" s="13">
        <f t="array" ref="M59">INDEX(L:L,MIN(IF(ISNUMBER(L59:L255),ROW(L59:L255),"")))</f>
        <v>2.4821428571428572</v>
      </c>
      <c r="N59" s="14">
        <f>IF('Données projet'!$A$36&gt;35,N58+M59-V58,IF(A59&lt;'Données projet'!$A$36,$K$205^A59,IF(A59='Données projet'!$A$36,'Données projet'!$B$36,N58+M59-V58)))</f>
        <v>139.00000000000009</v>
      </c>
      <c r="O59" s="14">
        <f>N59*VLOOKUP('Données projet'!$B$9,Paramètres!$A$1:$I$89,3,0)*VLOOKUP('Données projet'!$B$9,Paramètres!$A$1:$I$89,5,0)</f>
        <v>125.76720000000007</v>
      </c>
      <c r="P59" s="14">
        <f t="shared" si="33"/>
        <v>33.016407232101997</v>
      </c>
      <c r="Q59" s="22">
        <f t="shared" si="53"/>
        <v>276.54811592924443</v>
      </c>
      <c r="R59" s="62">
        <f t="shared" si="0"/>
        <v>569.88144926257769</v>
      </c>
      <c r="S59" s="62">
        <f ca="1">AVERAGE(OFFSET($R$3,0,0,'Données projet'!$E$9+1,1))-AVERAGE(OFFSET($H$3,0,0,'Données projet'!$E$9+1,1))</f>
        <v>228.905960862347</v>
      </c>
      <c r="T59" s="62">
        <f t="shared" si="34"/>
        <v>167.30057656688177</v>
      </c>
      <c r="U59" s="16">
        <f>IF(ISNA(VLOOKUP(A59,'Données projet'!$A$35:$I$55,3,0)),0,VLOOKUP(A59,'Données projet'!$A$35:$I$55,3,0))</f>
        <v>1</v>
      </c>
      <c r="V59" s="16">
        <f>IF(ISNA(VLOOKUP(A59,'Données projet'!$A$35:$I$55,4,0)),0,VLOOKUP(A59,'Données projet'!$A$35:$I$55,4,0))</f>
        <v>35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139</v>
      </c>
      <c r="AG59" s="13">
        <f>VLOOKUP(A59,'Données projet'!$A$61:$I$81,9,0)</f>
        <v>2.4821428571428572</v>
      </c>
      <c r="AH59" s="13">
        <f t="array" ref="AH59">INDEX(AG:AG,MIN(IF(ISNUMBER(AG59:AG255),ROW(AG59:AG255),"")))</f>
        <v>2.4821428571428572</v>
      </c>
      <c r="AI59" s="14">
        <f>IF('Données projet'!$A$62&gt;35,AI58+AH59-AQ58,IF(A59&lt;'Données projet'!$A$62,$AF$205^A59,IF(A59='Données projet'!$A$62,'Données projet'!$B$62,AI58+AH59-AQ58)))</f>
        <v>139.00000000000009</v>
      </c>
      <c r="AJ59" s="14">
        <f>AI59*VLOOKUP('Données projet'!$B$10,Paramètres!$A$1:$I$89,3,0)*VLOOKUP('Données projet'!$B$10,Paramètres!$A$1:$I$89,5,0)</f>
        <v>140.94600000000011</v>
      </c>
      <c r="AK59" s="14">
        <f t="shared" si="35"/>
        <v>36.513635797680479</v>
      </c>
      <c r="AL59" s="22">
        <f t="shared" si="4"/>
        <v>309.07553234762696</v>
      </c>
      <c r="AM59" s="62">
        <f t="shared" si="5"/>
        <v>602.40886568096028</v>
      </c>
      <c r="AN59" s="62">
        <f ca="1">AVERAGE(OFFSET($AM$3,0,0,'Données projet'!$E$10+1,1))-AVERAGE(OFFSET($H$3,0,0,'Données projet'!$E$10+1,1))</f>
        <v>256.45433991419372</v>
      </c>
      <c r="AO59" s="62">
        <f t="shared" si="36"/>
        <v>184.9718670682193</v>
      </c>
      <c r="AP59" s="16">
        <f>IF(ISNA(VLOOKUP(A59,'Données projet'!$A$61:$I$81,3,0)),0,VLOOKUP(A59,'Données projet'!$A$61:$I$81,3,0))</f>
        <v>1</v>
      </c>
      <c r="AQ59" s="16">
        <f>IF(ISNA(VLOOKUP(A59,'Données projet'!$A$61:$I$81,4,0)),0,VLOOKUP(A59,'Données projet'!$A$61:$I$81,4,0))</f>
        <v>35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13.444444444444445</v>
      </c>
      <c r="BD59" s="13">
        <f>IF('Données projet'!$A$88&gt;35,BD58+BC59-BL58,IF(A59&lt;'Données projet'!$A$88,$BA$205^A59,IF(A59='Données projet'!$A$88,'Données projet'!$B$88,BD58+BC59-BL58)))</f>
        <v>246.22222222222223</v>
      </c>
      <c r="BE59" s="14">
        <f>BD59*VLOOKUP('Données projet'!$B$11,Paramètres!$A$1:$I$89,3,0)*VLOOKUP('Données projet'!$B$11,Paramètres!$A$1:$I$89,5,0)</f>
        <v>115.232</v>
      </c>
      <c r="BF59" s="14">
        <f t="shared" si="37"/>
        <v>30.560331138556659</v>
      </c>
      <c r="BG59" s="22">
        <f t="shared" si="7"/>
        <v>253.92164339965282</v>
      </c>
      <c r="BH59" s="62">
        <f t="shared" si="8"/>
        <v>547.25497673298617</v>
      </c>
      <c r="BI59" s="62">
        <f ca="1">AVERAGE(OFFSET($BH$3,0,0,'Données projet'!$E$11+1,1))-AVERAGE(OFFSET($H$3,0,0,'Données projet'!$E$11+1,1))</f>
        <v>152.72674713084456</v>
      </c>
      <c r="BJ59" s="62">
        <f t="shared" si="38"/>
        <v>203.90215120562164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9.1833145546737622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1.8937913735638644E-3</v>
      </c>
      <c r="BS59" s="24">
        <f t="shared" si="9"/>
        <v>9.1852083460473253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15.914901599999981</v>
      </c>
      <c r="D60" s="12">
        <f t="shared" si="32"/>
        <v>5.3145444277750489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51.457197599954355</v>
      </c>
      <c r="H60" s="70">
        <f t="shared" si="1"/>
        <v>293.6412851650415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7.3</v>
      </c>
      <c r="N60" s="14">
        <f>IF('Données projet'!$A$36&gt;35,N59+M60-V59,IF(A60&lt;'Données projet'!$A$36,$K$205^A60,IF(A60='Données projet'!$A$36,'Données projet'!$B$36,N59+M60-V59)))</f>
        <v>111.3000000000001</v>
      </c>
      <c r="O60" s="14">
        <f>N60*VLOOKUP('Données projet'!$B$9,Paramètres!$A$1:$I$89,3,0)*VLOOKUP('Données projet'!$B$9,Paramètres!$A$1:$I$89,5,0)</f>
        <v>100.70424000000007</v>
      </c>
      <c r="P60" s="14">
        <f t="shared" si="33"/>
        <v>27.129704430923365</v>
      </c>
      <c r="Q60" s="22">
        <f t="shared" si="53"/>
        <v>222.64411988385828</v>
      </c>
      <c r="R60" s="62">
        <f t="shared" si="0"/>
        <v>515.97745321719162</v>
      </c>
      <c r="S60" s="62">
        <f ca="1">AVERAGE(OFFSET($R$3,0,0,'Données projet'!$E$9+1,1))-AVERAGE(OFFSET($H$3,0,0,'Données projet'!$E$9+1,1))</f>
        <v>228.905960862347</v>
      </c>
      <c r="T60" s="62">
        <f t="shared" si="34"/>
        <v>167.30057656688177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7.3</v>
      </c>
      <c r="AI60" s="14">
        <f>IF('Données projet'!$A$62&gt;35,AI59+AH60-AQ59,IF(A60&lt;'Données projet'!$A$62,$AF$205^A60,IF(A60='Données projet'!$A$62,'Données projet'!$B$62,AI59+AH60-AQ59)))</f>
        <v>111.3000000000001</v>
      </c>
      <c r="AJ60" s="14">
        <f>AI60*VLOOKUP('Données projet'!$B$10,Paramètres!$A$1:$I$89,3,0)*VLOOKUP('Données projet'!$B$10,Paramètres!$A$1:$I$89,5,0)</f>
        <v>112.85820000000011</v>
      </c>
      <c r="AK60" s="14">
        <f t="shared" si="35"/>
        <v>30.00339013041626</v>
      </c>
      <c r="AL60" s="22">
        <f t="shared" si="4"/>
        <v>248.81726947714185</v>
      </c>
      <c r="AM60" s="62">
        <f t="shared" si="5"/>
        <v>542.15060281047522</v>
      </c>
      <c r="AN60" s="62">
        <f ca="1">AVERAGE(OFFSET($AM$3,0,0,'Données projet'!$E$10+1,1))-AVERAGE(OFFSET($H$3,0,0,'Données projet'!$E$10+1,1))</f>
        <v>256.45433991419372</v>
      </c>
      <c r="AO60" s="62">
        <f t="shared" si="36"/>
        <v>184.9718670682193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13.444444444444445</v>
      </c>
      <c r="BD60" s="13">
        <f>IF('Données projet'!$A$88&gt;35,BD59+BC60-BL59,IF(A60&lt;'Données projet'!$A$88,$BA$205^A60,IF(A60='Données projet'!$A$88,'Données projet'!$B$88,BD59+BC60-BL59)))</f>
        <v>259.66666666666669</v>
      </c>
      <c r="BE60" s="14">
        <f>BD60*VLOOKUP('Données projet'!$B$11,Paramètres!$A$1:$I$89,3,0)*VLOOKUP('Données projet'!$B$11,Paramètres!$A$1:$I$89,5,0)</f>
        <v>121.52400000000002</v>
      </c>
      <c r="BF60" s="14">
        <f t="shared" si="37"/>
        <v>32.030185774775809</v>
      </c>
      <c r="BG60" s="22">
        <f t="shared" si="7"/>
        <v>267.44020689106782</v>
      </c>
      <c r="BH60" s="62">
        <f t="shared" si="8"/>
        <v>560.77354022440113</v>
      </c>
      <c r="BI60" s="62">
        <f ca="1">AVERAGE(OFFSET($BH$3,0,0,'Données projet'!$E$11+1,1))-AVERAGE(OFFSET($H$3,0,0,'Données projet'!$E$11+1,1))</f>
        <v>152.72674713084456</v>
      </c>
      <c r="BJ60" s="62">
        <f t="shared" si="38"/>
        <v>203.90215120562164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9.0032353575254085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1.3391127223995949E-3</v>
      </c>
      <c r="BS60" s="24">
        <f t="shared" si="9"/>
        <v>9.0045744702478085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16.194110399999982</v>
      </c>
      <c r="D61" s="12">
        <f t="shared" si="32"/>
        <v>5.3968456151316611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52.333447071062949</v>
      </c>
      <c r="H61" s="70">
        <f t="shared" si="1"/>
        <v>294.27091505968764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7.3</v>
      </c>
      <c r="N61" s="14">
        <f>IF('Données projet'!$A$36&gt;35,N60+M61-V60,IF(A61&lt;'Données projet'!$A$36,$K$205^A61,IF(A61='Données projet'!$A$36,'Données projet'!$B$36,N60+M61-V60)))</f>
        <v>118.60000000000009</v>
      </c>
      <c r="O61" s="14">
        <f>N61*VLOOKUP('Données projet'!$B$9,Paramètres!$A$1:$I$89,3,0)*VLOOKUP('Données projet'!$B$9,Paramètres!$A$1:$I$89,5,0)</f>
        <v>107.30928000000009</v>
      </c>
      <c r="P61" s="14">
        <f t="shared" si="33"/>
        <v>28.69611910999674</v>
      </c>
      <c r="Q61" s="22">
        <f t="shared" si="53"/>
        <v>236.87607011657778</v>
      </c>
      <c r="R61" s="62">
        <f t="shared" si="0"/>
        <v>530.20940344991106</v>
      </c>
      <c r="S61" s="62">
        <f ca="1">AVERAGE(OFFSET($R$3,0,0,'Données projet'!$E$9+1,1))-AVERAGE(OFFSET($H$3,0,0,'Données projet'!$E$9+1,1))</f>
        <v>228.905960862347</v>
      </c>
      <c r="T61" s="62">
        <f t="shared" si="34"/>
        <v>167.30057656688177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7.3</v>
      </c>
      <c r="AI61" s="14">
        <f>IF('Données projet'!$A$62&gt;35,AI60+AH61-AQ60,IF(A61&lt;'Données projet'!$A$62,$AF$205^A61,IF(A61='Données projet'!$A$62,'Données projet'!$B$62,AI60+AH61-AQ60)))</f>
        <v>118.60000000000009</v>
      </c>
      <c r="AJ61" s="14">
        <f>AI61*VLOOKUP('Données projet'!$B$10,Paramètres!$A$1:$I$89,3,0)*VLOOKUP('Données projet'!$B$10,Paramètres!$A$1:$I$89,5,0)</f>
        <v>120.2604000000001</v>
      </c>
      <c r="AK61" s="14">
        <f t="shared" si="35"/>
        <v>31.735725653713757</v>
      </c>
      <c r="AL61" s="22">
        <f t="shared" si="4"/>
        <v>264.72658551355164</v>
      </c>
      <c r="AM61" s="62">
        <f t="shared" si="5"/>
        <v>558.05991884688501</v>
      </c>
      <c r="AN61" s="62">
        <f ca="1">AVERAGE(OFFSET($AM$3,0,0,'Données projet'!$E$10+1,1))-AVERAGE(OFFSET($H$3,0,0,'Données projet'!$E$10+1,1))</f>
        <v>256.45433991419372</v>
      </c>
      <c r="AO61" s="62">
        <f t="shared" si="36"/>
        <v>184.9718670682193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13.444444444444445</v>
      </c>
      <c r="BD61" s="13">
        <f>IF('Données projet'!$A$88&gt;35,BD60+BC61-BL60,IF(A61&lt;'Données projet'!$A$88,$BA$205^A61,IF(A61='Données projet'!$A$88,'Données projet'!$B$88,BD60+BC61-BL60)))</f>
        <v>273.11111111111114</v>
      </c>
      <c r="BE61" s="14">
        <f>BD61*VLOOKUP('Données projet'!$B$11,Paramètres!$A$1:$I$89,3,0)*VLOOKUP('Données projet'!$B$11,Paramètres!$A$1:$I$89,5,0)</f>
        <v>127.81600000000002</v>
      </c>
      <c r="BF61" s="14">
        <f t="shared" si="37"/>
        <v>33.491204508905589</v>
      </c>
      <c r="BG61" s="22">
        <f t="shared" si="7"/>
        <v>280.94338118634391</v>
      </c>
      <c r="BH61" s="62">
        <f t="shared" si="8"/>
        <v>574.27671451967717</v>
      </c>
      <c r="BI61" s="62">
        <f ca="1">AVERAGE(OFFSET($BH$3,0,0,'Données projet'!$E$11+1,1))-AVERAGE(OFFSET($H$3,0,0,'Données projet'!$E$11+1,1))</f>
        <v>152.72674713084456</v>
      </c>
      <c r="BJ61" s="62">
        <f t="shared" si="38"/>
        <v>203.90215120562164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8.8266874035956704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9.4689568678193244E-4</v>
      </c>
      <c r="BS61" s="24">
        <f t="shared" si="9"/>
        <v>8.8276342992824528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16.473319199999981</v>
      </c>
      <c r="D62" s="12">
        <f t="shared" si="32"/>
        <v>5.4789817895046742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53.209296573859007</v>
      </c>
      <c r="H62" s="70">
        <f t="shared" si="1"/>
        <v>294.90025755672065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7.3</v>
      </c>
      <c r="N62" s="14">
        <f>IF('Données projet'!$A$36&gt;35,N61+M62-V61,IF(A62&lt;'Données projet'!$A$36,$K$205^A62,IF(A62='Données projet'!$A$36,'Données projet'!$B$36,N61+M62-V61)))</f>
        <v>125.90000000000009</v>
      </c>
      <c r="O62" s="14">
        <f>N62*VLOOKUP('Données projet'!$B$9,Paramètres!$A$1:$I$89,3,0)*VLOOKUP('Données projet'!$B$9,Paramètres!$A$1:$I$89,5,0)</f>
        <v>113.91432000000007</v>
      </c>
      <c r="P62" s="14">
        <f t="shared" si="33"/>
        <v>30.251343725210535</v>
      </c>
      <c r="Q62" s="22">
        <f t="shared" si="53"/>
        <v>251.08853098807515</v>
      </c>
      <c r="R62" s="62">
        <f t="shared" si="0"/>
        <v>544.42186432140852</v>
      </c>
      <c r="S62" s="62">
        <f ca="1">AVERAGE(OFFSET($R$3,0,0,'Données projet'!$E$9+1,1))-AVERAGE(OFFSET($H$3,0,0,'Données projet'!$E$9+1,1))</f>
        <v>228.905960862347</v>
      </c>
      <c r="T62" s="62">
        <f t="shared" si="34"/>
        <v>167.30057656688177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7.3</v>
      </c>
      <c r="AI62" s="14">
        <f>IF('Données projet'!$A$62&gt;35,AI61+AH62-AQ61,IF(A62&lt;'Données projet'!$A$62,$AF$205^A62,IF(A62='Données projet'!$A$62,'Données projet'!$B$62,AI61+AH62-AQ61)))</f>
        <v>125.90000000000009</v>
      </c>
      <c r="AJ62" s="14">
        <f>AI62*VLOOKUP('Données projet'!$B$10,Paramètres!$A$1:$I$89,3,0)*VLOOKUP('Données projet'!$B$10,Paramètres!$A$1:$I$89,5,0)</f>
        <v>127.66260000000011</v>
      </c>
      <c r="AK62" s="14">
        <f t="shared" si="35"/>
        <v>33.455685817286316</v>
      </c>
      <c r="AL62" s="22">
        <f t="shared" si="4"/>
        <v>280.61434779844052</v>
      </c>
      <c r="AM62" s="62">
        <f t="shared" si="5"/>
        <v>573.94768113177383</v>
      </c>
      <c r="AN62" s="62">
        <f ca="1">AVERAGE(OFFSET($AM$3,0,0,'Données projet'!$E$10+1,1))-AVERAGE(OFFSET($H$3,0,0,'Données projet'!$E$10+1,1))</f>
        <v>256.45433991419372</v>
      </c>
      <c r="AO62" s="62">
        <f t="shared" si="36"/>
        <v>184.9718670682193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13.444444444444445</v>
      </c>
      <c r="BD62" s="13">
        <f>IF('Données projet'!$A$88&gt;35,BD61+BC62-BL61,IF(A62&lt;'Données projet'!$A$88,$BA$205^A62,IF(A62='Données projet'!$A$88,'Données projet'!$B$88,BD61+BC62-BL61)))</f>
        <v>286.5555555555556</v>
      </c>
      <c r="BE62" s="14">
        <f>BD62*VLOOKUP('Données projet'!$B$11,Paramètres!$A$1:$I$89,3,0)*VLOOKUP('Données projet'!$B$11,Paramètres!$A$1:$I$89,5,0)</f>
        <v>134.10800000000003</v>
      </c>
      <c r="BF62" s="14">
        <f t="shared" si="37"/>
        <v>34.943871948095122</v>
      </c>
      <c r="BG62" s="22">
        <f t="shared" si="7"/>
        <v>294.43201030959904</v>
      </c>
      <c r="BH62" s="62">
        <f t="shared" si="8"/>
        <v>587.76534364293229</v>
      </c>
      <c r="BI62" s="62">
        <f ca="1">AVERAGE(OFFSET($BH$3,0,0,'Données projet'!$E$11+1,1))-AVERAGE(OFFSET($H$3,0,0,'Données projet'!$E$11+1,1))</f>
        <v>152.72674713084456</v>
      </c>
      <c r="BJ62" s="62">
        <f t="shared" si="38"/>
        <v>203.90215120562164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8.6536014473588754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6.6955636119979758E-4</v>
      </c>
      <c r="BS62" s="24">
        <f t="shared" si="9"/>
        <v>8.6542710037200745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16.75252799999998</v>
      </c>
      <c r="D63" s="12">
        <f t="shared" si="32"/>
        <v>5.5609560704983654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54.084753669825467</v>
      </c>
      <c r="H63" s="70">
        <f t="shared" si="1"/>
        <v>295.52931808945129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7.3</v>
      </c>
      <c r="N63" s="14">
        <f>IF('Données projet'!$A$36&gt;35,N62+M63-V62,IF(A63&lt;'Données projet'!$A$36,$K$205^A63,IF(A63='Données projet'!$A$36,'Données projet'!$B$36,N62+M63-V62)))</f>
        <v>133.2000000000001</v>
      </c>
      <c r="O63" s="14">
        <f>N63*VLOOKUP('Données projet'!$B$9,Paramètres!$A$1:$I$89,3,0)*VLOOKUP('Données projet'!$B$9,Paramètres!$A$1:$I$89,5,0)</f>
        <v>120.51936000000009</v>
      </c>
      <c r="P63" s="14">
        <f t="shared" si="33"/>
        <v>31.796101022354552</v>
      </c>
      <c r="Q63" s="22">
        <f t="shared" si="53"/>
        <v>265.28276128060099</v>
      </c>
      <c r="R63" s="62">
        <f t="shared" si="0"/>
        <v>558.61609461393437</v>
      </c>
      <c r="S63" s="62">
        <f ca="1">AVERAGE(OFFSET($R$3,0,0,'Données projet'!$E$9+1,1))-AVERAGE(OFFSET($H$3,0,0,'Données projet'!$E$9+1,1))</f>
        <v>228.905960862347</v>
      </c>
      <c r="T63" s="62">
        <f t="shared" si="34"/>
        <v>167.30057656688177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7.3</v>
      </c>
      <c r="AI63" s="14">
        <f>IF('Données projet'!$A$62&gt;35,AI62+AH63-AQ62,IF(A63&lt;'Données projet'!$A$62,$AF$205^A63,IF(A63='Données projet'!$A$62,'Données projet'!$B$62,AI62+AH63-AQ62)))</f>
        <v>133.2000000000001</v>
      </c>
      <c r="AJ63" s="14">
        <f>AI63*VLOOKUP('Données projet'!$B$10,Paramètres!$A$1:$I$89,3,0)*VLOOKUP('Données projet'!$B$10,Paramètres!$A$1:$I$89,5,0)</f>
        <v>135.0648000000001</v>
      </c>
      <c r="AK63" s="14">
        <f t="shared" si="35"/>
        <v>35.164069923019127</v>
      </c>
      <c r="AL63" s="22">
        <f t="shared" si="4"/>
        <v>296.48194844925848</v>
      </c>
      <c r="AM63" s="62">
        <f t="shared" si="5"/>
        <v>589.8152817825918</v>
      </c>
      <c r="AN63" s="62">
        <f ca="1">AVERAGE(OFFSET($AM$3,0,0,'Données projet'!$E$10+1,1))-AVERAGE(OFFSET($H$3,0,0,'Données projet'!$E$10+1,1))</f>
        <v>256.45433991419372</v>
      </c>
      <c r="AO63" s="62">
        <f t="shared" si="36"/>
        <v>184.9718670682193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300</v>
      </c>
      <c r="BB63" s="13">
        <f>VLOOKUP(A63,'Données projet'!$A$87:$I$107,9,0)</f>
        <v>13.444444444444445</v>
      </c>
      <c r="BC63" s="13">
        <f t="array" ref="BC63">INDEX(BB:BB,MIN(IF(ISNUMBER(BB63:BB259),ROW(BB63:BB259),"")))</f>
        <v>13.444444444444445</v>
      </c>
      <c r="BD63" s="13">
        <f>IF('Données projet'!$A$88&gt;35,BD62+BC63-BL62,IF(A63&lt;'Données projet'!$A$88,$BA$205^A63,IF(A63='Données projet'!$A$88,'Données projet'!$B$88,BD62+BC63-BL62)))</f>
        <v>300.00000000000006</v>
      </c>
      <c r="BE63" s="14">
        <f>BD63*VLOOKUP('Données projet'!$B$11,Paramètres!$A$1:$I$89,3,0)*VLOOKUP('Données projet'!$B$11,Paramètres!$A$1:$I$89,5,0)</f>
        <v>140.40000000000003</v>
      </c>
      <c r="BF63" s="14">
        <f t="shared" si="37"/>
        <v>36.388624656711201</v>
      </c>
      <c r="BG63" s="22">
        <f t="shared" si="7"/>
        <v>307.90685461043876</v>
      </c>
      <c r="BH63" s="62">
        <f t="shared" si="8"/>
        <v>601.24018794377207</v>
      </c>
      <c r="BI63" s="62">
        <f ca="1">AVERAGE(OFFSET($BH$3,0,0,'Données projet'!$E$11+1,1))-AVERAGE(OFFSET($H$3,0,0,'Données projet'!$E$11+1,1))</f>
        <v>152.72674713084456</v>
      </c>
      <c r="BJ63" s="62">
        <f t="shared" si="38"/>
        <v>203.90215120562164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300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8.4839096011518738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4.7344784339096627E-4</v>
      </c>
      <c r="BS63" s="24">
        <f t="shared" si="9"/>
        <v>8.4843830489952641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17.03173679999998</v>
      </c>
      <c r="D64" s="12">
        <f t="shared" si="32"/>
        <v>5.6427714677696184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54.959825653948201</v>
      </c>
      <c r="H64" s="70">
        <f t="shared" si="1"/>
        <v>296.15810189969875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7.3</v>
      </c>
      <c r="N64" s="14">
        <f>IF('Données projet'!$A$36&gt;35,N63+M64-V63,IF(A64&lt;'Données projet'!$A$36,$K$205^A64,IF(A64='Données projet'!$A$36,'Données projet'!$B$36,N63+M64-V63)))</f>
        <v>140.50000000000011</v>
      </c>
      <c r="O64" s="14">
        <f>N64*VLOOKUP('Données projet'!$B$9,Paramètres!$A$1:$I$89,3,0)*VLOOKUP('Données projet'!$B$9,Paramètres!$A$1:$I$89,5,0)</f>
        <v>127.12440000000011</v>
      </c>
      <c r="P64" s="14">
        <f t="shared" si="33"/>
        <v>33.331030053143557</v>
      </c>
      <c r="Q64" s="22">
        <f t="shared" si="53"/>
        <v>279.45987400922519</v>
      </c>
      <c r="R64" s="62">
        <f t="shared" si="0"/>
        <v>572.7932073425585</v>
      </c>
      <c r="S64" s="62">
        <f ca="1">AVERAGE(OFFSET($R$3,0,0,'Données projet'!$E$9+1,1))-AVERAGE(OFFSET($H$3,0,0,'Données projet'!$E$9+1,1))</f>
        <v>228.905960862347</v>
      </c>
      <c r="T64" s="62">
        <f t="shared" si="34"/>
        <v>167.30057656688177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7.3</v>
      </c>
      <c r="AI64" s="14">
        <f>IF('Données projet'!$A$62&gt;35,AI63+AH64-AQ63,IF(A64&lt;'Données projet'!$A$62,$AF$205^A64,IF(A64='Données projet'!$A$62,'Données projet'!$B$62,AI63+AH64-AQ63)))</f>
        <v>140.50000000000011</v>
      </c>
      <c r="AJ64" s="14">
        <f>AI64*VLOOKUP('Données projet'!$B$10,Paramètres!$A$1:$I$89,3,0)*VLOOKUP('Données projet'!$B$10,Paramètres!$A$1:$I$89,5,0)</f>
        <v>142.46700000000013</v>
      </c>
      <c r="AK64" s="14">
        <f t="shared" si="35"/>
        <v>36.861584713514645</v>
      </c>
      <c r="AL64" s="22">
        <f t="shared" si="4"/>
        <v>312.33061837603822</v>
      </c>
      <c r="AM64" s="62">
        <f t="shared" si="5"/>
        <v>605.66395170937153</v>
      </c>
      <c r="AN64" s="62">
        <f ca="1">AVERAGE(OFFSET($AM$3,0,0,'Données projet'!$E$10+1,1))-AVERAGE(OFFSET($H$3,0,0,'Données projet'!$E$10+1,1))</f>
        <v>256.45433991419372</v>
      </c>
      <c r="AO64" s="62">
        <f t="shared" si="36"/>
        <v>184.9718670682193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2.6602720026858149E-14</v>
      </c>
      <c r="BF64" s="14">
        <f t="shared" si="37"/>
        <v>4.6624771586320878E-13</v>
      </c>
      <c r="BG64" s="22">
        <f t="shared" si="7"/>
        <v>8.583811758418665E-13</v>
      </c>
      <c r="BH64" s="62">
        <f t="shared" si="8"/>
        <v>293.33333333333417</v>
      </c>
      <c r="BI64" s="62">
        <f ca="1">AVERAGE(OFFSET($BH$3,0,0,'Données projet'!$E$11+1,1))-AVERAGE(OFFSET($H$3,0,0,'Données projet'!$E$11+1,1))</f>
        <v>152.72674713084456</v>
      </c>
      <c r="BJ64" s="62">
        <f t="shared" si="38"/>
        <v>203.90215120562164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8.3175453085471851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3.3477818059989884E-4</v>
      </c>
      <c r="BS64" s="24">
        <f t="shared" si="9"/>
        <v>8.3178800867277847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17.310945599999979</v>
      </c>
      <c r="D65" s="12">
        <f t="shared" si="32"/>
        <v>5.7244308866406204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55.834519568320445</v>
      </c>
      <c r="H65" s="70">
        <f t="shared" si="1"/>
        <v>296.78661404756571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7.3</v>
      </c>
      <c r="N65" s="14">
        <f>IF('Données projet'!$A$36&gt;35,N64+M65-V64,IF(A65&lt;'Données projet'!$A$36,$K$205^A65,IF(A65='Données projet'!$A$36,'Données projet'!$B$36,N64+M65-V64)))</f>
        <v>147.80000000000013</v>
      </c>
      <c r="O65" s="14">
        <f>N65*VLOOKUP('Données projet'!$B$9,Paramètres!$A$1:$I$89,3,0)*VLOOKUP('Données projet'!$B$9,Paramètres!$A$1:$I$89,5,0)</f>
        <v>133.7294400000001</v>
      </c>
      <c r="P65" s="14">
        <f t="shared" si="33"/>
        <v>34.856699711744355</v>
      </c>
      <c r="Q65" s="22">
        <f t="shared" si="53"/>
        <v>293.62085999795494</v>
      </c>
      <c r="R65" s="62">
        <f t="shared" si="0"/>
        <v>586.95419333128825</v>
      </c>
      <c r="S65" s="62">
        <f ca="1">AVERAGE(OFFSET($R$3,0,0,'Données projet'!$E$9+1,1))-AVERAGE(OFFSET($H$3,0,0,'Données projet'!$E$9+1,1))</f>
        <v>228.905960862347</v>
      </c>
      <c r="T65" s="62">
        <f t="shared" si="34"/>
        <v>167.30057656688177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7.3</v>
      </c>
      <c r="AI65" s="14">
        <f>IF('Données projet'!$A$62&gt;35,AI64+AH65-AQ64,IF(A65&lt;'Données projet'!$A$62,$AF$205^A65,IF(A65='Données projet'!$A$62,'Données projet'!$B$62,AI64+AH65-AQ64)))</f>
        <v>147.80000000000013</v>
      </c>
      <c r="AJ65" s="14">
        <f>AI65*VLOOKUP('Données projet'!$B$10,Paramètres!$A$1:$I$89,3,0)*VLOOKUP('Données projet'!$B$10,Paramètres!$A$1:$I$89,5,0)</f>
        <v>149.86920000000012</v>
      </c>
      <c r="AK65" s="14">
        <f t="shared" si="35"/>
        <v>38.548859342462038</v>
      </c>
      <c r="AL65" s="22">
        <f t="shared" si="4"/>
        <v>328.16145335478825</v>
      </c>
      <c r="AM65" s="62">
        <f t="shared" si="5"/>
        <v>621.49478668812162</v>
      </c>
      <c r="AN65" s="62">
        <f ca="1">AVERAGE(OFFSET($AM$3,0,0,'Données projet'!$E$10+1,1))-AVERAGE(OFFSET($H$3,0,0,'Données projet'!$E$10+1,1))</f>
        <v>256.45433991419372</v>
      </c>
      <c r="AO65" s="62">
        <f t="shared" si="36"/>
        <v>184.9718670682193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2.6602720026858149E-14</v>
      </c>
      <c r="BF65" s="14">
        <f t="shared" si="37"/>
        <v>4.6624771586320878E-13</v>
      </c>
      <c r="BG65" s="22">
        <f t="shared" si="7"/>
        <v>8.583811758418665E-13</v>
      </c>
      <c r="BH65" s="62">
        <f t="shared" si="8"/>
        <v>293.33333333333417</v>
      </c>
      <c r="BI65" s="62">
        <f ca="1">AVERAGE(OFFSET($BH$3,0,0,'Données projet'!$E$11+1,1))-AVERAGE(OFFSET($H$3,0,0,'Données projet'!$E$11+1,1))</f>
        <v>152.72674713084456</v>
      </c>
      <c r="BJ65" s="62">
        <f t="shared" si="38"/>
        <v>203.90215120562164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8.1544433182482763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2.3672392169548319E-4</v>
      </c>
      <c r="BS65" s="24">
        <f t="shared" si="9"/>
        <v>8.1546800421699714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17.590154399999978</v>
      </c>
      <c r="D66" s="12">
        <f t="shared" si="32"/>
        <v>5.8059371333391816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56.708842214844537</v>
      </c>
      <c r="H66" s="70">
        <f t="shared" si="1"/>
        <v>297.41485942056573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7.3</v>
      </c>
      <c r="N66" s="14">
        <f>IF('Données projet'!$A$36&gt;35,N65+M66-V65,IF(A66&lt;'Données projet'!$A$36,$K$205^A66,IF(A66='Données projet'!$A$36,'Données projet'!$B$36,N65+M66-V65)))</f>
        <v>155.10000000000014</v>
      </c>
      <c r="O66" s="14">
        <f>N66*VLOOKUP('Données projet'!$B$9,Paramètres!$A$1:$I$89,3,0)*VLOOKUP('Données projet'!$B$9,Paramètres!$A$1:$I$89,5,0)</f>
        <v>140.33448000000013</v>
      </c>
      <c r="P66" s="14">
        <f t="shared" si="33"/>
        <v>36.373619521030228</v>
      </c>
      <c r="Q66" s="22">
        <f t="shared" si="53"/>
        <v>307.76660666579454</v>
      </c>
      <c r="R66" s="62">
        <f t="shared" si="0"/>
        <v>601.09993999912786</v>
      </c>
      <c r="S66" s="62">
        <f ca="1">AVERAGE(OFFSET($R$3,0,0,'Données projet'!$E$9+1,1))-AVERAGE(OFFSET($H$3,0,0,'Données projet'!$E$9+1,1))</f>
        <v>228.905960862347</v>
      </c>
      <c r="T66" s="62">
        <f t="shared" si="34"/>
        <v>167.30057656688177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7.3</v>
      </c>
      <c r="AI66" s="14">
        <f>IF('Données projet'!$A$62&gt;35,AI65+AH66-AQ65,IF(A66&lt;'Données projet'!$A$62,$AF$205^A66,IF(A66='Données projet'!$A$62,'Données projet'!$B$62,AI65+AH66-AQ65)))</f>
        <v>155.10000000000014</v>
      </c>
      <c r="AJ66" s="14">
        <f>AI66*VLOOKUP('Données projet'!$B$10,Paramètres!$A$1:$I$89,3,0)*VLOOKUP('Données projet'!$B$10,Paramètres!$A$1:$I$89,5,0)</f>
        <v>157.27140000000017</v>
      </c>
      <c r="AK66" s="14">
        <f t="shared" si="35"/>
        <v>40.226457303414527</v>
      </c>
      <c r="AL66" s="22">
        <f t="shared" si="4"/>
        <v>343.97543480344717</v>
      </c>
      <c r="AM66" s="62">
        <f t="shared" si="5"/>
        <v>637.30876813678049</v>
      </c>
      <c r="AN66" s="62">
        <f ca="1">AVERAGE(OFFSET($AM$3,0,0,'Données projet'!$E$10+1,1))-AVERAGE(OFFSET($H$3,0,0,'Données projet'!$E$10+1,1))</f>
        <v>256.45433991419372</v>
      </c>
      <c r="AO66" s="62">
        <f t="shared" si="36"/>
        <v>184.9718670682193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2.6602720026858149E-14</v>
      </c>
      <c r="BF66" s="14">
        <f t="shared" si="37"/>
        <v>4.6624771586320878E-13</v>
      </c>
      <c r="BG66" s="22">
        <f t="shared" si="7"/>
        <v>8.583811758418665E-13</v>
      </c>
      <c r="BH66" s="62">
        <f t="shared" si="8"/>
        <v>293.33333333333417</v>
      </c>
      <c r="BI66" s="62">
        <f ca="1">AVERAGE(OFFSET($BH$3,0,0,'Données projet'!$E$11+1,1))-AVERAGE(OFFSET($H$3,0,0,'Données projet'!$E$11+1,1))</f>
        <v>152.72674713084456</v>
      </c>
      <c r="BJ66" s="62">
        <f t="shared" si="38"/>
        <v>203.90215120562164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7.9945396584967376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1.6738909029994945E-4</v>
      </c>
      <c r="BS66" s="24">
        <f t="shared" si="9"/>
        <v>7.9947070475870374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17.869363199999977</v>
      </c>
      <c r="D67" s="12">
        <f t="shared" si="32"/>
        <v>5.8872929198968995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57.582800167104438</v>
      </c>
      <c r="H67" s="70">
        <f t="shared" si="1"/>
        <v>298.04284274215377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7.3</v>
      </c>
      <c r="N67" s="14">
        <f>IF('Données projet'!$A$36&gt;35,N66+M67-V66,IF(A67&lt;'Données projet'!$A$36,$K$205^A67,IF(A67='Données projet'!$A$36,'Données projet'!$B$36,N66+M67-V66)))</f>
        <v>162.40000000000015</v>
      </c>
      <c r="O67" s="14">
        <f>N67*VLOOKUP('Données projet'!$B$9,Paramètres!$A$1:$I$89,3,0)*VLOOKUP('Données projet'!$B$9,Paramètres!$A$1:$I$89,5,0)</f>
        <v>146.93952000000013</v>
      </c>
      <c r="P67" s="14">
        <f t="shared" si="33"/>
        <v>37.882248330654257</v>
      </c>
      <c r="Q67" s="22">
        <f t="shared" ref="Q67:Q98" si="54">(O67+P67)*0.475*44/12</f>
        <v>321.8979131758897</v>
      </c>
      <c r="R67" s="62">
        <f t="shared" ref="R67:R130" si="55">Q67+(I67+J67)*44/12</f>
        <v>615.23124650922296</v>
      </c>
      <c r="S67" s="62">
        <f ca="1">AVERAGE(OFFSET($R$3,0,0,'Données projet'!$E$9+1,1))-AVERAGE(OFFSET($H$3,0,0,'Données projet'!$E$9+1,1))</f>
        <v>228.905960862347</v>
      </c>
      <c r="T67" s="62">
        <f t="shared" si="34"/>
        <v>167.30057656688177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7.3</v>
      </c>
      <c r="AI67" s="14">
        <f>IF('Données projet'!$A$62&gt;35,AI66+AH67-AQ66,IF(A67&lt;'Données projet'!$A$62,$AF$205^A67,IF(A67='Données projet'!$A$62,'Données projet'!$B$62,AI66+AH67-AQ66)))</f>
        <v>162.40000000000015</v>
      </c>
      <c r="AJ67" s="14">
        <f>AI67*VLOOKUP('Données projet'!$B$10,Paramètres!$A$1:$I$89,3,0)*VLOOKUP('Données projet'!$B$10,Paramètres!$A$1:$I$89,5,0)</f>
        <v>164.67360000000016</v>
      </c>
      <c r="AK67" s="14">
        <f t="shared" si="35"/>
        <v>41.894886049197055</v>
      </c>
      <c r="AL67" s="22">
        <f t="shared" si="4"/>
        <v>359.7734465356852</v>
      </c>
      <c r="AM67" s="62">
        <f t="shared" si="5"/>
        <v>653.10677986901851</v>
      </c>
      <c r="AN67" s="62">
        <f ca="1">AVERAGE(OFFSET($AM$3,0,0,'Données projet'!$E$10+1,1))-AVERAGE(OFFSET($H$3,0,0,'Données projet'!$E$10+1,1))</f>
        <v>256.45433991419372</v>
      </c>
      <c r="AO67" s="62">
        <f t="shared" si="36"/>
        <v>184.9718670682193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2.6602720026858149E-14</v>
      </c>
      <c r="BF67" s="14">
        <f t="shared" si="37"/>
        <v>4.6624771586320878E-13</v>
      </c>
      <c r="BG67" s="22">
        <f t="shared" si="7"/>
        <v>8.583811758418665E-13</v>
      </c>
      <c r="BH67" s="62">
        <f t="shared" si="8"/>
        <v>293.33333333333417</v>
      </c>
      <c r="BI67" s="62">
        <f ca="1">AVERAGE(OFFSET($BH$3,0,0,'Données projet'!$E$11+1,1))-AVERAGE(OFFSET($H$3,0,0,'Données projet'!$E$11+1,1))</f>
        <v>152.72674713084456</v>
      </c>
      <c r="BJ67" s="62">
        <f t="shared" si="38"/>
        <v>203.90215120562164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7.8377716119813243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1.1836196084774161E-4</v>
      </c>
      <c r="BS67" s="24">
        <f t="shared" si="9"/>
        <v>7.8378899739421719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18.148571999999977</v>
      </c>
      <c r="D68" s="12">
        <f t="shared" si="32"/>
        <v>5.9685008687324785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58.456399781475028</v>
      </c>
      <c r="H68" s="70">
        <f t="shared" ref="H68:H131" si="56">(B68+E68+F68)*44/12+(C68+D68)*0.475*44/12</f>
        <v>298.67056857970903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7.3</v>
      </c>
      <c r="N68" s="14">
        <f>IF('Données projet'!$A$36&gt;35,N67+M68-V67,IF(A68&lt;'Données projet'!$A$36,$K$205^A68,IF(A68='Données projet'!$A$36,'Données projet'!$B$36,N67+M68-V67)))</f>
        <v>169.70000000000016</v>
      </c>
      <c r="O68" s="14">
        <f>N68*VLOOKUP('Données projet'!$B$9,Paramètres!$A$1:$I$89,3,0)*VLOOKUP('Données projet'!$B$9,Paramètres!$A$1:$I$89,5,0)</f>
        <v>153.54456000000013</v>
      </c>
      <c r="P68" s="14">
        <f t="shared" si="33"/>
        <v>39.383001406995859</v>
      </c>
      <c r="Q68" s="22">
        <f t="shared" si="54"/>
        <v>336.01550278385133</v>
      </c>
      <c r="R68" s="62">
        <f t="shared" si="55"/>
        <v>629.34883611718465</v>
      </c>
      <c r="S68" s="62">
        <f ca="1">AVERAGE(OFFSET($R$3,0,0,'Données projet'!$E$9+1,1))-AVERAGE(OFFSET($H$3,0,0,'Données projet'!$E$9+1,1))</f>
        <v>228.905960862347</v>
      </c>
      <c r="T68" s="62">
        <f t="shared" si="34"/>
        <v>167.30057656688177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7.3</v>
      </c>
      <c r="AI68" s="14">
        <f>IF('Données projet'!$A$62&gt;35,AI67+AH68-AQ67,IF(A68&lt;'Données projet'!$A$62,$AF$205^A68,IF(A68='Données projet'!$A$62,'Données projet'!$B$62,AI67+AH68-AQ67)))</f>
        <v>169.70000000000016</v>
      </c>
      <c r="AJ68" s="14">
        <f>AI68*VLOOKUP('Données projet'!$B$10,Paramètres!$A$1:$I$89,3,0)*VLOOKUP('Données projet'!$B$10,Paramètres!$A$1:$I$89,5,0)</f>
        <v>172.07580000000019</v>
      </c>
      <c r="AK68" s="14">
        <f t="shared" si="35"/>
        <v>43.554604832847879</v>
      </c>
      <c r="AL68" s="22">
        <f t="shared" ref="AL68:AL131" si="58">(AJ68+AK68)*0.475*44/12</f>
        <v>375.55628841721028</v>
      </c>
      <c r="AM68" s="62">
        <f t="shared" ref="AM68:AM131" si="59">AL68+(AD68+AE68)*44/12</f>
        <v>668.8896217505436</v>
      </c>
      <c r="AN68" s="62">
        <f ca="1">AVERAGE(OFFSET($AM$3,0,0,'Données projet'!$E$10+1,1))-AVERAGE(OFFSET($H$3,0,0,'Données projet'!$E$10+1,1))</f>
        <v>256.45433991419372</v>
      </c>
      <c r="AO68" s="62">
        <f t="shared" si="36"/>
        <v>184.9718670682193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2.6602720026858149E-14</v>
      </c>
      <c r="BF68" s="14">
        <f t="shared" si="37"/>
        <v>4.6624771586320878E-13</v>
      </c>
      <c r="BG68" s="22">
        <f t="shared" ref="BG68:BG131" si="61">(BE68+BF68)*0.475*44/12</f>
        <v>8.583811758418665E-13</v>
      </c>
      <c r="BH68" s="62">
        <f t="shared" ref="BH68:BH131" si="62">BG68+(AY68+AZ68)*44/12</f>
        <v>293.33333333333417</v>
      </c>
      <c r="BI68" s="62">
        <f ca="1">AVERAGE(OFFSET($BH$3,0,0,'Données projet'!$E$11+1,1))-AVERAGE(OFFSET($H$3,0,0,'Données projet'!$E$11+1,1))</f>
        <v>152.72674713084456</v>
      </c>
      <c r="BJ68" s="62">
        <f t="shared" si="38"/>
        <v>203.90215120562164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7.6840776912390121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8.3694545149974738E-5</v>
      </c>
      <c r="BS68" s="24">
        <f t="shared" ref="BS68:BS131" si="63">SUM(BP68:BR68)</f>
        <v>7.6841613857841624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18.427780799999976</v>
      </c>
      <c r="D69" s="12">
        <f t="shared" ref="D69:D132" si="86">IFERROR(EXP(-1.0587+0.8836*LN(C69)+0.284),0)</f>
        <v>6.0495635169450521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59.329647207528517</v>
      </c>
      <c r="H69" s="70">
        <f t="shared" si="56"/>
        <v>299.2980413520126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177</v>
      </c>
      <c r="L69" s="13">
        <f>VLOOKUP(A69,'Données projet'!$A$35:$I$55,9,0)</f>
        <v>7.3</v>
      </c>
      <c r="M69" s="13">
        <f t="array" ref="M69">INDEX(L:L,MIN(IF(ISNUMBER(L69:L265),ROW(L69:L265),"")))</f>
        <v>7.3</v>
      </c>
      <c r="N69" s="14">
        <f>IF('Données projet'!$A$36&gt;35,N68+M69-V68,IF(A69&lt;'Données projet'!$A$36,$K$205^A69,IF(A69='Données projet'!$A$36,'Données projet'!$B$36,N68+M69-V68)))</f>
        <v>177.00000000000017</v>
      </c>
      <c r="O69" s="14">
        <f>N69*VLOOKUP('Données projet'!$B$9,Paramètres!$A$1:$I$89,3,0)*VLOOKUP('Données projet'!$B$9,Paramètres!$A$1:$I$89,5,0)</f>
        <v>160.14960000000016</v>
      </c>
      <c r="P69" s="14">
        <f t="shared" ref="P69:P132" si="87">EXP(-1.0587+0.8836*LN(O69)+0.284)</f>
        <v>40.876256268741571</v>
      </c>
      <c r="Q69" s="22">
        <f t="shared" si="54"/>
        <v>350.12003300139185</v>
      </c>
      <c r="R69" s="62">
        <f t="shared" si="55"/>
        <v>643.45336633472516</v>
      </c>
      <c r="S69" s="62">
        <f ca="1">AVERAGE(OFFSET($R$3,0,0,'Données projet'!$E$9+1,1))-AVERAGE(OFFSET($H$3,0,0,'Données projet'!$E$9+1,1))</f>
        <v>228.905960862347</v>
      </c>
      <c r="T69" s="62">
        <f t="shared" ref="T69:T132" si="88">$T$3</f>
        <v>167.30057656688177</v>
      </c>
      <c r="U69" s="16">
        <f>IF(ISNA(VLOOKUP(A69,'Données projet'!$A$35:$I$55,3,0)),0,VLOOKUP(A69,'Données projet'!$A$35:$I$55,3,0))</f>
        <v>2</v>
      </c>
      <c r="V69" s="16">
        <f>IF(ISNA(VLOOKUP(A69,'Données projet'!$A$35:$I$55,4,0)),0,VLOOKUP(A69,'Données projet'!$A$35:$I$55,4,0))</f>
        <v>50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177</v>
      </c>
      <c r="AG69" s="13">
        <f>VLOOKUP(A69,'Données projet'!$A$61:$I$81,9,0)</f>
        <v>7.3</v>
      </c>
      <c r="AH69" s="13">
        <f t="array" ref="AH69">INDEX(AG:AG,MIN(IF(ISNUMBER(AG69:AG265),ROW(AG69:AG265),"")))</f>
        <v>7.3</v>
      </c>
      <c r="AI69" s="14">
        <f>IF('Données projet'!$A$62&gt;35,AI68+AH69-AQ68,IF(A69&lt;'Données projet'!$A$62,$AF$205^A69,IF(A69='Données projet'!$A$62,'Données projet'!$B$62,AI68+AH69-AQ68)))</f>
        <v>177.00000000000017</v>
      </c>
      <c r="AJ69" s="14">
        <f>AI69*VLOOKUP('Données projet'!$B$10,Paramètres!$A$1:$I$89,3,0)*VLOOKUP('Données projet'!$B$10,Paramètres!$A$1:$I$89,5,0)</f>
        <v>179.47800000000018</v>
      </c>
      <c r="AK69" s="14">
        <f t="shared" ref="AK69:AK132" si="89">EXP(-1.0587+0.8836*LN(AJ69)+0.284)</f>
        <v>45.206031161327509</v>
      </c>
      <c r="AL69" s="22">
        <f t="shared" si="58"/>
        <v>391.32468760597902</v>
      </c>
      <c r="AM69" s="62">
        <f t="shared" si="59"/>
        <v>684.65802093931234</v>
      </c>
      <c r="AN69" s="62">
        <f ca="1">AVERAGE(OFFSET($AM$3,0,0,'Données projet'!$E$10+1,1))-AVERAGE(OFFSET($H$3,0,0,'Données projet'!$E$10+1,1))</f>
        <v>256.45433991419372</v>
      </c>
      <c r="AO69" s="62">
        <f t="shared" ref="AO69:AO132" si="90">$AO$3</f>
        <v>184.9718670682193</v>
      </c>
      <c r="AP69" s="16">
        <f>IF(ISNA(VLOOKUP(A69,'Données projet'!$A$61:$I$81,3,0)),0,VLOOKUP(A69,'Données projet'!$A$61:$I$81,3,0))</f>
        <v>2</v>
      </c>
      <c r="AQ69" s="16">
        <f>IF(ISNA(VLOOKUP(A69,'Données projet'!$A$61:$I$81,4,0)),0,VLOOKUP(A69,'Données projet'!$A$61:$I$81,4,0))</f>
        <v>50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2.6602720026858149E-14</v>
      </c>
      <c r="BF69" s="14">
        <f t="shared" ref="BF69:BF132" si="91">EXP(-1.0587+0.8836*LN(BE69)+0.284)</f>
        <v>4.6624771586320878E-13</v>
      </c>
      <c r="BG69" s="22">
        <f t="shared" si="61"/>
        <v>8.583811758418665E-13</v>
      </c>
      <c r="BH69" s="62">
        <f t="shared" si="62"/>
        <v>293.33333333333417</v>
      </c>
      <c r="BI69" s="62">
        <f ca="1">AVERAGE(OFFSET($BH$3,0,0,'Données projet'!$E$11+1,1))-AVERAGE(OFFSET($H$3,0,0,'Données projet'!$E$11+1,1))</f>
        <v>152.72674713084456</v>
      </c>
      <c r="BJ69" s="62">
        <f t="shared" ref="BJ69:BJ132" si="92">$BJ$3</f>
        <v>203.90215120562164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7.5333976145384209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5.9180980423870811E-5</v>
      </c>
      <c r="BS69" s="24">
        <f t="shared" si="63"/>
        <v>7.5334567955188447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18.706989599999975</v>
      </c>
      <c r="D70" s="12">
        <f t="shared" si="86"/>
        <v>6.1304833203398319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60.202548397792071</v>
      </c>
      <c r="H70" s="70">
        <f t="shared" si="56"/>
        <v>299.92526533625852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</v>
      </c>
      <c r="N70" s="14">
        <f>IF('Données projet'!$A$36&gt;35,N69+M70-V69,IF(A70&lt;'Données projet'!$A$36,$K$205^A70,IF(A70='Données projet'!$A$36,'Données projet'!$B$36,N69+M70-V69)))</f>
        <v>133.00000000000017</v>
      </c>
      <c r="O70" s="14">
        <f>N70*VLOOKUP('Données projet'!$B$9,Paramètres!$A$1:$I$89,3,0)*VLOOKUP('Données projet'!$B$9,Paramètres!$A$1:$I$89,5,0)</f>
        <v>120.33840000000016</v>
      </c>
      <c r="P70" s="14">
        <f t="shared" si="87"/>
        <v>31.753912596847112</v>
      </c>
      <c r="Q70" s="22">
        <f t="shared" si="54"/>
        <v>264.89411110617567</v>
      </c>
      <c r="R70" s="62">
        <f t="shared" si="55"/>
        <v>558.22744443950899</v>
      </c>
      <c r="S70" s="62">
        <f ca="1">AVERAGE(OFFSET($R$3,0,0,'Données projet'!$E$9+1,1))-AVERAGE(OFFSET($H$3,0,0,'Données projet'!$E$9+1,1))</f>
        <v>228.905960862347</v>
      </c>
      <c r="T70" s="62">
        <f t="shared" si="88"/>
        <v>167.30057656688177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</v>
      </c>
      <c r="AI70" s="14">
        <f>IF('Données projet'!$A$62&gt;35,AI69+AH70-AQ69,IF(A70&lt;'Données projet'!$A$62,$AF$205^A70,IF(A70='Données projet'!$A$62,'Données projet'!$B$62,AI69+AH70-AQ69)))</f>
        <v>133.00000000000017</v>
      </c>
      <c r="AJ70" s="14">
        <f>AI70*VLOOKUP('Données projet'!$B$10,Paramètres!$A$1:$I$89,3,0)*VLOOKUP('Données projet'!$B$10,Paramètres!$A$1:$I$89,5,0)</f>
        <v>134.86200000000019</v>
      </c>
      <c r="AK70" s="14">
        <f t="shared" si="89"/>
        <v>35.117412732458476</v>
      </c>
      <c r="AL70" s="22">
        <f t="shared" si="58"/>
        <v>296.04747717569887</v>
      </c>
      <c r="AM70" s="62">
        <f t="shared" si="59"/>
        <v>589.38081050903224</v>
      </c>
      <c r="AN70" s="62">
        <f ca="1">AVERAGE(OFFSET($AM$3,0,0,'Données projet'!$E$10+1,1))-AVERAGE(OFFSET($H$3,0,0,'Données projet'!$E$10+1,1))</f>
        <v>256.45433991419372</v>
      </c>
      <c r="AO70" s="62">
        <f t="shared" si="90"/>
        <v>184.9718670682193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2.6602720026858149E-14</v>
      </c>
      <c r="BF70" s="14">
        <f t="shared" si="91"/>
        <v>4.6624771586320878E-13</v>
      </c>
      <c r="BG70" s="22">
        <f t="shared" si="61"/>
        <v>8.583811758418665E-13</v>
      </c>
      <c r="BH70" s="62">
        <f t="shared" si="62"/>
        <v>293.33333333333417</v>
      </c>
      <c r="BI70" s="62">
        <f ca="1">AVERAGE(OFFSET($BH$3,0,0,'Données projet'!$E$11+1,1))-AVERAGE(OFFSET($H$3,0,0,'Données projet'!$E$11+1,1))</f>
        <v>152.72674713084456</v>
      </c>
      <c r="BJ70" s="62">
        <f t="shared" si="92"/>
        <v>203.90215120562164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7.3856722822361567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4.1847272574987376E-5</v>
      </c>
      <c r="BS70" s="24">
        <f t="shared" si="63"/>
        <v>7.3857141295087319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18.986198399999974</v>
      </c>
      <c r="D71" s="12">
        <f t="shared" si="86"/>
        <v>6.2112626572066825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61.075109116906532</v>
      </c>
      <c r="H71" s="70">
        <f t="shared" si="56"/>
        <v>300.55224467463495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</v>
      </c>
      <c r="N71" s="14">
        <f>IF('Données projet'!$A$36&gt;35,N70+M71-V70,IF(A71&lt;'Données projet'!$A$36,$K$205^A71,IF(A71='Données projet'!$A$36,'Données projet'!$B$36,N70+M71-V70)))</f>
        <v>139.00000000000017</v>
      </c>
      <c r="O71" s="14">
        <f>N71*VLOOKUP('Données projet'!$B$9,Paramètres!$A$1:$I$89,3,0)*VLOOKUP('Données projet'!$B$9,Paramètres!$A$1:$I$89,5,0)</f>
        <v>125.76720000000014</v>
      </c>
      <c r="P71" s="14">
        <f t="shared" si="87"/>
        <v>33.016407232102026</v>
      </c>
      <c r="Q71" s="22">
        <f t="shared" si="54"/>
        <v>276.5481159292446</v>
      </c>
      <c r="R71" s="62">
        <f t="shared" si="55"/>
        <v>569.88144926257792</v>
      </c>
      <c r="S71" s="62">
        <f ca="1">AVERAGE(OFFSET($R$3,0,0,'Données projet'!$E$9+1,1))-AVERAGE(OFFSET($H$3,0,0,'Données projet'!$E$9+1,1))</f>
        <v>228.905960862347</v>
      </c>
      <c r="T71" s="62">
        <f t="shared" si="88"/>
        <v>167.30057656688177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</v>
      </c>
      <c r="AI71" s="14">
        <f>IF('Données projet'!$A$62&gt;35,AI70+AH71-AQ70,IF(A71&lt;'Données projet'!$A$62,$AF$205^A71,IF(A71='Données projet'!$A$62,'Données projet'!$B$62,AI70+AH71-AQ70)))</f>
        <v>139.00000000000017</v>
      </c>
      <c r="AJ71" s="14">
        <f>AI71*VLOOKUP('Données projet'!$B$10,Paramètres!$A$1:$I$89,3,0)*VLOOKUP('Données projet'!$B$10,Paramètres!$A$1:$I$89,5,0)</f>
        <v>140.94600000000017</v>
      </c>
      <c r="AK71" s="14">
        <f t="shared" si="89"/>
        <v>36.513635797680479</v>
      </c>
      <c r="AL71" s="22">
        <f t="shared" si="58"/>
        <v>309.07553234762707</v>
      </c>
      <c r="AM71" s="62">
        <f t="shared" si="59"/>
        <v>602.40886568096039</v>
      </c>
      <c r="AN71" s="62">
        <f ca="1">AVERAGE(OFFSET($AM$3,0,0,'Données projet'!$E$10+1,1))-AVERAGE(OFFSET($H$3,0,0,'Données projet'!$E$10+1,1))</f>
        <v>256.45433991419372</v>
      </c>
      <c r="AO71" s="62">
        <f t="shared" si="90"/>
        <v>184.9718670682193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2.6602720026858149E-14</v>
      </c>
      <c r="BF71" s="14">
        <f t="shared" si="91"/>
        <v>4.6624771586320878E-13</v>
      </c>
      <c r="BG71" s="22">
        <f t="shared" si="61"/>
        <v>8.583811758418665E-13</v>
      </c>
      <c r="BH71" s="62">
        <f t="shared" si="62"/>
        <v>293.33333333333417</v>
      </c>
      <c r="BI71" s="62">
        <f ca="1">AVERAGE(OFFSET($BH$3,0,0,'Données projet'!$E$11+1,1))-AVERAGE(OFFSET($H$3,0,0,'Données projet'!$E$11+1,1))</f>
        <v>152.72674713084456</v>
      </c>
      <c r="BJ71" s="62">
        <f t="shared" si="92"/>
        <v>203.90215120562164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7.240843753596784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2.9590490211935412E-5</v>
      </c>
      <c r="BS71" s="24">
        <f t="shared" si="63"/>
        <v>7.2408733440869959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19.265407199999974</v>
      </c>
      <c r="D72" s="12">
        <f t="shared" si="86"/>
        <v>6.2919038318700471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61.947334950230925</v>
      </c>
      <c r="H72" s="70">
        <f t="shared" si="56"/>
        <v>301.17898338050696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</v>
      </c>
      <c r="N72" s="14">
        <f>IF('Données projet'!$A$36&gt;35,N71+M72-V71,IF(A72&lt;'Données projet'!$A$36,$K$205^A72,IF(A72='Données projet'!$A$36,'Données projet'!$B$36,N71+M72-V71)))</f>
        <v>145.00000000000017</v>
      </c>
      <c r="O72" s="14">
        <f>N72*VLOOKUP('Données projet'!$B$9,Paramètres!$A$1:$I$89,3,0)*VLOOKUP('Données projet'!$B$9,Paramètres!$A$1:$I$89,5,0)</f>
        <v>131.19600000000014</v>
      </c>
      <c r="P72" s="14">
        <f t="shared" si="87"/>
        <v>34.272572346625061</v>
      </c>
      <c r="Q72" s="22">
        <f t="shared" si="54"/>
        <v>288.19109683703886</v>
      </c>
      <c r="R72" s="62">
        <f t="shared" si="55"/>
        <v>581.52443017037217</v>
      </c>
      <c r="S72" s="62">
        <f ca="1">AVERAGE(OFFSET($R$3,0,0,'Données projet'!$E$9+1,1))-AVERAGE(OFFSET($H$3,0,0,'Données projet'!$E$9+1,1))</f>
        <v>228.905960862347</v>
      </c>
      <c r="T72" s="62">
        <f t="shared" si="88"/>
        <v>167.30057656688177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</v>
      </c>
      <c r="AI72" s="14">
        <f>IF('Données projet'!$A$62&gt;35,AI71+AH72-AQ71,IF(A72&lt;'Données projet'!$A$62,$AF$205^A72,IF(A72='Données projet'!$A$62,'Données projet'!$B$62,AI71+AH72-AQ71)))</f>
        <v>145.00000000000017</v>
      </c>
      <c r="AJ72" s="14">
        <f>AI72*VLOOKUP('Données projet'!$B$10,Paramètres!$A$1:$I$89,3,0)*VLOOKUP('Données projet'!$B$10,Paramètres!$A$1:$I$89,5,0)</f>
        <v>147.03000000000017</v>
      </c>
      <c r="AK72" s="14">
        <f t="shared" si="89"/>
        <v>37.902858894276179</v>
      </c>
      <c r="AL72" s="22">
        <f t="shared" si="58"/>
        <v>322.09139590753131</v>
      </c>
      <c r="AM72" s="62">
        <f t="shared" si="59"/>
        <v>615.42472924086462</v>
      </c>
      <c r="AN72" s="62">
        <f ca="1">AVERAGE(OFFSET($AM$3,0,0,'Données projet'!$E$10+1,1))-AVERAGE(OFFSET($H$3,0,0,'Données projet'!$E$10+1,1))</f>
        <v>256.45433991419372</v>
      </c>
      <c r="AO72" s="62">
        <f t="shared" si="90"/>
        <v>184.9718670682193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2.6602720026858149E-14</v>
      </c>
      <c r="BF72" s="14">
        <f t="shared" si="91"/>
        <v>4.6624771586320878E-13</v>
      </c>
      <c r="BG72" s="22">
        <f t="shared" si="61"/>
        <v>8.583811758418665E-13</v>
      </c>
      <c r="BH72" s="62">
        <f t="shared" si="62"/>
        <v>293.33333333333417</v>
      </c>
      <c r="BI72" s="62">
        <f ca="1">AVERAGE(OFFSET($BH$3,0,0,'Données projet'!$E$11+1,1))-AVERAGE(OFFSET($H$3,0,0,'Données projet'!$E$11+1,1))</f>
        <v>152.72674713084456</v>
      </c>
      <c r="BJ72" s="62">
        <f t="shared" si="92"/>
        <v>203.90215120562164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7.0988552240673499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2.0923636287493691E-5</v>
      </c>
      <c r="BS72" s="24">
        <f t="shared" si="63"/>
        <v>7.0988761477036375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19.544615999999973</v>
      </c>
      <c r="D73" s="12">
        <f t="shared" si="86"/>
        <v>6.3724090780272729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62.819231311934111</v>
      </c>
      <c r="H73" s="70">
        <f t="shared" si="56"/>
        <v>301.80548534423082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</v>
      </c>
      <c r="N73" s="14">
        <f>IF('Données projet'!$A$36&gt;35,N72+M73-V72,IF(A73&lt;'Données projet'!$A$36,$K$205^A73,IF(A73='Données projet'!$A$36,'Données projet'!$B$36,N72+M73-V72)))</f>
        <v>151.00000000000017</v>
      </c>
      <c r="O73" s="14">
        <f>N73*VLOOKUP('Données projet'!$B$9,Paramètres!$A$1:$I$89,3,0)*VLOOKUP('Données projet'!$B$9,Paramètres!$A$1:$I$89,5,0)</f>
        <v>136.62480000000016</v>
      </c>
      <c r="P73" s="14">
        <f t="shared" si="87"/>
        <v>35.522699804888667</v>
      </c>
      <c r="Q73" s="22">
        <f t="shared" si="54"/>
        <v>299.82356216018138</v>
      </c>
      <c r="R73" s="62">
        <f t="shared" si="55"/>
        <v>593.15689549351464</v>
      </c>
      <c r="S73" s="62">
        <f ca="1">AVERAGE(OFFSET($R$3,0,0,'Données projet'!$E$9+1,1))-AVERAGE(OFFSET($H$3,0,0,'Données projet'!$E$9+1,1))</f>
        <v>228.905960862347</v>
      </c>
      <c r="T73" s="62">
        <f t="shared" si="88"/>
        <v>167.30057656688177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6</v>
      </c>
      <c r="AI73" s="14">
        <f>IF('Données projet'!$A$62&gt;35,AI72+AH73-AQ72,IF(A73&lt;'Données projet'!$A$62,$AF$205^A73,IF(A73='Données projet'!$A$62,'Données projet'!$B$62,AI72+AH73-AQ72)))</f>
        <v>151.00000000000017</v>
      </c>
      <c r="AJ73" s="14">
        <f>AI73*VLOOKUP('Données projet'!$B$10,Paramètres!$A$1:$I$89,3,0)*VLOOKUP('Données projet'!$B$10,Paramètres!$A$1:$I$89,5,0)</f>
        <v>153.1140000000002</v>
      </c>
      <c r="AK73" s="14">
        <f t="shared" si="89"/>
        <v>39.285404802158489</v>
      </c>
      <c r="AL73" s="22">
        <f t="shared" si="58"/>
        <v>335.09563003042643</v>
      </c>
      <c r="AM73" s="62">
        <f t="shared" si="59"/>
        <v>628.42896336375975</v>
      </c>
      <c r="AN73" s="62">
        <f ca="1">AVERAGE(OFFSET($AM$3,0,0,'Données projet'!$E$10+1,1))-AVERAGE(OFFSET($H$3,0,0,'Données projet'!$E$10+1,1))</f>
        <v>256.45433991419372</v>
      </c>
      <c r="AO73" s="62">
        <f t="shared" si="90"/>
        <v>184.9718670682193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2.6602720026858149E-14</v>
      </c>
      <c r="BF73" s="14">
        <f t="shared" si="91"/>
        <v>4.6624771586320878E-13</v>
      </c>
      <c r="BG73" s="22">
        <f t="shared" si="61"/>
        <v>8.583811758418665E-13</v>
      </c>
      <c r="BH73" s="62">
        <f t="shared" si="62"/>
        <v>293.33333333333417</v>
      </c>
      <c r="BI73" s="62">
        <f ca="1">AVERAGE(OFFSET($BH$3,0,0,'Données projet'!$E$11+1,1))-AVERAGE(OFFSET($H$3,0,0,'Données projet'!$E$11+1,1))</f>
        <v>152.72674713084456</v>
      </c>
      <c r="BJ73" s="62">
        <f t="shared" si="92"/>
        <v>203.90215120562164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6.9596510029975365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1.4795245105967708E-5</v>
      </c>
      <c r="BS73" s="24">
        <f t="shared" si="63"/>
        <v>6.9596657982426429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19.823824799999972</v>
      </c>
      <c r="D74" s="12">
        <f t="shared" si="86"/>
        <v>6.4527805618907319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63.690803452610872</v>
      </c>
      <c r="H74" s="70">
        <f t="shared" si="56"/>
        <v>302.43175433862632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</v>
      </c>
      <c r="N74" s="14">
        <f>IF('Données projet'!$A$36&gt;35,N73+M74-V73,IF(A74&lt;'Données projet'!$A$36,$K$205^A74,IF(A74='Données projet'!$A$36,'Données projet'!$B$36,N73+M74-V73)))</f>
        <v>157.00000000000017</v>
      </c>
      <c r="O74" s="14">
        <f>N74*VLOOKUP('Données projet'!$B$9,Paramètres!$A$1:$I$89,3,0)*VLOOKUP('Données projet'!$B$9,Paramètres!$A$1:$I$89,5,0)</f>
        <v>142.05360000000013</v>
      </c>
      <c r="P74" s="14">
        <f t="shared" si="87"/>
        <v>36.767056963845924</v>
      </c>
      <c r="Q74" s="22">
        <f t="shared" si="54"/>
        <v>311.44597754536522</v>
      </c>
      <c r="R74" s="62">
        <f t="shared" si="55"/>
        <v>604.77931087869854</v>
      </c>
      <c r="S74" s="62">
        <f ca="1">AVERAGE(OFFSET($R$3,0,0,'Données projet'!$E$9+1,1))-AVERAGE(OFFSET($H$3,0,0,'Données projet'!$E$9+1,1))</f>
        <v>228.905960862347</v>
      </c>
      <c r="T74" s="62">
        <f t="shared" si="88"/>
        <v>167.30057656688177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</v>
      </c>
      <c r="AI74" s="14">
        <f>IF('Données projet'!$A$62&gt;35,AI73+AH74-AQ73,IF(A74&lt;'Données projet'!$A$62,$AF$205^A74,IF(A74='Données projet'!$A$62,'Données projet'!$B$62,AI73+AH74-AQ73)))</f>
        <v>157.00000000000017</v>
      </c>
      <c r="AJ74" s="14">
        <f>AI74*VLOOKUP('Données projet'!$B$10,Paramètres!$A$1:$I$89,3,0)*VLOOKUP('Données projet'!$B$10,Paramètres!$A$1:$I$89,5,0)</f>
        <v>159.19800000000018</v>
      </c>
      <c r="AK74" s="14">
        <f t="shared" si="89"/>
        <v>40.661569197787344</v>
      </c>
      <c r="AL74" s="22">
        <f t="shared" si="58"/>
        <v>348.08874968614663</v>
      </c>
      <c r="AM74" s="62">
        <f t="shared" si="59"/>
        <v>641.42208301947994</v>
      </c>
      <c r="AN74" s="62">
        <f ca="1">AVERAGE(OFFSET($AM$3,0,0,'Données projet'!$E$10+1,1))-AVERAGE(OFFSET($H$3,0,0,'Données projet'!$E$10+1,1))</f>
        <v>256.45433991419372</v>
      </c>
      <c r="AO74" s="62">
        <f t="shared" si="90"/>
        <v>184.9718670682193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2.6602720026858149E-14</v>
      </c>
      <c r="BF74" s="14">
        <f t="shared" si="91"/>
        <v>4.6624771586320878E-13</v>
      </c>
      <c r="BG74" s="22">
        <f t="shared" si="61"/>
        <v>8.583811758418665E-13</v>
      </c>
      <c r="BH74" s="62">
        <f t="shared" si="62"/>
        <v>293.33333333333417</v>
      </c>
      <c r="BI74" s="62">
        <f ca="1">AVERAGE(OFFSET($BH$3,0,0,'Données projet'!$E$11+1,1))-AVERAGE(OFFSET($H$3,0,0,'Données projet'!$E$11+1,1))</f>
        <v>152.72674713084456</v>
      </c>
      <c r="BJ74" s="62">
        <f t="shared" si="92"/>
        <v>203.90215120562164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6.823176491796711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1.0461818143746847E-5</v>
      </c>
      <c r="BS74" s="24">
        <f t="shared" si="63"/>
        <v>6.8231869536148544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20.103033599999971</v>
      </c>
      <c r="D75" s="12">
        <f t="shared" si="86"/>
        <v>6.5330203851479069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64.562056466456681</v>
      </c>
      <c r="H75" s="70">
        <f t="shared" si="56"/>
        <v>303.05779402413259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</v>
      </c>
      <c r="N75" s="14">
        <f>IF('Données projet'!$A$36&gt;35,N74+M75-V74,IF(A75&lt;'Données projet'!$A$36,$K$205^A75,IF(A75='Données projet'!$A$36,'Données projet'!$B$36,N74+M75-V74)))</f>
        <v>163.00000000000017</v>
      </c>
      <c r="O75" s="14">
        <f>N75*VLOOKUP('Données projet'!$B$9,Paramètres!$A$1:$I$89,3,0)*VLOOKUP('Données projet'!$B$9,Paramètres!$A$1:$I$89,5,0)</f>
        <v>147.48240000000015</v>
      </c>
      <c r="P75" s="14">
        <f t="shared" si="87"/>
        <v>38.005889588171243</v>
      </c>
      <c r="Q75" s="22">
        <f t="shared" si="54"/>
        <v>323.05877103273184</v>
      </c>
      <c r="R75" s="62">
        <f t="shared" si="55"/>
        <v>616.39210436606515</v>
      </c>
      <c r="S75" s="62">
        <f ca="1">AVERAGE(OFFSET($R$3,0,0,'Données projet'!$E$9+1,1))-AVERAGE(OFFSET($H$3,0,0,'Données projet'!$E$9+1,1))</f>
        <v>228.905960862347</v>
      </c>
      <c r="T75" s="62">
        <f t="shared" si="88"/>
        <v>167.30057656688177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</v>
      </c>
      <c r="AI75" s="14">
        <f>IF('Données projet'!$A$62&gt;35,AI74+AH75-AQ74,IF(A75&lt;'Données projet'!$A$62,$AF$205^A75,IF(A75='Données projet'!$A$62,'Données projet'!$B$62,AI74+AH75-AQ74)))</f>
        <v>163.00000000000017</v>
      </c>
      <c r="AJ75" s="14">
        <f>AI75*VLOOKUP('Données projet'!$B$10,Paramètres!$A$1:$I$89,3,0)*VLOOKUP('Données projet'!$B$10,Paramètres!$A$1:$I$89,5,0)</f>
        <v>165.28200000000018</v>
      </c>
      <c r="AK75" s="14">
        <f t="shared" si="89"/>
        <v>42.031623878204478</v>
      </c>
      <c r="AL75" s="22">
        <f t="shared" si="58"/>
        <v>361.07122825453979</v>
      </c>
      <c r="AM75" s="62">
        <f t="shared" si="59"/>
        <v>654.4045615878731</v>
      </c>
      <c r="AN75" s="62">
        <f ca="1">AVERAGE(OFFSET($AM$3,0,0,'Données projet'!$E$10+1,1))-AVERAGE(OFFSET($H$3,0,0,'Données projet'!$E$10+1,1))</f>
        <v>256.45433991419372</v>
      </c>
      <c r="AO75" s="62">
        <f t="shared" si="90"/>
        <v>184.9718670682193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2.6602720026858149E-14</v>
      </c>
      <c r="BF75" s="14">
        <f t="shared" si="91"/>
        <v>4.6624771586320878E-13</v>
      </c>
      <c r="BG75" s="22">
        <f t="shared" si="61"/>
        <v>8.583811758418665E-13</v>
      </c>
      <c r="BH75" s="62">
        <f t="shared" si="62"/>
        <v>293.33333333333417</v>
      </c>
      <c r="BI75" s="62">
        <f ca="1">AVERAGE(OFFSET($BH$3,0,0,'Données projet'!$E$11+1,1))-AVERAGE(OFFSET($H$3,0,0,'Données projet'!$E$11+1,1))</f>
        <v>152.72674713084456</v>
      </c>
      <c r="BJ75" s="62">
        <f t="shared" si="92"/>
        <v>203.90215120562164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6.6893781625193007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7.3976225529838556E-6</v>
      </c>
      <c r="BS75" s="24">
        <f t="shared" si="63"/>
        <v>6.6893855601418535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20.382242399999971</v>
      </c>
      <c r="D76" s="12">
        <f t="shared" si="86"/>
        <v>6.6131305877523392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65.432995298032623</v>
      </c>
      <c r="H76" s="70">
        <f t="shared" si="56"/>
        <v>303.68360795366863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</v>
      </c>
      <c r="N76" s="14">
        <f>IF('Données projet'!$A$36&gt;35,N75+M76-V75,IF(A76&lt;'Données projet'!$A$36,$K$205^A76,IF(A76='Données projet'!$A$36,'Données projet'!$B$36,N75+M76-V75)))</f>
        <v>169.00000000000017</v>
      </c>
      <c r="O76" s="14">
        <f>N76*VLOOKUP('Données projet'!$B$9,Paramètres!$A$1:$I$89,3,0)*VLOOKUP('Données projet'!$B$9,Paramètres!$A$1:$I$89,5,0)</f>
        <v>152.91120000000015</v>
      </c>
      <c r="P76" s="14">
        <f t="shared" si="87"/>
        <v>39.239424324197579</v>
      </c>
      <c r="Q76" s="22">
        <f t="shared" si="54"/>
        <v>334.66233736464437</v>
      </c>
      <c r="R76" s="62">
        <f t="shared" si="55"/>
        <v>627.99567069797763</v>
      </c>
      <c r="S76" s="62">
        <f ca="1">AVERAGE(OFFSET($R$3,0,0,'Données projet'!$E$9+1,1))-AVERAGE(OFFSET($H$3,0,0,'Données projet'!$E$9+1,1))</f>
        <v>228.905960862347</v>
      </c>
      <c r="T76" s="62">
        <f t="shared" si="88"/>
        <v>167.30057656688177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</v>
      </c>
      <c r="AI76" s="14">
        <f>IF('Données projet'!$A$62&gt;35,AI75+AH76-AQ75,IF(A76&lt;'Données projet'!$A$62,$AF$205^A76,IF(A76='Données projet'!$A$62,'Données projet'!$B$62,AI75+AH76-AQ75)))</f>
        <v>169.00000000000017</v>
      </c>
      <c r="AJ76" s="14">
        <f>AI76*VLOOKUP('Données projet'!$B$10,Paramètres!$A$1:$I$89,3,0)*VLOOKUP('Données projet'!$B$10,Paramètres!$A$1:$I$89,5,0)</f>
        <v>171.36600000000018</v>
      </c>
      <c r="AK76" s="14">
        <f t="shared" si="89"/>
        <v>43.39581949701968</v>
      </c>
      <c r="AL76" s="22">
        <f t="shared" si="58"/>
        <v>374.04350229064295</v>
      </c>
      <c r="AM76" s="62">
        <f t="shared" si="59"/>
        <v>667.37683562397626</v>
      </c>
      <c r="AN76" s="62">
        <f ca="1">AVERAGE(OFFSET($AM$3,0,0,'Données projet'!$E$10+1,1))-AVERAGE(OFFSET($H$3,0,0,'Données projet'!$E$10+1,1))</f>
        <v>256.45433991419372</v>
      </c>
      <c r="AO76" s="62">
        <f t="shared" si="90"/>
        <v>184.9718670682193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2.6602720026858149E-14</v>
      </c>
      <c r="BF76" s="14">
        <f t="shared" si="91"/>
        <v>4.6624771586320878E-13</v>
      </c>
      <c r="BG76" s="22">
        <f t="shared" si="61"/>
        <v>8.583811758418665E-13</v>
      </c>
      <c r="BH76" s="62">
        <f t="shared" si="62"/>
        <v>293.33333333333417</v>
      </c>
      <c r="BI76" s="62">
        <f ca="1">AVERAGE(OFFSET($BH$3,0,0,'Données projet'!$E$11+1,1))-AVERAGE(OFFSET($H$3,0,0,'Données projet'!$E$11+1,1))</f>
        <v>152.72674713084456</v>
      </c>
      <c r="BJ76" s="62">
        <f t="shared" si="92"/>
        <v>203.90215120562164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6.5582035368700984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5.2309090718734245E-6</v>
      </c>
      <c r="BS76" s="24">
        <f t="shared" si="63"/>
        <v>6.5582087677791705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20.66145119999997</v>
      </c>
      <c r="D77" s="12">
        <f t="shared" si="86"/>
        <v>6.6931131505572852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66.303624748648957</v>
      </c>
      <c r="H77" s="70">
        <f t="shared" si="56"/>
        <v>304.30919957722057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</v>
      </c>
      <c r="N77" s="14">
        <f>IF('Données projet'!$A$36&gt;35,N76+M77-V76,IF(A77&lt;'Données projet'!$A$36,$K$205^A77,IF(A77='Données projet'!$A$36,'Données projet'!$B$36,N76+M77-V76)))</f>
        <v>175.00000000000017</v>
      </c>
      <c r="O77" s="14">
        <f>N77*VLOOKUP('Données projet'!$B$9,Paramètres!$A$1:$I$89,3,0)*VLOOKUP('Données projet'!$B$9,Paramètres!$A$1:$I$89,5,0)</f>
        <v>158.34000000000015</v>
      </c>
      <c r="P77" s="14">
        <f t="shared" si="87"/>
        <v>40.467870812652855</v>
      </c>
      <c r="Q77" s="22">
        <f t="shared" si="54"/>
        <v>346.25704166537054</v>
      </c>
      <c r="R77" s="62">
        <f t="shared" si="55"/>
        <v>639.59037499870385</v>
      </c>
      <c r="S77" s="62">
        <f ca="1">AVERAGE(OFFSET($R$3,0,0,'Données projet'!$E$9+1,1))-AVERAGE(OFFSET($H$3,0,0,'Données projet'!$E$9+1,1))</f>
        <v>228.905960862347</v>
      </c>
      <c r="T77" s="62">
        <f t="shared" si="88"/>
        <v>167.30057656688177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</v>
      </c>
      <c r="AI77" s="14">
        <f>IF('Données projet'!$A$62&gt;35,AI76+AH77-AQ76,IF(A77&lt;'Données projet'!$A$62,$AF$205^A77,IF(A77='Données projet'!$A$62,'Données projet'!$B$62,AI76+AH77-AQ76)))</f>
        <v>175.00000000000017</v>
      </c>
      <c r="AJ77" s="14">
        <f>AI77*VLOOKUP('Données projet'!$B$10,Paramètres!$A$1:$I$89,3,0)*VLOOKUP('Données projet'!$B$10,Paramètres!$A$1:$I$89,5,0)</f>
        <v>177.45000000000019</v>
      </c>
      <c r="AK77" s="14">
        <f t="shared" si="89"/>
        <v>44.754387900936834</v>
      </c>
      <c r="AL77" s="22">
        <f t="shared" si="58"/>
        <v>387.005975594132</v>
      </c>
      <c r="AM77" s="62">
        <f t="shared" si="59"/>
        <v>680.33930892746525</v>
      </c>
      <c r="AN77" s="62">
        <f ca="1">AVERAGE(OFFSET($AM$3,0,0,'Données projet'!$E$10+1,1))-AVERAGE(OFFSET($H$3,0,0,'Données projet'!$E$10+1,1))</f>
        <v>256.45433991419372</v>
      </c>
      <c r="AO77" s="62">
        <f t="shared" si="90"/>
        <v>184.9718670682193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2.6602720026858149E-14</v>
      </c>
      <c r="BF77" s="14">
        <f t="shared" si="91"/>
        <v>4.6624771586320878E-13</v>
      </c>
      <c r="BG77" s="22">
        <f t="shared" si="61"/>
        <v>8.583811758418665E-13</v>
      </c>
      <c r="BH77" s="62">
        <f t="shared" si="62"/>
        <v>293.33333333333417</v>
      </c>
      <c r="BI77" s="62">
        <f ca="1">AVERAGE(OFFSET($BH$3,0,0,'Données projet'!$E$11+1,1))-AVERAGE(OFFSET($H$3,0,0,'Données projet'!$E$11+1,1))</f>
        <v>152.72674713084456</v>
      </c>
      <c r="BJ77" s="62">
        <f t="shared" si="92"/>
        <v>203.90215120562164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6.4296011656212553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3.6988112764919282E-6</v>
      </c>
      <c r="BS77" s="24">
        <f t="shared" si="63"/>
        <v>6.4296048644325321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20.940659999999969</v>
      </c>
      <c r="D78" s="12">
        <f t="shared" si="86"/>
        <v>6.7729699978030169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67.17394948239405</v>
      </c>
      <c r="H78" s="70">
        <f t="shared" si="56"/>
        <v>304.93457224617356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6</v>
      </c>
      <c r="N78" s="14">
        <f>IF('Données projet'!$A$36&gt;35,N77+M78-V77,IF(A78&lt;'Données projet'!$A$36,$K$205^A78,IF(A78='Données projet'!$A$36,'Données projet'!$B$36,N77+M78-V77)))</f>
        <v>181.00000000000017</v>
      </c>
      <c r="O78" s="14">
        <f>N78*VLOOKUP('Données projet'!$B$9,Paramètres!$A$1:$I$89,3,0)*VLOOKUP('Données projet'!$B$9,Paramètres!$A$1:$I$89,5,0)</f>
        <v>163.76880000000014</v>
      </c>
      <c r="P78" s="14">
        <f t="shared" si="87"/>
        <v>41.691423503509839</v>
      </c>
      <c r="Q78" s="22">
        <f t="shared" si="54"/>
        <v>357.84322260194654</v>
      </c>
      <c r="R78" s="62">
        <f t="shared" si="55"/>
        <v>651.17655593527979</v>
      </c>
      <c r="S78" s="62">
        <f ca="1">AVERAGE(OFFSET($R$3,0,0,'Données projet'!$E$9+1,1))-AVERAGE(OFFSET($H$3,0,0,'Données projet'!$E$9+1,1))</f>
        <v>228.905960862347</v>
      </c>
      <c r="T78" s="62">
        <f t="shared" si="88"/>
        <v>167.30057656688177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6</v>
      </c>
      <c r="AI78" s="14">
        <f>IF('Données projet'!$A$62&gt;35,AI77+AH78-AQ77,IF(A78&lt;'Données projet'!$A$62,$AF$205^A78,IF(A78='Données projet'!$A$62,'Données projet'!$B$62,AI77+AH78-AQ77)))</f>
        <v>181.00000000000017</v>
      </c>
      <c r="AJ78" s="14">
        <f>AI78*VLOOKUP('Données projet'!$B$10,Paramètres!$A$1:$I$89,3,0)*VLOOKUP('Données projet'!$B$10,Paramètres!$A$1:$I$89,5,0)</f>
        <v>183.53400000000019</v>
      </c>
      <c r="AK78" s="14">
        <f t="shared" si="89"/>
        <v>46.107544136839593</v>
      </c>
      <c r="AL78" s="22">
        <f t="shared" si="58"/>
        <v>399.95902270499596</v>
      </c>
      <c r="AM78" s="62">
        <f t="shared" si="59"/>
        <v>693.29235603832922</v>
      </c>
      <c r="AN78" s="62">
        <f ca="1">AVERAGE(OFFSET($AM$3,0,0,'Données projet'!$E$10+1,1))-AVERAGE(OFFSET($H$3,0,0,'Données projet'!$E$10+1,1))</f>
        <v>256.45433991419372</v>
      </c>
      <c r="AO78" s="62">
        <f t="shared" si="90"/>
        <v>184.9718670682193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2.6602720026858149E-14</v>
      </c>
      <c r="BF78" s="14">
        <f t="shared" si="91"/>
        <v>4.6624771586320878E-13</v>
      </c>
      <c r="BG78" s="22">
        <f t="shared" si="61"/>
        <v>8.583811758418665E-13</v>
      </c>
      <c r="BH78" s="62">
        <f t="shared" si="62"/>
        <v>293.33333333333417</v>
      </c>
      <c r="BI78" s="62">
        <f ca="1">AVERAGE(OFFSET($BH$3,0,0,'Données projet'!$E$11+1,1))-AVERAGE(OFFSET($H$3,0,0,'Données projet'!$E$11+1,1))</f>
        <v>152.72674713084456</v>
      </c>
      <c r="BJ78" s="62">
        <f t="shared" si="92"/>
        <v>203.90215120562164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6.3035206084329012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2.6154545359367127E-6</v>
      </c>
      <c r="BS78" s="24">
        <f t="shared" si="63"/>
        <v>6.3035232238874368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21.219868799999968</v>
      </c>
      <c r="D79" s="12">
        <f t="shared" si="86"/>
        <v>6.8527029994676196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68.04397403183232</v>
      </c>
      <c r="H79" s="70">
        <f t="shared" si="56"/>
        <v>305.55972921740607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>
        <f>VLOOKUP(A79,'Données projet'!$A$35:$I$55,2,0)</f>
        <v>187</v>
      </c>
      <c r="L79" s="13">
        <f>VLOOKUP(A79,'Données projet'!$A$35:$I$55,9,0)</f>
        <v>6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187.00000000000017</v>
      </c>
      <c r="O79" s="14">
        <f>N79*VLOOKUP('Données projet'!$B$9,Paramètres!$A$1:$I$89,3,0)*VLOOKUP('Données projet'!$B$9,Paramètres!$A$1:$I$89,5,0)</f>
        <v>169.19760000000016</v>
      </c>
      <c r="P79" s="14">
        <f t="shared" si="87"/>
        <v>42.910263223432928</v>
      </c>
      <c r="Q79" s="22">
        <f t="shared" si="54"/>
        <v>369.42119511414597</v>
      </c>
      <c r="R79" s="62">
        <f t="shared" si="55"/>
        <v>662.75452844747929</v>
      </c>
      <c r="S79" s="62">
        <f ca="1">AVERAGE(OFFSET($R$3,0,0,'Données projet'!$E$9+1,1))-AVERAGE(OFFSET($H$3,0,0,'Données projet'!$E$9+1,1))</f>
        <v>228.905960862347</v>
      </c>
      <c r="T79" s="62">
        <f t="shared" si="88"/>
        <v>167.30057656688177</v>
      </c>
      <c r="U79" s="16">
        <f>IF(ISNA(VLOOKUP(A79,'Données projet'!$A$35:$I$55,3,0)),0,VLOOKUP(A79,'Données projet'!$A$35:$I$55,3,0))</f>
        <v>3</v>
      </c>
      <c r="V79" s="16">
        <f>IF(ISNA(VLOOKUP(A79,'Données projet'!$A$35:$I$55,4,0)),0,VLOOKUP(A79,'Données projet'!$A$35:$I$55,4,0))</f>
        <v>50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>
        <f>VLOOKUP(A79,'Données projet'!$A$61:$I$81,2,0)</f>
        <v>187</v>
      </c>
      <c r="AG79" s="13">
        <f>VLOOKUP(A79,'Données projet'!$A$61:$I$81,9,0)</f>
        <v>6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187.00000000000017</v>
      </c>
      <c r="AJ79" s="14">
        <f>AI79*VLOOKUP('Données projet'!$B$10,Paramètres!$A$1:$I$89,3,0)*VLOOKUP('Données projet'!$B$10,Paramètres!$A$1:$I$89,5,0)</f>
        <v>189.61800000000017</v>
      </c>
      <c r="AK79" s="14">
        <f t="shared" si="89"/>
        <v>47.455488185268543</v>
      </c>
      <c r="AL79" s="22">
        <f t="shared" si="58"/>
        <v>412.90299192267634</v>
      </c>
      <c r="AM79" s="62">
        <f t="shared" si="59"/>
        <v>706.23632525600965</v>
      </c>
      <c r="AN79" s="62">
        <f ca="1">AVERAGE(OFFSET($AM$3,0,0,'Données projet'!$E$10+1,1))-AVERAGE(OFFSET($H$3,0,0,'Données projet'!$E$10+1,1))</f>
        <v>256.45433991419372</v>
      </c>
      <c r="AO79" s="62">
        <f t="shared" si="90"/>
        <v>184.9718670682193</v>
      </c>
      <c r="AP79" s="16">
        <f>IF(ISNA(VLOOKUP(A79,'Données projet'!$A$61:$I$81,3,0)),0,VLOOKUP(A79,'Données projet'!$A$61:$I$81,3,0))</f>
        <v>3</v>
      </c>
      <c r="AQ79" s="16">
        <f>IF(ISNA(VLOOKUP(A79,'Données projet'!$A$61:$I$81,4,0)),0,VLOOKUP(A79,'Données projet'!$A$61:$I$81,4,0))</f>
        <v>50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2.6602720026858149E-14</v>
      </c>
      <c r="BF79" s="14">
        <f t="shared" si="91"/>
        <v>4.6624771586320878E-13</v>
      </c>
      <c r="BG79" s="22">
        <f t="shared" si="61"/>
        <v>8.583811758418665E-13</v>
      </c>
      <c r="BH79" s="62">
        <f t="shared" si="62"/>
        <v>293.33333333333417</v>
      </c>
      <c r="BI79" s="62">
        <f ca="1">AVERAGE(OFFSET($BH$3,0,0,'Données projet'!$E$11+1,1))-AVERAGE(OFFSET($H$3,0,0,'Données projet'!$E$11+1,1))</f>
        <v>152.72674713084456</v>
      </c>
      <c r="BJ79" s="62">
        <f t="shared" si="92"/>
        <v>203.90215120562164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6.1799124140694639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1.8494056382459643E-6</v>
      </c>
      <c r="BS79" s="24">
        <f t="shared" si="63"/>
        <v>6.1799142634751023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21.499077599999968</v>
      </c>
      <c r="D80" s="12">
        <f t="shared" si="86"/>
        <v>6.9323139734906087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68.913702803394003</v>
      </c>
      <c r="H80" s="70">
        <f t="shared" si="56"/>
        <v>306.18467365716276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5.8</v>
      </c>
      <c r="N80" s="14">
        <f>IF('Données projet'!$A$36&gt;35,N79+M80-V79,IF(A80&lt;'Données projet'!$A$36,$K$205^A80,IF(A80='Données projet'!$A$36,'Données projet'!$B$36,N79+M80-V79)))</f>
        <v>142.80000000000018</v>
      </c>
      <c r="O80" s="14">
        <f>N80*VLOOKUP('Données projet'!$B$9,Paramètres!$A$1:$I$89,3,0)*VLOOKUP('Données projet'!$B$9,Paramètres!$A$1:$I$89,5,0)</f>
        <v>129.20544000000015</v>
      </c>
      <c r="P80" s="14">
        <f t="shared" si="87"/>
        <v>33.812694386461949</v>
      </c>
      <c r="Q80" s="22">
        <f t="shared" si="54"/>
        <v>283.92325072308813</v>
      </c>
      <c r="R80" s="62">
        <f t="shared" si="55"/>
        <v>577.25658405642139</v>
      </c>
      <c r="S80" s="62">
        <f ca="1">AVERAGE(OFFSET($R$3,0,0,'Données projet'!$E$9+1,1))-AVERAGE(OFFSET($H$3,0,0,'Données projet'!$E$9+1,1))</f>
        <v>228.905960862347</v>
      </c>
      <c r="T80" s="62">
        <f t="shared" si="88"/>
        <v>167.30057656688177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5.8</v>
      </c>
      <c r="AI80" s="14">
        <f>IF('Données projet'!$A$62&gt;35,AI79+AH80-AQ79,IF(A80&lt;'Données projet'!$A$62,$AF$205^A80,IF(A80='Données projet'!$A$62,'Données projet'!$B$62,AI79+AH80-AQ79)))</f>
        <v>142.80000000000018</v>
      </c>
      <c r="AJ80" s="14">
        <f>AI80*VLOOKUP('Données projet'!$B$10,Paramètres!$A$1:$I$89,3,0)*VLOOKUP('Données projet'!$B$10,Paramètres!$A$1:$I$89,5,0)</f>
        <v>144.79920000000018</v>
      </c>
      <c r="AK80" s="14">
        <f t="shared" si="89"/>
        <v>37.394268839921352</v>
      </c>
      <c r="AL80" s="22">
        <f t="shared" si="58"/>
        <v>317.32029156286336</v>
      </c>
      <c r="AM80" s="62">
        <f t="shared" si="59"/>
        <v>610.65362489619667</v>
      </c>
      <c r="AN80" s="62">
        <f ca="1">AVERAGE(OFFSET($AM$3,0,0,'Données projet'!$E$10+1,1))-AVERAGE(OFFSET($H$3,0,0,'Données projet'!$E$10+1,1))</f>
        <v>256.45433991419372</v>
      </c>
      <c r="AO80" s="62">
        <f t="shared" si="90"/>
        <v>184.9718670682193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2.6602720026858149E-14</v>
      </c>
      <c r="BF80" s="14">
        <f t="shared" si="91"/>
        <v>4.6624771586320878E-13</v>
      </c>
      <c r="BG80" s="22">
        <f t="shared" si="61"/>
        <v>8.583811758418665E-13</v>
      </c>
      <c r="BH80" s="62">
        <f t="shared" si="62"/>
        <v>293.33333333333417</v>
      </c>
      <c r="BI80" s="62">
        <f ca="1">AVERAGE(OFFSET($BH$3,0,0,'Données projet'!$E$11+1,1))-AVERAGE(OFFSET($H$3,0,0,'Données projet'!$E$11+1,1))</f>
        <v>152.72674713084456</v>
      </c>
      <c r="BJ80" s="62">
        <f t="shared" si="92"/>
        <v>203.90215120562164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6.0587281010039398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1.3077272679683566E-6</v>
      </c>
      <c r="BS80" s="24">
        <f t="shared" si="63"/>
        <v>6.0587294087312076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21.778286399999967</v>
      </c>
      <c r="D81" s="12">
        <f t="shared" si="86"/>
        <v>7.0118046878776816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69.783140082476777</v>
      </c>
      <c r="H81" s="70">
        <f t="shared" si="56"/>
        <v>306.80940864472024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5.8</v>
      </c>
      <c r="N81" s="14">
        <f>IF('Données projet'!$A$36&gt;35,N80+M81-V80,IF(A81&lt;'Données projet'!$A$36,$K$205^A81,IF(A81='Données projet'!$A$36,'Données projet'!$B$36,N80+M81-V80)))</f>
        <v>148.60000000000019</v>
      </c>
      <c r="O81" s="14">
        <f>N81*VLOOKUP('Données projet'!$B$9,Paramètres!$A$1:$I$89,3,0)*VLOOKUP('Données projet'!$B$9,Paramètres!$A$1:$I$89,5,0)</f>
        <v>134.45328000000018</v>
      </c>
      <c r="P81" s="14">
        <f t="shared" si="87"/>
        <v>35.023355716739523</v>
      </c>
      <c r="Q81" s="22">
        <f t="shared" si="54"/>
        <v>295.17180720665493</v>
      </c>
      <c r="R81" s="62">
        <f t="shared" si="55"/>
        <v>588.50514053998825</v>
      </c>
      <c r="S81" s="62">
        <f ca="1">AVERAGE(OFFSET($R$3,0,0,'Données projet'!$E$9+1,1))-AVERAGE(OFFSET($H$3,0,0,'Données projet'!$E$9+1,1))</f>
        <v>228.905960862347</v>
      </c>
      <c r="T81" s="62">
        <f t="shared" si="88"/>
        <v>167.30057656688177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5.8</v>
      </c>
      <c r="AI81" s="14">
        <f>IF('Données projet'!$A$62&gt;35,AI80+AH81-AQ80,IF(A81&lt;'Données projet'!$A$62,$AF$205^A81,IF(A81='Données projet'!$A$62,'Données projet'!$B$62,AI80+AH81-AQ80)))</f>
        <v>148.60000000000019</v>
      </c>
      <c r="AJ81" s="14">
        <f>AI81*VLOOKUP('Données projet'!$B$10,Paramètres!$A$1:$I$89,3,0)*VLOOKUP('Données projet'!$B$10,Paramètres!$A$1:$I$89,5,0)</f>
        <v>150.68040000000022</v>
      </c>
      <c r="AK81" s="14">
        <f t="shared" si="89"/>
        <v>38.733168211295393</v>
      </c>
      <c r="AL81" s="22">
        <f t="shared" si="58"/>
        <v>329.8952979680065</v>
      </c>
      <c r="AM81" s="62">
        <f t="shared" si="59"/>
        <v>623.22863130133987</v>
      </c>
      <c r="AN81" s="62">
        <f ca="1">AVERAGE(OFFSET($AM$3,0,0,'Données projet'!$E$10+1,1))-AVERAGE(OFFSET($H$3,0,0,'Données projet'!$E$10+1,1))</f>
        <v>256.45433991419372</v>
      </c>
      <c r="AO81" s="62">
        <f t="shared" si="90"/>
        <v>184.9718670682193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2.6602720026858149E-14</v>
      </c>
      <c r="BF81" s="14">
        <f t="shared" si="91"/>
        <v>4.6624771586320878E-13</v>
      </c>
      <c r="BG81" s="22">
        <f t="shared" si="61"/>
        <v>8.583811758418665E-13</v>
      </c>
      <c r="BH81" s="62">
        <f t="shared" si="62"/>
        <v>293.33333333333417</v>
      </c>
      <c r="BI81" s="62">
        <f ca="1">AVERAGE(OFFSET($BH$3,0,0,'Données projet'!$E$11+1,1))-AVERAGE(OFFSET($H$3,0,0,'Données projet'!$E$11+1,1))</f>
        <v>152.72674713084456</v>
      </c>
      <c r="BJ81" s="62">
        <f t="shared" si="92"/>
        <v>203.90215120562164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5.9399201384024982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9.2470281912298238E-7</v>
      </c>
      <c r="BS81" s="24">
        <f t="shared" si="63"/>
        <v>5.9399210631053174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22.057495199999966</v>
      </c>
      <c r="D82" s="12">
        <f t="shared" si="86"/>
        <v>7.0911768626945344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70.65229003827848</v>
      </c>
      <c r="H82" s="70">
        <f t="shared" si="56"/>
        <v>307.43393717585963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5.8</v>
      </c>
      <c r="N82" s="14">
        <f>IF('Données projet'!$A$36&gt;35,N81+M82-V81,IF(A82&lt;'Données projet'!$A$36,$K$205^A82,IF(A82='Données projet'!$A$36,'Données projet'!$B$36,N81+M82-V81)))</f>
        <v>154.4000000000002</v>
      </c>
      <c r="O82" s="14">
        <f>N82*VLOOKUP('Données projet'!$B$9,Paramètres!$A$1:$I$89,3,0)*VLOOKUP('Données projet'!$B$9,Paramètres!$A$1:$I$89,5,0)</f>
        <v>139.70112000000017</v>
      </c>
      <c r="P82" s="14">
        <f t="shared" si="87"/>
        <v>36.228527770043229</v>
      </c>
      <c r="Q82" s="22">
        <f t="shared" si="54"/>
        <v>306.41080319949225</v>
      </c>
      <c r="R82" s="62">
        <f t="shared" si="55"/>
        <v>599.74413653282556</v>
      </c>
      <c r="S82" s="62">
        <f ca="1">AVERAGE(OFFSET($R$3,0,0,'Données projet'!$E$9+1,1))-AVERAGE(OFFSET($H$3,0,0,'Données projet'!$E$9+1,1))</f>
        <v>228.905960862347</v>
      </c>
      <c r="T82" s="62">
        <f t="shared" si="88"/>
        <v>167.30057656688177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5.8</v>
      </c>
      <c r="AI82" s="14">
        <f>IF('Données projet'!$A$62&gt;35,AI81+AH82-AQ81,IF(A82&lt;'Données projet'!$A$62,$AF$205^A82,IF(A82='Données projet'!$A$62,'Données projet'!$B$62,AI81+AH82-AQ81)))</f>
        <v>154.4000000000002</v>
      </c>
      <c r="AJ82" s="14">
        <f>AI82*VLOOKUP('Données projet'!$B$10,Paramètres!$A$1:$I$89,3,0)*VLOOKUP('Données projet'!$B$10,Paramètres!$A$1:$I$89,5,0)</f>
        <v>156.56160000000023</v>
      </c>
      <c r="AK82" s="14">
        <f t="shared" si="89"/>
        <v>40.065996859746548</v>
      </c>
      <c r="AL82" s="22">
        <f t="shared" si="58"/>
        <v>342.45973119739227</v>
      </c>
      <c r="AM82" s="62">
        <f t="shared" si="59"/>
        <v>635.79306453072559</v>
      </c>
      <c r="AN82" s="62">
        <f ca="1">AVERAGE(OFFSET($AM$3,0,0,'Données projet'!$E$10+1,1))-AVERAGE(OFFSET($H$3,0,0,'Données projet'!$E$10+1,1))</f>
        <v>256.45433991419372</v>
      </c>
      <c r="AO82" s="62">
        <f t="shared" si="90"/>
        <v>184.9718670682193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2.6602720026858149E-14</v>
      </c>
      <c r="BF82" s="14">
        <f t="shared" si="91"/>
        <v>4.6624771586320878E-13</v>
      </c>
      <c r="BG82" s="22">
        <f t="shared" si="61"/>
        <v>8.583811758418665E-13</v>
      </c>
      <c r="BH82" s="62">
        <f t="shared" si="62"/>
        <v>293.33333333333417</v>
      </c>
      <c r="BI82" s="62">
        <f ca="1">AVERAGE(OFFSET($BH$3,0,0,'Données projet'!$E$11+1,1))-AVERAGE(OFFSET($H$3,0,0,'Données projet'!$E$11+1,1))</f>
        <v>152.72674713084456</v>
      </c>
      <c r="BJ82" s="62">
        <f t="shared" si="92"/>
        <v>203.90215120562164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5.8234419274819684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6.5386363398417838E-7</v>
      </c>
      <c r="BS82" s="24">
        <f t="shared" si="63"/>
        <v>5.8234425813456028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22.336703999999965</v>
      </c>
      <c r="D83" s="12">
        <f t="shared" si="86"/>
        <v>7.1704321719567741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71.52115672837796</v>
      </c>
      <c r="H83" s="70">
        <f t="shared" si="56"/>
        <v>308.05826216615799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5.8</v>
      </c>
      <c r="N83" s="14">
        <f>IF('Données projet'!$A$36&gt;35,N82+M83-V82,IF(A83&lt;'Données projet'!$A$36,$K$205^A83,IF(A83='Données projet'!$A$36,'Données projet'!$B$36,N82+M83-V82)))</f>
        <v>160.20000000000022</v>
      </c>
      <c r="O83" s="14">
        <f>N83*VLOOKUP('Données projet'!$B$9,Paramètres!$A$1:$I$89,3,0)*VLOOKUP('Données projet'!$B$9,Paramètres!$A$1:$I$89,5,0)</f>
        <v>144.9489600000002</v>
      </c>
      <c r="P83" s="14">
        <f t="shared" si="87"/>
        <v>37.428440359311047</v>
      </c>
      <c r="Q83" s="22">
        <f t="shared" si="54"/>
        <v>317.64063895913375</v>
      </c>
      <c r="R83" s="62">
        <f t="shared" si="55"/>
        <v>610.97397229246712</v>
      </c>
      <c r="S83" s="62">
        <f ca="1">AVERAGE(OFFSET($R$3,0,0,'Données projet'!$E$9+1,1))-AVERAGE(OFFSET($H$3,0,0,'Données projet'!$E$9+1,1))</f>
        <v>228.905960862347</v>
      </c>
      <c r="T83" s="62">
        <f t="shared" si="88"/>
        <v>167.30057656688177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5.8</v>
      </c>
      <c r="AI83" s="14">
        <f>IF('Données projet'!$A$62&gt;35,AI82+AH83-AQ82,IF(A83&lt;'Données projet'!$A$62,$AF$205^A83,IF(A83='Données projet'!$A$62,'Données projet'!$B$62,AI82+AH83-AQ82)))</f>
        <v>160.20000000000022</v>
      </c>
      <c r="AJ83" s="14">
        <f>AI83*VLOOKUP('Données projet'!$B$10,Paramètres!$A$1:$I$89,3,0)*VLOOKUP('Données projet'!$B$10,Paramètres!$A$1:$I$89,5,0)</f>
        <v>162.44280000000023</v>
      </c>
      <c r="AK83" s="14">
        <f t="shared" si="89"/>
        <v>41.393008940908935</v>
      </c>
      <c r="AL83" s="22">
        <f t="shared" si="58"/>
        <v>355.01403390541685</v>
      </c>
      <c r="AM83" s="62">
        <f t="shared" si="59"/>
        <v>648.34736723875017</v>
      </c>
      <c r="AN83" s="62">
        <f ca="1">AVERAGE(OFFSET($AM$3,0,0,'Données projet'!$E$10+1,1))-AVERAGE(OFFSET($H$3,0,0,'Données projet'!$E$10+1,1))</f>
        <v>256.45433991419372</v>
      </c>
      <c r="AO83" s="62">
        <f t="shared" si="90"/>
        <v>184.9718670682193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2.6602720026858149E-14</v>
      </c>
      <c r="BF83" s="14">
        <f t="shared" si="91"/>
        <v>4.6624771586320878E-13</v>
      </c>
      <c r="BG83" s="22">
        <f t="shared" si="61"/>
        <v>8.583811758418665E-13</v>
      </c>
      <c r="BH83" s="62">
        <f t="shared" si="62"/>
        <v>293.33333333333417</v>
      </c>
      <c r="BI83" s="62">
        <f ca="1">AVERAGE(OFFSET($BH$3,0,0,'Données projet'!$E$11+1,1))-AVERAGE(OFFSET($H$3,0,0,'Données projet'!$E$11+1,1))</f>
        <v>152.72674713084456</v>
      </c>
      <c r="BJ83" s="62">
        <f t="shared" si="92"/>
        <v>203.90215120562164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5.7092477832328967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4.6235140956149124E-7</v>
      </c>
      <c r="BS83" s="24">
        <f t="shared" si="63"/>
        <v>5.7092482455843063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22.615912799999965</v>
      </c>
      <c r="D84" s="12">
        <f t="shared" si="86"/>
        <v>7.2495722454227032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72.389744103080616</v>
      </c>
      <c r="H84" s="70">
        <f t="shared" si="56"/>
        <v>308.68238645411117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166.00000000000023</v>
      </c>
      <c r="O84" s="14">
        <f>N84*VLOOKUP('Données projet'!$B$9,Paramètres!$A$1:$I$89,3,0)*VLOOKUP('Données projet'!$B$9,Paramètres!$A$1:$I$89,5,0)</f>
        <v>150.1968000000002</v>
      </c>
      <c r="P84" s="14">
        <f t="shared" si="87"/>
        <v>38.623305713694542</v>
      </c>
      <c r="Q84" s="22">
        <f t="shared" si="54"/>
        <v>328.86168411801833</v>
      </c>
      <c r="R84" s="62">
        <f t="shared" si="55"/>
        <v>622.19501745135165</v>
      </c>
      <c r="S84" s="62">
        <f ca="1">AVERAGE(OFFSET($R$3,0,0,'Données projet'!$E$9+1,1))-AVERAGE(OFFSET($H$3,0,0,'Données projet'!$E$9+1,1))</f>
        <v>228.905960862347</v>
      </c>
      <c r="T84" s="62">
        <f t="shared" si="88"/>
        <v>167.30057656688177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166.00000000000023</v>
      </c>
      <c r="AJ84" s="14">
        <f>AI84*VLOOKUP('Données projet'!$B$10,Paramètres!$A$1:$I$89,3,0)*VLOOKUP('Données projet'!$B$10,Paramètres!$A$1:$I$89,5,0)</f>
        <v>168.32400000000024</v>
      </c>
      <c r="AK84" s="14">
        <f t="shared" si="89"/>
        <v>42.714439164086123</v>
      </c>
      <c r="AL84" s="22">
        <f t="shared" si="58"/>
        <v>367.55861487745034</v>
      </c>
      <c r="AM84" s="62">
        <f t="shared" si="59"/>
        <v>660.89194821078365</v>
      </c>
      <c r="AN84" s="62">
        <f ca="1">AVERAGE(OFFSET($AM$3,0,0,'Données projet'!$E$10+1,1))-AVERAGE(OFFSET($H$3,0,0,'Données projet'!$E$10+1,1))</f>
        <v>256.45433991419372</v>
      </c>
      <c r="AO84" s="62">
        <f t="shared" si="90"/>
        <v>184.9718670682193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2.6602720026858149E-14</v>
      </c>
      <c r="BF84" s="14">
        <f t="shared" si="91"/>
        <v>4.6624771586320878E-13</v>
      </c>
      <c r="BG84" s="22">
        <f t="shared" si="61"/>
        <v>8.583811758418665E-13</v>
      </c>
      <c r="BH84" s="62">
        <f t="shared" si="62"/>
        <v>293.33333333333417</v>
      </c>
      <c r="BI84" s="62">
        <f ca="1">AVERAGE(OFFSET($BH$3,0,0,'Données projet'!$E$11+1,1))-AVERAGE(OFFSET($H$3,0,0,'Données projet'!$E$11+1,1))</f>
        <v>152.72674713084456</v>
      </c>
      <c r="BJ84" s="62">
        <f t="shared" si="92"/>
        <v>203.90215120562164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5.597292916500999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3.2693181699208925E-7</v>
      </c>
      <c r="BS84" s="24">
        <f t="shared" si="63"/>
        <v>5.5972932434328158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22.895121599999964</v>
      </c>
      <c r="D85" s="12">
        <f t="shared" si="86"/>
        <v>7.3285986702950199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73.258056009543068</v>
      </c>
      <c r="H85" s="70">
        <f t="shared" si="56"/>
        <v>309.3063128040971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171.80000000000024</v>
      </c>
      <c r="O85" s="14">
        <f>N85*VLOOKUP('Données projet'!$B$9,Paramètres!$A$1:$I$89,3,0)*VLOOKUP('Données projet'!$B$9,Paramètres!$A$1:$I$89,5,0)</f>
        <v>155.44464000000022</v>
      </c>
      <c r="P85" s="14">
        <f t="shared" si="87"/>
        <v>39.81332039089844</v>
      </c>
      <c r="Q85" s="22">
        <f t="shared" si="54"/>
        <v>340.07428101414848</v>
      </c>
      <c r="R85" s="62">
        <f t="shared" si="55"/>
        <v>633.40761434748174</v>
      </c>
      <c r="S85" s="62">
        <f ca="1">AVERAGE(OFFSET($R$3,0,0,'Données projet'!$E$9+1,1))-AVERAGE(OFFSET($H$3,0,0,'Données projet'!$E$9+1,1))</f>
        <v>228.905960862347</v>
      </c>
      <c r="T85" s="62">
        <f t="shared" si="88"/>
        <v>167.30057656688177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171.80000000000024</v>
      </c>
      <c r="AJ85" s="14">
        <f>AI85*VLOOKUP('Données projet'!$B$10,Paramètres!$A$1:$I$89,3,0)*VLOOKUP('Données projet'!$B$10,Paramètres!$A$1:$I$89,5,0)</f>
        <v>174.20520000000025</v>
      </c>
      <c r="AK85" s="14">
        <f t="shared" si="89"/>
        <v>44.03050490715308</v>
      </c>
      <c r="AL85" s="22">
        <f t="shared" si="58"/>
        <v>380.09385271329205</v>
      </c>
      <c r="AM85" s="62">
        <f t="shared" si="59"/>
        <v>673.42718604662537</v>
      </c>
      <c r="AN85" s="62">
        <f ca="1">AVERAGE(OFFSET($AM$3,0,0,'Données projet'!$E$10+1,1))-AVERAGE(OFFSET($H$3,0,0,'Données projet'!$E$10+1,1))</f>
        <v>256.45433991419372</v>
      </c>
      <c r="AO85" s="62">
        <f t="shared" si="90"/>
        <v>184.9718670682193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2.6602720026858149E-14</v>
      </c>
      <c r="BF85" s="14">
        <f t="shared" si="91"/>
        <v>4.6624771586320878E-13</v>
      </c>
      <c r="BG85" s="22">
        <f t="shared" si="61"/>
        <v>8.583811758418665E-13</v>
      </c>
      <c r="BH85" s="62">
        <f t="shared" si="62"/>
        <v>293.33333333333417</v>
      </c>
      <c r="BI85" s="62">
        <f ca="1">AVERAGE(OFFSET($BH$3,0,0,'Données projet'!$E$11+1,1))-AVERAGE(OFFSET($H$3,0,0,'Données projet'!$E$11+1,1))</f>
        <v>152.72674713084456</v>
      </c>
      <c r="BJ85" s="62">
        <f t="shared" si="92"/>
        <v>203.90215120562164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5.4875334164199883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2.3117570478074567E-7</v>
      </c>
      <c r="BS85" s="24">
        <f t="shared" si="63"/>
        <v>5.4875336475956926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23.174330399999963</v>
      </c>
      <c r="D86" s="12">
        <f t="shared" si="86"/>
        <v>7.4075129928371348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74.126096195690764</v>
      </c>
      <c r="H86" s="70">
        <f t="shared" si="56"/>
        <v>309.93004390919128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177.60000000000025</v>
      </c>
      <c r="O86" s="14">
        <f>N86*VLOOKUP('Données projet'!$B$9,Paramètres!$A$1:$I$89,3,0)*VLOOKUP('Données projet'!$B$9,Paramètres!$A$1:$I$89,5,0)</f>
        <v>160.69248000000022</v>
      </c>
      <c r="P86" s="14">
        <f t="shared" si="87"/>
        <v>40.998666924021705</v>
      </c>
      <c r="Q86" s="22">
        <f t="shared" si="54"/>
        <v>351.27874755933817</v>
      </c>
      <c r="R86" s="62">
        <f t="shared" si="55"/>
        <v>644.61208089267143</v>
      </c>
      <c r="S86" s="62">
        <f ca="1">AVERAGE(OFFSET($R$3,0,0,'Données projet'!$E$9+1,1))-AVERAGE(OFFSET($H$3,0,0,'Données projet'!$E$9+1,1))</f>
        <v>228.905960862347</v>
      </c>
      <c r="T86" s="62">
        <f t="shared" si="88"/>
        <v>167.30057656688177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177.60000000000025</v>
      </c>
      <c r="AJ86" s="14">
        <f>AI86*VLOOKUP('Données projet'!$B$10,Paramètres!$A$1:$I$89,3,0)*VLOOKUP('Données projet'!$B$10,Paramètres!$A$1:$I$89,5,0)</f>
        <v>180.08640000000028</v>
      </c>
      <c r="AK86" s="14">
        <f t="shared" si="89"/>
        <v>45.341408037837212</v>
      </c>
      <c r="AL86" s="22">
        <f t="shared" si="58"/>
        <v>392.62009899923368</v>
      </c>
      <c r="AM86" s="62">
        <f t="shared" si="59"/>
        <v>685.95343233256699</v>
      </c>
      <c r="AN86" s="62">
        <f ca="1">AVERAGE(OFFSET($AM$3,0,0,'Données projet'!$E$10+1,1))-AVERAGE(OFFSET($H$3,0,0,'Données projet'!$E$10+1,1))</f>
        <v>256.45433991419372</v>
      </c>
      <c r="AO86" s="62">
        <f t="shared" si="90"/>
        <v>184.9718670682193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2.6602720026858149E-14</v>
      </c>
      <c r="BF86" s="14">
        <f t="shared" si="91"/>
        <v>4.6624771586320878E-13</v>
      </c>
      <c r="BG86" s="22">
        <f t="shared" si="61"/>
        <v>8.583811758418665E-13</v>
      </c>
      <c r="BH86" s="62">
        <f t="shared" si="62"/>
        <v>293.33333333333417</v>
      </c>
      <c r="BI86" s="62">
        <f ca="1">AVERAGE(OFFSET($BH$3,0,0,'Données projet'!$E$11+1,1))-AVERAGE(OFFSET($H$3,0,0,'Données projet'!$E$11+1,1))</f>
        <v>152.72674713084456</v>
      </c>
      <c r="BJ86" s="62">
        <f t="shared" si="92"/>
        <v>203.90215120562164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5.3799262331888809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1.6346590849604465E-7</v>
      </c>
      <c r="BS86" s="24">
        <f t="shared" si="63"/>
        <v>5.3799263966547892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23.453539199999963</v>
      </c>
      <c r="D87" s="12">
        <f t="shared" si="86"/>
        <v>7.4863167199094311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74.993868313941789</v>
      </c>
      <c r="H87" s="70">
        <f t="shared" si="56"/>
        <v>310.55358239384219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183.40000000000026</v>
      </c>
      <c r="O87" s="14">
        <f>N87*VLOOKUP('Données projet'!$B$9,Paramètres!$A$1:$I$89,3,0)*VLOOKUP('Données projet'!$B$9,Paramètres!$A$1:$I$89,5,0)</f>
        <v>165.94032000000021</v>
      </c>
      <c r="P87" s="14">
        <f t="shared" si="87"/>
        <v>42.179515247227535</v>
      </c>
      <c r="Q87" s="22">
        <f t="shared" si="54"/>
        <v>362.47537972225496</v>
      </c>
      <c r="R87" s="62">
        <f t="shared" si="55"/>
        <v>655.80871305558821</v>
      </c>
      <c r="S87" s="62">
        <f ca="1">AVERAGE(OFFSET($R$3,0,0,'Données projet'!$E$9+1,1))-AVERAGE(OFFSET($H$3,0,0,'Données projet'!$E$9+1,1))</f>
        <v>228.905960862347</v>
      </c>
      <c r="T87" s="62">
        <f t="shared" si="88"/>
        <v>167.30057656688177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183.40000000000026</v>
      </c>
      <c r="AJ87" s="14">
        <f>AI87*VLOOKUP('Données projet'!$B$10,Paramètres!$A$1:$I$89,3,0)*VLOOKUP('Données projet'!$B$10,Paramètres!$A$1:$I$89,5,0)</f>
        <v>185.96760000000029</v>
      </c>
      <c r="AK87" s="14">
        <f t="shared" si="89"/>
        <v>46.64733649040118</v>
      </c>
      <c r="AL87" s="22">
        <f t="shared" si="58"/>
        <v>405.13768105411583</v>
      </c>
      <c r="AM87" s="62">
        <f t="shared" si="59"/>
        <v>698.47101438744915</v>
      </c>
      <c r="AN87" s="62">
        <f ca="1">AVERAGE(OFFSET($AM$3,0,0,'Données projet'!$E$10+1,1))-AVERAGE(OFFSET($H$3,0,0,'Données projet'!$E$10+1,1))</f>
        <v>256.45433991419372</v>
      </c>
      <c r="AO87" s="62">
        <f t="shared" si="90"/>
        <v>184.9718670682193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2.6602720026858149E-14</v>
      </c>
      <c r="BF87" s="14">
        <f t="shared" si="91"/>
        <v>4.6624771586320878E-13</v>
      </c>
      <c r="BG87" s="22">
        <f t="shared" si="61"/>
        <v>8.583811758418665E-13</v>
      </c>
      <c r="BH87" s="62">
        <f t="shared" si="62"/>
        <v>293.33333333333417</v>
      </c>
      <c r="BI87" s="62">
        <f ca="1">AVERAGE(OFFSET($BH$3,0,0,'Données projet'!$E$11+1,1))-AVERAGE(OFFSET($H$3,0,0,'Données projet'!$E$11+1,1))</f>
        <v>152.72674713084456</v>
      </c>
      <c r="BJ87" s="62">
        <f t="shared" si="92"/>
        <v>203.90215120562164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5.2744291611870349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1.1558785239037285E-7</v>
      </c>
      <c r="BS87" s="24">
        <f t="shared" si="63"/>
        <v>5.274429276774887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23.732747999999962</v>
      </c>
      <c r="D88" s="12">
        <f t="shared" si="86"/>
        <v>7.5650113204301856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75.861375924747861</v>
      </c>
      <c r="H88" s="70">
        <f t="shared" si="56"/>
        <v>311.17693081641585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189.20000000000027</v>
      </c>
      <c r="O88" s="14">
        <f>N88*VLOOKUP('Données projet'!$B$9,Paramètres!$A$1:$I$89,3,0)*VLOOKUP('Données projet'!$B$9,Paramètres!$A$1:$I$89,5,0)</f>
        <v>171.18816000000024</v>
      </c>
      <c r="P88" s="14">
        <f t="shared" si="87"/>
        <v>43.356023936000895</v>
      </c>
      <c r="Q88" s="22">
        <f t="shared" si="54"/>
        <v>373.66445368853533</v>
      </c>
      <c r="R88" s="62">
        <f t="shared" si="55"/>
        <v>666.99778702186859</v>
      </c>
      <c r="S88" s="62">
        <f ca="1">AVERAGE(OFFSET($R$3,0,0,'Données projet'!$E$9+1,1))-AVERAGE(OFFSET($H$3,0,0,'Données projet'!$E$9+1,1))</f>
        <v>228.905960862347</v>
      </c>
      <c r="T88" s="62">
        <f t="shared" si="88"/>
        <v>167.30057656688177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189.20000000000027</v>
      </c>
      <c r="AJ88" s="14">
        <f>AI88*VLOOKUP('Données projet'!$B$10,Paramètres!$A$1:$I$89,3,0)*VLOOKUP('Données projet'!$B$10,Paramètres!$A$1:$I$89,5,0)</f>
        <v>191.84880000000027</v>
      </c>
      <c r="AK88" s="14">
        <f t="shared" si="89"/>
        <v>47.948465637272939</v>
      </c>
      <c r="AL88" s="22">
        <f t="shared" si="58"/>
        <v>417.64690431825079</v>
      </c>
      <c r="AM88" s="62">
        <f t="shared" si="59"/>
        <v>710.98023765158405</v>
      </c>
      <c r="AN88" s="62">
        <f ca="1">AVERAGE(OFFSET($AM$3,0,0,'Données projet'!$E$10+1,1))-AVERAGE(OFFSET($H$3,0,0,'Données projet'!$E$10+1,1))</f>
        <v>256.45433991419372</v>
      </c>
      <c r="AO88" s="62">
        <f t="shared" si="90"/>
        <v>184.9718670682193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2.6602720026858149E-14</v>
      </c>
      <c r="BF88" s="14">
        <f t="shared" si="91"/>
        <v>4.6624771586320878E-13</v>
      </c>
      <c r="BG88" s="22">
        <f t="shared" si="61"/>
        <v>8.583811758418665E-13</v>
      </c>
      <c r="BH88" s="62">
        <f t="shared" si="62"/>
        <v>293.33333333333417</v>
      </c>
      <c r="BI88" s="62">
        <f ca="1">AVERAGE(OFFSET($BH$3,0,0,'Données projet'!$E$11+1,1))-AVERAGE(OFFSET($H$3,0,0,'Données projet'!$E$11+1,1))</f>
        <v>152.72674713084456</v>
      </c>
      <c r="BJ88" s="62">
        <f t="shared" si="92"/>
        <v>203.90215120562164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5.171000822420285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8.1732954248022338E-8</v>
      </c>
      <c r="BS88" s="24">
        <f t="shared" si="63"/>
        <v>5.1710009041532397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24.011956799999961</v>
      </c>
      <c r="D89" s="12">
        <f t="shared" si="86"/>
        <v>7.6435982267658718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76.728622499964345</v>
      </c>
      <c r="H89" s="70">
        <f t="shared" si="56"/>
        <v>311.80009167161717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>
        <f>VLOOKUP(A89,'Données projet'!$A$35:$I$55,2,0)</f>
        <v>195</v>
      </c>
      <c r="L89" s="13">
        <f>VLOOKUP(A89,'Données projet'!$A$35:$I$55,9,0)</f>
        <v>5.8</v>
      </c>
      <c r="M89" s="13">
        <f t="array" ref="M89">INDEX(L:L,MIN(IF(ISNUMBER(L89:L285),ROW(L89:L285),"")))</f>
        <v>5.8</v>
      </c>
      <c r="N89" s="14">
        <f>IF('Données projet'!$A$36&gt;35,N88+M89-V88,IF(A89&lt;'Données projet'!$A$36,$K$205^A89,IF(A89='Données projet'!$A$36,'Données projet'!$B$36,N88+M89-V88)))</f>
        <v>195.00000000000028</v>
      </c>
      <c r="O89" s="14">
        <f>N89*VLOOKUP('Données projet'!$B$9,Paramètres!$A$1:$I$89,3,0)*VLOOKUP('Données projet'!$B$9,Paramètres!$A$1:$I$89,5,0)</f>
        <v>176.43600000000023</v>
      </c>
      <c r="P89" s="14">
        <f t="shared" si="87"/>
        <v>44.528341291050658</v>
      </c>
      <c r="Q89" s="22">
        <f t="shared" si="54"/>
        <v>384.8462277485803</v>
      </c>
      <c r="R89" s="62">
        <f t="shared" si="55"/>
        <v>678.17956108191356</v>
      </c>
      <c r="S89" s="62">
        <f ca="1">AVERAGE(OFFSET($R$3,0,0,'Données projet'!$E$9+1,1))-AVERAGE(OFFSET($H$3,0,0,'Données projet'!$E$9+1,1))</f>
        <v>228.905960862347</v>
      </c>
      <c r="T89" s="62">
        <f t="shared" si="88"/>
        <v>167.30057656688177</v>
      </c>
      <c r="U89" s="16">
        <f>IF(ISNA(VLOOKUP(A89,'Données projet'!$A$35:$I$55,3,0)),0,VLOOKUP(A89,'Données projet'!$A$35:$I$55,3,0))</f>
        <v>4</v>
      </c>
      <c r="V89" s="16">
        <f>IF(ISNA(VLOOKUP(A89,'Données projet'!$A$35:$I$55,4,0)),0,VLOOKUP(A89,'Données projet'!$A$35:$I$55,4,0))</f>
        <v>70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>
        <f>VLOOKUP(A89,'Données projet'!$A$61:$I$81,2,0)</f>
        <v>195</v>
      </c>
      <c r="AG89" s="13">
        <f>VLOOKUP(A89,'Données projet'!$A$61:$I$81,9,0)</f>
        <v>5.8</v>
      </c>
      <c r="AH89" s="13">
        <f t="array" ref="AH89">INDEX(AG:AG,MIN(IF(ISNUMBER(AG89:AG285),ROW(AG89:AG285),"")))</f>
        <v>5.8</v>
      </c>
      <c r="AI89" s="14">
        <f>IF('Données projet'!$A$62&gt;35,AI88+AH89-AQ88,IF(A89&lt;'Données projet'!$A$62,$AF$205^A89,IF(A89='Données projet'!$A$62,'Données projet'!$B$62,AI88+AH89-AQ88)))</f>
        <v>195.00000000000028</v>
      </c>
      <c r="AJ89" s="14">
        <f>AI89*VLOOKUP('Données projet'!$B$10,Paramètres!$A$1:$I$89,3,0)*VLOOKUP('Données projet'!$B$10,Paramètres!$A$1:$I$89,5,0)</f>
        <v>197.7300000000003</v>
      </c>
      <c r="AK89" s="14">
        <f t="shared" si="89"/>
        <v>49.244959487759708</v>
      </c>
      <c r="AL89" s="22">
        <f t="shared" si="58"/>
        <v>430.14805444118201</v>
      </c>
      <c r="AM89" s="62">
        <f t="shared" si="59"/>
        <v>723.48138777451527</v>
      </c>
      <c r="AN89" s="62">
        <f ca="1">AVERAGE(OFFSET($AM$3,0,0,'Données projet'!$E$10+1,1))-AVERAGE(OFFSET($H$3,0,0,'Données projet'!$E$10+1,1))</f>
        <v>256.45433991419372</v>
      </c>
      <c r="AO89" s="62">
        <f t="shared" si="90"/>
        <v>184.9718670682193</v>
      </c>
      <c r="AP89" s="16">
        <f>IF(ISNA(VLOOKUP(A89,'Données projet'!$A$61:$I$81,3,0)),0,VLOOKUP(A89,'Données projet'!$A$61:$I$81,3,0))</f>
        <v>4</v>
      </c>
      <c r="AQ89" s="16">
        <f>IF(ISNA(VLOOKUP(A89,'Données projet'!$A$61:$I$81,4,0)),0,VLOOKUP(A89,'Données projet'!$A$61:$I$81,4,0))</f>
        <v>70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2.6602720026858149E-14</v>
      </c>
      <c r="BF89" s="14">
        <f t="shared" si="91"/>
        <v>4.6624771586320878E-13</v>
      </c>
      <c r="BG89" s="22">
        <f t="shared" si="61"/>
        <v>8.583811758418665E-13</v>
      </c>
      <c r="BH89" s="62">
        <f t="shared" si="62"/>
        <v>293.33333333333417</v>
      </c>
      <c r="BI89" s="62">
        <f ca="1">AVERAGE(OFFSET($BH$3,0,0,'Données projet'!$E$11+1,1))-AVERAGE(OFFSET($H$3,0,0,'Données projet'!$E$11+1,1))</f>
        <v>152.72674713084456</v>
      </c>
      <c r="BJ89" s="62">
        <f t="shared" si="92"/>
        <v>203.90215120562164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5.0696006502916937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5.7793926195186438E-8</v>
      </c>
      <c r="BS89" s="24">
        <f t="shared" si="63"/>
        <v>5.0696007080856198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24.29116559999996</v>
      </c>
      <c r="D90" s="12">
        <f t="shared" si="86"/>
        <v>7.7220788360549042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77.595611426058596</v>
      </c>
      <c r="H90" s="70">
        <f t="shared" si="56"/>
        <v>312.42306739279559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5.5</v>
      </c>
      <c r="N90" s="14">
        <f>IF('Données projet'!$A$36&gt;35,N89+M90-V89,IF(A90&lt;'Données projet'!$A$36,$K$205^A90,IF(A90='Données projet'!$A$36,'Données projet'!$B$36,N89+M90-V89)))</f>
        <v>130.50000000000028</v>
      </c>
      <c r="O90" s="14">
        <f>N90*VLOOKUP('Données projet'!$B$9,Paramètres!$A$1:$I$89,3,0)*VLOOKUP('Données projet'!$B$9,Paramètres!$A$1:$I$89,5,0)</f>
        <v>118.07640000000025</v>
      </c>
      <c r="P90" s="14">
        <f t="shared" si="87"/>
        <v>31.225930100508286</v>
      </c>
      <c r="Q90" s="22">
        <f t="shared" si="54"/>
        <v>260.03489159171903</v>
      </c>
      <c r="R90" s="62">
        <f t="shared" si="55"/>
        <v>553.36822492505235</v>
      </c>
      <c r="S90" s="62">
        <f ca="1">AVERAGE(OFFSET($R$3,0,0,'Données projet'!$E$9+1,1))-AVERAGE(OFFSET($H$3,0,0,'Données projet'!$E$9+1,1))</f>
        <v>228.905960862347</v>
      </c>
      <c r="T90" s="62">
        <f t="shared" si="88"/>
        <v>167.30057656688177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5.5</v>
      </c>
      <c r="AI90" s="14">
        <f>IF('Données projet'!$A$62&gt;35,AI89+AH90-AQ89,IF(A90&lt;'Données projet'!$A$62,$AF$205^A90,IF(A90='Données projet'!$A$62,'Données projet'!$B$62,AI89+AH90-AQ89)))</f>
        <v>130.50000000000028</v>
      </c>
      <c r="AJ90" s="14">
        <f>AI90*VLOOKUP('Données projet'!$B$10,Paramètres!$A$1:$I$89,3,0)*VLOOKUP('Données projet'!$B$10,Paramètres!$A$1:$I$89,5,0)</f>
        <v>132.32700000000031</v>
      </c>
      <c r="AK90" s="14">
        <f t="shared" si="89"/>
        <v>34.533504239831196</v>
      </c>
      <c r="AL90" s="22">
        <f t="shared" si="58"/>
        <v>290.61537821770656</v>
      </c>
      <c r="AM90" s="62">
        <f t="shared" si="59"/>
        <v>583.94871155103988</v>
      </c>
      <c r="AN90" s="62">
        <f ca="1">AVERAGE(OFFSET($AM$3,0,0,'Données projet'!$E$10+1,1))-AVERAGE(OFFSET($H$3,0,0,'Données projet'!$E$10+1,1))</f>
        <v>256.45433991419372</v>
      </c>
      <c r="AO90" s="62">
        <f t="shared" si="90"/>
        <v>184.9718670682193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2.6602720026858149E-14</v>
      </c>
      <c r="BF90" s="14">
        <f t="shared" si="91"/>
        <v>4.6624771586320878E-13</v>
      </c>
      <c r="BG90" s="22">
        <f t="shared" si="61"/>
        <v>8.583811758418665E-13</v>
      </c>
      <c r="BH90" s="62">
        <f t="shared" si="62"/>
        <v>293.33333333333417</v>
      </c>
      <c r="BI90" s="62">
        <f ca="1">AVERAGE(OFFSET($BH$3,0,0,'Données projet'!$E$11+1,1))-AVERAGE(OFFSET($H$3,0,0,'Données projet'!$E$11+1,1))</f>
        <v>152.72674713084456</v>
      </c>
      <c r="BJ90" s="62">
        <f t="shared" si="92"/>
        <v>203.90215120562164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4.970188873690546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4.0866477124011175E-8</v>
      </c>
      <c r="BS90" s="24">
        <f t="shared" si="63"/>
        <v>4.9701889145570233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24.57037439999996</v>
      </c>
      <c r="D91" s="12">
        <f t="shared" si="86"/>
        <v>7.8004545114687955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78.462346007167071</v>
      </c>
      <c r="H91" s="70">
        <f t="shared" si="56"/>
        <v>313.04586035414144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5.5</v>
      </c>
      <c r="N91" s="14">
        <f>IF('Données projet'!$A$36&gt;35,N90+M91-V90,IF(A91&lt;'Données projet'!$A$36,$K$205^A91,IF(A91='Données projet'!$A$36,'Données projet'!$B$36,N90+M91-V90)))</f>
        <v>136.00000000000028</v>
      </c>
      <c r="O91" s="14">
        <f>N91*VLOOKUP('Données projet'!$B$9,Paramètres!$A$1:$I$89,3,0)*VLOOKUP('Données projet'!$B$9,Paramètres!$A$1:$I$89,5,0)</f>
        <v>123.05280000000026</v>
      </c>
      <c r="P91" s="14">
        <f t="shared" si="87"/>
        <v>32.385970393750881</v>
      </c>
      <c r="Q91" s="22">
        <f t="shared" si="54"/>
        <v>270.72252510244994</v>
      </c>
      <c r="R91" s="62">
        <f t="shared" si="55"/>
        <v>564.05585843578319</v>
      </c>
      <c r="S91" s="62">
        <f ca="1">AVERAGE(OFFSET($R$3,0,0,'Données projet'!$E$9+1,1))-AVERAGE(OFFSET($H$3,0,0,'Données projet'!$E$9+1,1))</f>
        <v>228.905960862347</v>
      </c>
      <c r="T91" s="62">
        <f t="shared" si="88"/>
        <v>167.30057656688177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5.5</v>
      </c>
      <c r="AI91" s="14">
        <f>IF('Données projet'!$A$62&gt;35,AI90+AH91-AQ90,IF(A91&lt;'Données projet'!$A$62,$AF$205^A91,IF(A91='Données projet'!$A$62,'Données projet'!$B$62,AI90+AH91-AQ90)))</f>
        <v>136.00000000000028</v>
      </c>
      <c r="AJ91" s="14">
        <f>AI91*VLOOKUP('Données projet'!$B$10,Paramètres!$A$1:$I$89,3,0)*VLOOKUP('Données projet'!$B$10,Paramètres!$A$1:$I$89,5,0)</f>
        <v>137.90400000000031</v>
      </c>
      <c r="AK91" s="14">
        <f t="shared" si="89"/>
        <v>35.81642059351941</v>
      </c>
      <c r="AL91" s="22">
        <f t="shared" si="58"/>
        <v>302.56306586704682</v>
      </c>
      <c r="AM91" s="62">
        <f t="shared" si="59"/>
        <v>595.89639920038007</v>
      </c>
      <c r="AN91" s="62">
        <f ca="1">AVERAGE(OFFSET($AM$3,0,0,'Données projet'!$E$10+1,1))-AVERAGE(OFFSET($H$3,0,0,'Données projet'!$E$10+1,1))</f>
        <v>256.45433991419372</v>
      </c>
      <c r="AO91" s="62">
        <f t="shared" si="90"/>
        <v>184.9718670682193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2.6602720026858149E-14</v>
      </c>
      <c r="BF91" s="14">
        <f t="shared" si="91"/>
        <v>4.6624771586320878E-13</v>
      </c>
      <c r="BG91" s="22">
        <f t="shared" si="61"/>
        <v>8.583811758418665E-13</v>
      </c>
      <c r="BH91" s="62">
        <f t="shared" si="62"/>
        <v>293.33333333333417</v>
      </c>
      <c r="BI91" s="62">
        <f ca="1">AVERAGE(OFFSET($BH$3,0,0,'Données projet'!$E$11+1,1))-AVERAGE(OFFSET($H$3,0,0,'Données projet'!$E$11+1,1))</f>
        <v>152.72674713084456</v>
      </c>
      <c r="BJ91" s="62">
        <f t="shared" si="92"/>
        <v>203.90215120562164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4.8727265013933501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2.8896963097593222E-8</v>
      </c>
      <c r="BS91" s="24">
        <f t="shared" si="63"/>
        <v>4.8727265302903131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24.849583199999959</v>
      </c>
      <c r="D92" s="12">
        <f t="shared" si="86"/>
        <v>7.8787265834143696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79.328829468009204</v>
      </c>
      <c r="H92" s="70">
        <f t="shared" si="56"/>
        <v>313.66847287277994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5.5</v>
      </c>
      <c r="N92" s="14">
        <f>IF('Données projet'!$A$36&gt;35,N91+M92-V91,IF(A92&lt;'Données projet'!$A$36,$K$205^A92,IF(A92='Données projet'!$A$36,'Données projet'!$B$36,N91+M92-V91)))</f>
        <v>141.50000000000028</v>
      </c>
      <c r="O92" s="14">
        <f>N92*VLOOKUP('Données projet'!$B$9,Paramètres!$A$1:$I$89,3,0)*VLOOKUP('Données projet'!$B$9,Paramètres!$A$1:$I$89,5,0)</f>
        <v>128.02920000000026</v>
      </c>
      <c r="P92" s="14">
        <f t="shared" si="87"/>
        <v>33.540561231732148</v>
      </c>
      <c r="Q92" s="22">
        <f t="shared" si="54"/>
        <v>281.40066747860061</v>
      </c>
      <c r="R92" s="62">
        <f t="shared" si="55"/>
        <v>574.73400081193392</v>
      </c>
      <c r="S92" s="62">
        <f ca="1">AVERAGE(OFFSET($R$3,0,0,'Données projet'!$E$9+1,1))-AVERAGE(OFFSET($H$3,0,0,'Données projet'!$E$9+1,1))</f>
        <v>228.905960862347</v>
      </c>
      <c r="T92" s="62">
        <f t="shared" si="88"/>
        <v>167.30057656688177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5.5</v>
      </c>
      <c r="AI92" s="14">
        <f>IF('Données projet'!$A$62&gt;35,AI91+AH92-AQ91,IF(A92&lt;'Données projet'!$A$62,$AF$205^A92,IF(A92='Données projet'!$A$62,'Données projet'!$B$62,AI91+AH92-AQ91)))</f>
        <v>141.50000000000028</v>
      </c>
      <c r="AJ92" s="14">
        <f>AI92*VLOOKUP('Données projet'!$B$10,Paramètres!$A$1:$I$89,3,0)*VLOOKUP('Données projet'!$B$10,Paramètres!$A$1:$I$89,5,0)</f>
        <v>143.48100000000031</v>
      </c>
      <c r="AK92" s="14">
        <f t="shared" si="89"/>
        <v>37.093310264070759</v>
      </c>
      <c r="AL92" s="22">
        <f t="shared" si="58"/>
        <v>314.50025704325708</v>
      </c>
      <c r="AM92" s="62">
        <f t="shared" si="59"/>
        <v>607.83359037659034</v>
      </c>
      <c r="AN92" s="62">
        <f ca="1">AVERAGE(OFFSET($AM$3,0,0,'Données projet'!$E$10+1,1))-AVERAGE(OFFSET($H$3,0,0,'Données projet'!$E$10+1,1))</f>
        <v>256.45433991419372</v>
      </c>
      <c r="AO92" s="62">
        <f t="shared" si="90"/>
        <v>184.9718670682193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2.6602720026858149E-14</v>
      </c>
      <c r="BF92" s="14">
        <f t="shared" si="91"/>
        <v>4.6624771586320878E-13</v>
      </c>
      <c r="BG92" s="22">
        <f t="shared" si="61"/>
        <v>8.583811758418665E-13</v>
      </c>
      <c r="BH92" s="62">
        <f t="shared" si="62"/>
        <v>293.33333333333417</v>
      </c>
      <c r="BI92" s="62">
        <f ca="1">AVERAGE(OFFSET($BH$3,0,0,'Données projet'!$E$11+1,1))-AVERAGE(OFFSET($H$3,0,0,'Données projet'!$E$11+1,1))</f>
        <v>152.72674713084456</v>
      </c>
      <c r="BJ92" s="62">
        <f t="shared" si="92"/>
        <v>203.90215120562164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4.777175306770725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2.0433238562005591E-8</v>
      </c>
      <c r="BS92" s="24">
        <f t="shared" si="63"/>
        <v>4.7771753272039632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25.128791999999958</v>
      </c>
      <c r="D93" s="12">
        <f t="shared" si="86"/>
        <v>7.9568963506803705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80.19506495666657</v>
      </c>
      <c r="H93" s="70">
        <f t="shared" si="56"/>
        <v>314.29090721076824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5.5</v>
      </c>
      <c r="N93" s="14">
        <f>IF('Données projet'!$A$36&gt;35,N92+M93-V92,IF(A93&lt;'Données projet'!$A$36,$K$205^A93,IF(A93='Données projet'!$A$36,'Données projet'!$B$36,N92+M93-V92)))</f>
        <v>147.00000000000028</v>
      </c>
      <c r="O93" s="14">
        <f>N93*VLOOKUP('Données projet'!$B$9,Paramètres!$A$1:$I$89,3,0)*VLOOKUP('Données projet'!$B$9,Paramètres!$A$1:$I$89,5,0)</f>
        <v>133.00560000000024</v>
      </c>
      <c r="P93" s="14">
        <f t="shared" si="87"/>
        <v>34.689938673073613</v>
      </c>
      <c r="Q93" s="22">
        <f t="shared" si="54"/>
        <v>292.06972985560361</v>
      </c>
      <c r="R93" s="62">
        <f t="shared" si="55"/>
        <v>585.40306318893693</v>
      </c>
      <c r="S93" s="62">
        <f ca="1">AVERAGE(OFFSET($R$3,0,0,'Données projet'!$E$9+1,1))-AVERAGE(OFFSET($H$3,0,0,'Données projet'!$E$9+1,1))</f>
        <v>228.905960862347</v>
      </c>
      <c r="T93" s="62">
        <f t="shared" si="88"/>
        <v>167.30057656688177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5.5</v>
      </c>
      <c r="AI93" s="14">
        <f>IF('Données projet'!$A$62&gt;35,AI92+AH93-AQ92,IF(A93&lt;'Données projet'!$A$62,$AF$205^A93,IF(A93='Données projet'!$A$62,'Données projet'!$B$62,AI92+AH93-AQ92)))</f>
        <v>147.00000000000028</v>
      </c>
      <c r="AJ93" s="14">
        <f>AI93*VLOOKUP('Données projet'!$B$10,Paramètres!$A$1:$I$89,3,0)*VLOOKUP('Données projet'!$B$10,Paramètres!$A$1:$I$89,5,0)</f>
        <v>149.05800000000028</v>
      </c>
      <c r="AK93" s="14">
        <f t="shared" si="89"/>
        <v>38.364434314370364</v>
      </c>
      <c r="AL93" s="22">
        <f t="shared" si="58"/>
        <v>326.42740643086216</v>
      </c>
      <c r="AM93" s="62">
        <f t="shared" si="59"/>
        <v>619.76073976419548</v>
      </c>
      <c r="AN93" s="62">
        <f ca="1">AVERAGE(OFFSET($AM$3,0,0,'Données projet'!$E$10+1,1))-AVERAGE(OFFSET($H$3,0,0,'Données projet'!$E$10+1,1))</f>
        <v>256.45433991419372</v>
      </c>
      <c r="AO93" s="62">
        <f t="shared" si="90"/>
        <v>184.9718670682193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2.6602720026858149E-14</v>
      </c>
      <c r="BF93" s="14">
        <f t="shared" si="91"/>
        <v>4.6624771586320878E-13</v>
      </c>
      <c r="BG93" s="22">
        <f t="shared" si="61"/>
        <v>8.583811758418665E-13</v>
      </c>
      <c r="BH93" s="62">
        <f t="shared" si="62"/>
        <v>293.33333333333417</v>
      </c>
      <c r="BI93" s="62">
        <f ca="1">AVERAGE(OFFSET($BH$3,0,0,'Données projet'!$E$11+1,1))-AVERAGE(OFFSET($H$3,0,0,'Données projet'!$E$11+1,1))</f>
        <v>152.72674713084456</v>
      </c>
      <c r="BJ93" s="62">
        <f t="shared" si="92"/>
        <v>203.90215120562164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4.6834978127941751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1.4448481548796613E-8</v>
      </c>
      <c r="BS93" s="24">
        <f t="shared" si="63"/>
        <v>4.6834978272426566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25.408000799999957</v>
      </c>
      <c r="D94" s="12">
        <f t="shared" si="86"/>
        <v>8.0349650815316735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81.061055547235284</v>
      </c>
      <c r="H94" s="70">
        <f t="shared" si="56"/>
        <v>314.91316557700094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5.5</v>
      </c>
      <c r="N94" s="14">
        <f>IF('Données projet'!$A$36&gt;35,N93+M94-V93,IF(A94&lt;'Données projet'!$A$36,$K$205^A94,IF(A94='Données projet'!$A$36,'Données projet'!$B$36,N93+M94-V93)))</f>
        <v>152.50000000000028</v>
      </c>
      <c r="O94" s="14">
        <f>N94*VLOOKUP('Données projet'!$B$9,Paramètres!$A$1:$I$89,3,0)*VLOOKUP('Données projet'!$B$9,Paramètres!$A$1:$I$89,5,0)</f>
        <v>137.98200000000026</v>
      </c>
      <c r="P94" s="14">
        <f t="shared" si="87"/>
        <v>35.834320111431971</v>
      </c>
      <c r="Q94" s="22">
        <f t="shared" si="54"/>
        <v>302.73009086074444</v>
      </c>
      <c r="R94" s="62">
        <f t="shared" si="55"/>
        <v>596.0634241940777</v>
      </c>
      <c r="S94" s="62">
        <f ca="1">AVERAGE(OFFSET($R$3,0,0,'Données projet'!$E$9+1,1))-AVERAGE(OFFSET($H$3,0,0,'Données projet'!$E$9+1,1))</f>
        <v>228.905960862347</v>
      </c>
      <c r="T94" s="62">
        <f t="shared" si="88"/>
        <v>167.30057656688177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5.5</v>
      </c>
      <c r="AI94" s="14">
        <f>IF('Données projet'!$A$62&gt;35,AI93+AH94-AQ93,IF(A94&lt;'Données projet'!$A$62,$AF$205^A94,IF(A94='Données projet'!$A$62,'Données projet'!$B$62,AI93+AH94-AQ93)))</f>
        <v>152.50000000000028</v>
      </c>
      <c r="AJ94" s="14">
        <f>AI94*VLOOKUP('Données projet'!$B$10,Paramètres!$A$1:$I$89,3,0)*VLOOKUP('Données projet'!$B$10,Paramètres!$A$1:$I$89,5,0)</f>
        <v>154.6350000000003</v>
      </c>
      <c r="AK94" s="14">
        <f t="shared" si="89"/>
        <v>39.630033165271861</v>
      </c>
      <c r="AL94" s="22">
        <f t="shared" si="58"/>
        <v>338.344932762849</v>
      </c>
      <c r="AM94" s="62">
        <f t="shared" si="59"/>
        <v>631.67826609618237</v>
      </c>
      <c r="AN94" s="62">
        <f ca="1">AVERAGE(OFFSET($AM$3,0,0,'Données projet'!$E$10+1,1))-AVERAGE(OFFSET($H$3,0,0,'Données projet'!$E$10+1,1))</f>
        <v>256.45433991419372</v>
      </c>
      <c r="AO94" s="62">
        <f t="shared" si="90"/>
        <v>184.9718670682193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2.6602720026858149E-14</v>
      </c>
      <c r="BF94" s="14">
        <f t="shared" si="91"/>
        <v>4.6624771586320878E-13</v>
      </c>
      <c r="BG94" s="22">
        <f t="shared" si="61"/>
        <v>8.583811758418665E-13</v>
      </c>
      <c r="BH94" s="62">
        <f t="shared" si="62"/>
        <v>293.33333333333417</v>
      </c>
      <c r="BI94" s="62">
        <f ca="1">AVERAGE(OFFSET($BH$3,0,0,'Données projet'!$E$11+1,1))-AVERAGE(OFFSET($H$3,0,0,'Données projet'!$E$11+1,1))</f>
        <v>152.72674713084456</v>
      </c>
      <c r="BJ94" s="62">
        <f t="shared" si="92"/>
        <v>203.90215120562164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4.5916572773368758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1.0216619281002797E-8</v>
      </c>
      <c r="BS94" s="24">
        <f t="shared" si="63"/>
        <v>4.5916572875534953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25.687209599999957</v>
      </c>
      <c r="D95" s="12">
        <f t="shared" si="86"/>
        <v>8.1129340147540301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81.926804242358074</v>
      </c>
      <c r="H95" s="70">
        <f t="shared" si="56"/>
        <v>315.53525012902986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5.5</v>
      </c>
      <c r="N95" s="14">
        <f>IF('Données projet'!$A$36&gt;35,N94+M95-V94,IF(A95&lt;'Données projet'!$A$36,$K$205^A95,IF(A95='Données projet'!$A$36,'Données projet'!$B$36,N94+M95-V94)))</f>
        <v>158.00000000000028</v>
      </c>
      <c r="O95" s="14">
        <f>N95*VLOOKUP('Données projet'!$B$9,Paramètres!$A$1:$I$89,3,0)*VLOOKUP('Données projet'!$B$9,Paramètres!$A$1:$I$89,5,0)</f>
        <v>142.95840000000024</v>
      </c>
      <c r="P95" s="14">
        <f t="shared" si="87"/>
        <v>36.973906370811292</v>
      </c>
      <c r="Q95" s="22">
        <f t="shared" si="54"/>
        <v>313.38210026249675</v>
      </c>
      <c r="R95" s="62">
        <f t="shared" si="55"/>
        <v>606.71543359583006</v>
      </c>
      <c r="S95" s="62">
        <f ca="1">AVERAGE(OFFSET($R$3,0,0,'Données projet'!$E$9+1,1))-AVERAGE(OFFSET($H$3,0,0,'Données projet'!$E$9+1,1))</f>
        <v>228.905960862347</v>
      </c>
      <c r="T95" s="62">
        <f t="shared" si="88"/>
        <v>167.30057656688177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5.5</v>
      </c>
      <c r="AI95" s="14">
        <f>IF('Données projet'!$A$62&gt;35,AI94+AH95-AQ94,IF(A95&lt;'Données projet'!$A$62,$AF$205^A95,IF(A95='Données projet'!$A$62,'Données projet'!$B$62,AI94+AH95-AQ94)))</f>
        <v>158.00000000000028</v>
      </c>
      <c r="AJ95" s="14">
        <f>AI95*VLOOKUP('Données projet'!$B$10,Paramètres!$A$1:$I$89,3,0)*VLOOKUP('Données projet'!$B$10,Paramètres!$A$1:$I$89,5,0)</f>
        <v>160.2120000000003</v>
      </c>
      <c r="AK95" s="14">
        <f t="shared" si="89"/>
        <v>40.890328912852766</v>
      </c>
      <c r="AL95" s="22">
        <f t="shared" si="58"/>
        <v>350.25322285655244</v>
      </c>
      <c r="AM95" s="62">
        <f t="shared" si="59"/>
        <v>643.58655618988575</v>
      </c>
      <c r="AN95" s="62">
        <f ca="1">AVERAGE(OFFSET($AM$3,0,0,'Données projet'!$E$10+1,1))-AVERAGE(OFFSET($H$3,0,0,'Données projet'!$E$10+1,1))</f>
        <v>256.45433991419372</v>
      </c>
      <c r="AO95" s="62">
        <f t="shared" si="90"/>
        <v>184.9718670682193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2.6602720026858149E-14</v>
      </c>
      <c r="BF95" s="14">
        <f t="shared" si="91"/>
        <v>4.6624771586320878E-13</v>
      </c>
      <c r="BG95" s="22">
        <f t="shared" si="61"/>
        <v>8.583811758418665E-13</v>
      </c>
      <c r="BH95" s="62">
        <f t="shared" si="62"/>
        <v>293.33333333333417</v>
      </c>
      <c r="BI95" s="62">
        <f ca="1">AVERAGE(OFFSET($BH$3,0,0,'Données projet'!$E$11+1,1))-AVERAGE(OFFSET($H$3,0,0,'Données projet'!$E$11+1,1))</f>
        <v>152.72674713084456</v>
      </c>
      <c r="BJ95" s="62">
        <f t="shared" si="92"/>
        <v>203.90215120562164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4.5016176787626989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7.2242407743983081E-9</v>
      </c>
      <c r="BS95" s="24">
        <f t="shared" si="63"/>
        <v>4.5016176859869397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25.966418399999956</v>
      </c>
      <c r="D96" s="12">
        <f t="shared" si="86"/>
        <v>8.1908043606520948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82.792313975643637</v>
      </c>
      <c r="H96" s="70">
        <f t="shared" si="56"/>
        <v>316.1571629748023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5.5</v>
      </c>
      <c r="N96" s="14">
        <f>IF('Données projet'!$A$36&gt;35,N95+M96-V95,IF(A96&lt;'Données projet'!$A$36,$K$205^A96,IF(A96='Données projet'!$A$36,'Données projet'!$B$36,N95+M96-V95)))</f>
        <v>163.50000000000028</v>
      </c>
      <c r="O96" s="14">
        <f>N96*VLOOKUP('Données projet'!$B$9,Paramètres!$A$1:$I$89,3,0)*VLOOKUP('Données projet'!$B$9,Paramètres!$A$1:$I$89,5,0)</f>
        <v>147.93480000000025</v>
      </c>
      <c r="P96" s="14">
        <f t="shared" si="87"/>
        <v>38.108883500925636</v>
      </c>
      <c r="Q96" s="22">
        <f t="shared" si="54"/>
        <v>324.02608209744591</v>
      </c>
      <c r="R96" s="62">
        <f t="shared" si="55"/>
        <v>617.35941543077922</v>
      </c>
      <c r="S96" s="62">
        <f ca="1">AVERAGE(OFFSET($R$3,0,0,'Données projet'!$E$9+1,1))-AVERAGE(OFFSET($H$3,0,0,'Données projet'!$E$9+1,1))</f>
        <v>228.905960862347</v>
      </c>
      <c r="T96" s="62">
        <f t="shared" si="88"/>
        <v>167.30057656688177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5.5</v>
      </c>
      <c r="AI96" s="14">
        <f>IF('Données projet'!$A$62&gt;35,AI95+AH96-AQ95,IF(A96&lt;'Données projet'!$A$62,$AF$205^A96,IF(A96='Données projet'!$A$62,'Données projet'!$B$62,AI95+AH96-AQ95)))</f>
        <v>163.50000000000028</v>
      </c>
      <c r="AJ96" s="14">
        <f>AI96*VLOOKUP('Données projet'!$B$10,Paramètres!$A$1:$I$89,3,0)*VLOOKUP('Données projet'!$B$10,Paramètres!$A$1:$I$89,5,0)</f>
        <v>165.7890000000003</v>
      </c>
      <c r="AK96" s="14">
        <f t="shared" si="89"/>
        <v>42.145527313949458</v>
      </c>
      <c r="AL96" s="22">
        <f t="shared" si="58"/>
        <v>362.15263507179583</v>
      </c>
      <c r="AM96" s="62">
        <f t="shared" si="59"/>
        <v>655.48596840512914</v>
      </c>
      <c r="AN96" s="62">
        <f ca="1">AVERAGE(OFFSET($AM$3,0,0,'Données projet'!$E$10+1,1))-AVERAGE(OFFSET($H$3,0,0,'Données projet'!$E$10+1,1))</f>
        <v>256.45433991419372</v>
      </c>
      <c r="AO96" s="62">
        <f t="shared" si="90"/>
        <v>184.9718670682193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2.6602720026858149E-14</v>
      </c>
      <c r="BF96" s="14">
        <f t="shared" si="91"/>
        <v>4.6624771586320878E-13</v>
      </c>
      <c r="BG96" s="22">
        <f t="shared" si="61"/>
        <v>8.583811758418665E-13</v>
      </c>
      <c r="BH96" s="62">
        <f t="shared" si="62"/>
        <v>293.33333333333417</v>
      </c>
      <c r="BI96" s="62">
        <f ca="1">AVERAGE(OFFSET($BH$3,0,0,'Données projet'!$E$11+1,1))-AVERAGE(OFFSET($H$3,0,0,'Données projet'!$E$11+1,1))</f>
        <v>152.72674713084456</v>
      </c>
      <c r="BJ96" s="62">
        <f t="shared" si="92"/>
        <v>203.90215120562164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4.4133437017978299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5.1083096405013994E-9</v>
      </c>
      <c r="BS96" s="24">
        <f t="shared" si="63"/>
        <v>4.4133437069061392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26.245627199999955</v>
      </c>
      <c r="D97" s="12">
        <f t="shared" si="86"/>
        <v>8.268577302003278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83.657587613978379</v>
      </c>
      <c r="H97" s="70">
        <f t="shared" si="56"/>
        <v>316.77890617432229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5.5</v>
      </c>
      <c r="N97" s="14">
        <f>IF('Données projet'!$A$36&gt;35,N96+M97-V96,IF(A97&lt;'Données projet'!$A$36,$K$205^A97,IF(A97='Données projet'!$A$36,'Données projet'!$B$36,N96+M97-V96)))</f>
        <v>169.00000000000028</v>
      </c>
      <c r="O97" s="14">
        <f>N97*VLOOKUP('Données projet'!$B$9,Paramètres!$A$1:$I$89,3,0)*VLOOKUP('Données projet'!$B$9,Paramètres!$A$1:$I$89,5,0)</f>
        <v>152.91120000000024</v>
      </c>
      <c r="P97" s="14">
        <f t="shared" si="87"/>
        <v>39.239424324197614</v>
      </c>
      <c r="Q97" s="22">
        <f t="shared" si="54"/>
        <v>334.66233736464454</v>
      </c>
      <c r="R97" s="62">
        <f t="shared" si="55"/>
        <v>627.99567069797786</v>
      </c>
      <c r="S97" s="62">
        <f ca="1">AVERAGE(OFFSET($R$3,0,0,'Données projet'!$E$9+1,1))-AVERAGE(OFFSET($H$3,0,0,'Données projet'!$E$9+1,1))</f>
        <v>228.905960862347</v>
      </c>
      <c r="T97" s="62">
        <f t="shared" si="88"/>
        <v>167.30057656688177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5.5</v>
      </c>
      <c r="AI97" s="14">
        <f>IF('Données projet'!$A$62&gt;35,AI96+AH97-AQ96,IF(A97&lt;'Données projet'!$A$62,$AF$205^A97,IF(A97='Données projet'!$A$62,'Données projet'!$B$62,AI96+AH97-AQ96)))</f>
        <v>169.00000000000028</v>
      </c>
      <c r="AJ97" s="14">
        <f>AI97*VLOOKUP('Données projet'!$B$10,Paramètres!$A$1:$I$89,3,0)*VLOOKUP('Données projet'!$B$10,Paramètres!$A$1:$I$89,5,0)</f>
        <v>171.3660000000003</v>
      </c>
      <c r="AK97" s="14">
        <f t="shared" si="89"/>
        <v>43.395819497019723</v>
      </c>
      <c r="AL97" s="22">
        <f t="shared" si="58"/>
        <v>374.04350229064312</v>
      </c>
      <c r="AM97" s="62">
        <f t="shared" si="59"/>
        <v>667.37683562397638</v>
      </c>
      <c r="AN97" s="62">
        <f ca="1">AVERAGE(OFFSET($AM$3,0,0,'Données projet'!$E$10+1,1))-AVERAGE(OFFSET($H$3,0,0,'Données projet'!$E$10+1,1))</f>
        <v>256.45433991419372</v>
      </c>
      <c r="AO97" s="62">
        <f t="shared" si="90"/>
        <v>184.9718670682193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2.6602720026858149E-14</v>
      </c>
      <c r="BF97" s="14">
        <f t="shared" si="91"/>
        <v>4.6624771586320878E-13</v>
      </c>
      <c r="BG97" s="22">
        <f t="shared" si="61"/>
        <v>8.583811758418665E-13</v>
      </c>
      <c r="BH97" s="62">
        <f t="shared" si="62"/>
        <v>293.33333333333417</v>
      </c>
      <c r="BI97" s="62">
        <f ca="1">AVERAGE(OFFSET($BH$3,0,0,'Données projet'!$E$11+1,1))-AVERAGE(OFFSET($H$3,0,0,'Données projet'!$E$11+1,1))</f>
        <v>152.72674713084456</v>
      </c>
      <c r="BJ97" s="62">
        <f t="shared" si="92"/>
        <v>203.90215120562164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4.3268007236794324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3.6121203871991545E-9</v>
      </c>
      <c r="BS97" s="24">
        <f t="shared" si="63"/>
        <v>4.3268007272915527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26.524835999999954</v>
      </c>
      <c r="D98" s="12">
        <f t="shared" si="86"/>
        <v>8.3462539949698726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84.522627959737392</v>
      </c>
      <c r="H98" s="70">
        <f t="shared" si="56"/>
        <v>317.40048174123916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5.5</v>
      </c>
      <c r="N98" s="14">
        <f>IF('Données projet'!$A$36&gt;35,N97+M98-V97,IF(A98&lt;'Données projet'!$A$36,$K$205^A98,IF(A98='Données projet'!$A$36,'Données projet'!$B$36,N97+M98-V97)))</f>
        <v>174.50000000000028</v>
      </c>
      <c r="O98" s="14">
        <f>N98*VLOOKUP('Données projet'!$B$9,Paramètres!$A$1:$I$89,3,0)*VLOOKUP('Données projet'!$B$9,Paramètres!$A$1:$I$89,5,0)</f>
        <v>157.88760000000025</v>
      </c>
      <c r="P98" s="14">
        <f t="shared" si="87"/>
        <v>40.365689775715261</v>
      </c>
      <c r="Q98" s="22">
        <f t="shared" si="54"/>
        <v>345.29114635937111</v>
      </c>
      <c r="R98" s="62">
        <f t="shared" si="55"/>
        <v>638.62447969270443</v>
      </c>
      <c r="S98" s="62">
        <f ca="1">AVERAGE(OFFSET($R$3,0,0,'Données projet'!$E$9+1,1))-AVERAGE(OFFSET($H$3,0,0,'Données projet'!$E$9+1,1))</f>
        <v>228.905960862347</v>
      </c>
      <c r="T98" s="62">
        <f t="shared" si="88"/>
        <v>167.30057656688177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5.5</v>
      </c>
      <c r="AI98" s="14">
        <f>IF('Données projet'!$A$62&gt;35,AI97+AH98-AQ97,IF(A98&lt;'Données projet'!$A$62,$AF$205^A98,IF(A98='Données projet'!$A$62,'Données projet'!$B$62,AI97+AH98-AQ97)))</f>
        <v>174.50000000000028</v>
      </c>
      <c r="AJ98" s="14">
        <f>AI98*VLOOKUP('Données projet'!$B$10,Paramètres!$A$1:$I$89,3,0)*VLOOKUP('Données projet'!$B$10,Paramètres!$A$1:$I$89,5,0)</f>
        <v>176.9430000000003</v>
      </c>
      <c r="AK98" s="14">
        <f t="shared" si="89"/>
        <v>44.641383444033323</v>
      </c>
      <c r="AL98" s="22">
        <f t="shared" si="58"/>
        <v>385.92613449835852</v>
      </c>
      <c r="AM98" s="62">
        <f t="shared" si="59"/>
        <v>679.25946783169184</v>
      </c>
      <c r="AN98" s="62">
        <f ca="1">AVERAGE(OFFSET($AM$3,0,0,'Données projet'!$E$10+1,1))-AVERAGE(OFFSET($H$3,0,0,'Données projet'!$E$10+1,1))</f>
        <v>256.45433991419372</v>
      </c>
      <c r="AO98" s="62">
        <f t="shared" si="90"/>
        <v>184.9718670682193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2.6602720026858149E-14</v>
      </c>
      <c r="BF98" s="14">
        <f t="shared" si="91"/>
        <v>4.6624771586320878E-13</v>
      </c>
      <c r="BG98" s="22">
        <f t="shared" si="61"/>
        <v>8.583811758418665E-13</v>
      </c>
      <c r="BH98" s="62">
        <f t="shared" si="62"/>
        <v>293.33333333333417</v>
      </c>
      <c r="BI98" s="62">
        <f ca="1">AVERAGE(OFFSET($BH$3,0,0,'Données projet'!$E$11+1,1))-AVERAGE(OFFSET($H$3,0,0,'Données projet'!$E$11+1,1))</f>
        <v>152.72674713084456</v>
      </c>
      <c r="BJ98" s="62">
        <f t="shared" si="92"/>
        <v>203.90215120562164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4.2419548005759316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2.5541548202507001E-9</v>
      </c>
      <c r="BS98" s="24">
        <f t="shared" si="63"/>
        <v>4.2419548031300867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26.804044799999954</v>
      </c>
      <c r="D99" s="12">
        <f t="shared" si="86"/>
        <v>8.4238355699716703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85.387437752899643</v>
      </c>
      <c r="H99" s="70">
        <f t="shared" si="56"/>
        <v>318.02189164436726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180.00000000000028</v>
      </c>
      <c r="O99" s="14">
        <f>N99*VLOOKUP('Données projet'!$B$9,Paramètres!$A$1:$I$89,3,0)*VLOOKUP('Données projet'!$B$9,Paramètres!$A$1:$I$89,5,0)</f>
        <v>162.86400000000026</v>
      </c>
      <c r="P99" s="14">
        <f t="shared" si="87"/>
        <v>41.487830069509194</v>
      </c>
      <c r="Q99" s="22">
        <f t="shared" ref="Q99:Q130" si="107">(O99+P99)*0.475*44/12</f>
        <v>355.9127707043956</v>
      </c>
      <c r="R99" s="62">
        <f t="shared" si="55"/>
        <v>649.24610403772886</v>
      </c>
      <c r="S99" s="62">
        <f ca="1">AVERAGE(OFFSET($R$3,0,0,'Données projet'!$E$9+1,1))-AVERAGE(OFFSET($H$3,0,0,'Données projet'!$E$9+1,1))</f>
        <v>228.905960862347</v>
      </c>
      <c r="T99" s="62">
        <f t="shared" si="88"/>
        <v>167.30057656688177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5.5</v>
      </c>
      <c r="AI99" s="14">
        <f>IF('Données projet'!$A$62&gt;35,AI98+AH99-AQ98,IF(A99&lt;'Données projet'!$A$62,$AF$205^A99,IF(A99='Données projet'!$A$62,'Données projet'!$B$62,AI98+AH99-AQ98)))</f>
        <v>180.00000000000028</v>
      </c>
      <c r="AJ99" s="14">
        <f>AI99*VLOOKUP('Données projet'!$B$10,Paramètres!$A$1:$I$89,3,0)*VLOOKUP('Données projet'!$B$10,Paramètres!$A$1:$I$89,5,0)</f>
        <v>182.52000000000029</v>
      </c>
      <c r="AK99" s="14">
        <f t="shared" si="89"/>
        <v>45.882385280285668</v>
      </c>
      <c r="AL99" s="22">
        <f t="shared" si="58"/>
        <v>397.8008210298313</v>
      </c>
      <c r="AM99" s="62">
        <f t="shared" si="59"/>
        <v>691.13415436316461</v>
      </c>
      <c r="AN99" s="62">
        <f ca="1">AVERAGE(OFFSET($AM$3,0,0,'Données projet'!$E$10+1,1))-AVERAGE(OFFSET($H$3,0,0,'Données projet'!$E$10+1,1))</f>
        <v>256.45433991419372</v>
      </c>
      <c r="AO99" s="62">
        <f t="shared" si="90"/>
        <v>184.9718670682193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2.6602720026858149E-14</v>
      </c>
      <c r="BF99" s="14">
        <f t="shared" si="91"/>
        <v>4.6624771586320878E-13</v>
      </c>
      <c r="BG99" s="22">
        <f t="shared" si="61"/>
        <v>8.583811758418665E-13</v>
      </c>
      <c r="BH99" s="62">
        <f t="shared" si="62"/>
        <v>293.33333333333417</v>
      </c>
      <c r="BI99" s="62">
        <f ca="1">AVERAGE(OFFSET($BH$3,0,0,'Données projet'!$E$11+1,1))-AVERAGE(OFFSET($H$3,0,0,'Données projet'!$E$11+1,1))</f>
        <v>152.72674713084456</v>
      </c>
      <c r="BJ99" s="62">
        <f t="shared" si="92"/>
        <v>203.90215120562164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4.1587726542735872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1.8060601935995776E-9</v>
      </c>
      <c r="BS99" s="24">
        <f t="shared" si="63"/>
        <v>4.1587726560796474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27.083253599999953</v>
      </c>
      <c r="D100" s="12">
        <f t="shared" si="86"/>
        <v>8.5013231325211791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86.252019673072269</v>
      </c>
      <c r="H100" s="70">
        <f t="shared" si="56"/>
        <v>318.64313780914097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185.50000000000028</v>
      </c>
      <c r="O100" s="14">
        <f>N100*VLOOKUP('Données projet'!$B$9,Paramètres!$A$1:$I$89,3,0)*VLOOKUP('Données projet'!$B$9,Paramètres!$A$1:$I$89,5,0)</f>
        <v>167.84040000000024</v>
      </c>
      <c r="P100" s="14">
        <f t="shared" si="87"/>
        <v>42.605985718279626</v>
      </c>
      <c r="Q100" s="22">
        <f t="shared" si="107"/>
        <v>366.5274551260041</v>
      </c>
      <c r="R100" s="62">
        <f t="shared" si="55"/>
        <v>659.86078845933741</v>
      </c>
      <c r="S100" s="62">
        <f ca="1">AVERAGE(OFFSET($R$3,0,0,'Données projet'!$E$9+1,1))-AVERAGE(OFFSET($H$3,0,0,'Données projet'!$E$9+1,1))</f>
        <v>228.905960862347</v>
      </c>
      <c r="T100" s="62">
        <f t="shared" si="88"/>
        <v>167.30057656688177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5.5</v>
      </c>
      <c r="AI100" s="14">
        <f>IF('Données projet'!$A$62&gt;35,AI99+AH100-AQ99,IF(A100&lt;'Données projet'!$A$62,$AF$205^A100,IF(A100='Données projet'!$A$62,'Données projet'!$B$62,AI99+AH100-AQ99)))</f>
        <v>185.50000000000028</v>
      </c>
      <c r="AJ100" s="14">
        <f>AI100*VLOOKUP('Données projet'!$B$10,Paramètres!$A$1:$I$89,3,0)*VLOOKUP('Données projet'!$B$10,Paramètres!$A$1:$I$89,5,0)</f>
        <v>188.09700000000029</v>
      </c>
      <c r="AK100" s="14">
        <f t="shared" si="89"/>
        <v>47.118980402138469</v>
      </c>
      <c r="AL100" s="22">
        <f t="shared" si="58"/>
        <v>409.667832533725</v>
      </c>
      <c r="AM100" s="62">
        <f t="shared" si="59"/>
        <v>703.00116586705826</v>
      </c>
      <c r="AN100" s="62">
        <f ca="1">AVERAGE(OFFSET($AM$3,0,0,'Données projet'!$E$10+1,1))-AVERAGE(OFFSET($H$3,0,0,'Données projet'!$E$10+1,1))</f>
        <v>256.45433991419372</v>
      </c>
      <c r="AO100" s="62">
        <f t="shared" si="90"/>
        <v>184.9718670682193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2.6602720026858149E-14</v>
      </c>
      <c r="BF100" s="14">
        <f t="shared" si="91"/>
        <v>4.6624771586320878E-13</v>
      </c>
      <c r="BG100" s="22">
        <f t="shared" si="61"/>
        <v>8.583811758418665E-13</v>
      </c>
      <c r="BH100" s="62">
        <f t="shared" si="62"/>
        <v>293.33333333333417</v>
      </c>
      <c r="BI100" s="62">
        <f ca="1">AVERAGE(OFFSET($BH$3,0,0,'Données projet'!$E$11+1,1))-AVERAGE(OFFSET($H$3,0,0,'Données projet'!$E$11+1,1))</f>
        <v>152.72674713084456</v>
      </c>
      <c r="BJ100" s="62">
        <f t="shared" si="92"/>
        <v>203.90215120562164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4.0772216591241328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1.2770774101253503E-9</v>
      </c>
      <c r="BS100" s="24">
        <f t="shared" si="63"/>
        <v>4.0772216604012099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27.362462399999952</v>
      </c>
      <c r="D101" s="12">
        <f t="shared" si="86"/>
        <v>8.5787177640234269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87.116376341429302</v>
      </c>
      <c r="H101" s="70">
        <f t="shared" si="56"/>
        <v>319.2642221190074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191.00000000000028</v>
      </c>
      <c r="O101" s="14">
        <f>N101*VLOOKUP('Données projet'!$B$9,Paramètres!$A$1:$I$89,3,0)*VLOOKUP('Données projet'!$B$9,Paramètres!$A$1:$I$89,5,0)</f>
        <v>172.81680000000026</v>
      </c>
      <c r="P101" s="14">
        <f t="shared" si="87"/>
        <v>43.72028842878737</v>
      </c>
      <c r="Q101" s="22">
        <f t="shared" si="107"/>
        <v>377.13542901347182</v>
      </c>
      <c r="R101" s="62">
        <f t="shared" si="55"/>
        <v>670.46876234680508</v>
      </c>
      <c r="S101" s="62">
        <f ca="1">AVERAGE(OFFSET($R$3,0,0,'Données projet'!$E$9+1,1))-AVERAGE(OFFSET($H$3,0,0,'Données projet'!$E$9+1,1))</f>
        <v>228.905960862347</v>
      </c>
      <c r="T101" s="62">
        <f t="shared" si="88"/>
        <v>167.30057656688177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5.5</v>
      </c>
      <c r="AI101" s="14">
        <f>IF('Données projet'!$A$62&gt;35,AI100+AH101-AQ100,IF(A101&lt;'Données projet'!$A$62,$AF$205^A101,IF(A101='Données projet'!$A$62,'Données projet'!$B$62,AI100+AH101-AQ100)))</f>
        <v>191.00000000000028</v>
      </c>
      <c r="AJ101" s="14">
        <f>AI101*VLOOKUP('Données projet'!$B$10,Paramètres!$A$1:$I$89,3,0)*VLOOKUP('Données projet'!$B$10,Paramètres!$A$1:$I$89,5,0)</f>
        <v>193.67400000000029</v>
      </c>
      <c r="AK101" s="14">
        <f t="shared" si="89"/>
        <v>48.351314467254092</v>
      </c>
      <c r="AL101" s="22">
        <f t="shared" si="58"/>
        <v>421.52742269713468</v>
      </c>
      <c r="AM101" s="62">
        <f t="shared" si="59"/>
        <v>714.860756030468</v>
      </c>
      <c r="AN101" s="62">
        <f ca="1">AVERAGE(OFFSET($AM$3,0,0,'Données projet'!$E$10+1,1))-AVERAGE(OFFSET($H$3,0,0,'Données projet'!$E$10+1,1))</f>
        <v>256.45433991419372</v>
      </c>
      <c r="AO101" s="62">
        <f t="shared" si="90"/>
        <v>184.9718670682193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2.6602720026858149E-14</v>
      </c>
      <c r="BF101" s="14">
        <f t="shared" si="91"/>
        <v>4.6624771586320878E-13</v>
      </c>
      <c r="BG101" s="22">
        <f t="shared" si="61"/>
        <v>8.583811758418665E-13</v>
      </c>
      <c r="BH101" s="62">
        <f t="shared" si="62"/>
        <v>293.33333333333417</v>
      </c>
      <c r="BI101" s="62">
        <f ca="1">AVERAGE(OFFSET($BH$3,0,0,'Données projet'!$E$11+1,1))-AVERAGE(OFFSET($H$3,0,0,'Données projet'!$E$11+1,1))</f>
        <v>152.72674713084456</v>
      </c>
      <c r="BJ101" s="62">
        <f t="shared" si="92"/>
        <v>203.90215120562164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3.9972698292483635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9.0303009679978893E-10</v>
      </c>
      <c r="BS101" s="24">
        <f t="shared" si="63"/>
        <v>3.9972698301513936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27.641671199999951</v>
      </c>
      <c r="D102" s="12">
        <f t="shared" si="86"/>
        <v>8.656020522542148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87.980510322568705</v>
      </c>
      <c r="H102" s="70">
        <f t="shared" si="56"/>
        <v>319.88514641676085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196.50000000000028</v>
      </c>
      <c r="O102" s="14">
        <f>N102*VLOOKUP('Données projet'!$B$9,Paramètres!$A$1:$I$89,3,0)*VLOOKUP('Données projet'!$B$9,Paramètres!$A$1:$I$89,5,0)</f>
        <v>177.79320000000024</v>
      </c>
      <c r="P102" s="14">
        <f t="shared" si="87"/>
        <v>44.830861891212159</v>
      </c>
      <c r="Q102" s="22">
        <f t="shared" si="107"/>
        <v>387.73690779386158</v>
      </c>
      <c r="R102" s="62">
        <f t="shared" si="55"/>
        <v>681.07024112719489</v>
      </c>
      <c r="S102" s="62">
        <f ca="1">AVERAGE(OFFSET($R$3,0,0,'Données projet'!$E$9+1,1))-AVERAGE(OFFSET($H$3,0,0,'Données projet'!$E$9+1,1))</f>
        <v>228.905960862347</v>
      </c>
      <c r="T102" s="62">
        <f t="shared" si="88"/>
        <v>167.30057656688177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5.5</v>
      </c>
      <c r="AI102" s="14">
        <f>IF('Données projet'!$A$62&gt;35,AI101+AH102-AQ101,IF(A102&lt;'Données projet'!$A$62,$AF$205^A102,IF(A102='Données projet'!$A$62,'Données projet'!$B$62,AI101+AH102-AQ101)))</f>
        <v>196.50000000000028</v>
      </c>
      <c r="AJ102" s="14">
        <f>AI102*VLOOKUP('Données projet'!$B$10,Paramètres!$A$1:$I$89,3,0)*VLOOKUP('Données projet'!$B$10,Paramètres!$A$1:$I$89,5,0)</f>
        <v>199.25100000000032</v>
      </c>
      <c r="AK102" s="14">
        <f t="shared" si="89"/>
        <v>49.579524267565688</v>
      </c>
      <c r="AL102" s="22">
        <f t="shared" si="58"/>
        <v>433.37982976601074</v>
      </c>
      <c r="AM102" s="62">
        <f t="shared" si="59"/>
        <v>726.713163099344</v>
      </c>
      <c r="AN102" s="62">
        <f ca="1">AVERAGE(OFFSET($AM$3,0,0,'Données projet'!$E$10+1,1))-AVERAGE(OFFSET($H$3,0,0,'Données projet'!$E$10+1,1))</f>
        <v>256.45433991419372</v>
      </c>
      <c r="AO102" s="62">
        <f t="shared" si="90"/>
        <v>184.9718670682193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2.6602720026858149E-14</v>
      </c>
      <c r="BF102" s="14">
        <f t="shared" si="91"/>
        <v>4.6624771586320878E-13</v>
      </c>
      <c r="BG102" s="22">
        <f t="shared" si="61"/>
        <v>8.583811758418665E-13</v>
      </c>
      <c r="BH102" s="62">
        <f t="shared" si="62"/>
        <v>293.33333333333417</v>
      </c>
      <c r="BI102" s="62">
        <f ca="1">AVERAGE(OFFSET($BH$3,0,0,'Données projet'!$E$11+1,1))-AVERAGE(OFFSET($H$3,0,0,'Données projet'!$E$11+1,1))</f>
        <v>152.72674713084456</v>
      </c>
      <c r="BJ102" s="62">
        <f t="shared" si="92"/>
        <v>203.90215120562164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3.9188858059906573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6.3853870506267524E-10</v>
      </c>
      <c r="BS102" s="24">
        <f t="shared" si="63"/>
        <v>3.9188858066291958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27.920879999999951</v>
      </c>
      <c r="D103" s="12">
        <f t="shared" si="86"/>
        <v>8.733232443534197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88.844424126292594</v>
      </c>
      <c r="H103" s="70">
        <f t="shared" si="56"/>
        <v>320.50591250582198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202</v>
      </c>
      <c r="L103" s="13">
        <f>VLOOKUP(A103,'Données projet'!$A$35:$I$55,9,0)</f>
        <v>5.5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202.00000000000028</v>
      </c>
      <c r="O103" s="14">
        <f>N103*VLOOKUP('Données projet'!$B$9,Paramètres!$A$1:$I$89,3,0)*VLOOKUP('Données projet'!$B$9,Paramètres!$A$1:$I$89,5,0)</f>
        <v>182.76960000000025</v>
      </c>
      <c r="P103" s="14">
        <f t="shared" si="87"/>
        <v>45.9378224776504</v>
      </c>
      <c r="Q103" s="22">
        <f t="shared" si="107"/>
        <v>398.33209414857492</v>
      </c>
      <c r="R103" s="62">
        <f t="shared" si="55"/>
        <v>691.66542748190818</v>
      </c>
      <c r="S103" s="62">
        <f ca="1">AVERAGE(OFFSET($R$3,0,0,'Données projet'!$E$9+1,1))-AVERAGE(OFFSET($H$3,0,0,'Données projet'!$E$9+1,1))</f>
        <v>228.905960862347</v>
      </c>
      <c r="T103" s="62">
        <f t="shared" si="88"/>
        <v>167.30057656688177</v>
      </c>
      <c r="U103" s="16">
        <f>IF(ISNA(VLOOKUP(A103,'Données projet'!$A$35:$I$55,3,0)),0,VLOOKUP(A103,'Données projet'!$A$35:$I$55,3,0))</f>
        <v>5</v>
      </c>
      <c r="V103" s="16">
        <f>IF(ISNA(VLOOKUP(A103,'Données projet'!$A$35:$I$55,4,0)),0,VLOOKUP(A103,'Données projet'!$A$35:$I$55,4,0))</f>
        <v>70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202</v>
      </c>
      <c r="AG103" s="13">
        <f>VLOOKUP(A103,'Données projet'!$A$61:$I$81,9,0)</f>
        <v>5.5</v>
      </c>
      <c r="AH103" s="13">
        <f t="array" ref="AH103">INDEX(AG:AG,MIN(IF(ISNUMBER(AG103:AG299),ROW(AG103:AG299),"")))</f>
        <v>5.5</v>
      </c>
      <c r="AI103" s="14">
        <f>IF('Données projet'!$A$62&gt;35,AI102+AH103-AQ102,IF(A103&lt;'Données projet'!$A$62,$AF$205^A103,IF(A103='Données projet'!$A$62,'Données projet'!$B$62,AI102+AH103-AQ102)))</f>
        <v>202.00000000000028</v>
      </c>
      <c r="AJ103" s="14">
        <f>AI103*VLOOKUP('Données projet'!$B$10,Paramètres!$A$1:$I$89,3,0)*VLOOKUP('Données projet'!$B$10,Paramètres!$A$1:$I$89,5,0)</f>
        <v>204.82800000000029</v>
      </c>
      <c r="AK103" s="14">
        <f t="shared" si="89"/>
        <v>50.80373850176295</v>
      </c>
      <c r="AL103" s="22">
        <f t="shared" si="58"/>
        <v>445.22527789057102</v>
      </c>
      <c r="AM103" s="62">
        <f t="shared" si="59"/>
        <v>738.55861122390434</v>
      </c>
      <c r="AN103" s="62">
        <f ca="1">AVERAGE(OFFSET($AM$3,0,0,'Données projet'!$E$10+1,1))-AVERAGE(OFFSET($H$3,0,0,'Données projet'!$E$10+1,1))</f>
        <v>256.45433991419372</v>
      </c>
      <c r="AO103" s="62">
        <f t="shared" si="90"/>
        <v>184.9718670682193</v>
      </c>
      <c r="AP103" s="16">
        <f>IF(ISNA(VLOOKUP(A103,'Données projet'!$A$61:$I$81,3,0)),0,VLOOKUP(A103,'Données projet'!$A$61:$I$81,3,0))</f>
        <v>5</v>
      </c>
      <c r="AQ103" s="16">
        <f>IF(ISNA(VLOOKUP(A103,'Données projet'!$A$61:$I$81,4,0)),0,VLOOKUP(A103,'Données projet'!$A$61:$I$81,4,0))</f>
        <v>70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2.6602720026858149E-14</v>
      </c>
      <c r="BF103" s="14">
        <f t="shared" si="91"/>
        <v>4.6624771586320878E-13</v>
      </c>
      <c r="BG103" s="22">
        <f t="shared" si="61"/>
        <v>8.583811758418665E-13</v>
      </c>
      <c r="BH103" s="62">
        <f t="shared" si="62"/>
        <v>293.33333333333417</v>
      </c>
      <c r="BI103" s="62">
        <f ca="1">AVERAGE(OFFSET($BH$3,0,0,'Données projet'!$E$11+1,1))-AVERAGE(OFFSET($H$3,0,0,'Données projet'!$E$11+1,1))</f>
        <v>152.72674713084456</v>
      </c>
      <c r="BJ103" s="62">
        <f t="shared" si="92"/>
        <v>203.90215120562164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3.8420388456195012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4.5151504839989451E-10</v>
      </c>
      <c r="BS103" s="24">
        <f t="shared" si="63"/>
        <v>3.8420388460710164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28.20008879999995</v>
      </c>
      <c r="D104" s="12">
        <f t="shared" si="86"/>
        <v>8.8103545405536678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89.708120209313833</v>
      </c>
      <c r="H104" s="70">
        <f t="shared" si="56"/>
        <v>321.12652215146426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137.40000000000029</v>
      </c>
      <c r="O104" s="14">
        <f>N104*VLOOKUP('Données projet'!$B$9,Paramètres!$A$1:$I$89,3,0)*VLOOKUP('Données projet'!$B$9,Paramètres!$A$1:$I$89,5,0)</f>
        <v>124.31952000000025</v>
      </c>
      <c r="P104" s="14">
        <f t="shared" si="87"/>
        <v>32.68037355530145</v>
      </c>
      <c r="Q104" s="22">
        <f t="shared" si="107"/>
        <v>273.4414812754838</v>
      </c>
      <c r="R104" s="62">
        <f t="shared" si="55"/>
        <v>566.77481460881711</v>
      </c>
      <c r="S104" s="62">
        <f ca="1">AVERAGE(OFFSET($R$3,0,0,'Données projet'!$E$9+1,1))-AVERAGE(OFFSET($H$3,0,0,'Données projet'!$E$9+1,1))</f>
        <v>228.905960862347</v>
      </c>
      <c r="T104" s="62">
        <f t="shared" si="88"/>
        <v>167.30057656688177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137.40000000000029</v>
      </c>
      <c r="AJ104" s="14">
        <f>AI104*VLOOKUP('Données projet'!$B$10,Paramètres!$A$1:$I$89,3,0)*VLOOKUP('Données projet'!$B$10,Paramètres!$A$1:$I$89,5,0)</f>
        <v>139.32360000000028</v>
      </c>
      <c r="AK104" s="14">
        <f t="shared" si="89"/>
        <v>36.142008103479945</v>
      </c>
      <c r="AL104" s="22">
        <f t="shared" si="58"/>
        <v>305.6026007802281</v>
      </c>
      <c r="AM104" s="62">
        <f t="shared" si="59"/>
        <v>598.93593411356142</v>
      </c>
      <c r="AN104" s="62">
        <f ca="1">AVERAGE(OFFSET($AM$3,0,0,'Données projet'!$E$10+1,1))-AVERAGE(OFFSET($H$3,0,0,'Données projet'!$E$10+1,1))</f>
        <v>256.45433991419372</v>
      </c>
      <c r="AO104" s="62">
        <f t="shared" si="90"/>
        <v>184.9718670682193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2.6602720026858149E-14</v>
      </c>
      <c r="BF104" s="14">
        <f t="shared" si="91"/>
        <v>4.6624771586320878E-13</v>
      </c>
      <c r="BG104" s="22">
        <f t="shared" si="61"/>
        <v>8.583811758418665E-13</v>
      </c>
      <c r="BH104" s="62">
        <f t="shared" si="62"/>
        <v>293.33333333333417</v>
      </c>
      <c r="BI104" s="62">
        <f ca="1">AVERAGE(OFFSET($BH$3,0,0,'Données projet'!$E$11+1,1))-AVERAGE(OFFSET($H$3,0,0,'Données projet'!$E$11+1,1))</f>
        <v>152.72674713084456</v>
      </c>
      <c r="BJ104" s="62">
        <f t="shared" si="92"/>
        <v>203.90215120562164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3.766698807269206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3.1926935253133767E-10</v>
      </c>
      <c r="BS104" s="24">
        <f t="shared" si="63"/>
        <v>3.7666988075884755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28.479297599999949</v>
      </c>
      <c r="D105" s="12">
        <f t="shared" si="86"/>
        <v>8.8873878059274016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90.571600976893379</v>
      </c>
      <c r="H105" s="70">
        <f t="shared" si="56"/>
        <v>321.74697708199017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142.8000000000003</v>
      </c>
      <c r="O105" s="14">
        <f>N105*VLOOKUP('Données projet'!$B$9,Paramètres!$A$1:$I$89,3,0)*VLOOKUP('Données projet'!$B$9,Paramètres!$A$1:$I$89,5,0)</f>
        <v>129.20544000000027</v>
      </c>
      <c r="P105" s="14">
        <f t="shared" si="87"/>
        <v>33.812694386461978</v>
      </c>
      <c r="Q105" s="22">
        <f t="shared" si="107"/>
        <v>283.92325072308836</v>
      </c>
      <c r="R105" s="62">
        <f t="shared" si="55"/>
        <v>577.25658405642162</v>
      </c>
      <c r="S105" s="62">
        <f ca="1">AVERAGE(OFFSET($R$3,0,0,'Données projet'!$E$9+1,1))-AVERAGE(OFFSET($H$3,0,0,'Données projet'!$E$9+1,1))</f>
        <v>228.905960862347</v>
      </c>
      <c r="T105" s="62">
        <f t="shared" si="88"/>
        <v>167.30057656688177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142.8000000000003</v>
      </c>
      <c r="AJ105" s="14">
        <f>AI105*VLOOKUP('Données projet'!$B$10,Paramètres!$A$1:$I$89,3,0)*VLOOKUP('Données projet'!$B$10,Paramètres!$A$1:$I$89,5,0)</f>
        <v>144.7992000000003</v>
      </c>
      <c r="AK105" s="14">
        <f t="shared" si="89"/>
        <v>37.394268839921388</v>
      </c>
      <c r="AL105" s="22">
        <f t="shared" si="58"/>
        <v>317.32029156286359</v>
      </c>
      <c r="AM105" s="62">
        <f t="shared" si="59"/>
        <v>610.6536248961969</v>
      </c>
      <c r="AN105" s="62">
        <f ca="1">AVERAGE(OFFSET($AM$3,0,0,'Données projet'!$E$10+1,1))-AVERAGE(OFFSET($H$3,0,0,'Données projet'!$E$10+1,1))</f>
        <v>256.45433991419372</v>
      </c>
      <c r="AO105" s="62">
        <f t="shared" si="90"/>
        <v>184.9718670682193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2.6602720026858149E-14</v>
      </c>
      <c r="BF105" s="14">
        <f t="shared" si="91"/>
        <v>4.6624771586320878E-13</v>
      </c>
      <c r="BG105" s="22">
        <f t="shared" si="61"/>
        <v>8.583811758418665E-13</v>
      </c>
      <c r="BH105" s="62">
        <f t="shared" si="62"/>
        <v>293.33333333333417</v>
      </c>
      <c r="BI105" s="62">
        <f ca="1">AVERAGE(OFFSET($BH$3,0,0,'Données projet'!$E$11+1,1))-AVERAGE(OFFSET($H$3,0,0,'Données projet'!$E$11+1,1))</f>
        <v>152.72674713084456</v>
      </c>
      <c r="BJ105" s="62">
        <f t="shared" si="92"/>
        <v>203.90215120562164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3.6928361411180739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2.2575752419994731E-10</v>
      </c>
      <c r="BS105" s="24">
        <f t="shared" si="63"/>
        <v>3.6928361413438315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28.758506399999948</v>
      </c>
      <c r="D106" s="12">
        <f t="shared" si="86"/>
        <v>8.9643332114031704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91.434868784411492</v>
      </c>
      <c r="H106" s="70">
        <f t="shared" si="56"/>
        <v>322.36727898986044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148.2000000000003</v>
      </c>
      <c r="O106" s="14">
        <f>N106*VLOOKUP('Données projet'!$B$9,Paramètres!$A$1:$I$89,3,0)*VLOOKUP('Données projet'!$B$9,Paramètres!$A$1:$I$89,5,0)</f>
        <v>134.09136000000026</v>
      </c>
      <c r="P106" s="14">
        <f t="shared" si="87"/>
        <v>34.940040803839608</v>
      </c>
      <c r="Q106" s="22">
        <f t="shared" si="107"/>
        <v>294.39635640002109</v>
      </c>
      <c r="R106" s="62">
        <f t="shared" si="55"/>
        <v>587.72968973335446</v>
      </c>
      <c r="S106" s="62">
        <f ca="1">AVERAGE(OFFSET($R$3,0,0,'Données projet'!$E$9+1,1))-AVERAGE(OFFSET($H$3,0,0,'Données projet'!$E$9+1,1))</f>
        <v>228.905960862347</v>
      </c>
      <c r="T106" s="62">
        <f t="shared" si="88"/>
        <v>167.30057656688177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148.2000000000003</v>
      </c>
      <c r="AJ106" s="14">
        <f>AI106*VLOOKUP('Données projet'!$B$10,Paramètres!$A$1:$I$89,3,0)*VLOOKUP('Données projet'!$B$10,Paramètres!$A$1:$I$89,5,0)</f>
        <v>150.27480000000031</v>
      </c>
      <c r="AK106" s="14">
        <f t="shared" si="89"/>
        <v>38.64102825297843</v>
      </c>
      <c r="AL106" s="22">
        <f t="shared" si="58"/>
        <v>329.02840087393793</v>
      </c>
      <c r="AM106" s="62">
        <f t="shared" si="59"/>
        <v>622.36173420727118</v>
      </c>
      <c r="AN106" s="62">
        <f ca="1">AVERAGE(OFFSET($AM$3,0,0,'Données projet'!$E$10+1,1))-AVERAGE(OFFSET($H$3,0,0,'Données projet'!$E$10+1,1))</f>
        <v>256.45433991419372</v>
      </c>
      <c r="AO106" s="62">
        <f t="shared" si="90"/>
        <v>184.9718670682193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2.6602720026858149E-14</v>
      </c>
      <c r="BF106" s="14">
        <f t="shared" si="91"/>
        <v>4.6624771586320878E-13</v>
      </c>
      <c r="BG106" s="22">
        <f t="shared" si="61"/>
        <v>8.583811758418665E-13</v>
      </c>
      <c r="BH106" s="62">
        <f t="shared" si="62"/>
        <v>293.33333333333417</v>
      </c>
      <c r="BI106" s="62">
        <f ca="1">AVERAGE(OFFSET($BH$3,0,0,'Données projet'!$E$11+1,1))-AVERAGE(OFFSET($H$3,0,0,'Données projet'!$E$11+1,1))</f>
        <v>152.72674713084456</v>
      </c>
      <c r="BJ106" s="62">
        <f t="shared" si="92"/>
        <v>203.90215120562164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3.6204218767983876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1.5963467626566886E-10</v>
      </c>
      <c r="BS106" s="24">
        <f t="shared" si="63"/>
        <v>3.6204218769580221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29.037715199999948</v>
      </c>
      <c r="D107" s="12">
        <f t="shared" si="86"/>
        <v>9.0411917087720628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92.297925938876176</v>
      </c>
      <c r="H107" s="70">
        <f t="shared" si="56"/>
        <v>322.98742953277792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153.60000000000031</v>
      </c>
      <c r="O107" s="14">
        <f>N107*VLOOKUP('Données projet'!$B$9,Paramètres!$A$1:$I$89,3,0)*VLOOKUP('Données projet'!$B$9,Paramètres!$A$1:$I$89,5,0)</f>
        <v>138.97728000000029</v>
      </c>
      <c r="P107" s="14">
        <f t="shared" si="87"/>
        <v>36.062614821760071</v>
      </c>
      <c r="Q107" s="22">
        <f t="shared" si="107"/>
        <v>304.86115014789925</v>
      </c>
      <c r="R107" s="62">
        <f t="shared" si="55"/>
        <v>598.19448348123251</v>
      </c>
      <c r="S107" s="62">
        <f ca="1">AVERAGE(OFFSET($R$3,0,0,'Données projet'!$E$9+1,1))-AVERAGE(OFFSET($H$3,0,0,'Données projet'!$E$9+1,1))</f>
        <v>228.905960862347</v>
      </c>
      <c r="T107" s="62">
        <f t="shared" si="88"/>
        <v>167.30057656688177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153.60000000000031</v>
      </c>
      <c r="AJ107" s="14">
        <f>AI107*VLOOKUP('Données projet'!$B$10,Paramètres!$A$1:$I$89,3,0)*VLOOKUP('Données projet'!$B$10,Paramètres!$A$1:$I$89,5,0)</f>
        <v>155.75040000000033</v>
      </c>
      <c r="AK107" s="14">
        <f t="shared" si="89"/>
        <v>39.88250975513386</v>
      </c>
      <c r="AL107" s="22">
        <f t="shared" si="58"/>
        <v>340.72731782352537</v>
      </c>
      <c r="AM107" s="62">
        <f t="shared" si="59"/>
        <v>634.06065115685874</v>
      </c>
      <c r="AN107" s="62">
        <f ca="1">AVERAGE(OFFSET($AM$3,0,0,'Données projet'!$E$10+1,1))-AVERAGE(OFFSET($H$3,0,0,'Données projet'!$E$10+1,1))</f>
        <v>256.45433991419372</v>
      </c>
      <c r="AO107" s="62">
        <f t="shared" si="90"/>
        <v>184.9718670682193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2.6602720026858149E-14</v>
      </c>
      <c r="BF107" s="14">
        <f t="shared" si="91"/>
        <v>4.6624771586320878E-13</v>
      </c>
      <c r="BG107" s="22">
        <f t="shared" si="61"/>
        <v>8.583811758418665E-13</v>
      </c>
      <c r="BH107" s="62">
        <f t="shared" si="62"/>
        <v>293.33333333333417</v>
      </c>
      <c r="BI107" s="62">
        <f ca="1">AVERAGE(OFFSET($BH$3,0,0,'Données projet'!$E$11+1,1))-AVERAGE(OFFSET($H$3,0,0,'Données projet'!$E$11+1,1))</f>
        <v>152.72674713084456</v>
      </c>
      <c r="BJ107" s="62">
        <f t="shared" si="92"/>
        <v>203.90215120562164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3.5494276120336705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1.1287876209997367E-10</v>
      </c>
      <c r="BS107" s="24">
        <f t="shared" si="63"/>
        <v>3.5494276121465491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29.316923999999947</v>
      </c>
      <c r="D108" s="12">
        <f t="shared" si="86"/>
        <v>9.1179642304661463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93.16077470037186</v>
      </c>
      <c r="H108" s="70">
        <f t="shared" si="56"/>
        <v>323.60743033472846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159.00000000000031</v>
      </c>
      <c r="O108" s="14">
        <f>N108*VLOOKUP('Données projet'!$B$9,Paramètres!$A$1:$I$89,3,0)*VLOOKUP('Données projet'!$B$9,Paramètres!$A$1:$I$89,5,0)</f>
        <v>143.86320000000026</v>
      </c>
      <c r="P108" s="14">
        <f t="shared" si="87"/>
        <v>37.180603445028808</v>
      </c>
      <c r="Q108" s="22">
        <f t="shared" si="107"/>
        <v>315.31795766675896</v>
      </c>
      <c r="R108" s="62">
        <f t="shared" si="55"/>
        <v>608.65129100009221</v>
      </c>
      <c r="S108" s="62">
        <f ca="1">AVERAGE(OFFSET($R$3,0,0,'Données projet'!$E$9+1,1))-AVERAGE(OFFSET($H$3,0,0,'Données projet'!$E$9+1,1))</f>
        <v>228.905960862347</v>
      </c>
      <c r="T108" s="62">
        <f t="shared" si="88"/>
        <v>167.30057656688177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159.00000000000031</v>
      </c>
      <c r="AJ108" s="14">
        <f>AI108*VLOOKUP('Données projet'!$B$10,Paramètres!$A$1:$I$89,3,0)*VLOOKUP('Données projet'!$B$10,Paramètres!$A$1:$I$89,5,0)</f>
        <v>161.22600000000034</v>
      </c>
      <c r="AK108" s="14">
        <f t="shared" si="89"/>
        <v>41.118920159482599</v>
      </c>
      <c r="AL108" s="22">
        <f t="shared" si="58"/>
        <v>352.41740261109948</v>
      </c>
      <c r="AM108" s="62">
        <f t="shared" si="59"/>
        <v>645.75073594443279</v>
      </c>
      <c r="AN108" s="62">
        <f ca="1">AVERAGE(OFFSET($AM$3,0,0,'Données projet'!$E$10+1,1))-AVERAGE(OFFSET($H$3,0,0,'Données projet'!$E$10+1,1))</f>
        <v>256.45433991419372</v>
      </c>
      <c r="AO108" s="62">
        <f t="shared" si="90"/>
        <v>184.9718670682193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2.6602720026858149E-14</v>
      </c>
      <c r="BF108" s="14">
        <f t="shared" si="91"/>
        <v>4.6624771586320878E-13</v>
      </c>
      <c r="BG108" s="22">
        <f t="shared" si="61"/>
        <v>8.583811758418665E-13</v>
      </c>
      <c r="BH108" s="62">
        <f t="shared" si="62"/>
        <v>293.33333333333417</v>
      </c>
      <c r="BI108" s="62">
        <f ca="1">AVERAGE(OFFSET($BH$3,0,0,'Données projet'!$E$11+1,1))-AVERAGE(OFFSET($H$3,0,0,'Données projet'!$E$11+1,1))</f>
        <v>152.72674713084456</v>
      </c>
      <c r="BJ108" s="62">
        <f t="shared" si="92"/>
        <v>203.90215120562164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3.4798255014987638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7.9817338132834443E-11</v>
      </c>
      <c r="BS108" s="24">
        <f t="shared" si="63"/>
        <v>3.4798255015785813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29.596132799999946</v>
      </c>
      <c r="D109" s="12">
        <f t="shared" si="86"/>
        <v>9.1946516901327975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94.023417283451579</v>
      </c>
      <c r="H109" s="70">
        <f t="shared" si="56"/>
        <v>324.22728298698121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</v>
      </c>
      <c r="N109" s="14">
        <f>IF('Données projet'!$A$36&gt;35,N108+M109-V108,IF(A109&lt;'Données projet'!$A$36,$K$205^A109,IF(A109='Données projet'!$A$36,'Données projet'!$B$36,N108+M109-V108)))</f>
        <v>164.40000000000032</v>
      </c>
      <c r="O109" s="14">
        <f>N109*VLOOKUP('Données projet'!$B$9,Paramètres!$A$1:$I$89,3,0)*VLOOKUP('Données projet'!$B$9,Paramètres!$A$1:$I$89,5,0)</f>
        <v>148.74912000000029</v>
      </c>
      <c r="P109" s="14">
        <f t="shared" si="87"/>
        <v>38.29418025565144</v>
      </c>
      <c r="Q109" s="22">
        <f t="shared" si="107"/>
        <v>325.76708127859342</v>
      </c>
      <c r="R109" s="62">
        <f t="shared" si="55"/>
        <v>619.10041461192668</v>
      </c>
      <c r="S109" s="62">
        <f ca="1">AVERAGE(OFFSET($R$3,0,0,'Données projet'!$E$9+1,1))-AVERAGE(OFFSET($H$3,0,0,'Données projet'!$E$9+1,1))</f>
        <v>228.905960862347</v>
      </c>
      <c r="T109" s="62">
        <f t="shared" si="88"/>
        <v>167.30057656688177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IF('Données projet'!$A$62&gt;35,AI108+AH109-AQ108,IF(A109&lt;'Données projet'!$A$62,$AF$205^A109,IF(A109='Données projet'!$A$62,'Données projet'!$B$62,AI108+AH109-AQ108)))</f>
        <v>164.40000000000032</v>
      </c>
      <c r="AJ109" s="14">
        <f>AI109*VLOOKUP('Données projet'!$B$10,Paramètres!$A$1:$I$89,3,0)*VLOOKUP('Données projet'!$B$10,Paramètres!$A$1:$I$89,5,0)</f>
        <v>166.70160000000033</v>
      </c>
      <c r="AK109" s="14">
        <f t="shared" si="89"/>
        <v>42.350451434523379</v>
      </c>
      <c r="AL109" s="22">
        <f t="shared" si="58"/>
        <v>364.09898958179542</v>
      </c>
      <c r="AM109" s="62">
        <f t="shared" si="59"/>
        <v>657.43232291512868</v>
      </c>
      <c r="AN109" s="62">
        <f ca="1">AVERAGE(OFFSET($AM$3,0,0,'Données projet'!$E$10+1,1))-AVERAGE(OFFSET($H$3,0,0,'Données projet'!$E$10+1,1))</f>
        <v>256.45433991419372</v>
      </c>
      <c r="AO109" s="62">
        <f t="shared" si="90"/>
        <v>184.9718670682193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2.6602720026858149E-14</v>
      </c>
      <c r="BF109" s="14">
        <f t="shared" si="91"/>
        <v>4.6624771586320878E-13</v>
      </c>
      <c r="BG109" s="22">
        <f t="shared" si="61"/>
        <v>8.583811758418665E-13</v>
      </c>
      <c r="BH109" s="62">
        <f t="shared" si="62"/>
        <v>293.33333333333417</v>
      </c>
      <c r="BI109" s="62">
        <f ca="1">AVERAGE(OFFSET($BH$3,0,0,'Données projet'!$E$11+1,1))-AVERAGE(OFFSET($H$3,0,0,'Données projet'!$E$11+1,1))</f>
        <v>152.72674713084456</v>
      </c>
      <c r="BJ109" s="62">
        <f t="shared" si="92"/>
        <v>203.90215120562164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3.4115882458983511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5.6439381049986847E-11</v>
      </c>
      <c r="BS109" s="24">
        <f t="shared" si="63"/>
        <v>3.4115882459547904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29.875341599999945</v>
      </c>
      <c r="D110" s="12">
        <f t="shared" si="86"/>
        <v>9.2712549831866653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94.88585585847477</v>
      </c>
      <c r="H110" s="70">
        <f t="shared" si="56"/>
        <v>324.84698904905002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</v>
      </c>
      <c r="N110" s="14">
        <f>IF('Données projet'!$A$36&gt;35,N109+M110-V109,IF(A110&lt;'Données projet'!$A$36,$K$205^A110,IF(A110='Données projet'!$A$36,'Données projet'!$B$36,N109+M110-V109)))</f>
        <v>169.80000000000032</v>
      </c>
      <c r="O110" s="14">
        <f>N110*VLOOKUP('Données projet'!$B$9,Paramètres!$A$1:$I$89,3,0)*VLOOKUP('Données projet'!$B$9,Paramètres!$A$1:$I$89,5,0)</f>
        <v>153.63504000000029</v>
      </c>
      <c r="P110" s="14">
        <f t="shared" si="87"/>
        <v>39.403506785222739</v>
      </c>
      <c r="Q110" s="22">
        <f t="shared" si="107"/>
        <v>336.20880231759674</v>
      </c>
      <c r="R110" s="62">
        <f t="shared" si="55"/>
        <v>629.54213565093005</v>
      </c>
      <c r="S110" s="62">
        <f ca="1">AVERAGE(OFFSET($R$3,0,0,'Données projet'!$E$9+1,1))-AVERAGE(OFFSET($H$3,0,0,'Données projet'!$E$9+1,1))</f>
        <v>228.905960862347</v>
      </c>
      <c r="T110" s="62">
        <f t="shared" si="88"/>
        <v>167.30057656688177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IF('Données projet'!$A$62&gt;35,AI109+AH110-AQ109,IF(A110&lt;'Données projet'!$A$62,$AF$205^A110,IF(A110='Données projet'!$A$62,'Données projet'!$B$62,AI109+AH110-AQ109)))</f>
        <v>169.80000000000032</v>
      </c>
      <c r="AJ110" s="14">
        <f>AI110*VLOOKUP('Données projet'!$B$10,Paramètres!$A$1:$I$89,3,0)*VLOOKUP('Données projet'!$B$10,Paramètres!$A$1:$I$89,5,0)</f>
        <v>172.17720000000034</v>
      </c>
      <c r="AK110" s="14">
        <f t="shared" si="89"/>
        <v>43.577282221917095</v>
      </c>
      <c r="AL110" s="22">
        <f t="shared" si="58"/>
        <v>375.77238986983951</v>
      </c>
      <c r="AM110" s="62">
        <f t="shared" si="59"/>
        <v>669.10572320317283</v>
      </c>
      <c r="AN110" s="62">
        <f ca="1">AVERAGE(OFFSET($AM$3,0,0,'Données projet'!$E$10+1,1))-AVERAGE(OFFSET($H$3,0,0,'Données projet'!$E$10+1,1))</f>
        <v>256.45433991419372</v>
      </c>
      <c r="AO110" s="62">
        <f t="shared" si="90"/>
        <v>184.9718670682193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2.6602720026858149E-14</v>
      </c>
      <c r="BF110" s="14">
        <f t="shared" si="91"/>
        <v>4.6624771586320878E-13</v>
      </c>
      <c r="BG110" s="22">
        <f t="shared" si="61"/>
        <v>8.583811758418665E-13</v>
      </c>
      <c r="BH110" s="62">
        <f t="shared" si="62"/>
        <v>293.33333333333417</v>
      </c>
      <c r="BI110" s="62">
        <f ca="1">AVERAGE(OFFSET($BH$3,0,0,'Données projet'!$E$11+1,1))-AVERAGE(OFFSET($H$3,0,0,'Données projet'!$E$11+1,1))</f>
        <v>152.72674713084456</v>
      </c>
      <c r="BJ110" s="62">
        <f t="shared" si="92"/>
        <v>203.90215120562164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3.3446890812596464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3.9908669066417228E-11</v>
      </c>
      <c r="BS110" s="24">
        <f t="shared" si="63"/>
        <v>3.3446890812995549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30.154550399999945</v>
      </c>
      <c r="D111" s="12">
        <f t="shared" si="86"/>
        <v>9.3477749873404896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95.748092552893937</v>
      </c>
      <c r="H111" s="70">
        <f t="shared" si="56"/>
        <v>325.46655004961792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</v>
      </c>
      <c r="N111" s="14">
        <f>IF('Données projet'!$A$36&gt;35,N110+M111-V110,IF(A111&lt;'Données projet'!$A$36,$K$205^A111,IF(A111='Données projet'!$A$36,'Données projet'!$B$36,N110+M111-V110)))</f>
        <v>175.20000000000033</v>
      </c>
      <c r="O111" s="14">
        <f>N111*VLOOKUP('Données projet'!$B$9,Paramètres!$A$1:$I$89,3,0)*VLOOKUP('Données projet'!$B$9,Paramètres!$A$1:$I$89,5,0)</f>
        <v>158.52096000000029</v>
      </c>
      <c r="P111" s="14">
        <f t="shared" si="87"/>
        <v>40.508733707832697</v>
      </c>
      <c r="Q111" s="22">
        <f t="shared" si="107"/>
        <v>346.64338320780917</v>
      </c>
      <c r="R111" s="62">
        <f t="shared" si="55"/>
        <v>639.97671654114242</v>
      </c>
      <c r="S111" s="62">
        <f ca="1">AVERAGE(OFFSET($R$3,0,0,'Données projet'!$E$9+1,1))-AVERAGE(OFFSET($H$3,0,0,'Données projet'!$E$9+1,1))</f>
        <v>228.905960862347</v>
      </c>
      <c r="T111" s="62">
        <f t="shared" si="88"/>
        <v>167.30057656688177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IF('Données projet'!$A$62&gt;35,AI110+AH111-AQ110,IF(A111&lt;'Données projet'!$A$62,$AF$205^A111,IF(A111='Données projet'!$A$62,'Données projet'!$B$62,AI110+AH111-AQ110)))</f>
        <v>175.20000000000033</v>
      </c>
      <c r="AJ111" s="14">
        <f>AI111*VLOOKUP('Données projet'!$B$10,Paramètres!$A$1:$I$89,3,0)*VLOOKUP('Données projet'!$B$10,Paramètres!$A$1:$I$89,5,0)</f>
        <v>177.65280000000035</v>
      </c>
      <c r="AK111" s="14">
        <f t="shared" si="89"/>
        <v>44.799579155749825</v>
      </c>
      <c r="AL111" s="22">
        <f t="shared" si="58"/>
        <v>387.43789369626484</v>
      </c>
      <c r="AM111" s="62">
        <f t="shared" si="59"/>
        <v>680.77122702959809</v>
      </c>
      <c r="AN111" s="62">
        <f ca="1">AVERAGE(OFFSET($AM$3,0,0,'Données projet'!$E$10+1,1))-AVERAGE(OFFSET($H$3,0,0,'Données projet'!$E$10+1,1))</f>
        <v>256.45433991419372</v>
      </c>
      <c r="AO111" s="62">
        <f t="shared" si="90"/>
        <v>184.9718670682193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2.6602720026858149E-14</v>
      </c>
      <c r="BF111" s="14">
        <f t="shared" si="91"/>
        <v>4.6624771586320878E-13</v>
      </c>
      <c r="BG111" s="22">
        <f t="shared" si="61"/>
        <v>8.583811758418665E-13</v>
      </c>
      <c r="BH111" s="62">
        <f t="shared" si="62"/>
        <v>293.33333333333417</v>
      </c>
      <c r="BI111" s="62">
        <f ca="1">AVERAGE(OFFSET($BH$3,0,0,'Données projet'!$E$11+1,1))-AVERAGE(OFFSET($H$3,0,0,'Données projet'!$E$11+1,1))</f>
        <v>152.72674713084456</v>
      </c>
      <c r="BJ111" s="62">
        <f t="shared" si="92"/>
        <v>203.90215120562164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3.2791017684350452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2.8219690524993427E-11</v>
      </c>
      <c r="BS111" s="24">
        <f t="shared" si="63"/>
        <v>3.2791017684632648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30.433759199999944</v>
      </c>
      <c r="D112" s="12">
        <f t="shared" si="86"/>
        <v>9.4242125631156028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96.610129452492004</v>
      </c>
      <c r="H112" s="70">
        <f t="shared" si="56"/>
        <v>326.08596748742627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5.4</v>
      </c>
      <c r="N112" s="14">
        <f>IF('Données projet'!$A$36&gt;35,N111+M112-V111,IF(A112&lt;'Données projet'!$A$36,$K$205^A112,IF(A112='Données projet'!$A$36,'Données projet'!$B$36,N111+M112-V111)))</f>
        <v>180.60000000000034</v>
      </c>
      <c r="O112" s="14">
        <f>N112*VLOOKUP('Données projet'!$B$9,Paramètres!$A$1:$I$89,3,0)*VLOOKUP('Données projet'!$B$9,Paramètres!$A$1:$I$89,5,0)</f>
        <v>163.40688000000031</v>
      </c>
      <c r="P112" s="14">
        <f t="shared" si="87"/>
        <v>41.610001881769911</v>
      </c>
      <c r="Q112" s="22">
        <f t="shared" si="107"/>
        <v>357.07106927741648</v>
      </c>
      <c r="R112" s="62">
        <f t="shared" si="55"/>
        <v>650.4044026107498</v>
      </c>
      <c r="S112" s="62">
        <f ca="1">AVERAGE(OFFSET($R$3,0,0,'Données projet'!$E$9+1,1))-AVERAGE(OFFSET($H$3,0,0,'Données projet'!$E$9+1,1))</f>
        <v>228.905960862347</v>
      </c>
      <c r="T112" s="62">
        <f t="shared" si="88"/>
        <v>167.30057656688177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IF('Données projet'!$A$62&gt;35,AI111+AH112-AQ111,IF(A112&lt;'Données projet'!$A$62,$AF$205^A112,IF(A112='Données projet'!$A$62,'Données projet'!$B$62,AI111+AH112-AQ111)))</f>
        <v>180.60000000000034</v>
      </c>
      <c r="AJ112" s="14">
        <f>AI112*VLOOKUP('Données projet'!$B$10,Paramètres!$A$1:$I$89,3,0)*VLOOKUP('Données projet'!$B$10,Paramètres!$A$1:$I$89,5,0)</f>
        <v>183.12840000000037</v>
      </c>
      <c r="AK112" s="14">
        <f t="shared" si="89"/>
        <v>46.017498014577761</v>
      </c>
      <c r="AL112" s="22">
        <f t="shared" si="58"/>
        <v>399.0957723753902</v>
      </c>
      <c r="AM112" s="62">
        <f t="shared" si="59"/>
        <v>692.42910570872345</v>
      </c>
      <c r="AN112" s="62">
        <f ca="1">AVERAGE(OFFSET($AM$3,0,0,'Données projet'!$E$10+1,1))-AVERAGE(OFFSET($H$3,0,0,'Données projet'!$E$10+1,1))</f>
        <v>256.45433991419372</v>
      </c>
      <c r="AO112" s="62">
        <f t="shared" si="90"/>
        <v>184.9718670682193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2.6602720026858149E-14</v>
      </c>
      <c r="BF112" s="14">
        <f t="shared" si="91"/>
        <v>4.6624771586320878E-13</v>
      </c>
      <c r="BG112" s="22">
        <f t="shared" si="61"/>
        <v>8.583811758418665E-13</v>
      </c>
      <c r="BH112" s="62">
        <f t="shared" si="62"/>
        <v>293.33333333333417</v>
      </c>
      <c r="BI112" s="62">
        <f ca="1">AVERAGE(OFFSET($BH$3,0,0,'Données projet'!$E$11+1,1))-AVERAGE(OFFSET($H$3,0,0,'Données projet'!$E$11+1,1))</f>
        <v>152.72674713084456</v>
      </c>
      <c r="BJ112" s="62">
        <f t="shared" si="92"/>
        <v>203.90215120562164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3.2148005828106236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1.9954334533208617E-11</v>
      </c>
      <c r="BS112" s="24">
        <f t="shared" si="63"/>
        <v>3.2148005828305779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30.712967999999943</v>
      </c>
      <c r="D113" s="12">
        <f t="shared" si="86"/>
        <v>9.5005685543332508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97.471968602573227</v>
      </c>
      <c r="H113" s="70">
        <f t="shared" si="56"/>
        <v>326.70524283213035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5.4</v>
      </c>
      <c r="N113" s="14">
        <f>IF('Données projet'!$A$36&gt;35,N112+M113-V112,IF(A113&lt;'Données projet'!$A$36,$K$205^A113,IF(A113='Données projet'!$A$36,'Données projet'!$B$36,N112+M113-V112)))</f>
        <v>186.00000000000034</v>
      </c>
      <c r="O113" s="14">
        <f>N113*VLOOKUP('Données projet'!$B$9,Paramètres!$A$1:$I$89,3,0)*VLOOKUP('Données projet'!$B$9,Paramètres!$A$1:$I$89,5,0)</f>
        <v>168.29280000000031</v>
      </c>
      <c r="P113" s="14">
        <f t="shared" si="87"/>
        <v>42.707443263135147</v>
      </c>
      <c r="Q113" s="22">
        <f t="shared" si="107"/>
        <v>367.49209034996096</v>
      </c>
      <c r="R113" s="62">
        <f t="shared" si="55"/>
        <v>660.82542368329428</v>
      </c>
      <c r="S113" s="62">
        <f ca="1">AVERAGE(OFFSET($R$3,0,0,'Données projet'!$E$9+1,1))-AVERAGE(OFFSET($H$3,0,0,'Données projet'!$E$9+1,1))</f>
        <v>228.905960862347</v>
      </c>
      <c r="T113" s="62">
        <f t="shared" si="88"/>
        <v>167.30057656688177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5.4</v>
      </c>
      <c r="AI113" s="14">
        <f>IF('Données projet'!$A$62&gt;35,AI112+AH113-AQ112,IF(A113&lt;'Données projet'!$A$62,$AF$205^A113,IF(A113='Données projet'!$A$62,'Données projet'!$B$62,AI112+AH113-AQ112)))</f>
        <v>186.00000000000034</v>
      </c>
      <c r="AJ113" s="14">
        <f>AI113*VLOOKUP('Données projet'!$B$10,Paramètres!$A$1:$I$89,3,0)*VLOOKUP('Données projet'!$B$10,Paramètres!$A$1:$I$89,5,0)</f>
        <v>188.60400000000035</v>
      </c>
      <c r="AK113" s="14">
        <f t="shared" si="89"/>
        <v>47.231184731814309</v>
      </c>
      <c r="AL113" s="22">
        <f t="shared" si="58"/>
        <v>410.74628007457721</v>
      </c>
      <c r="AM113" s="62">
        <f t="shared" si="59"/>
        <v>704.07961340791053</v>
      </c>
      <c r="AN113" s="62">
        <f ca="1">AVERAGE(OFFSET($AM$3,0,0,'Données projet'!$E$10+1,1))-AVERAGE(OFFSET($H$3,0,0,'Données projet'!$E$10+1,1))</f>
        <v>256.45433991419372</v>
      </c>
      <c r="AO113" s="62">
        <f t="shared" si="90"/>
        <v>184.9718670682193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2.6602720026858149E-14</v>
      </c>
      <c r="BF113" s="14">
        <f t="shared" si="91"/>
        <v>4.6624771586320878E-13</v>
      </c>
      <c r="BG113" s="22">
        <f t="shared" si="61"/>
        <v>8.583811758418665E-13</v>
      </c>
      <c r="BH113" s="62">
        <f t="shared" si="62"/>
        <v>293.33333333333417</v>
      </c>
      <c r="BI113" s="62">
        <f ca="1">AVERAGE(OFFSET($BH$3,0,0,'Données projet'!$E$11+1,1))-AVERAGE(OFFSET($H$3,0,0,'Données projet'!$E$11+1,1))</f>
        <v>152.72674713084456</v>
      </c>
      <c r="BJ113" s="62">
        <f t="shared" si="92"/>
        <v>203.90215120562164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3.1517603042164466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1.4109845262496715E-11</v>
      </c>
      <c r="BS113" s="24">
        <f t="shared" si="63"/>
        <v>3.1517603042305566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30.992176799999942</v>
      </c>
      <c r="D114" s="12">
        <f t="shared" si="86"/>
        <v>9.5768437885874746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98.333612009109444</v>
      </c>
      <c r="H114" s="70">
        <f t="shared" si="56"/>
        <v>327.32437752512311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5.4</v>
      </c>
      <c r="N114" s="14">
        <f>IF('Données projet'!$A$36&gt;35,N113+M114-V113,IF(A114&lt;'Données projet'!$A$36,$K$205^A114,IF(A114='Données projet'!$A$36,'Données projet'!$B$36,N113+M114-V113)))</f>
        <v>191.40000000000035</v>
      </c>
      <c r="O114" s="14">
        <f>N114*VLOOKUP('Données projet'!$B$9,Paramètres!$A$1:$I$89,3,0)*VLOOKUP('Données projet'!$B$9,Paramètres!$A$1:$I$89,5,0)</f>
        <v>173.17872000000031</v>
      </c>
      <c r="P114" s="14">
        <f t="shared" si="87"/>
        <v>43.801181710376341</v>
      </c>
      <c r="Q114" s="22">
        <f t="shared" si="107"/>
        <v>377.90666214557262</v>
      </c>
      <c r="R114" s="62">
        <f t="shared" si="55"/>
        <v>671.23999547890594</v>
      </c>
      <c r="S114" s="62">
        <f ca="1">AVERAGE(OFFSET($R$3,0,0,'Données projet'!$E$9+1,1))-AVERAGE(OFFSET($H$3,0,0,'Données projet'!$E$9+1,1))</f>
        <v>228.905960862347</v>
      </c>
      <c r="T114" s="62">
        <f t="shared" si="88"/>
        <v>167.30057656688177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5.4</v>
      </c>
      <c r="AI114" s="14">
        <f>IF('Données projet'!$A$62&gt;35,AI113+AH114-AQ113,IF(A114&lt;'Données projet'!$A$62,$AF$205^A114,IF(A114='Données projet'!$A$62,'Données projet'!$B$62,AI113+AH114-AQ113)))</f>
        <v>191.40000000000035</v>
      </c>
      <c r="AJ114" s="14">
        <f>AI114*VLOOKUP('Données projet'!$B$10,Paramètres!$A$1:$I$89,3,0)*VLOOKUP('Données projet'!$B$10,Paramètres!$A$1:$I$89,5,0)</f>
        <v>194.07960000000037</v>
      </c>
      <c r="AK114" s="14">
        <f t="shared" si="89"/>
        <v>48.440776285484446</v>
      </c>
      <c r="AL114" s="22">
        <f t="shared" si="58"/>
        <v>422.38965536388605</v>
      </c>
      <c r="AM114" s="62">
        <f t="shared" si="59"/>
        <v>715.72298869721931</v>
      </c>
      <c r="AN114" s="62">
        <f ca="1">AVERAGE(OFFSET($AM$3,0,0,'Données projet'!$E$10+1,1))-AVERAGE(OFFSET($H$3,0,0,'Données projet'!$E$10+1,1))</f>
        <v>256.45433991419372</v>
      </c>
      <c r="AO114" s="62">
        <f t="shared" si="90"/>
        <v>184.9718670682193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2.6602720026858149E-14</v>
      </c>
      <c r="BF114" s="14">
        <f t="shared" si="91"/>
        <v>4.6624771586320878E-13</v>
      </c>
      <c r="BG114" s="22">
        <f t="shared" si="61"/>
        <v>8.583811758418665E-13</v>
      </c>
      <c r="BH114" s="62">
        <f t="shared" si="62"/>
        <v>293.33333333333417</v>
      </c>
      <c r="BI114" s="62">
        <f ca="1">AVERAGE(OFFSET($BH$3,0,0,'Données projet'!$E$11+1,1))-AVERAGE(OFFSET($H$3,0,0,'Données projet'!$E$11+1,1))</f>
        <v>152.72674713084456</v>
      </c>
      <c r="BJ114" s="62">
        <f t="shared" si="92"/>
        <v>203.90215120562164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3.089956207034728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9.9771672666043103E-12</v>
      </c>
      <c r="BS114" s="24">
        <f t="shared" si="63"/>
        <v>3.0899562070447053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31.271385599999942</v>
      </c>
      <c r="D115" s="12">
        <f t="shared" si="86"/>
        <v>9.6530390777004964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99.195061639843729</v>
      </c>
      <c r="H115" s="70">
        <f t="shared" si="56"/>
        <v>327.94337298032826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5.4</v>
      </c>
      <c r="N115" s="14">
        <f>IF('Données projet'!$A$36&gt;35,N114+M115-V114,IF(A115&lt;'Données projet'!$A$36,$K$205^A115,IF(A115='Données projet'!$A$36,'Données projet'!$B$36,N114+M115-V114)))</f>
        <v>196.80000000000035</v>
      </c>
      <c r="O115" s="14">
        <f>N115*VLOOKUP('Données projet'!$B$9,Paramètres!$A$1:$I$89,3,0)*VLOOKUP('Données projet'!$B$9,Paramètres!$A$1:$I$89,5,0)</f>
        <v>178.06464000000031</v>
      </c>
      <c r="P115" s="14">
        <f t="shared" si="87"/>
        <v>44.891333695477194</v>
      </c>
      <c r="Q115" s="22">
        <f t="shared" si="107"/>
        <v>388.31498751962334</v>
      </c>
      <c r="R115" s="62">
        <f t="shared" si="55"/>
        <v>681.64832085295666</v>
      </c>
      <c r="S115" s="62">
        <f ca="1">AVERAGE(OFFSET($R$3,0,0,'Données projet'!$E$9+1,1))-AVERAGE(OFFSET($H$3,0,0,'Données projet'!$E$9+1,1))</f>
        <v>228.905960862347</v>
      </c>
      <c r="T115" s="62">
        <f t="shared" si="88"/>
        <v>167.30057656688177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5.4</v>
      </c>
      <c r="AI115" s="14">
        <f>IF('Données projet'!$A$62&gt;35,AI114+AH115-AQ114,IF(A115&lt;'Données projet'!$A$62,$AF$205^A115,IF(A115='Données projet'!$A$62,'Données projet'!$B$62,AI114+AH115-AQ114)))</f>
        <v>196.80000000000035</v>
      </c>
      <c r="AJ115" s="14">
        <f>AI115*VLOOKUP('Données projet'!$B$10,Paramètres!$A$1:$I$89,3,0)*VLOOKUP('Données projet'!$B$10,Paramètres!$A$1:$I$89,5,0)</f>
        <v>199.55520000000035</v>
      </c>
      <c r="AK115" s="14">
        <f t="shared" si="89"/>
        <v>49.646401484745653</v>
      </c>
      <c r="AL115" s="22">
        <f t="shared" si="58"/>
        <v>434.02612258593257</v>
      </c>
      <c r="AM115" s="62">
        <f t="shared" si="59"/>
        <v>727.35945591926588</v>
      </c>
      <c r="AN115" s="62">
        <f ca="1">AVERAGE(OFFSET($AM$3,0,0,'Données projet'!$E$10+1,1))-AVERAGE(OFFSET($H$3,0,0,'Données projet'!$E$10+1,1))</f>
        <v>256.45433991419372</v>
      </c>
      <c r="AO115" s="62">
        <f t="shared" si="90"/>
        <v>184.9718670682193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2.6602720026858149E-14</v>
      </c>
      <c r="BF115" s="14">
        <f t="shared" si="91"/>
        <v>4.6624771586320878E-13</v>
      </c>
      <c r="BG115" s="22">
        <f t="shared" si="61"/>
        <v>8.583811758418665E-13</v>
      </c>
      <c r="BH115" s="62">
        <f t="shared" si="62"/>
        <v>293.33333333333417</v>
      </c>
      <c r="BI115" s="62">
        <f ca="1">AVERAGE(OFFSET($BH$3,0,0,'Données projet'!$E$11+1,1))-AVERAGE(OFFSET($H$3,0,0,'Données projet'!$E$11+1,1))</f>
        <v>152.72674713084456</v>
      </c>
      <c r="BJ115" s="62">
        <f t="shared" si="92"/>
        <v>203.90215120562164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3.0293640505019659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7.0549226312483591E-12</v>
      </c>
      <c r="BS115" s="24">
        <f t="shared" si="63"/>
        <v>3.0293640505090207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31.550594399999941</v>
      </c>
      <c r="D116" s="12">
        <f t="shared" si="86"/>
        <v>9.7291552181613667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100.05631942535378</v>
      </c>
      <c r="H116" s="70">
        <f t="shared" si="56"/>
        <v>328.56223058496425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5.4</v>
      </c>
      <c r="N116" s="14">
        <f>IF('Données projet'!$A$36&gt;35,N115+M116-V115,IF(A116&lt;'Données projet'!$A$36,$K$205^A116,IF(A116='Données projet'!$A$36,'Données projet'!$B$36,N115+M116-V115)))</f>
        <v>202.20000000000036</v>
      </c>
      <c r="O116" s="14">
        <f>N116*VLOOKUP('Données projet'!$B$9,Paramètres!$A$1:$I$89,3,0)*VLOOKUP('Données projet'!$B$9,Paramètres!$A$1:$I$89,5,0)</f>
        <v>182.95056000000031</v>
      </c>
      <c r="P116" s="14">
        <f t="shared" si="87"/>
        <v>45.978008934894042</v>
      </c>
      <c r="Q116" s="22">
        <f t="shared" si="107"/>
        <v>398.7172575616076</v>
      </c>
      <c r="R116" s="62">
        <f t="shared" si="55"/>
        <v>692.05059089494091</v>
      </c>
      <c r="S116" s="62">
        <f ca="1">AVERAGE(OFFSET($R$3,0,0,'Données projet'!$E$9+1,1))-AVERAGE(OFFSET($H$3,0,0,'Données projet'!$E$9+1,1))</f>
        <v>228.905960862347</v>
      </c>
      <c r="T116" s="62">
        <f t="shared" si="88"/>
        <v>167.30057656688177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5.4</v>
      </c>
      <c r="AI116" s="14">
        <f>IF('Données projet'!$A$62&gt;35,AI115+AH116-AQ115,IF(A116&lt;'Données projet'!$A$62,$AF$205^A116,IF(A116='Données projet'!$A$62,'Données projet'!$B$62,AI115+AH116-AQ115)))</f>
        <v>202.20000000000036</v>
      </c>
      <c r="AJ116" s="14">
        <f>AI116*VLOOKUP('Données projet'!$B$10,Paramètres!$A$1:$I$89,3,0)*VLOOKUP('Données projet'!$B$10,Paramètres!$A$1:$I$89,5,0)</f>
        <v>205.03080000000037</v>
      </c>
      <c r="AK116" s="14">
        <f t="shared" si="89"/>
        <v>50.848181667655538</v>
      </c>
      <c r="AL116" s="22">
        <f t="shared" si="58"/>
        <v>445.65589307116738</v>
      </c>
      <c r="AM116" s="62">
        <f t="shared" si="59"/>
        <v>738.98922640450064</v>
      </c>
      <c r="AN116" s="62">
        <f ca="1">AVERAGE(OFFSET($AM$3,0,0,'Données projet'!$E$10+1,1))-AVERAGE(OFFSET($H$3,0,0,'Données projet'!$E$10+1,1))</f>
        <v>256.45433991419372</v>
      </c>
      <c r="AO116" s="62">
        <f t="shared" si="90"/>
        <v>184.9718670682193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2.6602720026858149E-14</v>
      </c>
      <c r="BF116" s="14">
        <f t="shared" si="91"/>
        <v>4.6624771586320878E-13</v>
      </c>
      <c r="BG116" s="22">
        <f t="shared" si="61"/>
        <v>8.583811758418665E-13</v>
      </c>
      <c r="BH116" s="62">
        <f t="shared" si="62"/>
        <v>293.33333333333417</v>
      </c>
      <c r="BI116" s="62">
        <f ca="1">AVERAGE(OFFSET($BH$3,0,0,'Données projet'!$E$11+1,1))-AVERAGE(OFFSET($H$3,0,0,'Données projet'!$E$11+1,1))</f>
        <v>152.72674713084456</v>
      </c>
      <c r="BJ116" s="62">
        <f t="shared" si="92"/>
        <v>203.90215120562164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2.9699600692012451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4.9885836333021559E-12</v>
      </c>
      <c r="BS116" s="24">
        <f t="shared" si="63"/>
        <v>2.9699600692062336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31.82980319999994</v>
      </c>
      <c r="D117" s="12">
        <f t="shared" si="86"/>
        <v>9.8051929915486262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100.91738726007632</v>
      </c>
      <c r="H117" s="70">
        <f t="shared" si="56"/>
        <v>329.18095170028045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5.4</v>
      </c>
      <c r="N117" s="14">
        <f>IF('Données projet'!$A$36&gt;35,N116+M117-V116,IF(A117&lt;'Données projet'!$A$36,$K$205^A117,IF(A117='Données projet'!$A$36,'Données projet'!$B$36,N116+M117-V116)))</f>
        <v>207.60000000000036</v>
      </c>
      <c r="O117" s="14">
        <f>N117*VLOOKUP('Données projet'!$B$9,Paramètres!$A$1:$I$89,3,0)*VLOOKUP('Données projet'!$B$9,Paramètres!$A$1:$I$89,5,0)</f>
        <v>187.83648000000031</v>
      </c>
      <c r="P117" s="14">
        <f t="shared" si="87"/>
        <v>47.061310951197065</v>
      </c>
      <c r="Q117" s="22">
        <f t="shared" si="107"/>
        <v>409.1136525733354</v>
      </c>
      <c r="R117" s="62">
        <f t="shared" si="55"/>
        <v>702.44698590666871</v>
      </c>
      <c r="S117" s="62">
        <f ca="1">AVERAGE(OFFSET($R$3,0,0,'Données projet'!$E$9+1,1))-AVERAGE(OFFSET($H$3,0,0,'Données projet'!$E$9+1,1))</f>
        <v>228.905960862347</v>
      </c>
      <c r="T117" s="62">
        <f t="shared" si="88"/>
        <v>167.30057656688177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5.4</v>
      </c>
      <c r="AI117" s="14">
        <f>IF('Données projet'!$A$62&gt;35,AI116+AH117-AQ116,IF(A117&lt;'Données projet'!$A$62,$AF$205^A117,IF(A117='Données projet'!$A$62,'Données projet'!$B$62,AI116+AH117-AQ116)))</f>
        <v>207.60000000000036</v>
      </c>
      <c r="AJ117" s="14">
        <f>AI117*VLOOKUP('Données projet'!$B$10,Paramètres!$A$1:$I$89,3,0)*VLOOKUP('Données projet'!$B$10,Paramètres!$A$1:$I$89,5,0)</f>
        <v>210.50640000000041</v>
      </c>
      <c r="AK117" s="14">
        <f t="shared" si="89"/>
        <v>52.046231322304912</v>
      </c>
      <c r="AL117" s="22">
        <f t="shared" si="58"/>
        <v>457.27916621968183</v>
      </c>
      <c r="AM117" s="62">
        <f t="shared" si="59"/>
        <v>750.61249955301514</v>
      </c>
      <c r="AN117" s="62">
        <f ca="1">AVERAGE(OFFSET($AM$3,0,0,'Données projet'!$E$10+1,1))-AVERAGE(OFFSET($H$3,0,0,'Données projet'!$E$10+1,1))</f>
        <v>256.45433991419372</v>
      </c>
      <c r="AO117" s="62">
        <f t="shared" si="90"/>
        <v>184.9718670682193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2.6602720026858149E-14</v>
      </c>
      <c r="BF117" s="14">
        <f t="shared" si="91"/>
        <v>4.6624771586320878E-13</v>
      </c>
      <c r="BG117" s="22">
        <f t="shared" si="61"/>
        <v>8.583811758418665E-13</v>
      </c>
      <c r="BH117" s="62">
        <f t="shared" si="62"/>
        <v>293.33333333333417</v>
      </c>
      <c r="BI117" s="62">
        <f ca="1">AVERAGE(OFFSET($BH$3,0,0,'Données projet'!$E$11+1,1))-AVERAGE(OFFSET($H$3,0,0,'Données projet'!$E$11+1,1))</f>
        <v>152.72674713084456</v>
      </c>
      <c r="BJ117" s="62">
        <f t="shared" si="92"/>
        <v>203.90215120562164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2.9117209637409807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3.5274613156241799E-12</v>
      </c>
      <c r="BS117" s="24">
        <f t="shared" si="63"/>
        <v>2.9117209637445081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32.109011999999943</v>
      </c>
      <c r="D118" s="12">
        <f t="shared" si="86"/>
        <v>9.881153164937734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101.77826700329456</v>
      </c>
      <c r="H118" s="70">
        <f t="shared" si="56"/>
        <v>329.79953766226646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213</v>
      </c>
      <c r="L118" s="13">
        <f>VLOOKUP(A118,'Données projet'!$A$35:$I$55,9,0)</f>
        <v>5.4</v>
      </c>
      <c r="M118" s="13">
        <f t="array" ref="M118">INDEX(L:L,MIN(IF(ISNUMBER(L118:L314),ROW(L118:L314),"")))</f>
        <v>5.4</v>
      </c>
      <c r="N118" s="14">
        <f>IF('Données projet'!$A$36&gt;35,N117+M118-V117,IF(A118&lt;'Données projet'!$A$36,$K$205^A118,IF(A118='Données projet'!$A$36,'Données projet'!$B$36,N117+M118-V117)))</f>
        <v>213.00000000000037</v>
      </c>
      <c r="O118" s="14">
        <f>N118*VLOOKUP('Données projet'!$B$9,Paramètres!$A$1:$I$89,3,0)*VLOOKUP('Données projet'!$B$9,Paramètres!$A$1:$I$89,5,0)</f>
        <v>192.72240000000033</v>
      </c>
      <c r="P118" s="14">
        <f t="shared" si="87"/>
        <v>48.14133757463096</v>
      </c>
      <c r="Q118" s="22">
        <f t="shared" si="107"/>
        <v>419.50434294248288</v>
      </c>
      <c r="R118" s="62">
        <f t="shared" si="55"/>
        <v>712.83767627581619</v>
      </c>
      <c r="S118" s="62">
        <f ca="1">AVERAGE(OFFSET($R$3,0,0,'Données projet'!$E$9+1,1))-AVERAGE(OFFSET($H$3,0,0,'Données projet'!$E$9+1,1))</f>
        <v>228.905960862347</v>
      </c>
      <c r="T118" s="62">
        <f t="shared" si="88"/>
        <v>167.30057656688177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213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213</v>
      </c>
      <c r="AG118" s="13">
        <f>VLOOKUP(A118,'Données projet'!$A$61:$I$81,9,0)</f>
        <v>5.4</v>
      </c>
      <c r="AH118" s="13">
        <f t="array" ref="AH118">INDEX(AG:AG,MIN(IF(ISNUMBER(AG118:AG314),ROW(AG118:AG314),"")))</f>
        <v>5.4</v>
      </c>
      <c r="AI118" s="14">
        <f>IF('Données projet'!$A$62&gt;35,AI117+AH118-AQ117,IF(A118&lt;'Données projet'!$A$62,$AF$205^A118,IF(A118='Données projet'!$A$62,'Données projet'!$B$62,AI117+AH118-AQ117)))</f>
        <v>213.00000000000037</v>
      </c>
      <c r="AJ118" s="14">
        <f>AI118*VLOOKUP('Données projet'!$B$10,Paramètres!$A$1:$I$89,3,0)*VLOOKUP('Données projet'!$B$10,Paramètres!$A$1:$I$89,5,0)</f>
        <v>215.9820000000004</v>
      </c>
      <c r="AK118" s="14">
        <f t="shared" si="89"/>
        <v>53.240658641505135</v>
      </c>
      <c r="AL118" s="22">
        <f t="shared" si="58"/>
        <v>468.89613046728874</v>
      </c>
      <c r="AM118" s="62">
        <f t="shared" si="59"/>
        <v>762.22946380062206</v>
      </c>
      <c r="AN118" s="62">
        <f ca="1">AVERAGE(OFFSET($AM$3,0,0,'Données projet'!$E$10+1,1))-AVERAGE(OFFSET($H$3,0,0,'Données projet'!$E$10+1,1))</f>
        <v>256.45433991419372</v>
      </c>
      <c r="AO118" s="62">
        <f t="shared" si="90"/>
        <v>184.9718670682193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2.6602720026858149E-14</v>
      </c>
      <c r="BF118" s="14">
        <f t="shared" si="91"/>
        <v>4.6624771586320878E-13</v>
      </c>
      <c r="BG118" s="22">
        <f t="shared" si="61"/>
        <v>8.583811758418665E-13</v>
      </c>
      <c r="BH118" s="62">
        <f t="shared" si="62"/>
        <v>293.33333333333417</v>
      </c>
      <c r="BI118" s="62">
        <f ca="1">AVERAGE(OFFSET($BH$3,0,0,'Données projet'!$E$11+1,1))-AVERAGE(OFFSET($H$3,0,0,'Données projet'!$E$11+1,1))</f>
        <v>152.72674713084456</v>
      </c>
      <c r="BJ118" s="62">
        <f t="shared" si="92"/>
        <v>203.90215120562164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2.8546238916164448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2.4942918166510784E-12</v>
      </c>
      <c r="BS118" s="24">
        <f t="shared" si="63"/>
        <v>2.8546238916189393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32.388220799999942</v>
      </c>
      <c r="D119" s="12">
        <f t="shared" si="86"/>
        <v>9.9570364912939127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102.63896048009052</v>
      </c>
      <c r="H119" s="70">
        <f t="shared" si="56"/>
        <v>330.4179897823368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3.694822225952521E-13</v>
      </c>
      <c r="O119" s="14">
        <f>N119*VLOOKUP('Données projet'!$B$9,Paramètres!$A$1:$I$89,3,0)*VLOOKUP('Données projet'!$B$9,Paramètres!$A$1:$I$89,5,0)</f>
        <v>3.3430751500418408E-13</v>
      </c>
      <c r="P119" s="14">
        <f t="shared" si="87"/>
        <v>4.3640286551328835E-12</v>
      </c>
      <c r="Q119" s="22">
        <f t="shared" si="107"/>
        <v>8.1829354963220586E-12</v>
      </c>
      <c r="R119" s="62">
        <f t="shared" si="55"/>
        <v>293.3333333333415</v>
      </c>
      <c r="S119" s="62">
        <f ca="1">AVERAGE(OFFSET($R$3,0,0,'Données projet'!$E$9+1,1))-AVERAGE(OFFSET($H$3,0,0,'Données projet'!$E$9+1,1))</f>
        <v>228.905960862347</v>
      </c>
      <c r="T119" s="62">
        <f t="shared" si="88"/>
        <v>167.30057656688177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3.694822225952521E-13</v>
      </c>
      <c r="AJ119" s="14">
        <f>AI119*VLOOKUP('Données projet'!$B$10,Paramètres!$A$1:$I$89,3,0)*VLOOKUP('Données projet'!$B$10,Paramètres!$A$1:$I$89,5,0)</f>
        <v>3.7465497371158569E-13</v>
      </c>
      <c r="AK119" s="14">
        <f t="shared" si="89"/>
        <v>4.8262838474208691E-12</v>
      </c>
      <c r="AL119" s="22">
        <f t="shared" si="58"/>
        <v>9.0583017801390244E-12</v>
      </c>
      <c r="AM119" s="62">
        <f t="shared" si="59"/>
        <v>293.33333333334235</v>
      </c>
      <c r="AN119" s="62">
        <f ca="1">AVERAGE(OFFSET($AM$3,0,0,'Données projet'!$E$10+1,1))-AVERAGE(OFFSET($H$3,0,0,'Données projet'!$E$10+1,1))</f>
        <v>256.45433991419372</v>
      </c>
      <c r="AO119" s="62">
        <f t="shared" si="90"/>
        <v>184.9718670682193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2.6602720026858149E-14</v>
      </c>
      <c r="BF119" s="14">
        <f t="shared" si="91"/>
        <v>4.6624771586320878E-13</v>
      </c>
      <c r="BG119" s="22">
        <f t="shared" si="61"/>
        <v>8.583811758418665E-13</v>
      </c>
      <c r="BH119" s="62">
        <f t="shared" si="62"/>
        <v>293.33333333333417</v>
      </c>
      <c r="BI119" s="62">
        <f ca="1">AVERAGE(OFFSET($BH$3,0,0,'Données projet'!$E$11+1,1))-AVERAGE(OFFSET($H$3,0,0,'Données projet'!$E$11+1,1))</f>
        <v>152.72674713084456</v>
      </c>
      <c r="BJ119" s="62">
        <f t="shared" si="92"/>
        <v>203.90215120562164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2.798646458250496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1.7637306578120904E-12</v>
      </c>
      <c r="BS119" s="24">
        <f t="shared" si="63"/>
        <v>2.7986464582522599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32.667429599999942</v>
      </c>
      <c r="D120" s="12">
        <f t="shared" si="86"/>
        <v>10.032843709851038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103.49946948226336</v>
      </c>
      <c r="H120" s="70">
        <f t="shared" si="56"/>
        <v>331.03630934799048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3.694822225952521E-13</v>
      </c>
      <c r="O120" s="14">
        <f>N120*VLOOKUP('Données projet'!$B$9,Paramètres!$A$1:$I$89,3,0)*VLOOKUP('Données projet'!$B$9,Paramètres!$A$1:$I$89,5,0)</f>
        <v>3.3430751500418408E-13</v>
      </c>
      <c r="P120" s="14">
        <f t="shared" si="87"/>
        <v>4.3640286551328835E-12</v>
      </c>
      <c r="Q120" s="22">
        <f t="shared" si="107"/>
        <v>8.1829354963220586E-12</v>
      </c>
      <c r="R120" s="62">
        <f t="shared" si="55"/>
        <v>293.3333333333415</v>
      </c>
      <c r="S120" s="62">
        <f ca="1">AVERAGE(OFFSET($R$3,0,0,'Données projet'!$E$9+1,1))-AVERAGE(OFFSET($H$3,0,0,'Données projet'!$E$9+1,1))</f>
        <v>228.905960862347</v>
      </c>
      <c r="T120" s="62">
        <f t="shared" si="88"/>
        <v>167.30057656688177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3.694822225952521E-13</v>
      </c>
      <c r="AJ120" s="14">
        <f>AI120*VLOOKUP('Données projet'!$B$10,Paramètres!$A$1:$I$89,3,0)*VLOOKUP('Données projet'!$B$10,Paramètres!$A$1:$I$89,5,0)</f>
        <v>3.7465497371158569E-13</v>
      </c>
      <c r="AK120" s="14">
        <f t="shared" si="89"/>
        <v>4.8262838474208691E-12</v>
      </c>
      <c r="AL120" s="22">
        <f t="shared" si="58"/>
        <v>9.0583017801390244E-12</v>
      </c>
      <c r="AM120" s="62">
        <f t="shared" si="59"/>
        <v>293.33333333334235</v>
      </c>
      <c r="AN120" s="62">
        <f ca="1">AVERAGE(OFFSET($AM$3,0,0,'Données projet'!$E$10+1,1))-AVERAGE(OFFSET($H$3,0,0,'Données projet'!$E$10+1,1))</f>
        <v>256.45433991419372</v>
      </c>
      <c r="AO120" s="62">
        <f t="shared" si="90"/>
        <v>184.9718670682193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2.6602720026858149E-14</v>
      </c>
      <c r="BF120" s="14">
        <f t="shared" si="91"/>
        <v>4.6624771586320878E-13</v>
      </c>
      <c r="BG120" s="22">
        <f t="shared" si="61"/>
        <v>8.583811758418665E-13</v>
      </c>
      <c r="BH120" s="62">
        <f t="shared" si="62"/>
        <v>293.33333333333417</v>
      </c>
      <c r="BI120" s="62">
        <f ca="1">AVERAGE(OFFSET($BH$3,0,0,'Données projet'!$E$11+1,1))-AVERAGE(OFFSET($H$3,0,0,'Données projet'!$E$11+1,1))</f>
        <v>152.72674713084456</v>
      </c>
      <c r="BJ120" s="62">
        <f t="shared" si="92"/>
        <v>203.90215120562164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2.7437667082099906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1.2471459083255394E-12</v>
      </c>
      <c r="BS120" s="24">
        <f t="shared" si="63"/>
        <v>2.7437667082112376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32.946638399999941</v>
      </c>
      <c r="D121" s="12">
        <f t="shared" si="86"/>
        <v>10.108575546477248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104.35979576921558</v>
      </c>
      <c r="H121" s="70">
        <f t="shared" si="56"/>
        <v>331.65449762344781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3.694822225952521E-13</v>
      </c>
      <c r="O121" s="14">
        <f>N121*VLOOKUP('Données projet'!$B$9,Paramètres!$A$1:$I$89,3,0)*VLOOKUP('Données projet'!$B$9,Paramètres!$A$1:$I$89,5,0)</f>
        <v>3.3430751500418408E-13</v>
      </c>
      <c r="P121" s="14">
        <f t="shared" si="87"/>
        <v>4.3640286551328835E-12</v>
      </c>
      <c r="Q121" s="22">
        <f t="shared" si="107"/>
        <v>8.1829354963220586E-12</v>
      </c>
      <c r="R121" s="62">
        <f t="shared" si="55"/>
        <v>293.3333333333415</v>
      </c>
      <c r="S121" s="62">
        <f ca="1">AVERAGE(OFFSET($R$3,0,0,'Données projet'!$E$9+1,1))-AVERAGE(OFFSET($H$3,0,0,'Données projet'!$E$9+1,1))</f>
        <v>228.905960862347</v>
      </c>
      <c r="T121" s="62">
        <f t="shared" si="88"/>
        <v>167.30057656688177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3.694822225952521E-13</v>
      </c>
      <c r="AJ121" s="14">
        <f>AI121*VLOOKUP('Données projet'!$B$10,Paramètres!$A$1:$I$89,3,0)*VLOOKUP('Données projet'!$B$10,Paramètres!$A$1:$I$89,5,0)</f>
        <v>3.7465497371158569E-13</v>
      </c>
      <c r="AK121" s="14">
        <f t="shared" si="89"/>
        <v>4.8262838474208691E-12</v>
      </c>
      <c r="AL121" s="22">
        <f t="shared" si="58"/>
        <v>9.0583017801390244E-12</v>
      </c>
      <c r="AM121" s="62">
        <f t="shared" si="59"/>
        <v>293.33333333334235</v>
      </c>
      <c r="AN121" s="62">
        <f ca="1">AVERAGE(OFFSET($AM$3,0,0,'Données projet'!$E$10+1,1))-AVERAGE(OFFSET($H$3,0,0,'Données projet'!$E$10+1,1))</f>
        <v>256.45433991419372</v>
      </c>
      <c r="AO121" s="62">
        <f t="shared" si="90"/>
        <v>184.9718670682193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2.6602720026858149E-14</v>
      </c>
      <c r="BF121" s="14">
        <f t="shared" si="91"/>
        <v>4.6624771586320878E-13</v>
      </c>
      <c r="BG121" s="22">
        <f t="shared" si="61"/>
        <v>8.583811758418665E-13</v>
      </c>
      <c r="BH121" s="62">
        <f t="shared" si="62"/>
        <v>293.33333333333417</v>
      </c>
      <c r="BI121" s="62">
        <f ca="1">AVERAGE(OFFSET($BH$3,0,0,'Données projet'!$E$11+1,1))-AVERAGE(OFFSET($H$3,0,0,'Données projet'!$E$11+1,1))</f>
        <v>152.72674713084456</v>
      </c>
      <c r="BJ121" s="62">
        <f t="shared" si="92"/>
        <v>203.90215120562164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2.6899631165944369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8.8186532890604529E-13</v>
      </c>
      <c r="BS121" s="24">
        <f t="shared" si="63"/>
        <v>2.6899631165953188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33.22584719999994</v>
      </c>
      <c r="D122" s="12">
        <f t="shared" si="86"/>
        <v>10.18423271402775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105.21994106880818</v>
      </c>
      <c r="H122" s="70">
        <f t="shared" si="56"/>
        <v>332.27255585026489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3.694822225952521E-13</v>
      </c>
      <c r="O122" s="14">
        <f>N122*VLOOKUP('Données projet'!$B$9,Paramètres!$A$1:$I$89,3,0)*VLOOKUP('Données projet'!$B$9,Paramètres!$A$1:$I$89,5,0)</f>
        <v>3.3430751500418408E-13</v>
      </c>
      <c r="P122" s="14">
        <f t="shared" si="87"/>
        <v>4.3640286551328835E-12</v>
      </c>
      <c r="Q122" s="22">
        <f t="shared" si="107"/>
        <v>8.1829354963220586E-12</v>
      </c>
      <c r="R122" s="62">
        <f t="shared" si="55"/>
        <v>293.3333333333415</v>
      </c>
      <c r="S122" s="62">
        <f ca="1">AVERAGE(OFFSET($R$3,0,0,'Données projet'!$E$9+1,1))-AVERAGE(OFFSET($H$3,0,0,'Données projet'!$E$9+1,1))</f>
        <v>228.905960862347</v>
      </c>
      <c r="T122" s="62">
        <f t="shared" si="88"/>
        <v>167.30057656688177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3.694822225952521E-13</v>
      </c>
      <c r="AJ122" s="14">
        <f>AI122*VLOOKUP('Données projet'!$B$10,Paramètres!$A$1:$I$89,3,0)*VLOOKUP('Données projet'!$B$10,Paramètres!$A$1:$I$89,5,0)</f>
        <v>3.7465497371158569E-13</v>
      </c>
      <c r="AK122" s="14">
        <f t="shared" si="89"/>
        <v>4.8262838474208691E-12</v>
      </c>
      <c r="AL122" s="22">
        <f t="shared" si="58"/>
        <v>9.0583017801390244E-12</v>
      </c>
      <c r="AM122" s="62">
        <f t="shared" si="59"/>
        <v>293.33333333334235</v>
      </c>
      <c r="AN122" s="62">
        <f ca="1">AVERAGE(OFFSET($AM$3,0,0,'Données projet'!$E$10+1,1))-AVERAGE(OFFSET($H$3,0,0,'Données projet'!$E$10+1,1))</f>
        <v>256.45433991419372</v>
      </c>
      <c r="AO122" s="62">
        <f t="shared" si="90"/>
        <v>184.9718670682193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2.6602720026858149E-14</v>
      </c>
      <c r="BF122" s="14">
        <f t="shared" si="91"/>
        <v>4.6624771586320878E-13</v>
      </c>
      <c r="BG122" s="22">
        <f t="shared" si="61"/>
        <v>8.583811758418665E-13</v>
      </c>
      <c r="BH122" s="62">
        <f t="shared" si="62"/>
        <v>293.33333333333417</v>
      </c>
      <c r="BI122" s="62">
        <f ca="1">AVERAGE(OFFSET($BH$3,0,0,'Données projet'!$E$11+1,1))-AVERAGE(OFFSET($H$3,0,0,'Données projet'!$E$11+1,1))</f>
        <v>152.72674713084456</v>
      </c>
      <c r="BJ122" s="62">
        <f t="shared" si="92"/>
        <v>203.90215120562164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2.6372145805935139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6.235729541627698E-13</v>
      </c>
      <c r="BS122" s="24">
        <f t="shared" si="63"/>
        <v>2.6372145805941374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33.505055999999939</v>
      </c>
      <c r="D123" s="12">
        <f t="shared" si="86"/>
        <v>10.259815912685472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106.07990707818625</v>
      </c>
      <c r="H123" s="70">
        <f t="shared" si="56"/>
        <v>332.89048524792713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3.694822225952521E-13</v>
      </c>
      <c r="O123" s="14">
        <f>N123*VLOOKUP('Données projet'!$B$9,Paramètres!$A$1:$I$89,3,0)*VLOOKUP('Données projet'!$B$9,Paramètres!$A$1:$I$89,5,0)</f>
        <v>3.3430751500418408E-13</v>
      </c>
      <c r="P123" s="14">
        <f t="shared" si="87"/>
        <v>4.3640286551328835E-12</v>
      </c>
      <c r="Q123" s="22">
        <f t="shared" si="107"/>
        <v>8.1829354963220586E-12</v>
      </c>
      <c r="R123" s="62">
        <f t="shared" si="55"/>
        <v>293.3333333333415</v>
      </c>
      <c r="S123" s="62">
        <f ca="1">AVERAGE(OFFSET($R$3,0,0,'Données projet'!$E$9+1,1))-AVERAGE(OFFSET($H$3,0,0,'Données projet'!$E$9+1,1))</f>
        <v>228.905960862347</v>
      </c>
      <c r="T123" s="62">
        <f t="shared" si="88"/>
        <v>167.30057656688177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3.694822225952521E-13</v>
      </c>
      <c r="AJ123" s="14">
        <f>AI123*VLOOKUP('Données projet'!$B$10,Paramètres!$A$1:$I$89,3,0)*VLOOKUP('Données projet'!$B$10,Paramètres!$A$1:$I$89,5,0)</f>
        <v>3.7465497371158569E-13</v>
      </c>
      <c r="AK123" s="14">
        <f t="shared" si="89"/>
        <v>4.8262838474208691E-12</v>
      </c>
      <c r="AL123" s="22">
        <f t="shared" si="58"/>
        <v>9.0583017801390244E-12</v>
      </c>
      <c r="AM123" s="62">
        <f t="shared" si="59"/>
        <v>293.33333333334235</v>
      </c>
      <c r="AN123" s="62">
        <f ca="1">AVERAGE(OFFSET($AM$3,0,0,'Données projet'!$E$10+1,1))-AVERAGE(OFFSET($H$3,0,0,'Données projet'!$E$10+1,1))</f>
        <v>256.45433991419372</v>
      </c>
      <c r="AO123" s="62">
        <f t="shared" si="90"/>
        <v>184.9718670682193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2.6602720026858149E-14</v>
      </c>
      <c r="BF123" s="14">
        <f t="shared" si="91"/>
        <v>4.6624771586320878E-13</v>
      </c>
      <c r="BG123" s="22">
        <f t="shared" si="61"/>
        <v>8.583811758418665E-13</v>
      </c>
      <c r="BH123" s="62">
        <f t="shared" si="62"/>
        <v>293.33333333333417</v>
      </c>
      <c r="BI123" s="62">
        <f ca="1">AVERAGE(OFFSET($BH$3,0,0,'Données projet'!$E$11+1,1))-AVERAGE(OFFSET($H$3,0,0,'Données projet'!$E$11+1,1))</f>
        <v>152.72674713084456</v>
      </c>
      <c r="BJ123" s="62">
        <f t="shared" si="92"/>
        <v>203.90215120562164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2.585500411210139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4.4093266445302274E-13</v>
      </c>
      <c r="BS123" s="24">
        <f t="shared" si="63"/>
        <v>2.5855004112105799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33.784264799999939</v>
      </c>
      <c r="D124" s="12">
        <f t="shared" si="86"/>
        <v>10.335325830290016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106.9396954645765</v>
      </c>
      <c r="H124" s="70">
        <f t="shared" si="56"/>
        <v>333.50828701442168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3.694822225952521E-13</v>
      </c>
      <c r="O124" s="14">
        <f>N124*VLOOKUP('Données projet'!$B$9,Paramètres!$A$1:$I$89,3,0)*VLOOKUP('Données projet'!$B$9,Paramètres!$A$1:$I$89,5,0)</f>
        <v>3.3430751500418408E-13</v>
      </c>
      <c r="P124" s="14">
        <f t="shared" si="87"/>
        <v>4.3640286551328835E-12</v>
      </c>
      <c r="Q124" s="22">
        <f t="shared" si="107"/>
        <v>8.1829354963220586E-12</v>
      </c>
      <c r="R124" s="62">
        <f t="shared" si="55"/>
        <v>293.3333333333415</v>
      </c>
      <c r="S124" s="62">
        <f ca="1">AVERAGE(OFFSET($R$3,0,0,'Données projet'!$E$9+1,1))-AVERAGE(OFFSET($H$3,0,0,'Données projet'!$E$9+1,1))</f>
        <v>228.905960862347</v>
      </c>
      <c r="T124" s="62">
        <f t="shared" si="88"/>
        <v>167.30057656688177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3.694822225952521E-13</v>
      </c>
      <c r="AJ124" s="14">
        <f>AI124*VLOOKUP('Données projet'!$B$10,Paramètres!$A$1:$I$89,3,0)*VLOOKUP('Données projet'!$B$10,Paramètres!$A$1:$I$89,5,0)</f>
        <v>3.7465497371158569E-13</v>
      </c>
      <c r="AK124" s="14">
        <f t="shared" si="89"/>
        <v>4.8262838474208691E-12</v>
      </c>
      <c r="AL124" s="22">
        <f t="shared" si="58"/>
        <v>9.0583017801390244E-12</v>
      </c>
      <c r="AM124" s="62">
        <f t="shared" si="59"/>
        <v>293.33333333334235</v>
      </c>
      <c r="AN124" s="62">
        <f ca="1">AVERAGE(OFFSET($AM$3,0,0,'Données projet'!$E$10+1,1))-AVERAGE(OFFSET($H$3,0,0,'Données projet'!$E$10+1,1))</f>
        <v>256.45433991419372</v>
      </c>
      <c r="AO124" s="62">
        <f t="shared" si="90"/>
        <v>184.9718670682193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2.6602720026858149E-14</v>
      </c>
      <c r="BF124" s="14">
        <f t="shared" si="91"/>
        <v>4.6624771586320878E-13</v>
      </c>
      <c r="BG124" s="22">
        <f t="shared" si="61"/>
        <v>8.583811758418665E-13</v>
      </c>
      <c r="BH124" s="62">
        <f t="shared" si="62"/>
        <v>293.33333333333417</v>
      </c>
      <c r="BI124" s="62">
        <f ca="1">AVERAGE(OFFSET($BH$3,0,0,'Données projet'!$E$11+1,1))-AVERAGE(OFFSET($H$3,0,0,'Données projet'!$E$11+1,1))</f>
        <v>152.72674713084456</v>
      </c>
      <c r="BJ124" s="62">
        <f t="shared" si="92"/>
        <v>203.90215120562164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2.5348003251458433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3.1178647708138495E-13</v>
      </c>
      <c r="BS124" s="24">
        <f t="shared" si="63"/>
        <v>2.5348003251461551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34.063473599999938</v>
      </c>
      <c r="D125" s="12">
        <f t="shared" si="86"/>
        <v>10.410763142655419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107.79930786605728</v>
      </c>
      <c r="H125" s="70">
        <f t="shared" si="56"/>
        <v>334.12596232679141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3.694822225952521E-13</v>
      </c>
      <c r="O125" s="14">
        <f>N125*VLOOKUP('Données projet'!$B$9,Paramètres!$A$1:$I$89,3,0)*VLOOKUP('Données projet'!$B$9,Paramètres!$A$1:$I$89,5,0)</f>
        <v>3.3430751500418408E-13</v>
      </c>
      <c r="P125" s="14">
        <f t="shared" si="87"/>
        <v>4.3640286551328835E-12</v>
      </c>
      <c r="Q125" s="22">
        <f t="shared" si="107"/>
        <v>8.1829354963220586E-12</v>
      </c>
      <c r="R125" s="62">
        <f t="shared" si="55"/>
        <v>293.3333333333415</v>
      </c>
      <c r="S125" s="62">
        <f ca="1">AVERAGE(OFFSET($R$3,0,0,'Données projet'!$E$9+1,1))-AVERAGE(OFFSET($H$3,0,0,'Données projet'!$E$9+1,1))</f>
        <v>228.905960862347</v>
      </c>
      <c r="T125" s="62">
        <f t="shared" si="88"/>
        <v>167.30057656688177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3.694822225952521E-13</v>
      </c>
      <c r="AJ125" s="14">
        <f>AI125*VLOOKUP('Données projet'!$B$10,Paramètres!$A$1:$I$89,3,0)*VLOOKUP('Données projet'!$B$10,Paramètres!$A$1:$I$89,5,0)</f>
        <v>3.7465497371158569E-13</v>
      </c>
      <c r="AK125" s="14">
        <f t="shared" si="89"/>
        <v>4.8262838474208691E-12</v>
      </c>
      <c r="AL125" s="22">
        <f t="shared" si="58"/>
        <v>9.0583017801390244E-12</v>
      </c>
      <c r="AM125" s="62">
        <f t="shared" si="59"/>
        <v>293.33333333334235</v>
      </c>
      <c r="AN125" s="62">
        <f ca="1">AVERAGE(OFFSET($AM$3,0,0,'Données projet'!$E$10+1,1))-AVERAGE(OFFSET($H$3,0,0,'Données projet'!$E$10+1,1))</f>
        <v>256.45433991419372</v>
      </c>
      <c r="AO125" s="62">
        <f t="shared" si="90"/>
        <v>184.9718670682193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2.6602720026858149E-14</v>
      </c>
      <c r="BF125" s="14">
        <f t="shared" si="91"/>
        <v>4.6624771586320878E-13</v>
      </c>
      <c r="BG125" s="22">
        <f t="shared" si="61"/>
        <v>8.583811758418665E-13</v>
      </c>
      <c r="BH125" s="62">
        <f t="shared" si="62"/>
        <v>293.33333333333417</v>
      </c>
      <c r="BI125" s="62">
        <f ca="1">AVERAGE(OFFSET($BH$3,0,0,'Données projet'!$E$11+1,1))-AVERAGE(OFFSET($H$3,0,0,'Données projet'!$E$11+1,1))</f>
        <v>152.72674713084456</v>
      </c>
      <c r="BJ125" s="62">
        <f t="shared" si="92"/>
        <v>203.90215120562164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2.4850944368452694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2.204663322265114E-13</v>
      </c>
      <c r="BS125" s="24">
        <f t="shared" si="63"/>
        <v>2.4850944368454897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34.342682399999937</v>
      </c>
      <c r="D126" s="12">
        <f t="shared" si="86"/>
        <v>10.486128513877212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108.65874589230293</v>
      </c>
      <c r="H126" s="70">
        <f t="shared" si="56"/>
        <v>334.74351234166937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3.694822225952521E-13</v>
      </c>
      <c r="O126" s="14">
        <f>N126*VLOOKUP('Données projet'!$B$9,Paramètres!$A$1:$I$89,3,0)*VLOOKUP('Données projet'!$B$9,Paramètres!$A$1:$I$89,5,0)</f>
        <v>3.3430751500418408E-13</v>
      </c>
      <c r="P126" s="14">
        <f t="shared" si="87"/>
        <v>4.3640286551328835E-12</v>
      </c>
      <c r="Q126" s="22">
        <f t="shared" si="107"/>
        <v>8.1829354963220586E-12</v>
      </c>
      <c r="R126" s="62">
        <f t="shared" si="55"/>
        <v>293.3333333333415</v>
      </c>
      <c r="S126" s="62">
        <f ca="1">AVERAGE(OFFSET($R$3,0,0,'Données projet'!$E$9+1,1))-AVERAGE(OFFSET($H$3,0,0,'Données projet'!$E$9+1,1))</f>
        <v>228.905960862347</v>
      </c>
      <c r="T126" s="62">
        <f t="shared" si="88"/>
        <v>167.30057656688177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3.694822225952521E-13</v>
      </c>
      <c r="AJ126" s="14">
        <f>AI126*VLOOKUP('Données projet'!$B$10,Paramètres!$A$1:$I$89,3,0)*VLOOKUP('Données projet'!$B$10,Paramètres!$A$1:$I$89,5,0)</f>
        <v>3.7465497371158569E-13</v>
      </c>
      <c r="AK126" s="14">
        <f t="shared" si="89"/>
        <v>4.8262838474208691E-12</v>
      </c>
      <c r="AL126" s="22">
        <f t="shared" si="58"/>
        <v>9.0583017801390244E-12</v>
      </c>
      <c r="AM126" s="62">
        <f t="shared" si="59"/>
        <v>293.33333333334235</v>
      </c>
      <c r="AN126" s="62">
        <f ca="1">AVERAGE(OFFSET($AM$3,0,0,'Données projet'!$E$10+1,1))-AVERAGE(OFFSET($H$3,0,0,'Données projet'!$E$10+1,1))</f>
        <v>256.45433991419372</v>
      </c>
      <c r="AO126" s="62">
        <f t="shared" si="90"/>
        <v>184.9718670682193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2.6602720026858149E-14</v>
      </c>
      <c r="BF126" s="14">
        <f t="shared" si="91"/>
        <v>4.6624771586320878E-13</v>
      </c>
      <c r="BG126" s="22">
        <f t="shared" si="61"/>
        <v>8.583811758418665E-13</v>
      </c>
      <c r="BH126" s="62">
        <f t="shared" si="62"/>
        <v>293.33333333333417</v>
      </c>
      <c r="BI126" s="62">
        <f ca="1">AVERAGE(OFFSET($BH$3,0,0,'Données projet'!$E$11+1,1))-AVERAGE(OFFSET($H$3,0,0,'Données projet'!$E$11+1,1))</f>
        <v>152.72674713084456</v>
      </c>
      <c r="BJ126" s="62">
        <f t="shared" si="92"/>
        <v>203.90215120562164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2.4363632506966715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1.558932385406925E-13</v>
      </c>
      <c r="BS126" s="24">
        <f t="shared" si="63"/>
        <v>2.4363632506968274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34.621891199999936</v>
      </c>
      <c r="D127" s="12">
        <f t="shared" si="86"/>
        <v>10.56142259662918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109.51801112530315</v>
      </c>
      <c r="H127" s="70">
        <f t="shared" si="56"/>
        <v>335.36093819579571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3.694822225952521E-13</v>
      </c>
      <c r="O127" s="14">
        <f>N127*VLOOKUP('Données projet'!$B$9,Paramètres!$A$1:$I$89,3,0)*VLOOKUP('Données projet'!$B$9,Paramètres!$A$1:$I$89,5,0)</f>
        <v>3.3430751500418408E-13</v>
      </c>
      <c r="P127" s="14">
        <f t="shared" si="87"/>
        <v>4.3640286551328835E-12</v>
      </c>
      <c r="Q127" s="22">
        <f t="shared" si="107"/>
        <v>8.1829354963220586E-12</v>
      </c>
      <c r="R127" s="62">
        <f t="shared" si="55"/>
        <v>293.3333333333415</v>
      </c>
      <c r="S127" s="62">
        <f ca="1">AVERAGE(OFFSET($R$3,0,0,'Données projet'!$E$9+1,1))-AVERAGE(OFFSET($H$3,0,0,'Données projet'!$E$9+1,1))</f>
        <v>228.905960862347</v>
      </c>
      <c r="T127" s="62">
        <f t="shared" si="88"/>
        <v>167.30057656688177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3.694822225952521E-13</v>
      </c>
      <c r="AJ127" s="14">
        <f>AI127*VLOOKUP('Données projet'!$B$10,Paramètres!$A$1:$I$89,3,0)*VLOOKUP('Données projet'!$B$10,Paramètres!$A$1:$I$89,5,0)</f>
        <v>3.7465497371158569E-13</v>
      </c>
      <c r="AK127" s="14">
        <f t="shared" si="89"/>
        <v>4.8262838474208691E-12</v>
      </c>
      <c r="AL127" s="22">
        <f t="shared" si="58"/>
        <v>9.0583017801390244E-12</v>
      </c>
      <c r="AM127" s="62">
        <f t="shared" si="59"/>
        <v>293.33333333334235</v>
      </c>
      <c r="AN127" s="62">
        <f ca="1">AVERAGE(OFFSET($AM$3,0,0,'Données projet'!$E$10+1,1))-AVERAGE(OFFSET($H$3,0,0,'Données projet'!$E$10+1,1))</f>
        <v>256.45433991419372</v>
      </c>
      <c r="AO127" s="62">
        <f t="shared" si="90"/>
        <v>184.9718670682193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2.6602720026858149E-14</v>
      </c>
      <c r="BF127" s="14">
        <f t="shared" si="91"/>
        <v>4.6624771586320878E-13</v>
      </c>
      <c r="BG127" s="22">
        <f t="shared" si="61"/>
        <v>8.583811758418665E-13</v>
      </c>
      <c r="BH127" s="62">
        <f t="shared" si="62"/>
        <v>293.33333333333417</v>
      </c>
      <c r="BI127" s="62">
        <f ca="1">AVERAGE(OFFSET($BH$3,0,0,'Données projet'!$E$11+1,1))-AVERAGE(OFFSET($H$3,0,0,'Données projet'!$E$11+1,1))</f>
        <v>152.72674713084456</v>
      </c>
      <c r="BJ127" s="62">
        <f t="shared" si="92"/>
        <v>203.90215120562164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2.3885876533853589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1.1023316611325571E-13</v>
      </c>
      <c r="BS127" s="24">
        <f t="shared" si="63"/>
        <v>2.3885876533854691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34.901099999999936</v>
      </c>
      <c r="D128" s="12">
        <f t="shared" si="86"/>
        <v>10.636646032450342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110.37710512005845</v>
      </c>
      <c r="H128" s="70">
        <f t="shared" si="56"/>
        <v>335.97824100651758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3.694822225952521E-13</v>
      </c>
      <c r="O128" s="14">
        <f>N128*VLOOKUP('Données projet'!$B$9,Paramètres!$A$1:$I$89,3,0)*VLOOKUP('Données projet'!$B$9,Paramètres!$A$1:$I$89,5,0)</f>
        <v>3.3430751500418408E-13</v>
      </c>
      <c r="P128" s="14">
        <f t="shared" si="87"/>
        <v>4.3640286551328835E-12</v>
      </c>
      <c r="Q128" s="22">
        <f t="shared" si="107"/>
        <v>8.1829354963220586E-12</v>
      </c>
      <c r="R128" s="62">
        <f t="shared" si="55"/>
        <v>293.3333333333415</v>
      </c>
      <c r="S128" s="62">
        <f ca="1">AVERAGE(OFFSET($R$3,0,0,'Données projet'!$E$9+1,1))-AVERAGE(OFFSET($H$3,0,0,'Données projet'!$E$9+1,1))</f>
        <v>228.905960862347</v>
      </c>
      <c r="T128" s="62">
        <f t="shared" si="88"/>
        <v>167.30057656688177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3.694822225952521E-13</v>
      </c>
      <c r="AJ128" s="14">
        <f>AI128*VLOOKUP('Données projet'!$B$10,Paramètres!$A$1:$I$89,3,0)*VLOOKUP('Données projet'!$B$10,Paramètres!$A$1:$I$89,5,0)</f>
        <v>3.7465497371158569E-13</v>
      </c>
      <c r="AK128" s="14">
        <f t="shared" si="89"/>
        <v>4.8262838474208691E-12</v>
      </c>
      <c r="AL128" s="22">
        <f t="shared" si="58"/>
        <v>9.0583017801390244E-12</v>
      </c>
      <c r="AM128" s="62">
        <f t="shared" si="59"/>
        <v>293.33333333334235</v>
      </c>
      <c r="AN128" s="62">
        <f ca="1">AVERAGE(OFFSET($AM$3,0,0,'Données projet'!$E$10+1,1))-AVERAGE(OFFSET($H$3,0,0,'Données projet'!$E$10+1,1))</f>
        <v>256.45433991419372</v>
      </c>
      <c r="AO128" s="62">
        <f t="shared" si="90"/>
        <v>184.9718670682193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2.6602720026858149E-14</v>
      </c>
      <c r="BF128" s="14">
        <f t="shared" si="91"/>
        <v>4.6624771586320878E-13</v>
      </c>
      <c r="BG128" s="22">
        <f t="shared" si="61"/>
        <v>8.583811758418665E-13</v>
      </c>
      <c r="BH128" s="62">
        <f t="shared" si="62"/>
        <v>293.33333333333417</v>
      </c>
      <c r="BI128" s="62">
        <f ca="1">AVERAGE(OFFSET($BH$3,0,0,'Données projet'!$E$11+1,1))-AVERAGE(OFFSET($H$3,0,0,'Données projet'!$E$11+1,1))</f>
        <v>152.72674713084456</v>
      </c>
      <c r="BJ128" s="62">
        <f t="shared" si="92"/>
        <v>203.90215120562164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2.3417489063970844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7.7946619270346262E-14</v>
      </c>
      <c r="BS128" s="24">
        <f t="shared" si="63"/>
        <v>2.3417489063971626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35.180308799999935</v>
      </c>
      <c r="D129" s="12">
        <f t="shared" si="86"/>
        <v>10.711799452022365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111.23602940525267</v>
      </c>
      <c r="H129" s="70">
        <f t="shared" si="56"/>
        <v>336.5954218722722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3.694822225952521E-13</v>
      </c>
      <c r="O129" s="14">
        <f>N129*VLOOKUP('Données projet'!$B$9,Paramètres!$A$1:$I$89,3,0)*VLOOKUP('Données projet'!$B$9,Paramètres!$A$1:$I$89,5,0)</f>
        <v>3.3430751500418408E-13</v>
      </c>
      <c r="P129" s="14">
        <f t="shared" si="87"/>
        <v>4.3640286551328835E-12</v>
      </c>
      <c r="Q129" s="22">
        <f t="shared" si="107"/>
        <v>8.1829354963220586E-12</v>
      </c>
      <c r="R129" s="62">
        <f t="shared" si="55"/>
        <v>293.3333333333415</v>
      </c>
      <c r="S129" s="62">
        <f ca="1">AVERAGE(OFFSET($R$3,0,0,'Données projet'!$E$9+1,1))-AVERAGE(OFFSET($H$3,0,0,'Données projet'!$E$9+1,1))</f>
        <v>228.905960862347</v>
      </c>
      <c r="T129" s="62">
        <f t="shared" si="88"/>
        <v>167.30057656688177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3.694822225952521E-13</v>
      </c>
      <c r="AJ129" s="14">
        <f>AI129*VLOOKUP('Données projet'!$B$10,Paramètres!$A$1:$I$89,3,0)*VLOOKUP('Données projet'!$B$10,Paramètres!$A$1:$I$89,5,0)</f>
        <v>3.7465497371158569E-13</v>
      </c>
      <c r="AK129" s="14">
        <f t="shared" si="89"/>
        <v>4.8262838474208691E-12</v>
      </c>
      <c r="AL129" s="22">
        <f t="shared" si="58"/>
        <v>9.0583017801390244E-12</v>
      </c>
      <c r="AM129" s="62">
        <f t="shared" si="59"/>
        <v>293.33333333334235</v>
      </c>
      <c r="AN129" s="62">
        <f ca="1">AVERAGE(OFFSET($AM$3,0,0,'Données projet'!$E$10+1,1))-AVERAGE(OFFSET($H$3,0,0,'Données projet'!$E$10+1,1))</f>
        <v>256.45433991419372</v>
      </c>
      <c r="AO129" s="62">
        <f t="shared" si="90"/>
        <v>184.9718670682193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2.6602720026858149E-14</v>
      </c>
      <c r="BF129" s="14">
        <f t="shared" si="91"/>
        <v>4.6624771586320878E-13</v>
      </c>
      <c r="BG129" s="22">
        <f t="shared" si="61"/>
        <v>8.583811758418665E-13</v>
      </c>
      <c r="BH129" s="62">
        <f t="shared" si="62"/>
        <v>293.33333333333417</v>
      </c>
      <c r="BI129" s="62">
        <f ca="1">AVERAGE(OFFSET($BH$3,0,0,'Données projet'!$E$11+1,1))-AVERAGE(OFFSET($H$3,0,0,'Données projet'!$E$11+1,1))</f>
        <v>152.72674713084456</v>
      </c>
      <c r="BJ129" s="62">
        <f t="shared" si="92"/>
        <v>203.90215120562164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2.2958286386684352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5.5116583056627868E-14</v>
      </c>
      <c r="BS129" s="24">
        <f t="shared" si="63"/>
        <v>2.2958286386684903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35.459517599999934</v>
      </c>
      <c r="D130" s="12">
        <f t="shared" si="86"/>
        <v>10.786883475438062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112.09478548390375</v>
      </c>
      <c r="H130" s="70">
        <f t="shared" si="56"/>
        <v>337.21248187305451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3.694822225952521E-13</v>
      </c>
      <c r="O130" s="14">
        <f>N130*VLOOKUP('Données projet'!$B$9,Paramètres!$A$1:$I$89,3,0)*VLOOKUP('Données projet'!$B$9,Paramètres!$A$1:$I$89,5,0)</f>
        <v>3.3430751500418408E-13</v>
      </c>
      <c r="P130" s="14">
        <f t="shared" si="87"/>
        <v>4.3640286551328835E-12</v>
      </c>
      <c r="Q130" s="22">
        <f t="shared" si="107"/>
        <v>8.1829354963220586E-12</v>
      </c>
      <c r="R130" s="62">
        <f t="shared" si="55"/>
        <v>293.3333333333415</v>
      </c>
      <c r="S130" s="62">
        <f ca="1">AVERAGE(OFFSET($R$3,0,0,'Données projet'!$E$9+1,1))-AVERAGE(OFFSET($H$3,0,0,'Données projet'!$E$9+1,1))</f>
        <v>228.905960862347</v>
      </c>
      <c r="T130" s="62">
        <f t="shared" si="88"/>
        <v>167.30057656688177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3.694822225952521E-13</v>
      </c>
      <c r="AJ130" s="14">
        <f>AI130*VLOOKUP('Données projet'!$B$10,Paramètres!$A$1:$I$89,3,0)*VLOOKUP('Données projet'!$B$10,Paramètres!$A$1:$I$89,5,0)</f>
        <v>3.7465497371158569E-13</v>
      </c>
      <c r="AK130" s="14">
        <f t="shared" si="89"/>
        <v>4.8262838474208691E-12</v>
      </c>
      <c r="AL130" s="22">
        <f t="shared" si="58"/>
        <v>9.0583017801390244E-12</v>
      </c>
      <c r="AM130" s="62">
        <f t="shared" si="59"/>
        <v>293.33333333334235</v>
      </c>
      <c r="AN130" s="62">
        <f ca="1">AVERAGE(OFFSET($AM$3,0,0,'Données projet'!$E$10+1,1))-AVERAGE(OFFSET($H$3,0,0,'Données projet'!$E$10+1,1))</f>
        <v>256.45433991419372</v>
      </c>
      <c r="AO130" s="62">
        <f t="shared" si="90"/>
        <v>184.9718670682193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2.6602720026858149E-14</v>
      </c>
      <c r="BF130" s="14">
        <f t="shared" si="91"/>
        <v>4.6624771586320878E-13</v>
      </c>
      <c r="BG130" s="22">
        <f t="shared" si="61"/>
        <v>8.583811758418665E-13</v>
      </c>
      <c r="BH130" s="62">
        <f t="shared" si="62"/>
        <v>293.33333333333417</v>
      </c>
      <c r="BI130" s="62">
        <f ca="1">AVERAGE(OFFSET($BH$3,0,0,'Données projet'!$E$11+1,1))-AVERAGE(OFFSET($H$3,0,0,'Données projet'!$E$11+1,1))</f>
        <v>152.72674713084456</v>
      </c>
      <c r="BJ130" s="62">
        <f t="shared" si="92"/>
        <v>203.90215120562164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2.2508088393813468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3.8973309635173138E-14</v>
      </c>
      <c r="BS130" s="24">
        <f t="shared" si="63"/>
        <v>2.2508088393813859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35.738726399999933</v>
      </c>
      <c r="D131" s="12">
        <f t="shared" si="86"/>
        <v>10.861898712461063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112.95337483399318</v>
      </c>
      <c r="H131" s="70">
        <f t="shared" si="56"/>
        <v>337.82942207086955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3.694822225952521E-13</v>
      </c>
      <c r="O131" s="14">
        <f>N131*VLOOKUP('Données projet'!$B$9,Paramètres!$A$1:$I$89,3,0)*VLOOKUP('Données projet'!$B$9,Paramètres!$A$1:$I$89,5,0)</f>
        <v>3.3430751500418408E-13</v>
      </c>
      <c r="P131" s="14">
        <f t="shared" si="87"/>
        <v>4.3640286551328835E-12</v>
      </c>
      <c r="Q131" s="22">
        <f t="shared" ref="Q131:Q153" si="108">(O131+P131)*0.475*44/12</f>
        <v>8.1829354963220586E-12</v>
      </c>
      <c r="R131" s="62">
        <f t="shared" ref="R131:R194" si="109">Q131+(I131+J131)*44/12</f>
        <v>293.3333333333415</v>
      </c>
      <c r="S131" s="62">
        <f ca="1">AVERAGE(OFFSET($R$3,0,0,'Données projet'!$E$9+1,1))-AVERAGE(OFFSET($H$3,0,0,'Données projet'!$E$9+1,1))</f>
        <v>228.905960862347</v>
      </c>
      <c r="T131" s="62">
        <f t="shared" si="88"/>
        <v>167.30057656688177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3.694822225952521E-13</v>
      </c>
      <c r="AJ131" s="14">
        <f>AI131*VLOOKUP('Données projet'!$B$10,Paramètres!$A$1:$I$89,3,0)*VLOOKUP('Données projet'!$B$10,Paramètres!$A$1:$I$89,5,0)</f>
        <v>3.7465497371158569E-13</v>
      </c>
      <c r="AK131" s="14">
        <f t="shared" si="89"/>
        <v>4.8262838474208691E-12</v>
      </c>
      <c r="AL131" s="22">
        <f t="shared" si="58"/>
        <v>9.0583017801390244E-12</v>
      </c>
      <c r="AM131" s="62">
        <f t="shared" si="59"/>
        <v>293.33333333334235</v>
      </c>
      <c r="AN131" s="62">
        <f ca="1">AVERAGE(OFFSET($AM$3,0,0,'Données projet'!$E$10+1,1))-AVERAGE(OFFSET($H$3,0,0,'Données projet'!$E$10+1,1))</f>
        <v>256.45433991419372</v>
      </c>
      <c r="AO131" s="62">
        <f t="shared" si="90"/>
        <v>184.9718670682193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2.6602720026858149E-14</v>
      </c>
      <c r="BF131" s="14">
        <f t="shared" si="91"/>
        <v>4.6624771586320878E-13</v>
      </c>
      <c r="BG131" s="22">
        <f t="shared" si="61"/>
        <v>8.583811758418665E-13</v>
      </c>
      <c r="BH131" s="62">
        <f t="shared" si="62"/>
        <v>293.33333333333417</v>
      </c>
      <c r="BI131" s="62">
        <f ca="1">AVERAGE(OFFSET($BH$3,0,0,'Données projet'!$E$11+1,1))-AVERAGE(OFFSET($H$3,0,0,'Données projet'!$E$11+1,1))</f>
        <v>152.72674713084456</v>
      </c>
      <c r="BJ131" s="62">
        <f t="shared" si="92"/>
        <v>203.90215120562164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2.2066718508989123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2.7558291528313937E-14</v>
      </c>
      <c r="BS131" s="24">
        <f t="shared" si="63"/>
        <v>2.2066718508989398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36.017935199999933</v>
      </c>
      <c r="D132" s="12">
        <f t="shared" si="86"/>
        <v>10.93684576277723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113.81179890907532</v>
      </c>
      <c r="H132" s="70">
        <f t="shared" ref="H132:H195" si="110">(B132+E132+F132)*44/12+(C132+D132)*0.475*44/12</f>
        <v>338.44624351017023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3.694822225952521E-13</v>
      </c>
      <c r="O132" s="14">
        <f>N132*VLOOKUP('Données projet'!$B$9,Paramètres!$A$1:$I$89,3,0)*VLOOKUP('Données projet'!$B$9,Paramètres!$A$1:$I$89,5,0)</f>
        <v>3.3430751500418408E-13</v>
      </c>
      <c r="P132" s="14">
        <f t="shared" si="87"/>
        <v>4.3640286551328835E-12</v>
      </c>
      <c r="Q132" s="22">
        <f t="shared" si="108"/>
        <v>8.1829354963220586E-12</v>
      </c>
      <c r="R132" s="62">
        <f t="shared" si="109"/>
        <v>293.3333333333415</v>
      </c>
      <c r="S132" s="62">
        <f ca="1">AVERAGE(OFFSET($R$3,0,0,'Données projet'!$E$9+1,1))-AVERAGE(OFFSET($H$3,0,0,'Données projet'!$E$9+1,1))</f>
        <v>228.905960862347</v>
      </c>
      <c r="T132" s="62">
        <f t="shared" si="88"/>
        <v>167.30057656688177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3.694822225952521E-13</v>
      </c>
      <c r="AJ132" s="14">
        <f>AI132*VLOOKUP('Données projet'!$B$10,Paramètres!$A$1:$I$89,3,0)*VLOOKUP('Données projet'!$B$10,Paramètres!$A$1:$I$89,5,0)</f>
        <v>3.7465497371158569E-13</v>
      </c>
      <c r="AK132" s="14">
        <f t="shared" si="89"/>
        <v>4.8262838474208691E-12</v>
      </c>
      <c r="AL132" s="22">
        <f t="shared" ref="AL132:AL153" si="112">(AJ132+AK132)*0.475*44/12</f>
        <v>9.0583017801390244E-12</v>
      </c>
      <c r="AM132" s="62">
        <f t="shared" ref="AM132:AM195" si="113">AL132+(AD132+AE132)*44/12</f>
        <v>293.33333333334235</v>
      </c>
      <c r="AN132" s="62">
        <f ca="1">AVERAGE(OFFSET($AM$3,0,0,'Données projet'!$E$10+1,1))-AVERAGE(OFFSET($H$3,0,0,'Données projet'!$E$10+1,1))</f>
        <v>256.45433991419372</v>
      </c>
      <c r="AO132" s="62">
        <f t="shared" si="90"/>
        <v>184.9718670682193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2.6602720026858149E-14</v>
      </c>
      <c r="BF132" s="14">
        <f t="shared" si="91"/>
        <v>4.6624771586320878E-13</v>
      </c>
      <c r="BG132" s="22">
        <f t="shared" ref="BG132:BG153" si="115">(BE132+BF132)*0.475*44/12</f>
        <v>8.583811758418665E-13</v>
      </c>
      <c r="BH132" s="62">
        <f t="shared" ref="BH132:BH195" si="116">BG132+(AY132+AZ132)*44/12</f>
        <v>293.33333333333417</v>
      </c>
      <c r="BI132" s="62">
        <f ca="1">AVERAGE(OFFSET($BH$3,0,0,'Données projet'!$E$11+1,1))-AVERAGE(OFFSET($H$3,0,0,'Données projet'!$E$11+1,1))</f>
        <v>152.72674713084456</v>
      </c>
      <c r="BJ132" s="62">
        <f t="shared" si="92"/>
        <v>203.90215120562164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2.1634003618397135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1.9486654817586572E-14</v>
      </c>
      <c r="BS132" s="24">
        <f t="shared" ref="BS132:BS153" si="117">SUM(BP132:BR132)</f>
        <v>2.1634003618397331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36.297143999999932</v>
      </c>
      <c r="D133" s="12">
        <f t="shared" ref="D133:D196" si="140">IFERROR(EXP(-1.0587+0.8836*LN(C133)+0.284),0)</f>
        <v>11.011725216237989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114.67005913886722</v>
      </c>
      <c r="H133" s="70">
        <f t="shared" si="110"/>
        <v>339.06294721828107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3.694822225952521E-13</v>
      </c>
      <c r="O133" s="14">
        <f>N133*VLOOKUP('Données projet'!$B$9,Paramètres!$A$1:$I$89,3,0)*VLOOKUP('Données projet'!$B$9,Paramètres!$A$1:$I$89,5,0)</f>
        <v>3.3430751500418408E-13</v>
      </c>
      <c r="P133" s="14">
        <f t="shared" ref="P133:P196" si="141">EXP(-1.0587+0.8836*LN(O133)+0.284)</f>
        <v>4.3640286551328835E-12</v>
      </c>
      <c r="Q133" s="22">
        <f t="shared" si="108"/>
        <v>8.1829354963220586E-12</v>
      </c>
      <c r="R133" s="62">
        <f t="shared" si="109"/>
        <v>293.3333333333415</v>
      </c>
      <c r="S133" s="62">
        <f ca="1">AVERAGE(OFFSET($R$3,0,0,'Données projet'!$E$9+1,1))-AVERAGE(OFFSET($H$3,0,0,'Données projet'!$E$9+1,1))</f>
        <v>228.905960862347</v>
      </c>
      <c r="T133" s="62">
        <f t="shared" ref="T133:T196" si="142">$T$3</f>
        <v>167.30057656688177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3.694822225952521E-13</v>
      </c>
      <c r="AJ133" s="14">
        <f>AI133*VLOOKUP('Données projet'!$B$10,Paramètres!$A$1:$I$89,3,0)*VLOOKUP('Données projet'!$B$10,Paramètres!$A$1:$I$89,5,0)</f>
        <v>3.7465497371158569E-13</v>
      </c>
      <c r="AK133" s="14">
        <f t="shared" ref="AK133:AK153" si="143">EXP(-1.0587+0.8836*LN(AJ133)+0.284)</f>
        <v>4.8262838474208691E-12</v>
      </c>
      <c r="AL133" s="22">
        <f t="shared" si="112"/>
        <v>9.0583017801390244E-12</v>
      </c>
      <c r="AM133" s="62">
        <f t="shared" si="113"/>
        <v>293.33333333334235</v>
      </c>
      <c r="AN133" s="62">
        <f ca="1">AVERAGE(OFFSET($AM$3,0,0,'Données projet'!$E$10+1,1))-AVERAGE(OFFSET($H$3,0,0,'Données projet'!$E$10+1,1))</f>
        <v>256.45433991419372</v>
      </c>
      <c r="AO133" s="62">
        <f t="shared" ref="AO133:AO196" si="144">$AO$3</f>
        <v>184.9718670682193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2.6602720026858149E-14</v>
      </c>
      <c r="BF133" s="14">
        <f t="shared" ref="BF133:BF153" si="145">EXP(-1.0587+0.8836*LN(BE133)+0.284)</f>
        <v>4.6624771586320878E-13</v>
      </c>
      <c r="BG133" s="22">
        <f t="shared" si="115"/>
        <v>8.583811758418665E-13</v>
      </c>
      <c r="BH133" s="62">
        <f t="shared" si="116"/>
        <v>293.33333333333417</v>
      </c>
      <c r="BI133" s="62">
        <f ca="1">AVERAGE(OFFSET($BH$3,0,0,'Données projet'!$E$11+1,1))-AVERAGE(OFFSET($H$3,0,0,'Données projet'!$E$11+1,1))</f>
        <v>152.72674713084456</v>
      </c>
      <c r="BJ133" s="62">
        <f t="shared" ref="BJ133:BJ196" si="146">$BJ$3</f>
        <v>203.90215120562164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2.1209774002879631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1.3779145764156972E-14</v>
      </c>
      <c r="BS133" s="24">
        <f t="shared" si="117"/>
        <v>2.1209774002879769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36.576352799999931</v>
      </c>
      <c r="D134" s="12">
        <f t="shared" si="140"/>
        <v>11.086537653096023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115.52815692981996</v>
      </c>
      <c r="H134" s="70">
        <f t="shared" si="110"/>
        <v>339.67953420580881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3.694822225952521E-13</v>
      </c>
      <c r="O134" s="14">
        <f>N134*VLOOKUP('Données projet'!$B$9,Paramètres!$A$1:$I$89,3,0)*VLOOKUP('Données projet'!$B$9,Paramètres!$A$1:$I$89,5,0)</f>
        <v>3.3430751500418408E-13</v>
      </c>
      <c r="P134" s="14">
        <f t="shared" si="141"/>
        <v>4.3640286551328835E-12</v>
      </c>
      <c r="Q134" s="22">
        <f t="shared" si="108"/>
        <v>8.1829354963220586E-12</v>
      </c>
      <c r="R134" s="62">
        <f t="shared" si="109"/>
        <v>293.3333333333415</v>
      </c>
      <c r="S134" s="62">
        <f ca="1">AVERAGE(OFFSET($R$3,0,0,'Données projet'!$E$9+1,1))-AVERAGE(OFFSET($H$3,0,0,'Données projet'!$E$9+1,1))</f>
        <v>228.905960862347</v>
      </c>
      <c r="T134" s="62">
        <f t="shared" si="142"/>
        <v>167.30057656688177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3.694822225952521E-13</v>
      </c>
      <c r="AJ134" s="14">
        <f>AI134*VLOOKUP('Données projet'!$B$10,Paramètres!$A$1:$I$89,3,0)*VLOOKUP('Données projet'!$B$10,Paramètres!$A$1:$I$89,5,0)</f>
        <v>3.7465497371158569E-13</v>
      </c>
      <c r="AK134" s="14">
        <f t="shared" si="143"/>
        <v>4.8262838474208691E-12</v>
      </c>
      <c r="AL134" s="22">
        <f t="shared" si="112"/>
        <v>9.0583017801390244E-12</v>
      </c>
      <c r="AM134" s="62">
        <f t="shared" si="113"/>
        <v>293.33333333334235</v>
      </c>
      <c r="AN134" s="62">
        <f ca="1">AVERAGE(OFFSET($AM$3,0,0,'Données projet'!$E$10+1,1))-AVERAGE(OFFSET($H$3,0,0,'Données projet'!$E$10+1,1))</f>
        <v>256.45433991419372</v>
      </c>
      <c r="AO134" s="62">
        <f t="shared" si="144"/>
        <v>184.9718670682193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2.6602720026858149E-14</v>
      </c>
      <c r="BF134" s="14">
        <f t="shared" si="145"/>
        <v>4.6624771586320878E-13</v>
      </c>
      <c r="BG134" s="22">
        <f t="shared" si="115"/>
        <v>8.583811758418665E-13</v>
      </c>
      <c r="BH134" s="62">
        <f t="shared" si="116"/>
        <v>293.33333333333417</v>
      </c>
      <c r="BI134" s="62">
        <f ca="1">AVERAGE(OFFSET($BH$3,0,0,'Données projet'!$E$11+1,1))-AVERAGE(OFFSET($H$3,0,0,'Données projet'!$E$11+1,1))</f>
        <v>152.72674713084456</v>
      </c>
      <c r="BJ134" s="62">
        <f t="shared" si="146"/>
        <v>203.90215120562164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2.0793863271367914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9.7433274087932875E-15</v>
      </c>
      <c r="BS134" s="24">
        <f t="shared" si="117"/>
        <v>2.0793863271368012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36.85556159999993</v>
      </c>
      <c r="D135" s="12">
        <f t="shared" si="140"/>
        <v>11.161283644233487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116.38609366567175</v>
      </c>
      <c r="H135" s="70">
        <f t="shared" si="110"/>
        <v>340.29600546703989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3.694822225952521E-13</v>
      </c>
      <c r="O135" s="14">
        <f>N135*VLOOKUP('Données projet'!$B$9,Paramètres!$A$1:$I$89,3,0)*VLOOKUP('Données projet'!$B$9,Paramètres!$A$1:$I$89,5,0)</f>
        <v>3.3430751500418408E-13</v>
      </c>
      <c r="P135" s="14">
        <f t="shared" si="141"/>
        <v>4.3640286551328835E-12</v>
      </c>
      <c r="Q135" s="22">
        <f t="shared" si="108"/>
        <v>8.1829354963220586E-12</v>
      </c>
      <c r="R135" s="62">
        <f t="shared" si="109"/>
        <v>293.3333333333415</v>
      </c>
      <c r="S135" s="62">
        <f ca="1">AVERAGE(OFFSET($R$3,0,0,'Données projet'!$E$9+1,1))-AVERAGE(OFFSET($H$3,0,0,'Données projet'!$E$9+1,1))</f>
        <v>228.905960862347</v>
      </c>
      <c r="T135" s="62">
        <f t="shared" si="142"/>
        <v>167.30057656688177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3.694822225952521E-13</v>
      </c>
      <c r="AJ135" s="14">
        <f>AI135*VLOOKUP('Données projet'!$B$10,Paramètres!$A$1:$I$89,3,0)*VLOOKUP('Données projet'!$B$10,Paramètres!$A$1:$I$89,5,0)</f>
        <v>3.7465497371158569E-13</v>
      </c>
      <c r="AK135" s="14">
        <f t="shared" si="143"/>
        <v>4.8262838474208691E-12</v>
      </c>
      <c r="AL135" s="22">
        <f t="shared" si="112"/>
        <v>9.0583017801390244E-12</v>
      </c>
      <c r="AM135" s="62">
        <f t="shared" si="113"/>
        <v>293.33333333334235</v>
      </c>
      <c r="AN135" s="62">
        <f ca="1">AVERAGE(OFFSET($AM$3,0,0,'Données projet'!$E$10+1,1))-AVERAGE(OFFSET($H$3,0,0,'Données projet'!$E$10+1,1))</f>
        <v>256.45433991419372</v>
      </c>
      <c r="AO135" s="62">
        <f t="shared" si="144"/>
        <v>184.9718670682193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2.6602720026858149E-14</v>
      </c>
      <c r="BF135" s="14">
        <f t="shared" si="145"/>
        <v>4.6624771586320878E-13</v>
      </c>
      <c r="BG135" s="22">
        <f t="shared" si="115"/>
        <v>8.583811758418665E-13</v>
      </c>
      <c r="BH135" s="62">
        <f t="shared" si="116"/>
        <v>293.33333333333417</v>
      </c>
      <c r="BI135" s="62">
        <f ca="1">AVERAGE(OFFSET($BH$3,0,0,'Données projet'!$E$11+1,1))-AVERAGE(OFFSET($H$3,0,0,'Données projet'!$E$11+1,1))</f>
        <v>152.72674713084456</v>
      </c>
      <c r="BJ135" s="62">
        <f t="shared" si="146"/>
        <v>203.90215120562164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2.0386108295620642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6.8895728820784867E-15</v>
      </c>
      <c r="BS135" s="24">
        <f t="shared" si="117"/>
        <v>2.0386108295620713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37.13477039999993</v>
      </c>
      <c r="D136" s="12">
        <f t="shared" si="140"/>
        <v>11.23596375138318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117.24387070798404</v>
      </c>
      <c r="H136" s="70">
        <f t="shared" si="110"/>
        <v>340.91236198032561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3.694822225952521E-13</v>
      </c>
      <c r="O136" s="14">
        <f>N136*VLOOKUP('Données projet'!$B$9,Paramètres!$A$1:$I$89,3,0)*VLOOKUP('Données projet'!$B$9,Paramètres!$A$1:$I$89,5,0)</f>
        <v>3.3430751500418408E-13</v>
      </c>
      <c r="P136" s="14">
        <f t="shared" si="141"/>
        <v>4.3640286551328835E-12</v>
      </c>
      <c r="Q136" s="22">
        <f t="shared" si="108"/>
        <v>8.1829354963220586E-12</v>
      </c>
      <c r="R136" s="62">
        <f t="shared" si="109"/>
        <v>293.3333333333415</v>
      </c>
      <c r="S136" s="62">
        <f ca="1">AVERAGE(OFFSET($R$3,0,0,'Données projet'!$E$9+1,1))-AVERAGE(OFFSET($H$3,0,0,'Données projet'!$E$9+1,1))</f>
        <v>228.905960862347</v>
      </c>
      <c r="T136" s="62">
        <f t="shared" si="142"/>
        <v>167.30057656688177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3.694822225952521E-13</v>
      </c>
      <c r="AJ136" s="14">
        <f>AI136*VLOOKUP('Données projet'!$B$10,Paramètres!$A$1:$I$89,3,0)*VLOOKUP('Données projet'!$B$10,Paramètres!$A$1:$I$89,5,0)</f>
        <v>3.7465497371158569E-13</v>
      </c>
      <c r="AK136" s="14">
        <f t="shared" si="143"/>
        <v>4.8262838474208691E-12</v>
      </c>
      <c r="AL136" s="22">
        <f t="shared" si="112"/>
        <v>9.0583017801390244E-12</v>
      </c>
      <c r="AM136" s="62">
        <f t="shared" si="113"/>
        <v>293.33333333334235</v>
      </c>
      <c r="AN136" s="62">
        <f ca="1">AVERAGE(OFFSET($AM$3,0,0,'Données projet'!$E$10+1,1))-AVERAGE(OFFSET($H$3,0,0,'Données projet'!$E$10+1,1))</f>
        <v>256.45433991419372</v>
      </c>
      <c r="AO136" s="62">
        <f t="shared" si="144"/>
        <v>184.9718670682193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2.6602720026858149E-14</v>
      </c>
      <c r="BF136" s="14">
        <f t="shared" si="145"/>
        <v>4.6624771586320878E-13</v>
      </c>
      <c r="BG136" s="22">
        <f t="shared" si="115"/>
        <v>8.583811758418665E-13</v>
      </c>
      <c r="BH136" s="62">
        <f t="shared" si="116"/>
        <v>293.33333333333417</v>
      </c>
      <c r="BI136" s="62">
        <f ca="1">AVERAGE(OFFSET($BH$3,0,0,'Données projet'!$E$11+1,1))-AVERAGE(OFFSET($H$3,0,0,'Données projet'!$E$11+1,1))</f>
        <v>152.72674713084456</v>
      </c>
      <c r="BJ136" s="62">
        <f t="shared" si="146"/>
        <v>203.90215120562164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1.9986349146241797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4.8716637043966446E-15</v>
      </c>
      <c r="BS136" s="24">
        <f t="shared" si="117"/>
        <v>1.9986349146241846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37.413979199999929</v>
      </c>
      <c r="D137" s="12">
        <f t="shared" si="140"/>
        <v>11.310578527342818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118.10148939666095</v>
      </c>
      <c r="H137" s="70">
        <f t="shared" si="110"/>
        <v>341.5286047084553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3.694822225952521E-13</v>
      </c>
      <c r="O137" s="14">
        <f>N137*VLOOKUP('Données projet'!$B$9,Paramètres!$A$1:$I$89,3,0)*VLOOKUP('Données projet'!$B$9,Paramètres!$A$1:$I$89,5,0)</f>
        <v>3.3430751500418408E-13</v>
      </c>
      <c r="P137" s="14">
        <f t="shared" si="141"/>
        <v>4.3640286551328835E-12</v>
      </c>
      <c r="Q137" s="22">
        <f t="shared" si="108"/>
        <v>8.1829354963220586E-12</v>
      </c>
      <c r="R137" s="62">
        <f t="shared" si="109"/>
        <v>293.3333333333415</v>
      </c>
      <c r="S137" s="62">
        <f ca="1">AVERAGE(OFFSET($R$3,0,0,'Données projet'!$E$9+1,1))-AVERAGE(OFFSET($H$3,0,0,'Données projet'!$E$9+1,1))</f>
        <v>228.905960862347</v>
      </c>
      <c r="T137" s="62">
        <f t="shared" si="142"/>
        <v>167.30057656688177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3.694822225952521E-13</v>
      </c>
      <c r="AJ137" s="14">
        <f>AI137*VLOOKUP('Données projet'!$B$10,Paramètres!$A$1:$I$89,3,0)*VLOOKUP('Données projet'!$B$10,Paramètres!$A$1:$I$89,5,0)</f>
        <v>3.7465497371158569E-13</v>
      </c>
      <c r="AK137" s="14">
        <f t="shared" si="143"/>
        <v>4.8262838474208691E-12</v>
      </c>
      <c r="AL137" s="22">
        <f t="shared" si="112"/>
        <v>9.0583017801390244E-12</v>
      </c>
      <c r="AM137" s="62">
        <f t="shared" si="113"/>
        <v>293.33333333334235</v>
      </c>
      <c r="AN137" s="62">
        <f ca="1">AVERAGE(OFFSET($AM$3,0,0,'Données projet'!$E$10+1,1))-AVERAGE(OFFSET($H$3,0,0,'Données projet'!$E$10+1,1))</f>
        <v>256.45433991419372</v>
      </c>
      <c r="AO137" s="62">
        <f t="shared" si="144"/>
        <v>184.9718670682193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2.6602720026858149E-14</v>
      </c>
      <c r="BF137" s="14">
        <f t="shared" si="145"/>
        <v>4.6624771586320878E-13</v>
      </c>
      <c r="BG137" s="22">
        <f t="shared" si="115"/>
        <v>8.583811758418665E-13</v>
      </c>
      <c r="BH137" s="62">
        <f t="shared" si="116"/>
        <v>293.33333333333417</v>
      </c>
      <c r="BI137" s="62">
        <f ca="1">AVERAGE(OFFSET($BH$3,0,0,'Données projet'!$E$11+1,1))-AVERAGE(OFFSET($H$3,0,0,'Données projet'!$E$11+1,1))</f>
        <v>152.72674713084456</v>
      </c>
      <c r="BJ137" s="62">
        <f t="shared" si="146"/>
        <v>203.90215120562164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1.9594429029953266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3.4447864410392437E-15</v>
      </c>
      <c r="BS137" s="24">
        <f t="shared" si="117"/>
        <v>1.9594429029953302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37.693187999999928</v>
      </c>
      <c r="D138" s="12">
        <f t="shared" si="140"/>
        <v>11.385128516182773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118.95895105045265</v>
      </c>
      <c r="H138" s="70">
        <f t="shared" si="110"/>
        <v>342.14473459901819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3.694822225952521E-13</v>
      </c>
      <c r="O138" s="14">
        <f>N138*VLOOKUP('Données projet'!$B$9,Paramètres!$A$1:$I$89,3,0)*VLOOKUP('Données projet'!$B$9,Paramètres!$A$1:$I$89,5,0)</f>
        <v>3.3430751500418408E-13</v>
      </c>
      <c r="P138" s="14">
        <f t="shared" si="141"/>
        <v>4.3640286551328835E-12</v>
      </c>
      <c r="Q138" s="22">
        <f t="shared" si="108"/>
        <v>8.1829354963220586E-12</v>
      </c>
      <c r="R138" s="62">
        <f t="shared" si="109"/>
        <v>293.3333333333415</v>
      </c>
      <c r="S138" s="62">
        <f ca="1">AVERAGE(OFFSET($R$3,0,0,'Données projet'!$E$9+1,1))-AVERAGE(OFFSET($H$3,0,0,'Données projet'!$E$9+1,1))</f>
        <v>228.905960862347</v>
      </c>
      <c r="T138" s="62">
        <f t="shared" si="142"/>
        <v>167.30057656688177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3.694822225952521E-13</v>
      </c>
      <c r="AJ138" s="14">
        <f>AI138*VLOOKUP('Données projet'!$B$10,Paramètres!$A$1:$I$89,3,0)*VLOOKUP('Données projet'!$B$10,Paramètres!$A$1:$I$89,5,0)</f>
        <v>3.7465497371158569E-13</v>
      </c>
      <c r="AK138" s="14">
        <f t="shared" si="143"/>
        <v>4.8262838474208691E-12</v>
      </c>
      <c r="AL138" s="22">
        <f t="shared" si="112"/>
        <v>9.0583017801390244E-12</v>
      </c>
      <c r="AM138" s="62">
        <f t="shared" si="113"/>
        <v>293.33333333334235</v>
      </c>
      <c r="AN138" s="62">
        <f ca="1">AVERAGE(OFFSET($AM$3,0,0,'Données projet'!$E$10+1,1))-AVERAGE(OFFSET($H$3,0,0,'Données projet'!$E$10+1,1))</f>
        <v>256.45433991419372</v>
      </c>
      <c r="AO138" s="62">
        <f t="shared" si="144"/>
        <v>184.9718670682193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2.6602720026858149E-14</v>
      </c>
      <c r="BF138" s="14">
        <f t="shared" si="145"/>
        <v>4.6624771586320878E-13</v>
      </c>
      <c r="BG138" s="22">
        <f t="shared" si="115"/>
        <v>8.583811758418665E-13</v>
      </c>
      <c r="BH138" s="62">
        <f t="shared" si="116"/>
        <v>293.33333333333417</v>
      </c>
      <c r="BI138" s="62">
        <f ca="1">AVERAGE(OFFSET($BH$3,0,0,'Données projet'!$E$11+1,1))-AVERAGE(OFFSET($H$3,0,0,'Données projet'!$E$11+1,1))</f>
        <v>152.72674713084456</v>
      </c>
      <c r="BJ138" s="62">
        <f t="shared" si="146"/>
        <v>203.90215120562164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1.9210194228097486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2.4358318521983227E-15</v>
      </c>
      <c r="BS138" s="24">
        <f t="shared" si="117"/>
        <v>1.921019422809751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37.972396799999927</v>
      </c>
      <c r="D139" s="12">
        <f t="shared" si="140"/>
        <v>11.459614253447452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119.81625696744369</v>
      </c>
      <c r="H139" s="70">
        <f t="shared" si="110"/>
        <v>342.76075258475419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3.694822225952521E-13</v>
      </c>
      <c r="O139" s="14">
        <f>N139*VLOOKUP('Données projet'!$B$9,Paramètres!$A$1:$I$89,3,0)*VLOOKUP('Données projet'!$B$9,Paramètres!$A$1:$I$89,5,0)</f>
        <v>3.3430751500418408E-13</v>
      </c>
      <c r="P139" s="14">
        <f t="shared" si="141"/>
        <v>4.3640286551328835E-12</v>
      </c>
      <c r="Q139" s="22">
        <f t="shared" si="108"/>
        <v>8.1829354963220586E-12</v>
      </c>
      <c r="R139" s="62">
        <f t="shared" si="109"/>
        <v>293.3333333333415</v>
      </c>
      <c r="S139" s="62">
        <f ca="1">AVERAGE(OFFSET($R$3,0,0,'Données projet'!$E$9+1,1))-AVERAGE(OFFSET($H$3,0,0,'Données projet'!$E$9+1,1))</f>
        <v>228.905960862347</v>
      </c>
      <c r="T139" s="62">
        <f t="shared" si="142"/>
        <v>167.30057656688177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3.694822225952521E-13</v>
      </c>
      <c r="AJ139" s="14">
        <f>AI139*VLOOKUP('Données projet'!$B$10,Paramètres!$A$1:$I$89,3,0)*VLOOKUP('Données projet'!$B$10,Paramètres!$A$1:$I$89,5,0)</f>
        <v>3.7465497371158569E-13</v>
      </c>
      <c r="AK139" s="14">
        <f t="shared" si="143"/>
        <v>4.8262838474208691E-12</v>
      </c>
      <c r="AL139" s="22">
        <f t="shared" si="112"/>
        <v>9.0583017801390244E-12</v>
      </c>
      <c r="AM139" s="62">
        <f t="shared" si="113"/>
        <v>293.33333333334235</v>
      </c>
      <c r="AN139" s="62">
        <f ca="1">AVERAGE(OFFSET($AM$3,0,0,'Données projet'!$E$10+1,1))-AVERAGE(OFFSET($H$3,0,0,'Données projet'!$E$10+1,1))</f>
        <v>256.45433991419372</v>
      </c>
      <c r="AO139" s="62">
        <f t="shared" si="144"/>
        <v>184.9718670682193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2.6602720026858149E-14</v>
      </c>
      <c r="BF139" s="14">
        <f t="shared" si="145"/>
        <v>4.6624771586320878E-13</v>
      </c>
      <c r="BG139" s="22">
        <f t="shared" si="115"/>
        <v>8.583811758418665E-13</v>
      </c>
      <c r="BH139" s="62">
        <f t="shared" si="116"/>
        <v>293.33333333333417</v>
      </c>
      <c r="BI139" s="62">
        <f ca="1">AVERAGE(OFFSET($BH$3,0,0,'Données projet'!$E$11+1,1))-AVERAGE(OFFSET($H$3,0,0,'Données projet'!$E$11+1,1))</f>
        <v>152.72674713084456</v>
      </c>
      <c r="BJ139" s="62">
        <f t="shared" si="146"/>
        <v>203.90215120562164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1.883349403634601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1.7223932205196223E-15</v>
      </c>
      <c r="BS139" s="24">
        <f t="shared" si="117"/>
        <v>1.8833494036346028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38.251605599999927</v>
      </c>
      <c r="D140" s="12">
        <f t="shared" si="140"/>
        <v>11.534036266350578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120.67340842552608</v>
      </c>
      <c r="H140" s="70">
        <f t="shared" si="110"/>
        <v>343.3766595838938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3.694822225952521E-13</v>
      </c>
      <c r="O140" s="14">
        <f>N140*VLOOKUP('Données projet'!$B$9,Paramètres!$A$1:$I$89,3,0)*VLOOKUP('Données projet'!$B$9,Paramètres!$A$1:$I$89,5,0)</f>
        <v>3.3430751500418408E-13</v>
      </c>
      <c r="P140" s="14">
        <f t="shared" si="141"/>
        <v>4.3640286551328835E-12</v>
      </c>
      <c r="Q140" s="22">
        <f t="shared" si="108"/>
        <v>8.1829354963220586E-12</v>
      </c>
      <c r="R140" s="62">
        <f t="shared" si="109"/>
        <v>293.3333333333415</v>
      </c>
      <c r="S140" s="62">
        <f ca="1">AVERAGE(OFFSET($R$3,0,0,'Données projet'!$E$9+1,1))-AVERAGE(OFFSET($H$3,0,0,'Données projet'!$E$9+1,1))</f>
        <v>228.905960862347</v>
      </c>
      <c r="T140" s="62">
        <f t="shared" si="142"/>
        <v>167.30057656688177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3.694822225952521E-13</v>
      </c>
      <c r="AJ140" s="14">
        <f>AI140*VLOOKUP('Données projet'!$B$10,Paramètres!$A$1:$I$89,3,0)*VLOOKUP('Données projet'!$B$10,Paramètres!$A$1:$I$89,5,0)</f>
        <v>3.7465497371158569E-13</v>
      </c>
      <c r="AK140" s="14">
        <f t="shared" si="143"/>
        <v>4.8262838474208691E-12</v>
      </c>
      <c r="AL140" s="22">
        <f t="shared" si="112"/>
        <v>9.0583017801390244E-12</v>
      </c>
      <c r="AM140" s="62">
        <f t="shared" si="113"/>
        <v>293.33333333334235</v>
      </c>
      <c r="AN140" s="62">
        <f ca="1">AVERAGE(OFFSET($AM$3,0,0,'Données projet'!$E$10+1,1))-AVERAGE(OFFSET($H$3,0,0,'Données projet'!$E$10+1,1))</f>
        <v>256.45433991419372</v>
      </c>
      <c r="AO140" s="62">
        <f t="shared" si="144"/>
        <v>184.9718670682193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2.6602720026858149E-14</v>
      </c>
      <c r="BF140" s="14">
        <f t="shared" si="145"/>
        <v>4.6624771586320878E-13</v>
      </c>
      <c r="BG140" s="22">
        <f t="shared" si="115"/>
        <v>8.583811758418665E-13</v>
      </c>
      <c r="BH140" s="62">
        <f t="shared" si="116"/>
        <v>293.33333333333417</v>
      </c>
      <c r="BI140" s="62">
        <f ca="1">AVERAGE(OFFSET($BH$3,0,0,'Données projet'!$E$11+1,1))-AVERAGE(OFFSET($H$3,0,0,'Données projet'!$E$11+1,1))</f>
        <v>152.72674713084456</v>
      </c>
      <c r="BJ140" s="62">
        <f t="shared" si="146"/>
        <v>203.90215120562164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1.8464180705590352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1.2179159260991615E-15</v>
      </c>
      <c r="BS140" s="24">
        <f t="shared" si="117"/>
        <v>1.8464180705590363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38.530814399999926</v>
      </c>
      <c r="D141" s="12">
        <f t="shared" si="140"/>
        <v>11.608395073964644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121.53040668285871</v>
      </c>
      <c r="H141" s="70">
        <f t="shared" si="110"/>
        <v>343.99245650048829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3.694822225952521E-13</v>
      </c>
      <c r="O141" s="14">
        <f>N141*VLOOKUP('Données projet'!$B$9,Paramètres!$A$1:$I$89,3,0)*VLOOKUP('Données projet'!$B$9,Paramètres!$A$1:$I$89,5,0)</f>
        <v>3.3430751500418408E-13</v>
      </c>
      <c r="P141" s="14">
        <f t="shared" si="141"/>
        <v>4.3640286551328835E-12</v>
      </c>
      <c r="Q141" s="22">
        <f t="shared" si="108"/>
        <v>8.1829354963220586E-12</v>
      </c>
      <c r="R141" s="62">
        <f t="shared" si="109"/>
        <v>293.3333333333415</v>
      </c>
      <c r="S141" s="62">
        <f ca="1">AVERAGE(OFFSET($R$3,0,0,'Données projet'!$E$9+1,1))-AVERAGE(OFFSET($H$3,0,0,'Données projet'!$E$9+1,1))</f>
        <v>228.905960862347</v>
      </c>
      <c r="T141" s="62">
        <f t="shared" si="142"/>
        <v>167.30057656688177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3.694822225952521E-13</v>
      </c>
      <c r="AJ141" s="14">
        <f>AI141*VLOOKUP('Données projet'!$B$10,Paramètres!$A$1:$I$89,3,0)*VLOOKUP('Données projet'!$B$10,Paramètres!$A$1:$I$89,5,0)</f>
        <v>3.7465497371158569E-13</v>
      </c>
      <c r="AK141" s="14">
        <f t="shared" si="143"/>
        <v>4.8262838474208691E-12</v>
      </c>
      <c r="AL141" s="22">
        <f t="shared" si="112"/>
        <v>9.0583017801390244E-12</v>
      </c>
      <c r="AM141" s="62">
        <f t="shared" si="113"/>
        <v>293.33333333334235</v>
      </c>
      <c r="AN141" s="62">
        <f ca="1">AVERAGE(OFFSET($AM$3,0,0,'Données projet'!$E$10+1,1))-AVERAGE(OFFSET($H$3,0,0,'Données projet'!$E$10+1,1))</f>
        <v>256.45433991419372</v>
      </c>
      <c r="AO141" s="62">
        <f t="shared" si="144"/>
        <v>184.9718670682193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2.6602720026858149E-14</v>
      </c>
      <c r="BF141" s="14">
        <f t="shared" si="145"/>
        <v>4.6624771586320878E-13</v>
      </c>
      <c r="BG141" s="22">
        <f t="shared" si="115"/>
        <v>8.583811758418665E-13</v>
      </c>
      <c r="BH141" s="62">
        <f t="shared" si="116"/>
        <v>293.33333333333417</v>
      </c>
      <c r="BI141" s="62">
        <f ca="1">AVERAGE(OFFSET($BH$3,0,0,'Données projet'!$E$11+1,1))-AVERAGE(OFFSET($H$3,0,0,'Données projet'!$E$11+1,1))</f>
        <v>152.72674713084456</v>
      </c>
      <c r="BJ141" s="62">
        <f t="shared" si="146"/>
        <v>203.90215120562164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1.8102109383991922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8.6119661025981123E-16</v>
      </c>
      <c r="BS141" s="24">
        <f t="shared" si="117"/>
        <v>1.8102109383991931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38.810023199999925</v>
      </c>
      <c r="D142" s="12">
        <f t="shared" si="140"/>
        <v>11.682691187404673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122.38725297831263</v>
      </c>
      <c r="H142" s="70">
        <f t="shared" si="110"/>
        <v>344.6081442247297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3.694822225952521E-13</v>
      </c>
      <c r="O142" s="14">
        <f>N142*VLOOKUP('Données projet'!$B$9,Paramètres!$A$1:$I$89,3,0)*VLOOKUP('Données projet'!$B$9,Paramètres!$A$1:$I$89,5,0)</f>
        <v>3.3430751500418408E-13</v>
      </c>
      <c r="P142" s="14">
        <f t="shared" si="141"/>
        <v>4.3640286551328835E-12</v>
      </c>
      <c r="Q142" s="22">
        <f t="shared" si="108"/>
        <v>8.1829354963220586E-12</v>
      </c>
      <c r="R142" s="62">
        <f t="shared" si="109"/>
        <v>293.3333333333415</v>
      </c>
      <c r="S142" s="62">
        <f ca="1">AVERAGE(OFFSET($R$3,0,0,'Données projet'!$E$9+1,1))-AVERAGE(OFFSET($H$3,0,0,'Données projet'!$E$9+1,1))</f>
        <v>228.905960862347</v>
      </c>
      <c r="T142" s="62">
        <f t="shared" si="142"/>
        <v>167.30057656688177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3.694822225952521E-13</v>
      </c>
      <c r="AJ142" s="14">
        <f>AI142*VLOOKUP('Données projet'!$B$10,Paramètres!$A$1:$I$89,3,0)*VLOOKUP('Données projet'!$B$10,Paramètres!$A$1:$I$89,5,0)</f>
        <v>3.7465497371158569E-13</v>
      </c>
      <c r="AK142" s="14">
        <f t="shared" si="143"/>
        <v>4.8262838474208691E-12</v>
      </c>
      <c r="AL142" s="22">
        <f t="shared" si="112"/>
        <v>9.0583017801390244E-12</v>
      </c>
      <c r="AM142" s="62">
        <f t="shared" si="113"/>
        <v>293.33333333334235</v>
      </c>
      <c r="AN142" s="62">
        <f ca="1">AVERAGE(OFFSET($AM$3,0,0,'Données projet'!$E$10+1,1))-AVERAGE(OFFSET($H$3,0,0,'Données projet'!$E$10+1,1))</f>
        <v>256.45433991419372</v>
      </c>
      <c r="AO142" s="62">
        <f t="shared" si="144"/>
        <v>184.9718670682193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2.6602720026858149E-14</v>
      </c>
      <c r="BF142" s="14">
        <f t="shared" si="145"/>
        <v>4.6624771586320878E-13</v>
      </c>
      <c r="BG142" s="22">
        <f t="shared" si="115"/>
        <v>8.583811758418665E-13</v>
      </c>
      <c r="BH142" s="62">
        <f t="shared" si="116"/>
        <v>293.33333333333417</v>
      </c>
      <c r="BI142" s="62">
        <f ca="1">AVERAGE(OFFSET($BH$3,0,0,'Données projet'!$E$11+1,1))-AVERAGE(OFFSET($H$3,0,0,'Données projet'!$E$11+1,1))</f>
        <v>152.72674713084456</v>
      </c>
      <c r="BJ142" s="62">
        <f t="shared" si="146"/>
        <v>203.90215120562164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1.7747138060168337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6.0895796304958087E-16</v>
      </c>
      <c r="BS142" s="24">
        <f t="shared" si="117"/>
        <v>1.7747138060168344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39.089231999999924</v>
      </c>
      <c r="D143" s="12">
        <f t="shared" si="140"/>
        <v>11.756925110006547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123.24394853190343</v>
      </c>
      <c r="H143" s="70">
        <f t="shared" si="110"/>
        <v>345.22372363326127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3.694822225952521E-13</v>
      </c>
      <c r="O143" s="14">
        <f>N143*VLOOKUP('Données projet'!$B$9,Paramètres!$A$1:$I$89,3,0)*VLOOKUP('Données projet'!$B$9,Paramètres!$A$1:$I$89,5,0)</f>
        <v>3.3430751500418408E-13</v>
      </c>
      <c r="P143" s="14">
        <f t="shared" si="141"/>
        <v>4.3640286551328835E-12</v>
      </c>
      <c r="Q143" s="22">
        <f t="shared" si="108"/>
        <v>8.1829354963220586E-12</v>
      </c>
      <c r="R143" s="62">
        <f t="shared" si="109"/>
        <v>293.3333333333415</v>
      </c>
      <c r="S143" s="62">
        <f ca="1">AVERAGE(OFFSET($R$3,0,0,'Données projet'!$E$9+1,1))-AVERAGE(OFFSET($H$3,0,0,'Données projet'!$E$9+1,1))</f>
        <v>228.905960862347</v>
      </c>
      <c r="T143" s="62">
        <f t="shared" si="142"/>
        <v>167.30057656688177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3.694822225952521E-13</v>
      </c>
      <c r="AJ143" s="14">
        <f>AI143*VLOOKUP('Données projet'!$B$10,Paramètres!$A$1:$I$89,3,0)*VLOOKUP('Données projet'!$B$10,Paramètres!$A$1:$I$89,5,0)</f>
        <v>3.7465497371158569E-13</v>
      </c>
      <c r="AK143" s="14">
        <f t="shared" si="143"/>
        <v>4.8262838474208691E-12</v>
      </c>
      <c r="AL143" s="22">
        <f t="shared" si="112"/>
        <v>9.0583017801390244E-12</v>
      </c>
      <c r="AM143" s="62">
        <f t="shared" si="113"/>
        <v>293.33333333334235</v>
      </c>
      <c r="AN143" s="62">
        <f ca="1">AVERAGE(OFFSET($AM$3,0,0,'Données projet'!$E$10+1,1))-AVERAGE(OFFSET($H$3,0,0,'Données projet'!$E$10+1,1))</f>
        <v>256.45433991419372</v>
      </c>
      <c r="AO143" s="62">
        <f t="shared" si="144"/>
        <v>184.9718670682193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2.6602720026858149E-14</v>
      </c>
      <c r="BF143" s="14">
        <f t="shared" si="145"/>
        <v>4.6624771586320878E-13</v>
      </c>
      <c r="BG143" s="22">
        <f t="shared" si="115"/>
        <v>8.583811758418665E-13</v>
      </c>
      <c r="BH143" s="62">
        <f t="shared" si="116"/>
        <v>293.33333333333417</v>
      </c>
      <c r="BI143" s="62">
        <f ca="1">AVERAGE(OFFSET($BH$3,0,0,'Données projet'!$E$11+1,1))-AVERAGE(OFFSET($H$3,0,0,'Données projet'!$E$11+1,1))</f>
        <v>152.72674713084456</v>
      </c>
      <c r="BJ143" s="62">
        <f t="shared" si="146"/>
        <v>203.90215120562164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1.7399127507493803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4.3059830512990571E-16</v>
      </c>
      <c r="BS143" s="24">
        <f t="shared" si="117"/>
        <v>1.7399127507493808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39.368440799999924</v>
      </c>
      <c r="D144" s="12">
        <f t="shared" si="140"/>
        <v>11.831097337500143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124.10049454521068</v>
      </c>
      <c r="H144" s="70">
        <f t="shared" si="110"/>
        <v>345.83919558947929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3.694822225952521E-13</v>
      </c>
      <c r="O144" s="14">
        <f>N144*VLOOKUP('Données projet'!$B$9,Paramètres!$A$1:$I$89,3,0)*VLOOKUP('Données projet'!$B$9,Paramètres!$A$1:$I$89,5,0)</f>
        <v>3.3430751500418408E-13</v>
      </c>
      <c r="P144" s="14">
        <f t="shared" si="141"/>
        <v>4.3640286551328835E-12</v>
      </c>
      <c r="Q144" s="22">
        <f t="shared" si="108"/>
        <v>8.1829354963220586E-12</v>
      </c>
      <c r="R144" s="62">
        <f t="shared" si="109"/>
        <v>293.3333333333415</v>
      </c>
      <c r="S144" s="62">
        <f ca="1">AVERAGE(OFFSET($R$3,0,0,'Données projet'!$E$9+1,1))-AVERAGE(OFFSET($H$3,0,0,'Données projet'!$E$9+1,1))</f>
        <v>228.905960862347</v>
      </c>
      <c r="T144" s="62">
        <f t="shared" si="142"/>
        <v>167.30057656688177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3.694822225952521E-13</v>
      </c>
      <c r="AJ144" s="14">
        <f>AI144*VLOOKUP('Données projet'!$B$10,Paramètres!$A$1:$I$89,3,0)*VLOOKUP('Données projet'!$B$10,Paramètres!$A$1:$I$89,5,0)</f>
        <v>3.7465497371158569E-13</v>
      </c>
      <c r="AK144" s="14">
        <f t="shared" si="143"/>
        <v>4.8262838474208691E-12</v>
      </c>
      <c r="AL144" s="22">
        <f t="shared" si="112"/>
        <v>9.0583017801390244E-12</v>
      </c>
      <c r="AM144" s="62">
        <f t="shared" si="113"/>
        <v>293.33333333334235</v>
      </c>
      <c r="AN144" s="62">
        <f ca="1">AVERAGE(OFFSET($AM$3,0,0,'Données projet'!$E$10+1,1))-AVERAGE(OFFSET($H$3,0,0,'Données projet'!$E$10+1,1))</f>
        <v>256.45433991419372</v>
      </c>
      <c r="AO144" s="62">
        <f t="shared" si="144"/>
        <v>184.9718670682193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2.6602720026858149E-14</v>
      </c>
      <c r="BF144" s="14">
        <f t="shared" si="145"/>
        <v>4.6624771586320878E-13</v>
      </c>
      <c r="BG144" s="22">
        <f t="shared" si="115"/>
        <v>8.583811758418665E-13</v>
      </c>
      <c r="BH144" s="62">
        <f t="shared" si="116"/>
        <v>293.33333333333417</v>
      </c>
      <c r="BI144" s="62">
        <f ca="1">AVERAGE(OFFSET($BH$3,0,0,'Données projet'!$E$11+1,1))-AVERAGE(OFFSET($H$3,0,0,'Données projet'!$E$11+1,1))</f>
        <v>152.72674713084456</v>
      </c>
      <c r="BJ144" s="62">
        <f t="shared" si="146"/>
        <v>203.90215120562164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1.705794122949174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3.0447898152479048E-16</v>
      </c>
      <c r="BS144" s="24">
        <f t="shared" si="117"/>
        <v>1.7057941229491742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39.647649599999923</v>
      </c>
      <c r="D145" s="12">
        <f t="shared" si="140"/>
        <v>11.905208358177324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124.95689220178541</v>
      </c>
      <c r="H145" s="70">
        <f t="shared" si="110"/>
        <v>346.45456094382541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3.694822225952521E-13</v>
      </c>
      <c r="O145" s="14">
        <f>N145*VLOOKUP('Données projet'!$B$9,Paramètres!$A$1:$I$89,3,0)*VLOOKUP('Données projet'!$B$9,Paramètres!$A$1:$I$89,5,0)</f>
        <v>3.3430751500418408E-13</v>
      </c>
      <c r="P145" s="14">
        <f t="shared" si="141"/>
        <v>4.3640286551328835E-12</v>
      </c>
      <c r="Q145" s="22">
        <f t="shared" si="108"/>
        <v>8.1829354963220586E-12</v>
      </c>
      <c r="R145" s="62">
        <f t="shared" si="109"/>
        <v>293.3333333333415</v>
      </c>
      <c r="S145" s="62">
        <f ca="1">AVERAGE(OFFSET($R$3,0,0,'Données projet'!$E$9+1,1))-AVERAGE(OFFSET($H$3,0,0,'Données projet'!$E$9+1,1))</f>
        <v>228.905960862347</v>
      </c>
      <c r="T145" s="62">
        <f t="shared" si="142"/>
        <v>167.30057656688177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3.694822225952521E-13</v>
      </c>
      <c r="AJ145" s="14">
        <f>AI145*VLOOKUP('Données projet'!$B$10,Paramètres!$A$1:$I$89,3,0)*VLOOKUP('Données projet'!$B$10,Paramètres!$A$1:$I$89,5,0)</f>
        <v>3.7465497371158569E-13</v>
      </c>
      <c r="AK145" s="14">
        <f t="shared" si="143"/>
        <v>4.8262838474208691E-12</v>
      </c>
      <c r="AL145" s="22">
        <f t="shared" si="112"/>
        <v>9.0583017801390244E-12</v>
      </c>
      <c r="AM145" s="62">
        <f t="shared" si="113"/>
        <v>293.33333333334235</v>
      </c>
      <c r="AN145" s="62">
        <f ca="1">AVERAGE(OFFSET($AM$3,0,0,'Données projet'!$E$10+1,1))-AVERAGE(OFFSET($H$3,0,0,'Données projet'!$E$10+1,1))</f>
        <v>256.45433991419372</v>
      </c>
      <c r="AO145" s="62">
        <f t="shared" si="144"/>
        <v>184.9718670682193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2.6602720026858149E-14</v>
      </c>
      <c r="BF145" s="14">
        <f t="shared" si="145"/>
        <v>4.6624771586320878E-13</v>
      </c>
      <c r="BG145" s="22">
        <f t="shared" si="115"/>
        <v>8.583811758418665E-13</v>
      </c>
      <c r="BH145" s="62">
        <f t="shared" si="116"/>
        <v>293.33333333333417</v>
      </c>
      <c r="BI145" s="62">
        <f ca="1">AVERAGE(OFFSET($BH$3,0,0,'Données projet'!$E$11+1,1))-AVERAGE(OFFSET($H$3,0,0,'Données projet'!$E$11+1,1))</f>
        <v>152.72674713084456</v>
      </c>
      <c r="BJ145" s="62">
        <f t="shared" si="146"/>
        <v>203.90215120562164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1.6723445406298216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2.1529915256495288E-16</v>
      </c>
      <c r="BS145" s="24">
        <f t="shared" si="117"/>
        <v>1.6723445406298219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39.926858399999922</v>
      </c>
      <c r="D146" s="12">
        <f t="shared" si="140"/>
        <v>11.979258653055172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125.81314266754548</v>
      </c>
      <c r="H146" s="70">
        <f t="shared" si="110"/>
        <v>347.06982053407097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3.694822225952521E-13</v>
      </c>
      <c r="O146" s="14">
        <f>N146*VLOOKUP('Données projet'!$B$9,Paramètres!$A$1:$I$89,3,0)*VLOOKUP('Données projet'!$B$9,Paramètres!$A$1:$I$89,5,0)</f>
        <v>3.3430751500418408E-13</v>
      </c>
      <c r="P146" s="14">
        <f t="shared" si="141"/>
        <v>4.3640286551328835E-12</v>
      </c>
      <c r="Q146" s="22">
        <f t="shared" si="108"/>
        <v>8.1829354963220586E-12</v>
      </c>
      <c r="R146" s="62">
        <f t="shared" si="109"/>
        <v>293.3333333333415</v>
      </c>
      <c r="S146" s="62">
        <f ca="1">AVERAGE(OFFSET($R$3,0,0,'Données projet'!$E$9+1,1))-AVERAGE(OFFSET($H$3,0,0,'Données projet'!$E$9+1,1))</f>
        <v>228.905960862347</v>
      </c>
      <c r="T146" s="62">
        <f t="shared" si="142"/>
        <v>167.30057656688177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3.694822225952521E-13</v>
      </c>
      <c r="AJ146" s="14">
        <f>AI146*VLOOKUP('Données projet'!$B$10,Paramètres!$A$1:$I$89,3,0)*VLOOKUP('Données projet'!$B$10,Paramètres!$A$1:$I$89,5,0)</f>
        <v>3.7465497371158569E-13</v>
      </c>
      <c r="AK146" s="14">
        <f t="shared" si="143"/>
        <v>4.8262838474208691E-12</v>
      </c>
      <c r="AL146" s="22">
        <f t="shared" si="112"/>
        <v>9.0583017801390244E-12</v>
      </c>
      <c r="AM146" s="62">
        <f t="shared" si="113"/>
        <v>293.33333333334235</v>
      </c>
      <c r="AN146" s="62">
        <f ca="1">AVERAGE(OFFSET($AM$3,0,0,'Données projet'!$E$10+1,1))-AVERAGE(OFFSET($H$3,0,0,'Données projet'!$E$10+1,1))</f>
        <v>256.45433991419372</v>
      </c>
      <c r="AO146" s="62">
        <f t="shared" si="144"/>
        <v>184.9718670682193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2.6602720026858149E-14</v>
      </c>
      <c r="BF146" s="14">
        <f t="shared" si="145"/>
        <v>4.6624771586320878E-13</v>
      </c>
      <c r="BG146" s="22">
        <f t="shared" si="115"/>
        <v>8.583811758418665E-13</v>
      </c>
      <c r="BH146" s="62">
        <f t="shared" si="116"/>
        <v>293.33333333333417</v>
      </c>
      <c r="BI146" s="62">
        <f ca="1">AVERAGE(OFFSET($BH$3,0,0,'Données projet'!$E$11+1,1))-AVERAGE(OFFSET($H$3,0,0,'Données projet'!$E$11+1,1))</f>
        <v>152.72674713084456</v>
      </c>
      <c r="BJ146" s="62">
        <f t="shared" si="146"/>
        <v>203.90215120562164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1.639550884217521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1.5223949076239527E-16</v>
      </c>
      <c r="BS146" s="24">
        <f t="shared" si="117"/>
        <v>1.6395508842175213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40.206067199999922</v>
      </c>
      <c r="D147" s="12">
        <f t="shared" si="140"/>
        <v>12.053248696034418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126.66924709115972</v>
      </c>
      <c r="H147" s="70">
        <f t="shared" si="110"/>
        <v>347.68497518559315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3.694822225952521E-13</v>
      </c>
      <c r="O147" s="14">
        <f>N147*VLOOKUP('Données projet'!$B$9,Paramètres!$A$1:$I$89,3,0)*VLOOKUP('Données projet'!$B$9,Paramètres!$A$1:$I$89,5,0)</f>
        <v>3.3430751500418408E-13</v>
      </c>
      <c r="P147" s="14">
        <f t="shared" si="141"/>
        <v>4.3640286551328835E-12</v>
      </c>
      <c r="Q147" s="22">
        <f t="shared" si="108"/>
        <v>8.1829354963220586E-12</v>
      </c>
      <c r="R147" s="62">
        <f t="shared" si="109"/>
        <v>293.3333333333415</v>
      </c>
      <c r="S147" s="62">
        <f ca="1">AVERAGE(OFFSET($R$3,0,0,'Données projet'!$E$9+1,1))-AVERAGE(OFFSET($H$3,0,0,'Données projet'!$E$9+1,1))</f>
        <v>228.905960862347</v>
      </c>
      <c r="T147" s="62">
        <f t="shared" si="142"/>
        <v>167.30057656688177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3.694822225952521E-13</v>
      </c>
      <c r="AJ147" s="14">
        <f>AI147*VLOOKUP('Données projet'!$B$10,Paramètres!$A$1:$I$89,3,0)*VLOOKUP('Données projet'!$B$10,Paramètres!$A$1:$I$89,5,0)</f>
        <v>3.7465497371158569E-13</v>
      </c>
      <c r="AK147" s="14">
        <f t="shared" si="143"/>
        <v>4.8262838474208691E-12</v>
      </c>
      <c r="AL147" s="22">
        <f t="shared" si="112"/>
        <v>9.0583017801390244E-12</v>
      </c>
      <c r="AM147" s="62">
        <f t="shared" si="113"/>
        <v>293.33333333334235</v>
      </c>
      <c r="AN147" s="62">
        <f ca="1">AVERAGE(OFFSET($AM$3,0,0,'Données projet'!$E$10+1,1))-AVERAGE(OFFSET($H$3,0,0,'Données projet'!$E$10+1,1))</f>
        <v>256.45433991419372</v>
      </c>
      <c r="AO147" s="62">
        <f t="shared" si="144"/>
        <v>184.9718670682193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2.6602720026858149E-14</v>
      </c>
      <c r="BF147" s="14">
        <f t="shared" si="145"/>
        <v>4.6624771586320878E-13</v>
      </c>
      <c r="BG147" s="22">
        <f t="shared" si="115"/>
        <v>8.583811758418665E-13</v>
      </c>
      <c r="BH147" s="62">
        <f t="shared" si="116"/>
        <v>293.33333333333417</v>
      </c>
      <c r="BI147" s="62">
        <f ca="1">AVERAGE(OFFSET($BH$3,0,0,'Données projet'!$E$11+1,1))-AVERAGE(OFFSET($H$3,0,0,'Données projet'!$E$11+1,1))</f>
        <v>152.72674713084456</v>
      </c>
      <c r="BJ147" s="62">
        <f t="shared" si="146"/>
        <v>203.90215120562164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1.6074002914053103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1.0764957628247647E-16</v>
      </c>
      <c r="BS147" s="24">
        <f t="shared" si="117"/>
        <v>1.6074002914053103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40.485275999999921</v>
      </c>
      <c r="D148" s="12">
        <f t="shared" si="140"/>
        <v>12.127178954053445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127.52520660442129</v>
      </c>
      <c r="H148" s="70">
        <f t="shared" si="110"/>
        <v>348.30002571164295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3.694822225952521E-13</v>
      </c>
      <c r="O148" s="14">
        <f>N148*VLOOKUP('Données projet'!$B$9,Paramètres!$A$1:$I$89,3,0)*VLOOKUP('Données projet'!$B$9,Paramètres!$A$1:$I$89,5,0)</f>
        <v>3.3430751500418408E-13</v>
      </c>
      <c r="P148" s="14">
        <f t="shared" si="141"/>
        <v>4.3640286551328835E-12</v>
      </c>
      <c r="Q148" s="22">
        <f t="shared" si="108"/>
        <v>8.1829354963220586E-12</v>
      </c>
      <c r="R148" s="62">
        <f t="shared" si="109"/>
        <v>293.3333333333415</v>
      </c>
      <c r="S148" s="62">
        <f ca="1">AVERAGE(OFFSET($R$3,0,0,'Données projet'!$E$9+1,1))-AVERAGE(OFFSET($H$3,0,0,'Données projet'!$E$9+1,1))</f>
        <v>228.905960862347</v>
      </c>
      <c r="T148" s="62">
        <f t="shared" si="142"/>
        <v>167.30057656688177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3.694822225952521E-13</v>
      </c>
      <c r="AJ148" s="14">
        <f>AI148*VLOOKUP('Données projet'!$B$10,Paramètres!$A$1:$I$89,3,0)*VLOOKUP('Données projet'!$B$10,Paramètres!$A$1:$I$89,5,0)</f>
        <v>3.7465497371158569E-13</v>
      </c>
      <c r="AK148" s="14">
        <f t="shared" si="143"/>
        <v>4.8262838474208691E-12</v>
      </c>
      <c r="AL148" s="22">
        <f t="shared" si="112"/>
        <v>9.0583017801390244E-12</v>
      </c>
      <c r="AM148" s="62">
        <f t="shared" si="113"/>
        <v>293.33333333334235</v>
      </c>
      <c r="AN148" s="62">
        <f ca="1">AVERAGE(OFFSET($AM$3,0,0,'Données projet'!$E$10+1,1))-AVERAGE(OFFSET($H$3,0,0,'Données projet'!$E$10+1,1))</f>
        <v>256.45433991419372</v>
      </c>
      <c r="AO148" s="62">
        <f t="shared" si="144"/>
        <v>184.9718670682193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2.6602720026858149E-14</v>
      </c>
      <c r="BF148" s="14">
        <f t="shared" si="145"/>
        <v>4.6624771586320878E-13</v>
      </c>
      <c r="BG148" s="22">
        <f t="shared" si="115"/>
        <v>8.583811758418665E-13</v>
      </c>
      <c r="BH148" s="62">
        <f t="shared" si="116"/>
        <v>293.33333333333417</v>
      </c>
      <c r="BI148" s="62">
        <f ca="1">AVERAGE(OFFSET($BH$3,0,0,'Données projet'!$E$11+1,1))-AVERAGE(OFFSET($H$3,0,0,'Données projet'!$E$11+1,1))</f>
        <v>152.72674713084456</v>
      </c>
      <c r="BJ148" s="62">
        <f t="shared" si="146"/>
        <v>203.90215120562164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1.5758801521082217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7.6119745381197645E-17</v>
      </c>
      <c r="BS148" s="24">
        <f t="shared" si="117"/>
        <v>1.5758801521082217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40.76448479999992</v>
      </c>
      <c r="D149" s="12">
        <f t="shared" si="140"/>
        <v>12.201049887237806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128.38102232260991</v>
      </c>
      <c r="H149" s="70">
        <f t="shared" si="110"/>
        <v>348.91497291360571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3.694822225952521E-13</v>
      </c>
      <c r="O149" s="14">
        <f>N149*VLOOKUP('Données projet'!$B$9,Paramètres!$A$1:$I$89,3,0)*VLOOKUP('Données projet'!$B$9,Paramètres!$A$1:$I$89,5,0)</f>
        <v>3.3430751500418408E-13</v>
      </c>
      <c r="P149" s="14">
        <f t="shared" si="141"/>
        <v>4.3640286551328835E-12</v>
      </c>
      <c r="Q149" s="22">
        <f t="shared" si="108"/>
        <v>8.1829354963220586E-12</v>
      </c>
      <c r="R149" s="62">
        <f t="shared" si="109"/>
        <v>293.3333333333415</v>
      </c>
      <c r="S149" s="62">
        <f ca="1">AVERAGE(OFFSET($R$3,0,0,'Données projet'!$E$9+1,1))-AVERAGE(OFFSET($H$3,0,0,'Données projet'!$E$9+1,1))</f>
        <v>228.905960862347</v>
      </c>
      <c r="T149" s="62">
        <f t="shared" si="142"/>
        <v>167.30057656688177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3.694822225952521E-13</v>
      </c>
      <c r="AJ149" s="14">
        <f>AI149*VLOOKUP('Données projet'!$B$10,Paramètres!$A$1:$I$89,3,0)*VLOOKUP('Données projet'!$B$10,Paramètres!$A$1:$I$89,5,0)</f>
        <v>3.7465497371158569E-13</v>
      </c>
      <c r="AK149" s="14">
        <f t="shared" si="143"/>
        <v>4.8262838474208691E-12</v>
      </c>
      <c r="AL149" s="22">
        <f t="shared" si="112"/>
        <v>9.0583017801390244E-12</v>
      </c>
      <c r="AM149" s="62">
        <f t="shared" si="113"/>
        <v>293.33333333334235</v>
      </c>
      <c r="AN149" s="62">
        <f ca="1">AVERAGE(OFFSET($AM$3,0,0,'Données projet'!$E$10+1,1))-AVERAGE(OFFSET($H$3,0,0,'Données projet'!$E$10+1,1))</f>
        <v>256.45433991419372</v>
      </c>
      <c r="AO149" s="62">
        <f t="shared" si="144"/>
        <v>184.9718670682193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2.6602720026858149E-14</v>
      </c>
      <c r="BF149" s="14">
        <f t="shared" si="145"/>
        <v>4.6624771586320878E-13</v>
      </c>
      <c r="BG149" s="22">
        <f t="shared" si="115"/>
        <v>8.583811758418665E-13</v>
      </c>
      <c r="BH149" s="62">
        <f t="shared" si="116"/>
        <v>293.33333333333417</v>
      </c>
      <c r="BI149" s="62">
        <f ca="1">AVERAGE(OFFSET($BH$3,0,0,'Données projet'!$E$11+1,1))-AVERAGE(OFFSET($H$3,0,0,'Données projet'!$E$11+1,1))</f>
        <v>152.72674713084456</v>
      </c>
      <c r="BJ149" s="62">
        <f t="shared" si="146"/>
        <v>203.90215120562164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1.5449781035173624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5.3824788141238239E-17</v>
      </c>
      <c r="BS149" s="24">
        <f t="shared" si="117"/>
        <v>1.5449781035173624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41.043693599999919</v>
      </c>
      <c r="D150" s="12">
        <f t="shared" si="140"/>
        <v>12.274861949045665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129.23669534484455</v>
      </c>
      <c r="H150" s="70">
        <f t="shared" si="110"/>
        <v>349.52981758125441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3.694822225952521E-13</v>
      </c>
      <c r="O150" s="14">
        <f>N150*VLOOKUP('Données projet'!$B$9,Paramètres!$A$1:$I$89,3,0)*VLOOKUP('Données projet'!$B$9,Paramètres!$A$1:$I$89,5,0)</f>
        <v>3.3430751500418408E-13</v>
      </c>
      <c r="P150" s="14">
        <f t="shared" si="141"/>
        <v>4.3640286551328835E-12</v>
      </c>
      <c r="Q150" s="22">
        <f t="shared" si="108"/>
        <v>8.1829354963220586E-12</v>
      </c>
      <c r="R150" s="62">
        <f t="shared" si="109"/>
        <v>293.3333333333415</v>
      </c>
      <c r="S150" s="62">
        <f ca="1">AVERAGE(OFFSET($R$3,0,0,'Données projet'!$E$9+1,1))-AVERAGE(OFFSET($H$3,0,0,'Données projet'!$E$9+1,1))</f>
        <v>228.905960862347</v>
      </c>
      <c r="T150" s="62">
        <f t="shared" si="142"/>
        <v>167.30057656688177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3.694822225952521E-13</v>
      </c>
      <c r="AJ150" s="14">
        <f>AI150*VLOOKUP('Données projet'!$B$10,Paramètres!$A$1:$I$89,3,0)*VLOOKUP('Données projet'!$B$10,Paramètres!$A$1:$I$89,5,0)</f>
        <v>3.7465497371158569E-13</v>
      </c>
      <c r="AK150" s="14">
        <f t="shared" si="143"/>
        <v>4.8262838474208691E-12</v>
      </c>
      <c r="AL150" s="22">
        <f t="shared" si="112"/>
        <v>9.0583017801390244E-12</v>
      </c>
      <c r="AM150" s="62">
        <f t="shared" si="113"/>
        <v>293.33333333334235</v>
      </c>
      <c r="AN150" s="62">
        <f ca="1">AVERAGE(OFFSET($AM$3,0,0,'Données projet'!$E$10+1,1))-AVERAGE(OFFSET($H$3,0,0,'Données projet'!$E$10+1,1))</f>
        <v>256.45433991419372</v>
      </c>
      <c r="AO150" s="62">
        <f t="shared" si="144"/>
        <v>184.9718670682193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2.6602720026858149E-14</v>
      </c>
      <c r="BF150" s="14">
        <f t="shared" si="145"/>
        <v>4.6624771586320878E-13</v>
      </c>
      <c r="BG150" s="22">
        <f t="shared" si="115"/>
        <v>8.583811758418665E-13</v>
      </c>
      <c r="BH150" s="62">
        <f t="shared" si="116"/>
        <v>293.33333333333417</v>
      </c>
      <c r="BI150" s="62">
        <f ca="1">AVERAGE(OFFSET($BH$3,0,0,'Données projet'!$E$11+1,1))-AVERAGE(OFFSET($H$3,0,0,'Données projet'!$E$11+1,1))</f>
        <v>152.72674713084456</v>
      </c>
      <c r="BJ150" s="62">
        <f t="shared" si="146"/>
        <v>203.90215120562164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1.5146820252509814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3.8059872690598829E-17</v>
      </c>
      <c r="BS150" s="24">
        <f t="shared" si="117"/>
        <v>1.5146820252509814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41.322902399999919</v>
      </c>
      <c r="D151" s="12">
        <f t="shared" si="140"/>
        <v>12.348615586409036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130.09222675442564</v>
      </c>
      <c r="H151" s="70">
        <f t="shared" si="110"/>
        <v>350.14456049299559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3.694822225952521E-13</v>
      </c>
      <c r="O151" s="14">
        <f>N151*VLOOKUP('Données projet'!$B$9,Paramètres!$A$1:$I$89,3,0)*VLOOKUP('Données projet'!$B$9,Paramètres!$A$1:$I$89,5,0)</f>
        <v>3.3430751500418408E-13</v>
      </c>
      <c r="P151" s="14">
        <f t="shared" si="141"/>
        <v>4.3640286551328835E-12</v>
      </c>
      <c r="Q151" s="22">
        <f t="shared" si="108"/>
        <v>8.1829354963220586E-12</v>
      </c>
      <c r="R151" s="62">
        <f t="shared" si="109"/>
        <v>293.3333333333415</v>
      </c>
      <c r="S151" s="62">
        <f ca="1">AVERAGE(OFFSET($R$3,0,0,'Données projet'!$E$9+1,1))-AVERAGE(OFFSET($H$3,0,0,'Données projet'!$E$9+1,1))</f>
        <v>228.905960862347</v>
      </c>
      <c r="T151" s="62">
        <f t="shared" si="142"/>
        <v>167.30057656688177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3.694822225952521E-13</v>
      </c>
      <c r="AJ151" s="14">
        <f>AI151*VLOOKUP('Données projet'!$B$10,Paramètres!$A$1:$I$89,3,0)*VLOOKUP('Données projet'!$B$10,Paramètres!$A$1:$I$89,5,0)</f>
        <v>3.7465497371158569E-13</v>
      </c>
      <c r="AK151" s="14">
        <f t="shared" si="143"/>
        <v>4.8262838474208691E-12</v>
      </c>
      <c r="AL151" s="22">
        <f t="shared" si="112"/>
        <v>9.0583017801390244E-12</v>
      </c>
      <c r="AM151" s="62">
        <f t="shared" si="113"/>
        <v>293.33333333334235</v>
      </c>
      <c r="AN151" s="62">
        <f ca="1">AVERAGE(OFFSET($AM$3,0,0,'Données projet'!$E$10+1,1))-AVERAGE(OFFSET($H$3,0,0,'Données projet'!$E$10+1,1))</f>
        <v>256.45433991419372</v>
      </c>
      <c r="AO151" s="62">
        <f t="shared" si="144"/>
        <v>184.9718670682193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2.6602720026858149E-14</v>
      </c>
      <c r="BF151" s="14">
        <f t="shared" si="145"/>
        <v>4.6624771586320878E-13</v>
      </c>
      <c r="BG151" s="22">
        <f t="shared" si="115"/>
        <v>8.583811758418665E-13</v>
      </c>
      <c r="BH151" s="62">
        <f t="shared" si="116"/>
        <v>293.33333333333417</v>
      </c>
      <c r="BI151" s="62">
        <f ca="1">AVERAGE(OFFSET($BH$3,0,0,'Données projet'!$E$11+1,1))-AVERAGE(OFFSET($H$3,0,0,'Données projet'!$E$11+1,1))</f>
        <v>152.72674713084456</v>
      </c>
      <c r="BJ151" s="62">
        <f t="shared" si="146"/>
        <v>203.90215120562164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1.484980034600621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2.6912394070619123E-17</v>
      </c>
      <c r="BS151" s="24">
        <f t="shared" si="117"/>
        <v>1.484980034600621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41.602111199999918</v>
      </c>
      <c r="D152" s="12">
        <f t="shared" si="140"/>
        <v>12.422311239871178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130.94761761916826</v>
      </c>
      <c r="H152" s="70">
        <f t="shared" si="110"/>
        <v>350.75920241610885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3.694822225952521E-13</v>
      </c>
      <c r="O152" s="14">
        <f>N152*VLOOKUP('Données projet'!$B$9,Paramètres!$A$1:$I$89,3,0)*VLOOKUP('Données projet'!$B$9,Paramètres!$A$1:$I$89,5,0)</f>
        <v>3.3430751500418408E-13</v>
      </c>
      <c r="P152" s="14">
        <f t="shared" si="141"/>
        <v>4.3640286551328835E-12</v>
      </c>
      <c r="Q152" s="22">
        <f t="shared" si="108"/>
        <v>8.1829354963220586E-12</v>
      </c>
      <c r="R152" s="62">
        <f t="shared" si="109"/>
        <v>293.3333333333415</v>
      </c>
      <c r="S152" s="62">
        <f ca="1">AVERAGE(OFFSET($R$3,0,0,'Données projet'!$E$9+1,1))-AVERAGE(OFFSET($H$3,0,0,'Données projet'!$E$9+1,1))</f>
        <v>228.905960862347</v>
      </c>
      <c r="T152" s="62">
        <f t="shared" si="142"/>
        <v>167.30057656688177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3.694822225952521E-13</v>
      </c>
      <c r="AJ152" s="14">
        <f>AI152*VLOOKUP('Données projet'!$B$10,Paramètres!$A$1:$I$89,3,0)*VLOOKUP('Données projet'!$B$10,Paramètres!$A$1:$I$89,5,0)</f>
        <v>3.7465497371158569E-13</v>
      </c>
      <c r="AK152" s="14">
        <f t="shared" si="143"/>
        <v>4.8262838474208691E-12</v>
      </c>
      <c r="AL152" s="22">
        <f t="shared" si="112"/>
        <v>9.0583017801390244E-12</v>
      </c>
      <c r="AM152" s="62">
        <f t="shared" si="113"/>
        <v>293.33333333334235</v>
      </c>
      <c r="AN152" s="62">
        <f ca="1">AVERAGE(OFFSET($AM$3,0,0,'Données projet'!$E$10+1,1))-AVERAGE(OFFSET($H$3,0,0,'Données projet'!$E$10+1,1))</f>
        <v>256.45433991419372</v>
      </c>
      <c r="AO152" s="62">
        <f t="shared" si="144"/>
        <v>184.9718670682193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2.6602720026858149E-14</v>
      </c>
      <c r="BF152" s="14">
        <f t="shared" si="145"/>
        <v>4.6624771586320878E-13</v>
      </c>
      <c r="BG152" s="22">
        <f t="shared" si="115"/>
        <v>8.583811758418665E-13</v>
      </c>
      <c r="BH152" s="62">
        <f t="shared" si="116"/>
        <v>293.33333333333417</v>
      </c>
      <c r="BI152" s="62">
        <f ca="1">AVERAGE(OFFSET($BH$3,0,0,'Données projet'!$E$11+1,1))-AVERAGE(OFFSET($H$3,0,0,'Données projet'!$E$11+1,1))</f>
        <v>152.72674713084456</v>
      </c>
      <c r="BJ152" s="62">
        <f t="shared" si="146"/>
        <v>203.90215120562164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1.4558604818704888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1.9029936345299417E-17</v>
      </c>
      <c r="BS152" s="24">
        <f t="shared" si="117"/>
        <v>1.4558604818704888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41.881319999999917</v>
      </c>
      <c r="D153" s="12">
        <f t="shared" si="140"/>
        <v>12.495949343720165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131.80286899172575</v>
      </c>
      <c r="H153" s="70">
        <f t="shared" si="110"/>
        <v>351.37374410697913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3.694822225952521E-13</v>
      </c>
      <c r="O153" s="14">
        <f>N153*VLOOKUP('Données projet'!$B$9,Paramètres!$A$1:$I$89,3,0)*VLOOKUP('Données projet'!$B$9,Paramètres!$A$1:$I$89,5,0)</f>
        <v>3.3430751500418408E-13</v>
      </c>
      <c r="P153" s="14">
        <f t="shared" si="141"/>
        <v>4.3640286551328835E-12</v>
      </c>
      <c r="Q153" s="22">
        <f t="shared" si="108"/>
        <v>8.1829354963220586E-12</v>
      </c>
      <c r="R153" s="62">
        <f t="shared" si="109"/>
        <v>293.3333333333415</v>
      </c>
      <c r="S153" s="62">
        <f ca="1">AVERAGE(OFFSET($R$3,0,0,'Données projet'!$E$9+1,1))-AVERAGE(OFFSET($H$3,0,0,'Données projet'!$E$9+1,1))</f>
        <v>228.905960862347</v>
      </c>
      <c r="T153" s="62">
        <f t="shared" si="142"/>
        <v>167.30057656688177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3.694822225952521E-13</v>
      </c>
      <c r="AJ153" s="14">
        <f>AI153*VLOOKUP('Données projet'!$B$10,Paramètres!$A$1:$I$89,3,0)*VLOOKUP('Données projet'!$B$10,Paramètres!$A$1:$I$89,5,0)</f>
        <v>3.7465497371158569E-13</v>
      </c>
      <c r="AK153" s="14">
        <f t="shared" si="143"/>
        <v>4.8262838474208691E-12</v>
      </c>
      <c r="AL153" s="22">
        <f t="shared" si="112"/>
        <v>9.0583017801390244E-12</v>
      </c>
      <c r="AM153" s="62">
        <f t="shared" si="113"/>
        <v>293.33333333334235</v>
      </c>
      <c r="AN153" s="62">
        <f ca="1">AVERAGE(OFFSET($AM$3,0,0,'Données projet'!$E$10+1,1))-AVERAGE(OFFSET($H$3,0,0,'Données projet'!$E$10+1,1))</f>
        <v>256.45433991419372</v>
      </c>
      <c r="AO153" s="62">
        <f t="shared" si="144"/>
        <v>184.9718670682193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2.6602720026858149E-14</v>
      </c>
      <c r="BF153" s="14">
        <f t="shared" si="145"/>
        <v>4.6624771586320878E-13</v>
      </c>
      <c r="BG153" s="22">
        <f t="shared" si="115"/>
        <v>8.583811758418665E-13</v>
      </c>
      <c r="BH153" s="62">
        <f t="shared" si="116"/>
        <v>293.33333333333417</v>
      </c>
      <c r="BI153" s="62">
        <f ca="1">AVERAGE(OFFSET($BH$3,0,0,'Données projet'!$E$11+1,1))-AVERAGE(OFFSET($H$3,0,0,'Données projet'!$E$11+1,1))</f>
        <v>152.72674713084456</v>
      </c>
      <c r="BJ153" s="62">
        <f t="shared" si="146"/>
        <v>203.90215120562164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1.4273119458082211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1.3456197035309564E-17</v>
      </c>
      <c r="BS153" s="24">
        <f t="shared" si="117"/>
        <v>1.4273119458082211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42.160528799999916</v>
      </c>
      <c r="D154" s="12">
        <f t="shared" si="140"/>
        <v>12.5695303261188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132.65798190990461</v>
      </c>
      <c r="H154" s="70">
        <f t="shared" si="110"/>
        <v>351.98818631132343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3.694822225952521E-13</v>
      </c>
      <c r="O154" s="14">
        <f>N154*VLOOKUP('Données projet'!$B$9,Paramètres!$A$1:$I$89,3,0)*VLOOKUP('Données projet'!$B$9,Paramètres!$A$1:$I$89,5,0)</f>
        <v>3.3430751500418408E-13</v>
      </c>
      <c r="P154" s="14">
        <f t="shared" si="141"/>
        <v>4.3640286551328835E-12</v>
      </c>
      <c r="Q154" s="22">
        <f t="shared" ref="Q154:Q203" si="162">(O154+P154)*0.475*44/12</f>
        <v>8.1829354963220586E-12</v>
      </c>
      <c r="R154" s="62">
        <f t="shared" si="109"/>
        <v>293.3333333333415</v>
      </c>
      <c r="S154" s="62">
        <f ca="1">AVERAGE(OFFSET($R$3,0,0,'Données projet'!$E$9+1,1))-AVERAGE(OFFSET($H$3,0,0,'Données projet'!$E$9+1,1))</f>
        <v>228.905960862347</v>
      </c>
      <c r="T154" s="62">
        <f t="shared" si="142"/>
        <v>167.30057656688177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3.694822225952521E-13</v>
      </c>
      <c r="AJ154" s="14">
        <f>AI154*VLOOKUP('Données projet'!$B$10,Paramètres!$A$1:$I$89,3,0)*VLOOKUP('Données projet'!$B$10,Paramètres!$A$1:$I$89,5,0)</f>
        <v>3.7465497371158569E-13</v>
      </c>
      <c r="AK154" s="14">
        <f t="shared" ref="AK154:AK203" si="164">EXP(-1.0587+0.8836*LN(AJ154)+0.284)</f>
        <v>4.8262838474208691E-12</v>
      </c>
      <c r="AL154" s="22">
        <f t="shared" ref="AL154:AL203" si="165">(AJ154+AK154)*0.475*44/12</f>
        <v>9.0583017801390244E-12</v>
      </c>
      <c r="AM154" s="62">
        <f t="shared" si="113"/>
        <v>293.33333333334235</v>
      </c>
      <c r="AN154" s="62">
        <f ca="1">AVERAGE(OFFSET($AM$3,0,0,'Données projet'!$E$10+1,1))-AVERAGE(OFFSET($H$3,0,0,'Données projet'!$E$10+1,1))</f>
        <v>256.45433991419372</v>
      </c>
      <c r="AO154" s="62">
        <f t="shared" si="144"/>
        <v>184.9718670682193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2.6602720026858149E-14</v>
      </c>
      <c r="BF154" s="14">
        <f t="shared" ref="BF154:BF203" si="167">EXP(-1.0587+0.8836*LN(BE154)+0.284)</f>
        <v>4.6624771586320878E-13</v>
      </c>
      <c r="BG154" s="22">
        <f t="shared" ref="BG154:BG203" si="168">(BE154+BF154)*0.475*44/12</f>
        <v>8.583811758418665E-13</v>
      </c>
      <c r="BH154" s="62">
        <f t="shared" si="116"/>
        <v>293.33333333333417</v>
      </c>
      <c r="BI154" s="62">
        <f ca="1">AVERAGE(OFFSET($BH$3,0,0,'Données projet'!$E$11+1,1))-AVERAGE(OFFSET($H$3,0,0,'Données projet'!$E$11+1,1))</f>
        <v>152.72674713084456</v>
      </c>
      <c r="BJ154" s="62">
        <f t="shared" si="146"/>
        <v>203.90215120562164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1.3993232291252466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9.5149681726497103E-18</v>
      </c>
      <c r="BS154" s="24">
        <f t="shared" ref="BS154:BS203" si="169">SUM(BP154:BR154)</f>
        <v>1.3993232291252466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42.439737599999916</v>
      </c>
      <c r="D155" s="12">
        <f t="shared" si="140"/>
        <v>12.64305460923099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133.5129573969709</v>
      </c>
      <c r="H155" s="70">
        <f t="shared" si="110"/>
        <v>352.60252976441052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3.694822225952521E-13</v>
      </c>
      <c r="O155" s="14">
        <f>N155*VLOOKUP('Données projet'!$B$9,Paramètres!$A$1:$I$89,3,0)*VLOOKUP('Données projet'!$B$9,Paramètres!$A$1:$I$89,5,0)</f>
        <v>3.3430751500418408E-13</v>
      </c>
      <c r="P155" s="14">
        <f t="shared" si="141"/>
        <v>4.3640286551328835E-12</v>
      </c>
      <c r="Q155" s="22">
        <f t="shared" si="162"/>
        <v>8.1829354963220586E-12</v>
      </c>
      <c r="R155" s="62">
        <f t="shared" si="109"/>
        <v>293.3333333333415</v>
      </c>
      <c r="S155" s="62">
        <f ca="1">AVERAGE(OFFSET($R$3,0,0,'Données projet'!$E$9+1,1))-AVERAGE(OFFSET($H$3,0,0,'Données projet'!$E$9+1,1))</f>
        <v>228.905960862347</v>
      </c>
      <c r="T155" s="62">
        <f t="shared" si="142"/>
        <v>167.30057656688177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3.694822225952521E-13</v>
      </c>
      <c r="AJ155" s="14">
        <f>AI155*VLOOKUP('Données projet'!$B$10,Paramètres!$A$1:$I$89,3,0)*VLOOKUP('Données projet'!$B$10,Paramètres!$A$1:$I$89,5,0)</f>
        <v>3.7465497371158569E-13</v>
      </c>
      <c r="AK155" s="14">
        <f t="shared" si="164"/>
        <v>4.8262838474208691E-12</v>
      </c>
      <c r="AL155" s="22">
        <f t="shared" si="165"/>
        <v>9.0583017801390244E-12</v>
      </c>
      <c r="AM155" s="62">
        <f t="shared" si="113"/>
        <v>293.33333333334235</v>
      </c>
      <c r="AN155" s="62">
        <f ca="1">AVERAGE(OFFSET($AM$3,0,0,'Données projet'!$E$10+1,1))-AVERAGE(OFFSET($H$3,0,0,'Données projet'!$E$10+1,1))</f>
        <v>256.45433991419372</v>
      </c>
      <c r="AO155" s="62">
        <f t="shared" si="144"/>
        <v>184.9718670682193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2.6602720026858149E-14</v>
      </c>
      <c r="BF155" s="14">
        <f t="shared" si="167"/>
        <v>4.6624771586320878E-13</v>
      </c>
      <c r="BG155" s="22">
        <f t="shared" si="168"/>
        <v>8.583811758418665E-13</v>
      </c>
      <c r="BH155" s="62">
        <f t="shared" si="116"/>
        <v>293.33333333333417</v>
      </c>
      <c r="BI155" s="62">
        <f ca="1">AVERAGE(OFFSET($BH$3,0,0,'Données projet'!$E$11+1,1))-AVERAGE(OFFSET($H$3,0,0,'Données projet'!$E$11+1,1))</f>
        <v>152.72674713084456</v>
      </c>
      <c r="BJ155" s="62">
        <f t="shared" si="146"/>
        <v>203.90215120562164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1.371883354104994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6.7280985176547829E-18</v>
      </c>
      <c r="BS155" s="24">
        <f t="shared" si="169"/>
        <v>1.371883354104994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42.718946399999915</v>
      </c>
      <c r="D156" s="12">
        <f t="shared" si="140"/>
        <v>12.716522609344681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134.36779646194822</v>
      </c>
      <c r="H156" s="70">
        <f t="shared" si="110"/>
        <v>353.21677519127519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3.694822225952521E-13</v>
      </c>
      <c r="O156" s="14">
        <f>N156*VLOOKUP('Données projet'!$B$9,Paramètres!$A$1:$I$89,3,0)*VLOOKUP('Données projet'!$B$9,Paramètres!$A$1:$I$89,5,0)</f>
        <v>3.3430751500418408E-13</v>
      </c>
      <c r="P156" s="14">
        <f t="shared" si="141"/>
        <v>4.3640286551328835E-12</v>
      </c>
      <c r="Q156" s="22">
        <f t="shared" si="162"/>
        <v>8.1829354963220586E-12</v>
      </c>
      <c r="R156" s="62">
        <f t="shared" si="109"/>
        <v>293.3333333333415</v>
      </c>
      <c r="S156" s="62">
        <f ca="1">AVERAGE(OFFSET($R$3,0,0,'Données projet'!$E$9+1,1))-AVERAGE(OFFSET($H$3,0,0,'Données projet'!$E$9+1,1))</f>
        <v>228.905960862347</v>
      </c>
      <c r="T156" s="62">
        <f t="shared" si="142"/>
        <v>167.30057656688177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3.694822225952521E-13</v>
      </c>
      <c r="AJ156" s="14">
        <f>AI156*VLOOKUP('Données projet'!$B$10,Paramètres!$A$1:$I$89,3,0)*VLOOKUP('Données projet'!$B$10,Paramètres!$A$1:$I$89,5,0)</f>
        <v>3.7465497371158569E-13</v>
      </c>
      <c r="AK156" s="14">
        <f t="shared" si="164"/>
        <v>4.8262838474208691E-12</v>
      </c>
      <c r="AL156" s="22">
        <f t="shared" si="165"/>
        <v>9.0583017801390244E-12</v>
      </c>
      <c r="AM156" s="62">
        <f t="shared" si="113"/>
        <v>293.33333333334235</v>
      </c>
      <c r="AN156" s="62">
        <f ca="1">AVERAGE(OFFSET($AM$3,0,0,'Données projet'!$E$10+1,1))-AVERAGE(OFFSET($H$3,0,0,'Données projet'!$E$10+1,1))</f>
        <v>256.45433991419372</v>
      </c>
      <c r="AO156" s="62">
        <f t="shared" si="144"/>
        <v>184.9718670682193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2.6602720026858149E-14</v>
      </c>
      <c r="BF156" s="14">
        <f t="shared" si="167"/>
        <v>4.6624771586320878E-13</v>
      </c>
      <c r="BG156" s="22">
        <f t="shared" si="168"/>
        <v>8.583811758418665E-13</v>
      </c>
      <c r="BH156" s="62">
        <f t="shared" si="116"/>
        <v>293.33333333333417</v>
      </c>
      <c r="BI156" s="62">
        <f ca="1">AVERAGE(OFFSET($BH$3,0,0,'Données projet'!$E$11+1,1))-AVERAGE(OFFSET($H$3,0,0,'Données projet'!$E$11+1,1))</f>
        <v>152.72674713084456</v>
      </c>
      <c r="BJ156" s="62">
        <f t="shared" si="146"/>
        <v>203.90215120562164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1.3449815582972173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4.7574840863248559E-18</v>
      </c>
      <c r="BS156" s="24">
        <f t="shared" si="169"/>
        <v>1.3449815582972173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42.998155199999914</v>
      </c>
      <c r="D157" s="12">
        <f t="shared" si="140"/>
        <v>12.789934736991507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135.22250009990765</v>
      </c>
      <c r="H157" s="70">
        <f t="shared" si="110"/>
        <v>353.83092330692676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3.694822225952521E-13</v>
      </c>
      <c r="O157" s="14">
        <f>N157*VLOOKUP('Données projet'!$B$9,Paramètres!$A$1:$I$89,3,0)*VLOOKUP('Données projet'!$B$9,Paramètres!$A$1:$I$89,5,0)</f>
        <v>3.3430751500418408E-13</v>
      </c>
      <c r="P157" s="14">
        <f t="shared" si="141"/>
        <v>4.3640286551328835E-12</v>
      </c>
      <c r="Q157" s="22">
        <f t="shared" si="162"/>
        <v>8.1829354963220586E-12</v>
      </c>
      <c r="R157" s="62">
        <f t="shared" si="109"/>
        <v>293.3333333333415</v>
      </c>
      <c r="S157" s="62">
        <f ca="1">AVERAGE(OFFSET($R$3,0,0,'Données projet'!$E$9+1,1))-AVERAGE(OFFSET($H$3,0,0,'Données projet'!$E$9+1,1))</f>
        <v>228.905960862347</v>
      </c>
      <c r="T157" s="62">
        <f t="shared" si="142"/>
        <v>167.30057656688177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3.694822225952521E-13</v>
      </c>
      <c r="AJ157" s="14">
        <f>AI157*VLOOKUP('Données projet'!$B$10,Paramètres!$A$1:$I$89,3,0)*VLOOKUP('Données projet'!$B$10,Paramètres!$A$1:$I$89,5,0)</f>
        <v>3.7465497371158569E-13</v>
      </c>
      <c r="AK157" s="14">
        <f t="shared" si="164"/>
        <v>4.8262838474208691E-12</v>
      </c>
      <c r="AL157" s="22">
        <f t="shared" si="165"/>
        <v>9.0583017801390244E-12</v>
      </c>
      <c r="AM157" s="62">
        <f t="shared" si="113"/>
        <v>293.33333333334235</v>
      </c>
      <c r="AN157" s="62">
        <f ca="1">AVERAGE(OFFSET($AM$3,0,0,'Données projet'!$E$10+1,1))-AVERAGE(OFFSET($H$3,0,0,'Données projet'!$E$10+1,1))</f>
        <v>256.45433991419372</v>
      </c>
      <c r="AO157" s="62">
        <f t="shared" si="144"/>
        <v>184.9718670682193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2.6602720026858149E-14</v>
      </c>
      <c r="BF157" s="14">
        <f t="shared" si="167"/>
        <v>4.6624771586320878E-13</v>
      </c>
      <c r="BG157" s="22">
        <f t="shared" si="168"/>
        <v>8.583811758418665E-13</v>
      </c>
      <c r="BH157" s="62">
        <f t="shared" si="116"/>
        <v>293.33333333333417</v>
      </c>
      <c r="BI157" s="62">
        <f ca="1">AVERAGE(OFFSET($BH$3,0,0,'Données projet'!$E$11+1,1))-AVERAGE(OFFSET($H$3,0,0,'Données projet'!$E$11+1,1))</f>
        <v>152.72674713084456</v>
      </c>
      <c r="BJ157" s="62">
        <f t="shared" si="146"/>
        <v>203.90215120562164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1.3186072902967558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3.3640492588273922E-18</v>
      </c>
      <c r="BS157" s="24">
        <f t="shared" si="169"/>
        <v>1.3186072902967558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43.277363999999913</v>
      </c>
      <c r="D158" s="12">
        <f t="shared" si="140"/>
        <v>12.863291397063254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136.07706929225</v>
      </c>
      <c r="H158" s="70">
        <f t="shared" si="110"/>
        <v>354.44497481655173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3.694822225952521E-13</v>
      </c>
      <c r="O158" s="14">
        <f>N158*VLOOKUP('Données projet'!$B$9,Paramètres!$A$1:$I$89,3,0)*VLOOKUP('Données projet'!$B$9,Paramètres!$A$1:$I$89,5,0)</f>
        <v>3.3430751500418408E-13</v>
      </c>
      <c r="P158" s="14">
        <f t="shared" si="141"/>
        <v>4.3640286551328835E-12</v>
      </c>
      <c r="Q158" s="22">
        <f t="shared" si="162"/>
        <v>8.1829354963220586E-12</v>
      </c>
      <c r="R158" s="62">
        <f t="shared" si="109"/>
        <v>293.3333333333415</v>
      </c>
      <c r="S158" s="62">
        <f ca="1">AVERAGE(OFFSET($R$3,0,0,'Données projet'!$E$9+1,1))-AVERAGE(OFFSET($H$3,0,0,'Données projet'!$E$9+1,1))</f>
        <v>228.905960862347</v>
      </c>
      <c r="T158" s="62">
        <f t="shared" si="142"/>
        <v>167.30057656688177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3.694822225952521E-13</v>
      </c>
      <c r="AJ158" s="14">
        <f>AI158*VLOOKUP('Données projet'!$B$10,Paramètres!$A$1:$I$89,3,0)*VLOOKUP('Données projet'!$B$10,Paramètres!$A$1:$I$89,5,0)</f>
        <v>3.7465497371158569E-13</v>
      </c>
      <c r="AK158" s="14">
        <f t="shared" si="164"/>
        <v>4.8262838474208691E-12</v>
      </c>
      <c r="AL158" s="22">
        <f t="shared" si="165"/>
        <v>9.0583017801390244E-12</v>
      </c>
      <c r="AM158" s="62">
        <f t="shared" si="113"/>
        <v>293.33333333334235</v>
      </c>
      <c r="AN158" s="62">
        <f ca="1">AVERAGE(OFFSET($AM$3,0,0,'Données projet'!$E$10+1,1))-AVERAGE(OFFSET($H$3,0,0,'Données projet'!$E$10+1,1))</f>
        <v>256.45433991419372</v>
      </c>
      <c r="AO158" s="62">
        <f t="shared" si="144"/>
        <v>184.9718670682193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2.6602720026858149E-14</v>
      </c>
      <c r="BF158" s="14">
        <f t="shared" si="167"/>
        <v>4.6624771586320878E-13</v>
      </c>
      <c r="BG158" s="22">
        <f t="shared" si="168"/>
        <v>8.583811758418665E-13</v>
      </c>
      <c r="BH158" s="62">
        <f t="shared" si="116"/>
        <v>293.33333333333417</v>
      </c>
      <c r="BI158" s="62">
        <f ca="1">AVERAGE(OFFSET($BH$3,0,0,'Données projet'!$E$11+1,1))-AVERAGE(OFFSET($H$3,0,0,'Données projet'!$E$11+1,1))</f>
        <v>152.72674713084456</v>
      </c>
      <c r="BJ158" s="62">
        <f t="shared" si="146"/>
        <v>203.90215120562164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1.2927502056050684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2.3787420431624283E-18</v>
      </c>
      <c r="BS158" s="24">
        <f t="shared" si="169"/>
        <v>1.2927502056050684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43.556572799999913</v>
      </c>
      <c r="D159" s="12">
        <f t="shared" si="140"/>
        <v>12.936592988925184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136.93150500698056</v>
      </c>
      <c r="H159" s="70">
        <f t="shared" si="110"/>
        <v>355.05893041571125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3.694822225952521E-13</v>
      </c>
      <c r="O159" s="14">
        <f>N159*VLOOKUP('Données projet'!$B$9,Paramètres!$A$1:$I$89,3,0)*VLOOKUP('Données projet'!$B$9,Paramètres!$A$1:$I$89,5,0)</f>
        <v>3.3430751500418408E-13</v>
      </c>
      <c r="P159" s="14">
        <f t="shared" si="141"/>
        <v>4.3640286551328835E-12</v>
      </c>
      <c r="Q159" s="22">
        <f t="shared" si="162"/>
        <v>8.1829354963220586E-12</v>
      </c>
      <c r="R159" s="62">
        <f t="shared" si="109"/>
        <v>293.3333333333415</v>
      </c>
      <c r="S159" s="62">
        <f ca="1">AVERAGE(OFFSET($R$3,0,0,'Données projet'!$E$9+1,1))-AVERAGE(OFFSET($H$3,0,0,'Données projet'!$E$9+1,1))</f>
        <v>228.905960862347</v>
      </c>
      <c r="T159" s="62">
        <f t="shared" si="142"/>
        <v>167.30057656688177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3.694822225952521E-13</v>
      </c>
      <c r="AJ159" s="14">
        <f>AI159*VLOOKUP('Données projet'!$B$10,Paramètres!$A$1:$I$89,3,0)*VLOOKUP('Données projet'!$B$10,Paramètres!$A$1:$I$89,5,0)</f>
        <v>3.7465497371158569E-13</v>
      </c>
      <c r="AK159" s="14">
        <f t="shared" si="164"/>
        <v>4.8262838474208691E-12</v>
      </c>
      <c r="AL159" s="22">
        <f t="shared" si="165"/>
        <v>9.0583017801390244E-12</v>
      </c>
      <c r="AM159" s="62">
        <f t="shared" si="113"/>
        <v>293.33333333334235</v>
      </c>
      <c r="AN159" s="62">
        <f ca="1">AVERAGE(OFFSET($AM$3,0,0,'Données projet'!$E$10+1,1))-AVERAGE(OFFSET($H$3,0,0,'Données projet'!$E$10+1,1))</f>
        <v>256.45433991419372</v>
      </c>
      <c r="AO159" s="62">
        <f t="shared" si="144"/>
        <v>184.9718670682193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2.6602720026858149E-14</v>
      </c>
      <c r="BF159" s="14">
        <f t="shared" si="167"/>
        <v>4.6624771586320878E-13</v>
      </c>
      <c r="BG159" s="22">
        <f t="shared" si="168"/>
        <v>8.583811758418665E-13</v>
      </c>
      <c r="BH159" s="62">
        <f t="shared" si="116"/>
        <v>293.33333333333417</v>
      </c>
      <c r="BI159" s="62">
        <f ca="1">AVERAGE(OFFSET($BH$3,0,0,'Données projet'!$E$11+1,1))-AVERAGE(OFFSET($H$3,0,0,'Données projet'!$E$11+1,1))</f>
        <v>152.72674713084456</v>
      </c>
      <c r="BJ159" s="62">
        <f t="shared" si="146"/>
        <v>203.90215120562164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1.2674001625729205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1.6820246294136963E-18</v>
      </c>
      <c r="BS159" s="24">
        <f t="shared" si="169"/>
        <v>1.2674001625729205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43.835781599999912</v>
      </c>
      <c r="D160" s="12">
        <f t="shared" si="140"/>
        <v>13.009839906526425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137.78580819897684</v>
      </c>
      <c r="H160" s="70">
        <f t="shared" si="110"/>
        <v>355.67279079053338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3.694822225952521E-13</v>
      </c>
      <c r="O160" s="14">
        <f>N160*VLOOKUP('Données projet'!$B$9,Paramètres!$A$1:$I$89,3,0)*VLOOKUP('Données projet'!$B$9,Paramètres!$A$1:$I$89,5,0)</f>
        <v>3.3430751500418408E-13</v>
      </c>
      <c r="P160" s="14">
        <f t="shared" si="141"/>
        <v>4.3640286551328835E-12</v>
      </c>
      <c r="Q160" s="22">
        <f t="shared" si="162"/>
        <v>8.1829354963220586E-12</v>
      </c>
      <c r="R160" s="62">
        <f t="shared" si="109"/>
        <v>293.3333333333415</v>
      </c>
      <c r="S160" s="62">
        <f ca="1">AVERAGE(OFFSET($R$3,0,0,'Données projet'!$E$9+1,1))-AVERAGE(OFFSET($H$3,0,0,'Données projet'!$E$9+1,1))</f>
        <v>228.905960862347</v>
      </c>
      <c r="T160" s="62">
        <f t="shared" si="142"/>
        <v>167.30057656688177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3.694822225952521E-13</v>
      </c>
      <c r="AJ160" s="14">
        <f>AI160*VLOOKUP('Données projet'!$B$10,Paramètres!$A$1:$I$89,3,0)*VLOOKUP('Données projet'!$B$10,Paramètres!$A$1:$I$89,5,0)</f>
        <v>3.7465497371158569E-13</v>
      </c>
      <c r="AK160" s="14">
        <f t="shared" si="164"/>
        <v>4.8262838474208691E-12</v>
      </c>
      <c r="AL160" s="22">
        <f t="shared" si="165"/>
        <v>9.0583017801390244E-12</v>
      </c>
      <c r="AM160" s="62">
        <f t="shared" si="113"/>
        <v>293.33333333334235</v>
      </c>
      <c r="AN160" s="62">
        <f ca="1">AVERAGE(OFFSET($AM$3,0,0,'Données projet'!$E$10+1,1))-AVERAGE(OFFSET($H$3,0,0,'Données projet'!$E$10+1,1))</f>
        <v>256.45433991419372</v>
      </c>
      <c r="AO160" s="62">
        <f t="shared" si="144"/>
        <v>184.9718670682193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2.6602720026858149E-14</v>
      </c>
      <c r="BF160" s="14">
        <f t="shared" si="167"/>
        <v>4.6624771586320878E-13</v>
      </c>
      <c r="BG160" s="22">
        <f t="shared" si="168"/>
        <v>8.583811758418665E-13</v>
      </c>
      <c r="BH160" s="62">
        <f t="shared" si="116"/>
        <v>293.33333333333417</v>
      </c>
      <c r="BI160" s="62">
        <f ca="1">AVERAGE(OFFSET($BH$3,0,0,'Données projet'!$E$11+1,1))-AVERAGE(OFFSET($H$3,0,0,'Données projet'!$E$11+1,1))</f>
        <v>152.72674713084456</v>
      </c>
      <c r="BJ160" s="62">
        <f t="shared" si="146"/>
        <v>203.90215120562164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1.2425472184226336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1.1893710215812144E-18</v>
      </c>
      <c r="BS160" s="24">
        <f t="shared" si="169"/>
        <v>1.2425472184226336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44.114990399999911</v>
      </c>
      <c r="D161" s="12">
        <f t="shared" si="140"/>
        <v>13.083032538507423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138.63997981024866</v>
      </c>
      <c r="H161" s="70">
        <f t="shared" si="110"/>
        <v>356.28655661790032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3.694822225952521E-13</v>
      </c>
      <c r="O161" s="14">
        <f>N161*VLOOKUP('Données projet'!$B$9,Paramètres!$A$1:$I$89,3,0)*VLOOKUP('Données projet'!$B$9,Paramètres!$A$1:$I$89,5,0)</f>
        <v>3.3430751500418408E-13</v>
      </c>
      <c r="P161" s="14">
        <f t="shared" si="141"/>
        <v>4.3640286551328835E-12</v>
      </c>
      <c r="Q161" s="22">
        <f t="shared" si="162"/>
        <v>8.1829354963220586E-12</v>
      </c>
      <c r="R161" s="62">
        <f t="shared" si="109"/>
        <v>293.3333333333415</v>
      </c>
      <c r="S161" s="62">
        <f ca="1">AVERAGE(OFFSET($R$3,0,0,'Données projet'!$E$9+1,1))-AVERAGE(OFFSET($H$3,0,0,'Données projet'!$E$9+1,1))</f>
        <v>228.905960862347</v>
      </c>
      <c r="T161" s="62">
        <f t="shared" si="142"/>
        <v>167.30057656688177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3.694822225952521E-13</v>
      </c>
      <c r="AJ161" s="14">
        <f>AI161*VLOOKUP('Données projet'!$B$10,Paramètres!$A$1:$I$89,3,0)*VLOOKUP('Données projet'!$B$10,Paramètres!$A$1:$I$89,5,0)</f>
        <v>3.7465497371158569E-13</v>
      </c>
      <c r="AK161" s="14">
        <f t="shared" si="164"/>
        <v>4.8262838474208691E-12</v>
      </c>
      <c r="AL161" s="22">
        <f t="shared" si="165"/>
        <v>9.0583017801390244E-12</v>
      </c>
      <c r="AM161" s="62">
        <f t="shared" si="113"/>
        <v>293.33333333334235</v>
      </c>
      <c r="AN161" s="62">
        <f ca="1">AVERAGE(OFFSET($AM$3,0,0,'Données projet'!$E$10+1,1))-AVERAGE(OFFSET($H$3,0,0,'Données projet'!$E$10+1,1))</f>
        <v>256.45433991419372</v>
      </c>
      <c r="AO161" s="62">
        <f t="shared" si="144"/>
        <v>184.9718670682193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2.6602720026858149E-14</v>
      </c>
      <c r="BF161" s="14">
        <f t="shared" si="167"/>
        <v>4.6624771586320878E-13</v>
      </c>
      <c r="BG161" s="22">
        <f t="shared" si="168"/>
        <v>8.583811758418665E-13</v>
      </c>
      <c r="BH161" s="62">
        <f t="shared" si="116"/>
        <v>293.33333333333417</v>
      </c>
      <c r="BI161" s="62">
        <f ca="1">AVERAGE(OFFSET($BH$3,0,0,'Données projet'!$E$11+1,1))-AVERAGE(OFFSET($H$3,0,0,'Données projet'!$E$11+1,1))</f>
        <v>152.72674713084456</v>
      </c>
      <c r="BJ161" s="62">
        <f t="shared" si="146"/>
        <v>203.90215120562164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1.2181816253483346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8.4101231470684825E-19</v>
      </c>
      <c r="BS161" s="24">
        <f t="shared" si="169"/>
        <v>1.2181816253483346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44.39419919999991</v>
      </c>
      <c r="D162" s="12">
        <f t="shared" si="140"/>
        <v>13.156171268304623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139.49402077019218</v>
      </c>
      <c r="H162" s="70">
        <f t="shared" si="110"/>
        <v>356.90022856563041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3.694822225952521E-13</v>
      </c>
      <c r="O162" s="14">
        <f>N162*VLOOKUP('Données projet'!$B$9,Paramètres!$A$1:$I$89,3,0)*VLOOKUP('Données projet'!$B$9,Paramètres!$A$1:$I$89,5,0)</f>
        <v>3.3430751500418408E-13</v>
      </c>
      <c r="P162" s="14">
        <f t="shared" si="141"/>
        <v>4.3640286551328835E-12</v>
      </c>
      <c r="Q162" s="22">
        <f t="shared" si="162"/>
        <v>8.1829354963220586E-12</v>
      </c>
      <c r="R162" s="62">
        <f t="shared" si="109"/>
        <v>293.3333333333415</v>
      </c>
      <c r="S162" s="62">
        <f ca="1">AVERAGE(OFFSET($R$3,0,0,'Données projet'!$E$9+1,1))-AVERAGE(OFFSET($H$3,0,0,'Données projet'!$E$9+1,1))</f>
        <v>228.905960862347</v>
      </c>
      <c r="T162" s="62">
        <f t="shared" si="142"/>
        <v>167.30057656688177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3.694822225952521E-13</v>
      </c>
      <c r="AJ162" s="14">
        <f>AI162*VLOOKUP('Données projet'!$B$10,Paramètres!$A$1:$I$89,3,0)*VLOOKUP('Données projet'!$B$10,Paramètres!$A$1:$I$89,5,0)</f>
        <v>3.7465497371158569E-13</v>
      </c>
      <c r="AK162" s="14">
        <f t="shared" si="164"/>
        <v>4.8262838474208691E-12</v>
      </c>
      <c r="AL162" s="22">
        <f t="shared" si="165"/>
        <v>9.0583017801390244E-12</v>
      </c>
      <c r="AM162" s="62">
        <f t="shared" si="113"/>
        <v>293.33333333334235</v>
      </c>
      <c r="AN162" s="62">
        <f ca="1">AVERAGE(OFFSET($AM$3,0,0,'Données projet'!$E$10+1,1))-AVERAGE(OFFSET($H$3,0,0,'Données projet'!$E$10+1,1))</f>
        <v>256.45433991419372</v>
      </c>
      <c r="AO162" s="62">
        <f t="shared" si="144"/>
        <v>184.9718670682193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2.6602720026858149E-14</v>
      </c>
      <c r="BF162" s="14">
        <f t="shared" si="167"/>
        <v>4.6624771586320878E-13</v>
      </c>
      <c r="BG162" s="22">
        <f t="shared" si="168"/>
        <v>8.583811758418665E-13</v>
      </c>
      <c r="BH162" s="62">
        <f t="shared" si="116"/>
        <v>293.33333333333417</v>
      </c>
      <c r="BI162" s="62">
        <f ca="1">AVERAGE(OFFSET($BH$3,0,0,'Données projet'!$E$11+1,1))-AVERAGE(OFFSET($H$3,0,0,'Données projet'!$E$11+1,1))</f>
        <v>152.72674713084456</v>
      </c>
      <c r="BJ162" s="62">
        <f t="shared" si="146"/>
        <v>203.90215120562164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1.1942938266926784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5.9468551079060728E-19</v>
      </c>
      <c r="BS162" s="24">
        <f t="shared" si="169"/>
        <v>1.1942938266926784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44.67340799999991</v>
      </c>
      <c r="D163" s="12">
        <f t="shared" si="140"/>
        <v>13.229256474252463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140.34793199583697</v>
      </c>
      <c r="H163" s="70">
        <f t="shared" si="110"/>
        <v>357.51380729265622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3.694822225952521E-13</v>
      </c>
      <c r="O163" s="14">
        <f>N163*VLOOKUP('Données projet'!$B$9,Paramètres!$A$1:$I$89,3,0)*VLOOKUP('Données projet'!$B$9,Paramètres!$A$1:$I$89,5,0)</f>
        <v>3.3430751500418408E-13</v>
      </c>
      <c r="P163" s="14">
        <f t="shared" si="141"/>
        <v>4.3640286551328835E-12</v>
      </c>
      <c r="Q163" s="22">
        <f t="shared" si="162"/>
        <v>8.1829354963220586E-12</v>
      </c>
      <c r="R163" s="62">
        <f t="shared" si="109"/>
        <v>293.3333333333415</v>
      </c>
      <c r="S163" s="62">
        <f ca="1">AVERAGE(OFFSET($R$3,0,0,'Données projet'!$E$9+1,1))-AVERAGE(OFFSET($H$3,0,0,'Données projet'!$E$9+1,1))</f>
        <v>228.905960862347</v>
      </c>
      <c r="T163" s="62">
        <f t="shared" si="142"/>
        <v>167.30057656688177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3.694822225952521E-13</v>
      </c>
      <c r="AJ163" s="14">
        <f>AI163*VLOOKUP('Données projet'!$B$10,Paramètres!$A$1:$I$89,3,0)*VLOOKUP('Données projet'!$B$10,Paramètres!$A$1:$I$89,5,0)</f>
        <v>3.7465497371158569E-13</v>
      </c>
      <c r="AK163" s="14">
        <f t="shared" si="164"/>
        <v>4.8262838474208691E-12</v>
      </c>
      <c r="AL163" s="22">
        <f t="shared" si="165"/>
        <v>9.0583017801390244E-12</v>
      </c>
      <c r="AM163" s="62">
        <f t="shared" si="113"/>
        <v>293.33333333334235</v>
      </c>
      <c r="AN163" s="62">
        <f ca="1">AVERAGE(OFFSET($AM$3,0,0,'Données projet'!$E$10+1,1))-AVERAGE(OFFSET($H$3,0,0,'Données projet'!$E$10+1,1))</f>
        <v>256.45433991419372</v>
      </c>
      <c r="AO163" s="62">
        <f t="shared" si="144"/>
        <v>184.9718670682193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2.6602720026858149E-14</v>
      </c>
      <c r="BF163" s="14">
        <f t="shared" si="167"/>
        <v>4.6624771586320878E-13</v>
      </c>
      <c r="BG163" s="22">
        <f t="shared" si="168"/>
        <v>8.583811758418665E-13</v>
      </c>
      <c r="BH163" s="62">
        <f t="shared" si="116"/>
        <v>293.33333333333417</v>
      </c>
      <c r="BI163" s="62">
        <f ca="1">AVERAGE(OFFSET($BH$3,0,0,'Données projet'!$E$11+1,1))-AVERAGE(OFFSET($H$3,0,0,'Données projet'!$E$11+1,1))</f>
        <v>152.72674713084456</v>
      </c>
      <c r="BJ163" s="62">
        <f t="shared" si="146"/>
        <v>203.90215120562164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1.1708744531985411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4.2050615735342422E-19</v>
      </c>
      <c r="BS163" s="24">
        <f t="shared" si="169"/>
        <v>1.1708744531985411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44.952616799999909</v>
      </c>
      <c r="D164" s="12">
        <f t="shared" si="140"/>
        <v>13.302288529682631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141.20171439208664</v>
      </c>
      <c r="H164" s="70">
        <f t="shared" si="110"/>
        <v>358.12729344919711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3.694822225952521E-13</v>
      </c>
      <c r="O164" s="14">
        <f>N164*VLOOKUP('Données projet'!$B$9,Paramètres!$A$1:$I$89,3,0)*VLOOKUP('Données projet'!$B$9,Paramètres!$A$1:$I$89,5,0)</f>
        <v>3.3430751500418408E-13</v>
      </c>
      <c r="P164" s="14">
        <f t="shared" si="141"/>
        <v>4.3640286551328835E-12</v>
      </c>
      <c r="Q164" s="22">
        <f t="shared" si="162"/>
        <v>8.1829354963220586E-12</v>
      </c>
      <c r="R164" s="62">
        <f t="shared" si="109"/>
        <v>293.3333333333415</v>
      </c>
      <c r="S164" s="62">
        <f ca="1">AVERAGE(OFFSET($R$3,0,0,'Données projet'!$E$9+1,1))-AVERAGE(OFFSET($H$3,0,0,'Données projet'!$E$9+1,1))</f>
        <v>228.905960862347</v>
      </c>
      <c r="T164" s="62">
        <f t="shared" si="142"/>
        <v>167.30057656688177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3.694822225952521E-13</v>
      </c>
      <c r="AJ164" s="14">
        <f>AI164*VLOOKUP('Données projet'!$B$10,Paramètres!$A$1:$I$89,3,0)*VLOOKUP('Données projet'!$B$10,Paramètres!$A$1:$I$89,5,0)</f>
        <v>3.7465497371158569E-13</v>
      </c>
      <c r="AK164" s="14">
        <f t="shared" si="164"/>
        <v>4.8262838474208691E-12</v>
      </c>
      <c r="AL164" s="22">
        <f t="shared" si="165"/>
        <v>9.0583017801390244E-12</v>
      </c>
      <c r="AM164" s="62">
        <f t="shared" si="113"/>
        <v>293.33333333334235</v>
      </c>
      <c r="AN164" s="62">
        <f ca="1">AVERAGE(OFFSET($AM$3,0,0,'Données projet'!$E$10+1,1))-AVERAGE(OFFSET($H$3,0,0,'Données projet'!$E$10+1,1))</f>
        <v>256.45433991419372</v>
      </c>
      <c r="AO164" s="62">
        <f t="shared" si="144"/>
        <v>184.9718670682193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2.6602720026858149E-14</v>
      </c>
      <c r="BF164" s="14">
        <f t="shared" si="167"/>
        <v>4.6624771586320878E-13</v>
      </c>
      <c r="BG164" s="22">
        <f t="shared" si="168"/>
        <v>8.583811758418665E-13</v>
      </c>
      <c r="BH164" s="62">
        <f t="shared" si="116"/>
        <v>293.33333333333417</v>
      </c>
      <c r="BI164" s="62">
        <f ca="1">AVERAGE(OFFSET($BH$3,0,0,'Données projet'!$E$11+1,1))-AVERAGE(OFFSET($H$3,0,0,'Données projet'!$E$11+1,1))</f>
        <v>152.72674713084456</v>
      </c>
      <c r="BJ164" s="62">
        <f t="shared" si="146"/>
        <v>203.90215120562164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1.1479143193342165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2.9734275539530369E-19</v>
      </c>
      <c r="BS164" s="24">
        <f t="shared" si="169"/>
        <v>1.1479143193342165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45.231825599999908</v>
      </c>
      <c r="D165" s="12">
        <f t="shared" si="140"/>
        <v>13.375267803020977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142.05536885195377</v>
      </c>
      <c r="H165" s="70">
        <f t="shared" si="110"/>
        <v>358.74068767692808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3.694822225952521E-13</v>
      </c>
      <c r="O165" s="14">
        <f>N165*VLOOKUP('Données projet'!$B$9,Paramètres!$A$1:$I$89,3,0)*VLOOKUP('Données projet'!$B$9,Paramètres!$A$1:$I$89,5,0)</f>
        <v>3.3430751500418408E-13</v>
      </c>
      <c r="P165" s="14">
        <f t="shared" si="141"/>
        <v>4.3640286551328835E-12</v>
      </c>
      <c r="Q165" s="22">
        <f t="shared" si="162"/>
        <v>8.1829354963220586E-12</v>
      </c>
      <c r="R165" s="62">
        <f t="shared" si="109"/>
        <v>293.3333333333415</v>
      </c>
      <c r="S165" s="62">
        <f ca="1">AVERAGE(OFFSET($R$3,0,0,'Données projet'!$E$9+1,1))-AVERAGE(OFFSET($H$3,0,0,'Données projet'!$E$9+1,1))</f>
        <v>228.905960862347</v>
      </c>
      <c r="T165" s="62">
        <f t="shared" si="142"/>
        <v>167.30057656688177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3.694822225952521E-13</v>
      </c>
      <c r="AJ165" s="14">
        <f>AI165*VLOOKUP('Données projet'!$B$10,Paramètres!$A$1:$I$89,3,0)*VLOOKUP('Données projet'!$B$10,Paramètres!$A$1:$I$89,5,0)</f>
        <v>3.7465497371158569E-13</v>
      </c>
      <c r="AK165" s="14">
        <f t="shared" si="164"/>
        <v>4.8262838474208691E-12</v>
      </c>
      <c r="AL165" s="22">
        <f t="shared" si="165"/>
        <v>9.0583017801390244E-12</v>
      </c>
      <c r="AM165" s="62">
        <f t="shared" si="113"/>
        <v>293.33333333334235</v>
      </c>
      <c r="AN165" s="62">
        <f ca="1">AVERAGE(OFFSET($AM$3,0,0,'Données projet'!$E$10+1,1))-AVERAGE(OFFSET($H$3,0,0,'Données projet'!$E$10+1,1))</f>
        <v>256.45433991419372</v>
      </c>
      <c r="AO165" s="62">
        <f t="shared" si="144"/>
        <v>184.9718670682193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2.6602720026858149E-14</v>
      </c>
      <c r="BF165" s="14">
        <f t="shared" si="167"/>
        <v>4.6624771586320878E-13</v>
      </c>
      <c r="BG165" s="22">
        <f t="shared" si="168"/>
        <v>8.583811758418665E-13</v>
      </c>
      <c r="BH165" s="62">
        <f t="shared" si="116"/>
        <v>293.33333333333417</v>
      </c>
      <c r="BI165" s="62">
        <f ca="1">AVERAGE(OFFSET($BH$3,0,0,'Données projet'!$E$11+1,1))-AVERAGE(OFFSET($H$3,0,0,'Données projet'!$E$11+1,1))</f>
        <v>152.72674713084456</v>
      </c>
      <c r="BJ165" s="62">
        <f t="shared" si="146"/>
        <v>203.90215120562164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1.1254044196906723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2.1025307867671214E-19</v>
      </c>
      <c r="BS165" s="24">
        <f t="shared" si="169"/>
        <v>1.1254044196906723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45.511034399999907</v>
      </c>
      <c r="D166" s="12">
        <f t="shared" si="140"/>
        <v>13.448194657881768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142.90889625678827</v>
      </c>
      <c r="H166" s="70">
        <f t="shared" si="110"/>
        <v>359.35399060914392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3.694822225952521E-13</v>
      </c>
      <c r="O166" s="14">
        <f>N166*VLOOKUP('Données projet'!$B$9,Paramètres!$A$1:$I$89,3,0)*VLOOKUP('Données projet'!$B$9,Paramètres!$A$1:$I$89,5,0)</f>
        <v>3.3430751500418408E-13</v>
      </c>
      <c r="P166" s="14">
        <f t="shared" si="141"/>
        <v>4.3640286551328835E-12</v>
      </c>
      <c r="Q166" s="22">
        <f t="shared" si="162"/>
        <v>8.1829354963220586E-12</v>
      </c>
      <c r="R166" s="62">
        <f t="shared" si="109"/>
        <v>293.3333333333415</v>
      </c>
      <c r="S166" s="62">
        <f ca="1">AVERAGE(OFFSET($R$3,0,0,'Données projet'!$E$9+1,1))-AVERAGE(OFFSET($H$3,0,0,'Données projet'!$E$9+1,1))</f>
        <v>228.905960862347</v>
      </c>
      <c r="T166" s="62">
        <f t="shared" si="142"/>
        <v>167.30057656688177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3.694822225952521E-13</v>
      </c>
      <c r="AJ166" s="14">
        <f>AI166*VLOOKUP('Données projet'!$B$10,Paramètres!$A$1:$I$89,3,0)*VLOOKUP('Données projet'!$B$10,Paramètres!$A$1:$I$89,5,0)</f>
        <v>3.7465497371158569E-13</v>
      </c>
      <c r="AK166" s="14">
        <f t="shared" si="164"/>
        <v>4.8262838474208691E-12</v>
      </c>
      <c r="AL166" s="22">
        <f t="shared" si="165"/>
        <v>9.0583017801390244E-12</v>
      </c>
      <c r="AM166" s="62">
        <f t="shared" si="113"/>
        <v>293.33333333334235</v>
      </c>
      <c r="AN166" s="62">
        <f ca="1">AVERAGE(OFFSET($AM$3,0,0,'Données projet'!$E$10+1,1))-AVERAGE(OFFSET($H$3,0,0,'Données projet'!$E$10+1,1))</f>
        <v>256.45433991419372</v>
      </c>
      <c r="AO166" s="62">
        <f t="shared" si="144"/>
        <v>184.9718670682193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2.6602720026858149E-14</v>
      </c>
      <c r="BF166" s="14">
        <f t="shared" si="167"/>
        <v>4.6624771586320878E-13</v>
      </c>
      <c r="BG166" s="22">
        <f t="shared" si="168"/>
        <v>8.583811758418665E-13</v>
      </c>
      <c r="BH166" s="62">
        <f t="shared" si="116"/>
        <v>293.33333333333417</v>
      </c>
      <c r="BI166" s="62">
        <f ca="1">AVERAGE(OFFSET($BH$3,0,0,'Données projet'!$E$11+1,1))-AVERAGE(OFFSET($H$3,0,0,'Données projet'!$E$11+1,1))</f>
        <v>152.72674713084456</v>
      </c>
      <c r="BJ166" s="62">
        <f t="shared" si="146"/>
        <v>203.90215120562164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1.103335925449455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1.4867137769765187E-19</v>
      </c>
      <c r="BS166" s="24">
        <f t="shared" si="169"/>
        <v>1.103335925449455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45.790243199999907</v>
      </c>
      <c r="D167" s="12">
        <f t="shared" si="140"/>
        <v>13.521069453159697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143.76229747650055</v>
      </c>
      <c r="H167" s="70">
        <f t="shared" si="110"/>
        <v>359.96720287091966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3.694822225952521E-13</v>
      </c>
      <c r="O167" s="14">
        <f>N167*VLOOKUP('Données projet'!$B$9,Paramètres!$A$1:$I$89,3,0)*VLOOKUP('Données projet'!$B$9,Paramètres!$A$1:$I$89,5,0)</f>
        <v>3.3430751500418408E-13</v>
      </c>
      <c r="P167" s="14">
        <f t="shared" si="141"/>
        <v>4.3640286551328835E-12</v>
      </c>
      <c r="Q167" s="22">
        <f t="shared" si="162"/>
        <v>8.1829354963220586E-12</v>
      </c>
      <c r="R167" s="62">
        <f t="shared" si="109"/>
        <v>293.3333333333415</v>
      </c>
      <c r="S167" s="62">
        <f ca="1">AVERAGE(OFFSET($R$3,0,0,'Données projet'!$E$9+1,1))-AVERAGE(OFFSET($H$3,0,0,'Données projet'!$E$9+1,1))</f>
        <v>228.905960862347</v>
      </c>
      <c r="T167" s="62">
        <f t="shared" si="142"/>
        <v>167.30057656688177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3.694822225952521E-13</v>
      </c>
      <c r="AJ167" s="14">
        <f>AI167*VLOOKUP('Données projet'!$B$10,Paramètres!$A$1:$I$89,3,0)*VLOOKUP('Données projet'!$B$10,Paramètres!$A$1:$I$89,5,0)</f>
        <v>3.7465497371158569E-13</v>
      </c>
      <c r="AK167" s="14">
        <f t="shared" si="164"/>
        <v>4.8262838474208691E-12</v>
      </c>
      <c r="AL167" s="22">
        <f t="shared" si="165"/>
        <v>9.0583017801390244E-12</v>
      </c>
      <c r="AM167" s="62">
        <f t="shared" si="113"/>
        <v>293.33333333334235</v>
      </c>
      <c r="AN167" s="62">
        <f ca="1">AVERAGE(OFFSET($AM$3,0,0,'Données projet'!$E$10+1,1))-AVERAGE(OFFSET($H$3,0,0,'Données projet'!$E$10+1,1))</f>
        <v>256.45433991419372</v>
      </c>
      <c r="AO167" s="62">
        <f t="shared" si="144"/>
        <v>184.9718670682193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2.6602720026858149E-14</v>
      </c>
      <c r="BF167" s="14">
        <f t="shared" si="167"/>
        <v>4.6624771586320878E-13</v>
      </c>
      <c r="BG167" s="22">
        <f t="shared" si="168"/>
        <v>8.583811758418665E-13</v>
      </c>
      <c r="BH167" s="62">
        <f t="shared" si="116"/>
        <v>293.33333333333417</v>
      </c>
      <c r="BI167" s="62">
        <f ca="1">AVERAGE(OFFSET($BH$3,0,0,'Données projet'!$E$11+1,1))-AVERAGE(OFFSET($H$3,0,0,'Données projet'!$E$11+1,1))</f>
        <v>152.72674713084456</v>
      </c>
      <c r="BJ167" s="62">
        <f t="shared" si="146"/>
        <v>203.90215120562164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1.0817001809198556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1.0512653933835609E-19</v>
      </c>
      <c r="BS167" s="24">
        <f t="shared" si="169"/>
        <v>1.0817001809198556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46.069451999999906</v>
      </c>
      <c r="D168" s="12">
        <f t="shared" si="140"/>
        <v>13.593892543119523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144.61557336977859</v>
      </c>
      <c r="H168" s="70">
        <f t="shared" si="110"/>
        <v>360.58032507926634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3.694822225952521E-13</v>
      </c>
      <c r="O168" s="14">
        <f>N168*VLOOKUP('Données projet'!$B$9,Paramètres!$A$1:$I$89,3,0)*VLOOKUP('Données projet'!$B$9,Paramètres!$A$1:$I$89,5,0)</f>
        <v>3.3430751500418408E-13</v>
      </c>
      <c r="P168" s="14">
        <f t="shared" si="141"/>
        <v>4.3640286551328835E-12</v>
      </c>
      <c r="Q168" s="22">
        <f t="shared" si="162"/>
        <v>8.1829354963220586E-12</v>
      </c>
      <c r="R168" s="62">
        <f t="shared" si="109"/>
        <v>293.3333333333415</v>
      </c>
      <c r="S168" s="62">
        <f ca="1">AVERAGE(OFFSET($R$3,0,0,'Données projet'!$E$9+1,1))-AVERAGE(OFFSET($H$3,0,0,'Données projet'!$E$9+1,1))</f>
        <v>228.905960862347</v>
      </c>
      <c r="T168" s="62">
        <f t="shared" si="142"/>
        <v>167.30057656688177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3.694822225952521E-13</v>
      </c>
      <c r="AJ168" s="14">
        <f>AI168*VLOOKUP('Données projet'!$B$10,Paramètres!$A$1:$I$89,3,0)*VLOOKUP('Données projet'!$B$10,Paramètres!$A$1:$I$89,5,0)</f>
        <v>3.7465497371158569E-13</v>
      </c>
      <c r="AK168" s="14">
        <f t="shared" si="164"/>
        <v>4.8262838474208691E-12</v>
      </c>
      <c r="AL168" s="22">
        <f t="shared" si="165"/>
        <v>9.0583017801390244E-12</v>
      </c>
      <c r="AM168" s="62">
        <f t="shared" si="113"/>
        <v>293.33333333334235</v>
      </c>
      <c r="AN168" s="62">
        <f ca="1">AVERAGE(OFFSET($AM$3,0,0,'Données projet'!$E$10+1,1))-AVERAGE(OFFSET($H$3,0,0,'Données projet'!$E$10+1,1))</f>
        <v>256.45433991419372</v>
      </c>
      <c r="AO168" s="62">
        <f t="shared" si="144"/>
        <v>184.9718670682193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2.6602720026858149E-14</v>
      </c>
      <c r="BF168" s="14">
        <f t="shared" si="167"/>
        <v>4.6624771586320878E-13</v>
      </c>
      <c r="BG168" s="22">
        <f t="shared" si="168"/>
        <v>8.583811758418665E-13</v>
      </c>
      <c r="BH168" s="62">
        <f t="shared" si="116"/>
        <v>293.33333333333417</v>
      </c>
      <c r="BI168" s="62">
        <f ca="1">AVERAGE(OFFSET($BH$3,0,0,'Données projet'!$E$11+1,1))-AVERAGE(OFFSET($H$3,0,0,'Données projet'!$E$11+1,1))</f>
        <v>152.72674713084456</v>
      </c>
      <c r="BJ168" s="62">
        <f t="shared" si="146"/>
        <v>203.90215120562164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1.0604887001439807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7.4335688848825946E-20</v>
      </c>
      <c r="BS168" s="24">
        <f t="shared" si="169"/>
        <v>1.0604887001439807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46.348660799999905</v>
      </c>
      <c r="D169" s="12">
        <f t="shared" si="140"/>
        <v>13.666664277483472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145.46872478430006</v>
      </c>
      <c r="H169" s="70">
        <f t="shared" si="110"/>
        <v>361.19335784328359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3.694822225952521E-13</v>
      </c>
      <c r="O169" s="14">
        <f>N169*VLOOKUP('Données projet'!$B$9,Paramètres!$A$1:$I$89,3,0)*VLOOKUP('Données projet'!$B$9,Paramètres!$A$1:$I$89,5,0)</f>
        <v>3.3430751500418408E-13</v>
      </c>
      <c r="P169" s="14">
        <f t="shared" si="141"/>
        <v>4.3640286551328835E-12</v>
      </c>
      <c r="Q169" s="22">
        <f t="shared" si="162"/>
        <v>8.1829354963220586E-12</v>
      </c>
      <c r="R169" s="62">
        <f t="shared" si="109"/>
        <v>293.3333333333415</v>
      </c>
      <c r="S169" s="62">
        <f ca="1">AVERAGE(OFFSET($R$3,0,0,'Données projet'!$E$9+1,1))-AVERAGE(OFFSET($H$3,0,0,'Données projet'!$E$9+1,1))</f>
        <v>228.905960862347</v>
      </c>
      <c r="T169" s="62">
        <f t="shared" si="142"/>
        <v>167.30057656688177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3.694822225952521E-13</v>
      </c>
      <c r="AJ169" s="14">
        <f>AI169*VLOOKUP('Données projet'!$B$10,Paramètres!$A$1:$I$89,3,0)*VLOOKUP('Données projet'!$B$10,Paramètres!$A$1:$I$89,5,0)</f>
        <v>3.7465497371158569E-13</v>
      </c>
      <c r="AK169" s="14">
        <f t="shared" si="164"/>
        <v>4.8262838474208691E-12</v>
      </c>
      <c r="AL169" s="22">
        <f t="shared" si="165"/>
        <v>9.0583017801390244E-12</v>
      </c>
      <c r="AM169" s="62">
        <f t="shared" si="113"/>
        <v>293.33333333334235</v>
      </c>
      <c r="AN169" s="62">
        <f ca="1">AVERAGE(OFFSET($AM$3,0,0,'Données projet'!$E$10+1,1))-AVERAGE(OFFSET($H$3,0,0,'Données projet'!$E$10+1,1))</f>
        <v>256.45433991419372</v>
      </c>
      <c r="AO169" s="62">
        <f t="shared" si="144"/>
        <v>184.9718670682193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2.6602720026858149E-14</v>
      </c>
      <c r="BF169" s="14">
        <f t="shared" si="167"/>
        <v>4.6624771586320878E-13</v>
      </c>
      <c r="BG169" s="22">
        <f t="shared" si="168"/>
        <v>8.583811758418665E-13</v>
      </c>
      <c r="BH169" s="62">
        <f t="shared" si="116"/>
        <v>293.33333333333417</v>
      </c>
      <c r="BI169" s="62">
        <f ca="1">AVERAGE(OFFSET($BH$3,0,0,'Données projet'!$E$11+1,1))-AVERAGE(OFFSET($H$3,0,0,'Données projet'!$E$11+1,1))</f>
        <v>152.72674713084456</v>
      </c>
      <c r="BJ169" s="62">
        <f t="shared" si="146"/>
        <v>203.90215120562164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1.0396931635683948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5.2563269669178052E-20</v>
      </c>
      <c r="BS169" s="24">
        <f t="shared" si="169"/>
        <v>1.0396931635683948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46.627869599999904</v>
      </c>
      <c r="D170" s="12">
        <f t="shared" si="140"/>
        <v>13.739385001516538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146.32175255693883</v>
      </c>
      <c r="H170" s="70">
        <f t="shared" si="110"/>
        <v>361.80630176430782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3.694822225952521E-13</v>
      </c>
      <c r="O170" s="14">
        <f>N170*VLOOKUP('Données projet'!$B$9,Paramètres!$A$1:$I$89,3,0)*VLOOKUP('Données projet'!$B$9,Paramètres!$A$1:$I$89,5,0)</f>
        <v>3.3430751500418408E-13</v>
      </c>
      <c r="P170" s="14">
        <f t="shared" si="141"/>
        <v>4.3640286551328835E-12</v>
      </c>
      <c r="Q170" s="22">
        <f t="shared" si="162"/>
        <v>8.1829354963220586E-12</v>
      </c>
      <c r="R170" s="62">
        <f t="shared" si="109"/>
        <v>293.3333333333415</v>
      </c>
      <c r="S170" s="62">
        <f ca="1">AVERAGE(OFFSET($R$3,0,0,'Données projet'!$E$9+1,1))-AVERAGE(OFFSET($H$3,0,0,'Données projet'!$E$9+1,1))</f>
        <v>228.905960862347</v>
      </c>
      <c r="T170" s="62">
        <f t="shared" si="142"/>
        <v>167.30057656688177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3.694822225952521E-13</v>
      </c>
      <c r="AJ170" s="14">
        <f>AI170*VLOOKUP('Données projet'!$B$10,Paramètres!$A$1:$I$89,3,0)*VLOOKUP('Données projet'!$B$10,Paramètres!$A$1:$I$89,5,0)</f>
        <v>3.7465497371158569E-13</v>
      </c>
      <c r="AK170" s="14">
        <f t="shared" si="164"/>
        <v>4.8262838474208691E-12</v>
      </c>
      <c r="AL170" s="22">
        <f t="shared" si="165"/>
        <v>9.0583017801390244E-12</v>
      </c>
      <c r="AM170" s="62">
        <f t="shared" si="113"/>
        <v>293.33333333334235</v>
      </c>
      <c r="AN170" s="62">
        <f ca="1">AVERAGE(OFFSET($AM$3,0,0,'Données projet'!$E$10+1,1))-AVERAGE(OFFSET($H$3,0,0,'Données projet'!$E$10+1,1))</f>
        <v>256.45433991419372</v>
      </c>
      <c r="AO170" s="62">
        <f t="shared" si="144"/>
        <v>184.9718670682193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2.6602720026858149E-14</v>
      </c>
      <c r="BF170" s="14">
        <f t="shared" si="167"/>
        <v>4.6624771586320878E-13</v>
      </c>
      <c r="BG170" s="22">
        <f t="shared" si="168"/>
        <v>8.583811758418665E-13</v>
      </c>
      <c r="BH170" s="62">
        <f t="shared" si="116"/>
        <v>293.33333333333417</v>
      </c>
      <c r="BI170" s="62">
        <f ca="1">AVERAGE(OFFSET($BH$3,0,0,'Données projet'!$E$11+1,1))-AVERAGE(OFFSET($H$3,0,0,'Données projet'!$E$11+1,1))</f>
        <v>152.72674713084456</v>
      </c>
      <c r="BJ170" s="62">
        <f t="shared" si="146"/>
        <v>203.90215120562164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1.0193054147810312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3.7167844424412979E-20</v>
      </c>
      <c r="BS170" s="24">
        <f t="shared" si="169"/>
        <v>1.0193054147810312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46.907078399999904</v>
      </c>
      <c r="D171" s="12">
        <f t="shared" si="140"/>
        <v>13.812055056109568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147.17465751396642</v>
      </c>
      <c r="H171" s="70">
        <f t="shared" si="110"/>
        <v>362.41915743605733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3.694822225952521E-13</v>
      </c>
      <c r="O171" s="14">
        <f>N171*VLOOKUP('Données projet'!$B$9,Paramètres!$A$1:$I$89,3,0)*VLOOKUP('Données projet'!$B$9,Paramètres!$A$1:$I$89,5,0)</f>
        <v>3.3430751500418408E-13</v>
      </c>
      <c r="P171" s="14">
        <f t="shared" si="141"/>
        <v>4.3640286551328835E-12</v>
      </c>
      <c r="Q171" s="22">
        <f t="shared" si="162"/>
        <v>8.1829354963220586E-12</v>
      </c>
      <c r="R171" s="62">
        <f t="shared" si="109"/>
        <v>293.3333333333415</v>
      </c>
      <c r="S171" s="62">
        <f ca="1">AVERAGE(OFFSET($R$3,0,0,'Données projet'!$E$9+1,1))-AVERAGE(OFFSET($H$3,0,0,'Données projet'!$E$9+1,1))</f>
        <v>228.905960862347</v>
      </c>
      <c r="T171" s="62">
        <f t="shared" si="142"/>
        <v>167.30057656688177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3.694822225952521E-13</v>
      </c>
      <c r="AJ171" s="14">
        <f>AI171*VLOOKUP('Données projet'!$B$10,Paramètres!$A$1:$I$89,3,0)*VLOOKUP('Données projet'!$B$10,Paramètres!$A$1:$I$89,5,0)</f>
        <v>3.7465497371158569E-13</v>
      </c>
      <c r="AK171" s="14">
        <f t="shared" si="164"/>
        <v>4.8262838474208691E-12</v>
      </c>
      <c r="AL171" s="22">
        <f t="shared" si="165"/>
        <v>9.0583017801390244E-12</v>
      </c>
      <c r="AM171" s="62">
        <f t="shared" si="113"/>
        <v>293.33333333334235</v>
      </c>
      <c r="AN171" s="62">
        <f ca="1">AVERAGE(OFFSET($AM$3,0,0,'Données projet'!$E$10+1,1))-AVERAGE(OFFSET($H$3,0,0,'Données projet'!$E$10+1,1))</f>
        <v>256.45433991419372</v>
      </c>
      <c r="AO171" s="62">
        <f t="shared" si="144"/>
        <v>184.9718670682193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2.6602720026858149E-14</v>
      </c>
      <c r="BF171" s="14">
        <f t="shared" si="167"/>
        <v>4.6624771586320878E-13</v>
      </c>
      <c r="BG171" s="22">
        <f t="shared" si="168"/>
        <v>8.583811758418665E-13</v>
      </c>
      <c r="BH171" s="62">
        <f t="shared" si="116"/>
        <v>293.33333333333417</v>
      </c>
      <c r="BI171" s="62">
        <f ca="1">AVERAGE(OFFSET($BH$3,0,0,'Données projet'!$E$11+1,1))-AVERAGE(OFFSET($H$3,0,0,'Données projet'!$E$11+1,1))</f>
        <v>152.72674713084456</v>
      </c>
      <c r="BJ171" s="62">
        <f t="shared" si="146"/>
        <v>203.90215120562164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0.99931745731208899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2.6281634834589029E-20</v>
      </c>
      <c r="BS171" s="24">
        <f t="shared" si="169"/>
        <v>0.99931745731208899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47.186287199999903</v>
      </c>
      <c r="D172" s="12">
        <f t="shared" si="140"/>
        <v>13.884674777860427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148.02744047124887</v>
      </c>
      <c r="H172" s="70">
        <f t="shared" si="110"/>
        <v>363.03192544477344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3.694822225952521E-13</v>
      </c>
      <c r="O172" s="14">
        <f>N172*VLOOKUP('Données projet'!$B$9,Paramètres!$A$1:$I$89,3,0)*VLOOKUP('Données projet'!$B$9,Paramètres!$A$1:$I$89,5,0)</f>
        <v>3.3430751500418408E-13</v>
      </c>
      <c r="P172" s="14">
        <f t="shared" si="141"/>
        <v>4.3640286551328835E-12</v>
      </c>
      <c r="Q172" s="22">
        <f t="shared" si="162"/>
        <v>8.1829354963220586E-12</v>
      </c>
      <c r="R172" s="62">
        <f t="shared" si="109"/>
        <v>293.3333333333415</v>
      </c>
      <c r="S172" s="62">
        <f ca="1">AVERAGE(OFFSET($R$3,0,0,'Données projet'!$E$9+1,1))-AVERAGE(OFFSET($H$3,0,0,'Données projet'!$E$9+1,1))</f>
        <v>228.905960862347</v>
      </c>
      <c r="T172" s="62">
        <f t="shared" si="142"/>
        <v>167.30057656688177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3.694822225952521E-13</v>
      </c>
      <c r="AJ172" s="14">
        <f>AI172*VLOOKUP('Données projet'!$B$10,Paramètres!$A$1:$I$89,3,0)*VLOOKUP('Données projet'!$B$10,Paramètres!$A$1:$I$89,5,0)</f>
        <v>3.7465497371158569E-13</v>
      </c>
      <c r="AK172" s="14">
        <f t="shared" si="164"/>
        <v>4.8262838474208691E-12</v>
      </c>
      <c r="AL172" s="22">
        <f t="shared" si="165"/>
        <v>9.0583017801390244E-12</v>
      </c>
      <c r="AM172" s="62">
        <f t="shared" si="113"/>
        <v>293.33333333334235</v>
      </c>
      <c r="AN172" s="62">
        <f ca="1">AVERAGE(OFFSET($AM$3,0,0,'Données projet'!$E$10+1,1))-AVERAGE(OFFSET($H$3,0,0,'Données projet'!$E$10+1,1))</f>
        <v>256.45433991419372</v>
      </c>
      <c r="AO172" s="62">
        <f t="shared" si="144"/>
        <v>184.9718670682193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2.6602720026858149E-14</v>
      </c>
      <c r="BF172" s="14">
        <f t="shared" si="167"/>
        <v>4.6624771586320878E-13</v>
      </c>
      <c r="BG172" s="22">
        <f t="shared" si="168"/>
        <v>8.583811758418665E-13</v>
      </c>
      <c r="BH172" s="62">
        <f t="shared" si="116"/>
        <v>293.33333333333417</v>
      </c>
      <c r="BI172" s="62">
        <f ca="1">AVERAGE(OFFSET($BH$3,0,0,'Données projet'!$E$11+1,1))-AVERAGE(OFFSET($H$3,0,0,'Données projet'!$E$11+1,1))</f>
        <v>152.72674713084456</v>
      </c>
      <c r="BJ172" s="62">
        <f t="shared" si="146"/>
        <v>203.90215120562164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0.97972145149766243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1.8583922212206489E-20</v>
      </c>
      <c r="BS172" s="24">
        <f t="shared" si="169"/>
        <v>0.97972145149766243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47.465495999999902</v>
      </c>
      <c r="D173" s="12">
        <f t="shared" si="140"/>
        <v>13.957244499153111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148.88010223443825</v>
      </c>
      <c r="H173" s="70">
        <f t="shared" si="110"/>
        <v>363.6446063693582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3.694822225952521E-13</v>
      </c>
      <c r="O173" s="14">
        <f>N173*VLOOKUP('Données projet'!$B$9,Paramètres!$A$1:$I$89,3,0)*VLOOKUP('Données projet'!$B$9,Paramètres!$A$1:$I$89,5,0)</f>
        <v>3.3430751500418408E-13</v>
      </c>
      <c r="P173" s="14">
        <f t="shared" si="141"/>
        <v>4.3640286551328835E-12</v>
      </c>
      <c r="Q173" s="22">
        <f t="shared" si="162"/>
        <v>8.1829354963220586E-12</v>
      </c>
      <c r="R173" s="62">
        <f t="shared" si="109"/>
        <v>293.3333333333415</v>
      </c>
      <c r="S173" s="62">
        <f ca="1">AVERAGE(OFFSET($R$3,0,0,'Données projet'!$E$9+1,1))-AVERAGE(OFFSET($H$3,0,0,'Données projet'!$E$9+1,1))</f>
        <v>228.905960862347</v>
      </c>
      <c r="T173" s="62">
        <f t="shared" si="142"/>
        <v>167.30057656688177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3.694822225952521E-13</v>
      </c>
      <c r="AJ173" s="14">
        <f>AI173*VLOOKUP('Données projet'!$B$10,Paramètres!$A$1:$I$89,3,0)*VLOOKUP('Données projet'!$B$10,Paramètres!$A$1:$I$89,5,0)</f>
        <v>3.7465497371158569E-13</v>
      </c>
      <c r="AK173" s="14">
        <f t="shared" si="164"/>
        <v>4.8262838474208691E-12</v>
      </c>
      <c r="AL173" s="22">
        <f t="shared" si="165"/>
        <v>9.0583017801390244E-12</v>
      </c>
      <c r="AM173" s="62">
        <f t="shared" si="113"/>
        <v>293.33333333334235</v>
      </c>
      <c r="AN173" s="62">
        <f ca="1">AVERAGE(OFFSET($AM$3,0,0,'Données projet'!$E$10+1,1))-AVERAGE(OFFSET($H$3,0,0,'Données projet'!$E$10+1,1))</f>
        <v>256.45433991419372</v>
      </c>
      <c r="AO173" s="62">
        <f t="shared" si="144"/>
        <v>184.9718670682193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2.6602720026858149E-14</v>
      </c>
      <c r="BF173" s="14">
        <f t="shared" si="167"/>
        <v>4.6624771586320878E-13</v>
      </c>
      <c r="BG173" s="22">
        <f t="shared" si="168"/>
        <v>8.583811758418665E-13</v>
      </c>
      <c r="BH173" s="62">
        <f t="shared" si="116"/>
        <v>293.33333333333417</v>
      </c>
      <c r="BI173" s="62">
        <f ca="1">AVERAGE(OFFSET($BH$3,0,0,'Données projet'!$E$11+1,1))-AVERAGE(OFFSET($H$3,0,0,'Données projet'!$E$11+1,1))</f>
        <v>152.72674713084456</v>
      </c>
      <c r="BJ173" s="62">
        <f t="shared" si="146"/>
        <v>203.90215120562164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0.9605097114048734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1.3140817417294514E-20</v>
      </c>
      <c r="BS173" s="24">
        <f t="shared" si="169"/>
        <v>0.9605097114048734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47.744704799999901</v>
      </c>
      <c r="D174" s="12">
        <f t="shared" si="140"/>
        <v>14.029764548234978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149.73264359916018</v>
      </c>
      <c r="H174" s="70">
        <f t="shared" si="110"/>
        <v>364.25720078150908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3.694822225952521E-13</v>
      </c>
      <c r="O174" s="14">
        <f>N174*VLOOKUP('Données projet'!$B$9,Paramètres!$A$1:$I$89,3,0)*VLOOKUP('Données projet'!$B$9,Paramètres!$A$1:$I$89,5,0)</f>
        <v>3.3430751500418408E-13</v>
      </c>
      <c r="P174" s="14">
        <f t="shared" si="141"/>
        <v>4.3640286551328835E-12</v>
      </c>
      <c r="Q174" s="22">
        <f t="shared" si="162"/>
        <v>8.1829354963220586E-12</v>
      </c>
      <c r="R174" s="62">
        <f t="shared" si="109"/>
        <v>293.3333333333415</v>
      </c>
      <c r="S174" s="62">
        <f ca="1">AVERAGE(OFFSET($R$3,0,0,'Données projet'!$E$9+1,1))-AVERAGE(OFFSET($H$3,0,0,'Données projet'!$E$9+1,1))</f>
        <v>228.905960862347</v>
      </c>
      <c r="T174" s="62">
        <f t="shared" si="142"/>
        <v>167.30057656688177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3.694822225952521E-13</v>
      </c>
      <c r="AJ174" s="14">
        <f>AI174*VLOOKUP('Données projet'!$B$10,Paramètres!$A$1:$I$89,3,0)*VLOOKUP('Données projet'!$B$10,Paramètres!$A$1:$I$89,5,0)</f>
        <v>3.7465497371158569E-13</v>
      </c>
      <c r="AK174" s="14">
        <f t="shared" si="164"/>
        <v>4.8262838474208691E-12</v>
      </c>
      <c r="AL174" s="22">
        <f t="shared" si="165"/>
        <v>9.0583017801390244E-12</v>
      </c>
      <c r="AM174" s="62">
        <f t="shared" si="113"/>
        <v>293.33333333334235</v>
      </c>
      <c r="AN174" s="62">
        <f ca="1">AVERAGE(OFFSET($AM$3,0,0,'Données projet'!$E$10+1,1))-AVERAGE(OFFSET($H$3,0,0,'Données projet'!$E$10+1,1))</f>
        <v>256.45433991419372</v>
      </c>
      <c r="AO174" s="62">
        <f t="shared" si="144"/>
        <v>184.9718670682193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2.6602720026858149E-14</v>
      </c>
      <c r="BF174" s="14">
        <f t="shared" si="167"/>
        <v>4.6624771586320878E-13</v>
      </c>
      <c r="BG174" s="22">
        <f t="shared" si="168"/>
        <v>8.583811758418665E-13</v>
      </c>
      <c r="BH174" s="62">
        <f t="shared" si="116"/>
        <v>293.33333333333417</v>
      </c>
      <c r="BI174" s="62">
        <f ca="1">AVERAGE(OFFSET($BH$3,0,0,'Données projet'!$E$11+1,1))-AVERAGE(OFFSET($H$3,0,0,'Données projet'!$E$11+1,1))</f>
        <v>152.72674713084456</v>
      </c>
      <c r="BJ174" s="62">
        <f t="shared" si="146"/>
        <v>203.90215120562164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0.94167470181729962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9.2919611061032447E-21</v>
      </c>
      <c r="BS174" s="24">
        <f t="shared" si="169"/>
        <v>0.94167470181729962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48.023913599999901</v>
      </c>
      <c r="D175" s="12">
        <f t="shared" si="140"/>
        <v>14.102235249292113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150.58506535119622</v>
      </c>
      <c r="H175" s="70">
        <f t="shared" si="110"/>
        <v>364.86970924585029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3.694822225952521E-13</v>
      </c>
      <c r="O175" s="14">
        <f>N175*VLOOKUP('Données projet'!$B$9,Paramètres!$A$1:$I$89,3,0)*VLOOKUP('Données projet'!$B$9,Paramètres!$A$1:$I$89,5,0)</f>
        <v>3.3430751500418408E-13</v>
      </c>
      <c r="P175" s="14">
        <f t="shared" si="141"/>
        <v>4.3640286551328835E-12</v>
      </c>
      <c r="Q175" s="22">
        <f t="shared" si="162"/>
        <v>8.1829354963220586E-12</v>
      </c>
      <c r="R175" s="62">
        <f t="shared" si="109"/>
        <v>293.3333333333415</v>
      </c>
      <c r="S175" s="62">
        <f ca="1">AVERAGE(OFFSET($R$3,0,0,'Données projet'!$E$9+1,1))-AVERAGE(OFFSET($H$3,0,0,'Données projet'!$E$9+1,1))</f>
        <v>228.905960862347</v>
      </c>
      <c r="T175" s="62">
        <f t="shared" si="142"/>
        <v>167.30057656688177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3.694822225952521E-13</v>
      </c>
      <c r="AJ175" s="14">
        <f>AI175*VLOOKUP('Données projet'!$B$10,Paramètres!$A$1:$I$89,3,0)*VLOOKUP('Données projet'!$B$10,Paramètres!$A$1:$I$89,5,0)</f>
        <v>3.7465497371158569E-13</v>
      </c>
      <c r="AK175" s="14">
        <f t="shared" si="164"/>
        <v>4.8262838474208691E-12</v>
      </c>
      <c r="AL175" s="22">
        <f t="shared" si="165"/>
        <v>9.0583017801390244E-12</v>
      </c>
      <c r="AM175" s="62">
        <f t="shared" si="113"/>
        <v>293.33333333334235</v>
      </c>
      <c r="AN175" s="62">
        <f ca="1">AVERAGE(OFFSET($AM$3,0,0,'Données projet'!$E$10+1,1))-AVERAGE(OFFSET($H$3,0,0,'Données projet'!$E$10+1,1))</f>
        <v>256.45433991419372</v>
      </c>
      <c r="AO175" s="62">
        <f t="shared" si="144"/>
        <v>184.9718670682193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2.6602720026858149E-14</v>
      </c>
      <c r="BF175" s="14">
        <f t="shared" si="167"/>
        <v>4.6624771586320878E-13</v>
      </c>
      <c r="BG175" s="22">
        <f t="shared" si="168"/>
        <v>8.583811758418665E-13</v>
      </c>
      <c r="BH175" s="62">
        <f t="shared" si="116"/>
        <v>293.33333333333417</v>
      </c>
      <c r="BI175" s="62">
        <f ca="1">AVERAGE(OFFSET($BH$3,0,0,'Données projet'!$E$11+1,1))-AVERAGE(OFFSET($H$3,0,0,'Données projet'!$E$11+1,1))</f>
        <v>152.72674713084456</v>
      </c>
      <c r="BJ175" s="62">
        <f t="shared" si="146"/>
        <v>203.90215120562164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0.9232090352795167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6.5704087086472572E-21</v>
      </c>
      <c r="BS175" s="24">
        <f t="shared" si="169"/>
        <v>0.9232090352795167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48.3031223999999</v>
      </c>
      <c r="D176" s="12">
        <f t="shared" si="140"/>
        <v>14.174656922522878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151.43736826666225</v>
      </c>
      <c r="H176" s="70">
        <f t="shared" si="110"/>
        <v>365.48213232006054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3.694822225952521E-13</v>
      </c>
      <c r="O176" s="14">
        <f>N176*VLOOKUP('Données projet'!$B$9,Paramètres!$A$1:$I$89,3,0)*VLOOKUP('Données projet'!$B$9,Paramètres!$A$1:$I$89,5,0)</f>
        <v>3.3430751500418408E-13</v>
      </c>
      <c r="P176" s="14">
        <f t="shared" si="141"/>
        <v>4.3640286551328835E-12</v>
      </c>
      <c r="Q176" s="22">
        <f t="shared" si="162"/>
        <v>8.1829354963220586E-12</v>
      </c>
      <c r="R176" s="62">
        <f t="shared" si="109"/>
        <v>293.3333333333415</v>
      </c>
      <c r="S176" s="62">
        <f ca="1">AVERAGE(OFFSET($R$3,0,0,'Données projet'!$E$9+1,1))-AVERAGE(OFFSET($H$3,0,0,'Données projet'!$E$9+1,1))</f>
        <v>228.905960862347</v>
      </c>
      <c r="T176" s="62">
        <f t="shared" si="142"/>
        <v>167.30057656688177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3.694822225952521E-13</v>
      </c>
      <c r="AJ176" s="14">
        <f>AI176*VLOOKUP('Données projet'!$B$10,Paramètres!$A$1:$I$89,3,0)*VLOOKUP('Données projet'!$B$10,Paramètres!$A$1:$I$89,5,0)</f>
        <v>3.7465497371158569E-13</v>
      </c>
      <c r="AK176" s="14">
        <f t="shared" si="164"/>
        <v>4.8262838474208691E-12</v>
      </c>
      <c r="AL176" s="22">
        <f t="shared" si="165"/>
        <v>9.0583017801390244E-12</v>
      </c>
      <c r="AM176" s="62">
        <f t="shared" si="113"/>
        <v>293.33333333334235</v>
      </c>
      <c r="AN176" s="62">
        <f ca="1">AVERAGE(OFFSET($AM$3,0,0,'Données projet'!$E$10+1,1))-AVERAGE(OFFSET($H$3,0,0,'Données projet'!$E$10+1,1))</f>
        <v>256.45433991419372</v>
      </c>
      <c r="AO176" s="62">
        <f t="shared" si="144"/>
        <v>184.9718670682193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2.6602720026858149E-14</v>
      </c>
      <c r="BF176" s="14">
        <f t="shared" si="167"/>
        <v>4.6624771586320878E-13</v>
      </c>
      <c r="BG176" s="22">
        <f t="shared" si="168"/>
        <v>8.583811758418665E-13</v>
      </c>
      <c r="BH176" s="62">
        <f t="shared" si="116"/>
        <v>293.33333333333417</v>
      </c>
      <c r="BI176" s="62">
        <f ca="1">AVERAGE(OFFSET($BH$3,0,0,'Données projet'!$E$11+1,1))-AVERAGE(OFFSET($H$3,0,0,'Données projet'!$E$11+1,1))</f>
        <v>152.72674713084456</v>
      </c>
      <c r="BJ176" s="62">
        <f t="shared" si="146"/>
        <v>203.90215120562164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0.90510546919959523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4.6459805530516224E-21</v>
      </c>
      <c r="BS176" s="24">
        <f t="shared" si="169"/>
        <v>0.90510546919959523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48.582331199999899</v>
      </c>
      <c r="D177" s="12">
        <f t="shared" si="140"/>
        <v>14.247029884209756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152.28955311218257</v>
      </c>
      <c r="H177" s="70">
        <f t="shared" si="110"/>
        <v>366.09447055499851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3.694822225952521E-13</v>
      </c>
      <c r="O177" s="14">
        <f>N177*VLOOKUP('Données projet'!$B$9,Paramètres!$A$1:$I$89,3,0)*VLOOKUP('Données projet'!$B$9,Paramètres!$A$1:$I$89,5,0)</f>
        <v>3.3430751500418408E-13</v>
      </c>
      <c r="P177" s="14">
        <f t="shared" si="141"/>
        <v>4.3640286551328835E-12</v>
      </c>
      <c r="Q177" s="22">
        <f t="shared" si="162"/>
        <v>8.1829354963220586E-12</v>
      </c>
      <c r="R177" s="62">
        <f t="shared" si="109"/>
        <v>293.3333333333415</v>
      </c>
      <c r="S177" s="62">
        <f ca="1">AVERAGE(OFFSET($R$3,0,0,'Données projet'!$E$9+1,1))-AVERAGE(OFFSET($H$3,0,0,'Données projet'!$E$9+1,1))</f>
        <v>228.905960862347</v>
      </c>
      <c r="T177" s="62">
        <f t="shared" si="142"/>
        <v>167.30057656688177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3.694822225952521E-13</v>
      </c>
      <c r="AJ177" s="14">
        <f>AI177*VLOOKUP('Données projet'!$B$10,Paramètres!$A$1:$I$89,3,0)*VLOOKUP('Données projet'!$B$10,Paramètres!$A$1:$I$89,5,0)</f>
        <v>3.7465497371158569E-13</v>
      </c>
      <c r="AK177" s="14">
        <f t="shared" si="164"/>
        <v>4.8262838474208691E-12</v>
      </c>
      <c r="AL177" s="22">
        <f t="shared" si="165"/>
        <v>9.0583017801390244E-12</v>
      </c>
      <c r="AM177" s="62">
        <f t="shared" si="113"/>
        <v>293.33333333334235</v>
      </c>
      <c r="AN177" s="62">
        <f ca="1">AVERAGE(OFFSET($AM$3,0,0,'Données projet'!$E$10+1,1))-AVERAGE(OFFSET($H$3,0,0,'Données projet'!$E$10+1,1))</f>
        <v>256.45433991419372</v>
      </c>
      <c r="AO177" s="62">
        <f t="shared" si="144"/>
        <v>184.9718670682193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2.6602720026858149E-14</v>
      </c>
      <c r="BF177" s="14">
        <f t="shared" si="167"/>
        <v>4.6624771586320878E-13</v>
      </c>
      <c r="BG177" s="22">
        <f t="shared" si="168"/>
        <v>8.583811758418665E-13</v>
      </c>
      <c r="BH177" s="62">
        <f t="shared" si="116"/>
        <v>293.33333333333417</v>
      </c>
      <c r="BI177" s="62">
        <f ca="1">AVERAGE(OFFSET($BH$3,0,0,'Données projet'!$E$11+1,1))-AVERAGE(OFFSET($H$3,0,0,'Données projet'!$E$11+1,1))</f>
        <v>152.72674713084456</v>
      </c>
      <c r="BJ177" s="62">
        <f t="shared" si="146"/>
        <v>203.90215120562164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0.88735690300841596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3.2852043543236286E-21</v>
      </c>
      <c r="BS177" s="24">
        <f t="shared" si="169"/>
        <v>0.88735690300841596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48.861539999999898</v>
      </c>
      <c r="D178" s="12">
        <f t="shared" si="140"/>
        <v>14.319354446789408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153.14162064505987</v>
      </c>
      <c r="H178" s="70">
        <f t="shared" si="110"/>
        <v>366.70672449482475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3.694822225952521E-13</v>
      </c>
      <c r="O178" s="14">
        <f>N178*VLOOKUP('Données projet'!$B$9,Paramètres!$A$1:$I$89,3,0)*VLOOKUP('Données projet'!$B$9,Paramètres!$A$1:$I$89,5,0)</f>
        <v>3.3430751500418408E-13</v>
      </c>
      <c r="P178" s="14">
        <f t="shared" si="141"/>
        <v>4.3640286551328835E-12</v>
      </c>
      <c r="Q178" s="22">
        <f t="shared" si="162"/>
        <v>8.1829354963220586E-12</v>
      </c>
      <c r="R178" s="62">
        <f t="shared" si="109"/>
        <v>293.3333333333415</v>
      </c>
      <c r="S178" s="62">
        <f ca="1">AVERAGE(OFFSET($R$3,0,0,'Données projet'!$E$9+1,1))-AVERAGE(OFFSET($H$3,0,0,'Données projet'!$E$9+1,1))</f>
        <v>228.905960862347</v>
      </c>
      <c r="T178" s="62">
        <f t="shared" si="142"/>
        <v>167.30057656688177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3.694822225952521E-13</v>
      </c>
      <c r="AJ178" s="14">
        <f>AI178*VLOOKUP('Données projet'!$B$10,Paramètres!$A$1:$I$89,3,0)*VLOOKUP('Données projet'!$B$10,Paramètres!$A$1:$I$89,5,0)</f>
        <v>3.7465497371158569E-13</v>
      </c>
      <c r="AK178" s="14">
        <f t="shared" si="164"/>
        <v>4.8262838474208691E-12</v>
      </c>
      <c r="AL178" s="22">
        <f t="shared" si="165"/>
        <v>9.0583017801390244E-12</v>
      </c>
      <c r="AM178" s="62">
        <f t="shared" si="113"/>
        <v>293.33333333334235</v>
      </c>
      <c r="AN178" s="62">
        <f ca="1">AVERAGE(OFFSET($AM$3,0,0,'Données projet'!$E$10+1,1))-AVERAGE(OFFSET($H$3,0,0,'Données projet'!$E$10+1,1))</f>
        <v>256.45433991419372</v>
      </c>
      <c r="AO178" s="62">
        <f t="shared" si="144"/>
        <v>184.9718670682193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2.6602720026858149E-14</v>
      </c>
      <c r="BF178" s="14">
        <f t="shared" si="167"/>
        <v>4.6624771586320878E-13</v>
      </c>
      <c r="BG178" s="22">
        <f t="shared" si="168"/>
        <v>8.583811758418665E-13</v>
      </c>
      <c r="BH178" s="62">
        <f t="shared" si="116"/>
        <v>293.33333333333417</v>
      </c>
      <c r="BI178" s="62">
        <f ca="1">AVERAGE(OFFSET($BH$3,0,0,'Données projet'!$E$11+1,1))-AVERAGE(OFFSET($H$3,0,0,'Données projet'!$E$11+1,1))</f>
        <v>152.72674713084456</v>
      </c>
      <c r="BJ178" s="62">
        <f t="shared" si="146"/>
        <v>203.90215120562164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0.86995637537468928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2.3229902765258112E-21</v>
      </c>
      <c r="BS178" s="24">
        <f t="shared" si="169"/>
        <v>0.86995637537468928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49.140748799999898</v>
      </c>
      <c r="D179" s="12">
        <f t="shared" si="140"/>
        <v>14.3916309189212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153.99357161344105</v>
      </c>
      <c r="H179" s="70">
        <f t="shared" si="110"/>
        <v>367.31889467712091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3.694822225952521E-13</v>
      </c>
      <c r="O179" s="14">
        <f>N179*VLOOKUP('Données projet'!$B$9,Paramètres!$A$1:$I$89,3,0)*VLOOKUP('Données projet'!$B$9,Paramètres!$A$1:$I$89,5,0)</f>
        <v>3.3430751500418408E-13</v>
      </c>
      <c r="P179" s="14">
        <f t="shared" si="141"/>
        <v>4.3640286551328835E-12</v>
      </c>
      <c r="Q179" s="22">
        <f t="shared" si="162"/>
        <v>8.1829354963220586E-12</v>
      </c>
      <c r="R179" s="62">
        <f t="shared" si="109"/>
        <v>293.3333333333415</v>
      </c>
      <c r="S179" s="62">
        <f ca="1">AVERAGE(OFFSET($R$3,0,0,'Données projet'!$E$9+1,1))-AVERAGE(OFFSET($H$3,0,0,'Données projet'!$E$9+1,1))</f>
        <v>228.905960862347</v>
      </c>
      <c r="T179" s="62">
        <f t="shared" si="142"/>
        <v>167.30057656688177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3.694822225952521E-13</v>
      </c>
      <c r="AJ179" s="14">
        <f>AI179*VLOOKUP('Données projet'!$B$10,Paramètres!$A$1:$I$89,3,0)*VLOOKUP('Données projet'!$B$10,Paramètres!$A$1:$I$89,5,0)</f>
        <v>3.7465497371158569E-13</v>
      </c>
      <c r="AK179" s="14">
        <f t="shared" si="164"/>
        <v>4.8262838474208691E-12</v>
      </c>
      <c r="AL179" s="22">
        <f t="shared" si="165"/>
        <v>9.0583017801390244E-12</v>
      </c>
      <c r="AM179" s="62">
        <f t="shared" si="113"/>
        <v>293.33333333334235</v>
      </c>
      <c r="AN179" s="62">
        <f ca="1">AVERAGE(OFFSET($AM$3,0,0,'Données projet'!$E$10+1,1))-AVERAGE(OFFSET($H$3,0,0,'Données projet'!$E$10+1,1))</f>
        <v>256.45433991419372</v>
      </c>
      <c r="AO179" s="62">
        <f t="shared" si="144"/>
        <v>184.9718670682193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2.6602720026858149E-14</v>
      </c>
      <c r="BF179" s="14">
        <f t="shared" si="167"/>
        <v>4.6624771586320878E-13</v>
      </c>
      <c r="BG179" s="22">
        <f t="shared" si="168"/>
        <v>8.583811758418665E-13</v>
      </c>
      <c r="BH179" s="62">
        <f t="shared" si="116"/>
        <v>293.33333333333417</v>
      </c>
      <c r="BI179" s="62">
        <f ca="1">AVERAGE(OFFSET($BH$3,0,0,'Données projet'!$E$11+1,1))-AVERAGE(OFFSET($H$3,0,0,'Données projet'!$E$11+1,1))</f>
        <v>152.72674713084456</v>
      </c>
      <c r="BJ179" s="62">
        <f t="shared" si="146"/>
        <v>203.90215120562164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0.8528970614745861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1.6426021771618143E-21</v>
      </c>
      <c r="BS179" s="24">
        <f t="shared" si="169"/>
        <v>0.8528970614745861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49.419957599999897</v>
      </c>
      <c r="D180" s="12">
        <f t="shared" si="140"/>
        <v>14.463859605554015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154.84540675647946</v>
      </c>
      <c r="H180" s="70">
        <f t="shared" si="110"/>
        <v>367.93098163300641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3.694822225952521E-13</v>
      </c>
      <c r="O180" s="14">
        <f>N180*VLOOKUP('Données projet'!$B$9,Paramètres!$A$1:$I$89,3,0)*VLOOKUP('Données projet'!$B$9,Paramètres!$A$1:$I$89,5,0)</f>
        <v>3.3430751500418408E-13</v>
      </c>
      <c r="P180" s="14">
        <f t="shared" si="141"/>
        <v>4.3640286551328835E-12</v>
      </c>
      <c r="Q180" s="22">
        <f t="shared" si="162"/>
        <v>8.1829354963220586E-12</v>
      </c>
      <c r="R180" s="62">
        <f t="shared" si="109"/>
        <v>293.3333333333415</v>
      </c>
      <c r="S180" s="62">
        <f ca="1">AVERAGE(OFFSET($R$3,0,0,'Données projet'!$E$9+1,1))-AVERAGE(OFFSET($H$3,0,0,'Données projet'!$E$9+1,1))</f>
        <v>228.905960862347</v>
      </c>
      <c r="T180" s="62">
        <f t="shared" si="142"/>
        <v>167.30057656688177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3.694822225952521E-13</v>
      </c>
      <c r="AJ180" s="14">
        <f>AI180*VLOOKUP('Données projet'!$B$10,Paramètres!$A$1:$I$89,3,0)*VLOOKUP('Données projet'!$B$10,Paramètres!$A$1:$I$89,5,0)</f>
        <v>3.7465497371158569E-13</v>
      </c>
      <c r="AK180" s="14">
        <f t="shared" si="164"/>
        <v>4.8262838474208691E-12</v>
      </c>
      <c r="AL180" s="22">
        <f t="shared" si="165"/>
        <v>9.0583017801390244E-12</v>
      </c>
      <c r="AM180" s="62">
        <f t="shared" si="113"/>
        <v>293.33333333334235</v>
      </c>
      <c r="AN180" s="62">
        <f ca="1">AVERAGE(OFFSET($AM$3,0,0,'Données projet'!$E$10+1,1))-AVERAGE(OFFSET($H$3,0,0,'Données projet'!$E$10+1,1))</f>
        <v>256.45433991419372</v>
      </c>
      <c r="AO180" s="62">
        <f t="shared" si="144"/>
        <v>184.9718670682193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2.6602720026858149E-14</v>
      </c>
      <c r="BF180" s="14">
        <f t="shared" si="167"/>
        <v>4.6624771586320878E-13</v>
      </c>
      <c r="BG180" s="22">
        <f t="shared" si="168"/>
        <v>8.583811758418665E-13</v>
      </c>
      <c r="BH180" s="62">
        <f t="shared" si="116"/>
        <v>293.33333333333417</v>
      </c>
      <c r="BI180" s="62">
        <f ca="1">AVERAGE(OFFSET($BH$3,0,0,'Données projet'!$E$11+1,1))-AVERAGE(OFFSET($H$3,0,0,'Données projet'!$E$11+1,1))</f>
        <v>152.72674713084456</v>
      </c>
      <c r="BJ180" s="62">
        <f t="shared" si="146"/>
        <v>203.90215120562164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0.83617227031490993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1.1614951382629056E-21</v>
      </c>
      <c r="BS180" s="24">
        <f t="shared" si="169"/>
        <v>0.83617227031490993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49.699166399999896</v>
      </c>
      <c r="D181" s="12">
        <f t="shared" si="140"/>
        <v>14.536040807991604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155.69712680449305</v>
      </c>
      <c r="H181" s="70">
        <f t="shared" si="110"/>
        <v>368.54298588725186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3.694822225952521E-13</v>
      </c>
      <c r="O181" s="14">
        <f>N181*VLOOKUP('Données projet'!$B$9,Paramètres!$A$1:$I$89,3,0)*VLOOKUP('Données projet'!$B$9,Paramètres!$A$1:$I$89,5,0)</f>
        <v>3.3430751500418408E-13</v>
      </c>
      <c r="P181" s="14">
        <f t="shared" si="141"/>
        <v>4.3640286551328835E-12</v>
      </c>
      <c r="Q181" s="22">
        <f t="shared" si="162"/>
        <v>8.1829354963220586E-12</v>
      </c>
      <c r="R181" s="62">
        <f t="shared" si="109"/>
        <v>293.3333333333415</v>
      </c>
      <c r="S181" s="62">
        <f ca="1">AVERAGE(OFFSET($R$3,0,0,'Données projet'!$E$9+1,1))-AVERAGE(OFFSET($H$3,0,0,'Données projet'!$E$9+1,1))</f>
        <v>228.905960862347</v>
      </c>
      <c r="T181" s="62">
        <f t="shared" si="142"/>
        <v>167.30057656688177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3.694822225952521E-13</v>
      </c>
      <c r="AJ181" s="14">
        <f>AI181*VLOOKUP('Données projet'!$B$10,Paramètres!$A$1:$I$89,3,0)*VLOOKUP('Données projet'!$B$10,Paramètres!$A$1:$I$89,5,0)</f>
        <v>3.7465497371158569E-13</v>
      </c>
      <c r="AK181" s="14">
        <f t="shared" si="164"/>
        <v>4.8262838474208691E-12</v>
      </c>
      <c r="AL181" s="22">
        <f t="shared" si="165"/>
        <v>9.0583017801390244E-12</v>
      </c>
      <c r="AM181" s="62">
        <f t="shared" si="113"/>
        <v>293.33333333334235</v>
      </c>
      <c r="AN181" s="62">
        <f ca="1">AVERAGE(OFFSET($AM$3,0,0,'Données projet'!$E$10+1,1))-AVERAGE(OFFSET($H$3,0,0,'Données projet'!$E$10+1,1))</f>
        <v>256.45433991419372</v>
      </c>
      <c r="AO181" s="62">
        <f t="shared" si="144"/>
        <v>184.9718670682193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2.6602720026858149E-14</v>
      </c>
      <c r="BF181" s="14">
        <f t="shared" si="167"/>
        <v>4.6624771586320878E-13</v>
      </c>
      <c r="BG181" s="22">
        <f t="shared" si="168"/>
        <v>8.583811758418665E-13</v>
      </c>
      <c r="BH181" s="62">
        <f t="shared" si="116"/>
        <v>293.33333333333417</v>
      </c>
      <c r="BI181" s="62">
        <f ca="1">AVERAGE(OFFSET($BH$3,0,0,'Données projet'!$E$11+1,1))-AVERAGE(OFFSET($H$3,0,0,'Données projet'!$E$11+1,1))</f>
        <v>152.72674713084456</v>
      </c>
      <c r="BJ181" s="62">
        <f t="shared" si="146"/>
        <v>203.90215120562164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0.81977544210875963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8.2130108858090716E-22</v>
      </c>
      <c r="BS181" s="24">
        <f t="shared" si="169"/>
        <v>0.81977544210875963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49.978375199999896</v>
      </c>
      <c r="D182" s="12">
        <f t="shared" si="140"/>
        <v>14.608174823956352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156.54873247911922</v>
      </c>
      <c r="H182" s="70">
        <f t="shared" si="110"/>
        <v>369.15490795839048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3.694822225952521E-13</v>
      </c>
      <c r="O182" s="14">
        <f>N182*VLOOKUP('Données projet'!$B$9,Paramètres!$A$1:$I$89,3,0)*VLOOKUP('Données projet'!$B$9,Paramètres!$A$1:$I$89,5,0)</f>
        <v>3.3430751500418408E-13</v>
      </c>
      <c r="P182" s="14">
        <f t="shared" si="141"/>
        <v>4.3640286551328835E-12</v>
      </c>
      <c r="Q182" s="22">
        <f t="shared" si="162"/>
        <v>8.1829354963220586E-12</v>
      </c>
      <c r="R182" s="62">
        <f t="shared" si="109"/>
        <v>293.3333333333415</v>
      </c>
      <c r="S182" s="62">
        <f ca="1">AVERAGE(OFFSET($R$3,0,0,'Données projet'!$E$9+1,1))-AVERAGE(OFFSET($H$3,0,0,'Données projet'!$E$9+1,1))</f>
        <v>228.905960862347</v>
      </c>
      <c r="T182" s="62">
        <f t="shared" si="142"/>
        <v>167.30057656688177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3.694822225952521E-13</v>
      </c>
      <c r="AJ182" s="14">
        <f>AI182*VLOOKUP('Données projet'!$B$10,Paramètres!$A$1:$I$89,3,0)*VLOOKUP('Données projet'!$B$10,Paramètres!$A$1:$I$89,5,0)</f>
        <v>3.7465497371158569E-13</v>
      </c>
      <c r="AK182" s="14">
        <f t="shared" si="164"/>
        <v>4.8262838474208691E-12</v>
      </c>
      <c r="AL182" s="22">
        <f t="shared" si="165"/>
        <v>9.0583017801390244E-12</v>
      </c>
      <c r="AM182" s="62">
        <f t="shared" si="113"/>
        <v>293.33333333334235</v>
      </c>
      <c r="AN182" s="62">
        <f ca="1">AVERAGE(OFFSET($AM$3,0,0,'Données projet'!$E$10+1,1))-AVERAGE(OFFSET($H$3,0,0,'Données projet'!$E$10+1,1))</f>
        <v>256.45433991419372</v>
      </c>
      <c r="AO182" s="62">
        <f t="shared" si="144"/>
        <v>184.9718670682193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2.6602720026858149E-14</v>
      </c>
      <c r="BF182" s="14">
        <f t="shared" si="167"/>
        <v>4.6624771586320878E-13</v>
      </c>
      <c r="BG182" s="22">
        <f t="shared" si="168"/>
        <v>8.583811758418665E-13</v>
      </c>
      <c r="BH182" s="62">
        <f t="shared" si="116"/>
        <v>293.33333333333417</v>
      </c>
      <c r="BI182" s="62">
        <f ca="1">AVERAGE(OFFSET($BH$3,0,0,'Données projet'!$E$11+1,1))-AVERAGE(OFFSET($H$3,0,0,'Données projet'!$E$11+1,1))</f>
        <v>152.72674713084456</v>
      </c>
      <c r="BJ182" s="62">
        <f t="shared" si="146"/>
        <v>203.90215120562164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0.80370014570265425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5.8074756913145279E-22</v>
      </c>
      <c r="BS182" s="24">
        <f t="shared" si="169"/>
        <v>0.80370014570265425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50.257583999999895</v>
      </c>
      <c r="D183" s="12">
        <f t="shared" si="140"/>
        <v>14.68026194765163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157.40022449346552</v>
      </c>
      <c r="H183" s="70">
        <f t="shared" si="110"/>
        <v>369.76674835882642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3.694822225952521E-13</v>
      </c>
      <c r="O183" s="14">
        <f>N183*VLOOKUP('Données projet'!$B$9,Paramètres!$A$1:$I$89,3,0)*VLOOKUP('Données projet'!$B$9,Paramètres!$A$1:$I$89,5,0)</f>
        <v>3.3430751500418408E-13</v>
      </c>
      <c r="P183" s="14">
        <f t="shared" si="141"/>
        <v>4.3640286551328835E-12</v>
      </c>
      <c r="Q183" s="22">
        <f t="shared" si="162"/>
        <v>8.1829354963220586E-12</v>
      </c>
      <c r="R183" s="62">
        <f t="shared" si="109"/>
        <v>293.3333333333415</v>
      </c>
      <c r="S183" s="62">
        <f ca="1">AVERAGE(OFFSET($R$3,0,0,'Données projet'!$E$9+1,1))-AVERAGE(OFFSET($H$3,0,0,'Données projet'!$E$9+1,1))</f>
        <v>228.905960862347</v>
      </c>
      <c r="T183" s="62">
        <f t="shared" si="142"/>
        <v>167.30057656688177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3.694822225952521E-13</v>
      </c>
      <c r="AJ183" s="14">
        <f>AI183*VLOOKUP('Données projet'!$B$10,Paramètres!$A$1:$I$89,3,0)*VLOOKUP('Données projet'!$B$10,Paramètres!$A$1:$I$89,5,0)</f>
        <v>3.7465497371158569E-13</v>
      </c>
      <c r="AK183" s="14">
        <f t="shared" si="164"/>
        <v>4.8262838474208691E-12</v>
      </c>
      <c r="AL183" s="22">
        <f t="shared" si="165"/>
        <v>9.0583017801390244E-12</v>
      </c>
      <c r="AM183" s="62">
        <f t="shared" si="113"/>
        <v>293.33333333334235</v>
      </c>
      <c r="AN183" s="62">
        <f ca="1">AVERAGE(OFFSET($AM$3,0,0,'Données projet'!$E$10+1,1))-AVERAGE(OFFSET($H$3,0,0,'Données projet'!$E$10+1,1))</f>
        <v>256.45433991419372</v>
      </c>
      <c r="AO183" s="62">
        <f t="shared" si="144"/>
        <v>184.9718670682193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2.6602720026858149E-14</v>
      </c>
      <c r="BF183" s="14">
        <f t="shared" si="167"/>
        <v>4.6624771586320878E-13</v>
      </c>
      <c r="BG183" s="22">
        <f t="shared" si="168"/>
        <v>8.583811758418665E-13</v>
      </c>
      <c r="BH183" s="62">
        <f t="shared" si="116"/>
        <v>293.33333333333417</v>
      </c>
      <c r="BI183" s="62">
        <f ca="1">AVERAGE(OFFSET($BH$3,0,0,'Données projet'!$E$11+1,1))-AVERAGE(OFFSET($H$3,0,0,'Données projet'!$E$11+1,1))</f>
        <v>152.72674713084456</v>
      </c>
      <c r="BJ183" s="62">
        <f t="shared" si="146"/>
        <v>203.90215120562164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0.78794007605410998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4.1065054429045358E-22</v>
      </c>
      <c r="BS183" s="24">
        <f t="shared" si="169"/>
        <v>0.78794007605410998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50.536792799999894</v>
      </c>
      <c r="D184" s="12">
        <f t="shared" si="140"/>
        <v>14.752302469822691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158.25160355225771</v>
      </c>
      <c r="H184" s="70">
        <f t="shared" si="110"/>
        <v>370.37850759494103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3.694822225952521E-13</v>
      </c>
      <c r="O184" s="14">
        <f>N184*VLOOKUP('Données projet'!$B$9,Paramètres!$A$1:$I$89,3,0)*VLOOKUP('Données projet'!$B$9,Paramètres!$A$1:$I$89,5,0)</f>
        <v>3.3430751500418408E-13</v>
      </c>
      <c r="P184" s="14">
        <f t="shared" si="141"/>
        <v>4.3640286551328835E-12</v>
      </c>
      <c r="Q184" s="22">
        <f t="shared" si="162"/>
        <v>8.1829354963220586E-12</v>
      </c>
      <c r="R184" s="62">
        <f t="shared" si="109"/>
        <v>293.3333333333415</v>
      </c>
      <c r="S184" s="62">
        <f ca="1">AVERAGE(OFFSET($R$3,0,0,'Données projet'!$E$9+1,1))-AVERAGE(OFFSET($H$3,0,0,'Données projet'!$E$9+1,1))</f>
        <v>228.905960862347</v>
      </c>
      <c r="T184" s="62">
        <f t="shared" si="142"/>
        <v>167.30057656688177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3.694822225952521E-13</v>
      </c>
      <c r="AJ184" s="14">
        <f>AI184*VLOOKUP('Données projet'!$B$10,Paramètres!$A$1:$I$89,3,0)*VLOOKUP('Données projet'!$B$10,Paramètres!$A$1:$I$89,5,0)</f>
        <v>3.7465497371158569E-13</v>
      </c>
      <c r="AK184" s="14">
        <f t="shared" si="164"/>
        <v>4.8262838474208691E-12</v>
      </c>
      <c r="AL184" s="22">
        <f t="shared" si="165"/>
        <v>9.0583017801390244E-12</v>
      </c>
      <c r="AM184" s="62">
        <f t="shared" si="113"/>
        <v>293.33333333334235</v>
      </c>
      <c r="AN184" s="62">
        <f ca="1">AVERAGE(OFFSET($AM$3,0,0,'Données projet'!$E$10+1,1))-AVERAGE(OFFSET($H$3,0,0,'Données projet'!$E$10+1,1))</f>
        <v>256.45433991419372</v>
      </c>
      <c r="AO184" s="62">
        <f t="shared" si="144"/>
        <v>184.9718670682193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2.6602720026858149E-14</v>
      </c>
      <c r="BF184" s="14">
        <f t="shared" si="167"/>
        <v>4.6624771586320878E-13</v>
      </c>
      <c r="BG184" s="22">
        <f t="shared" si="168"/>
        <v>8.583811758418665E-13</v>
      </c>
      <c r="BH184" s="62">
        <f t="shared" si="116"/>
        <v>293.33333333333417</v>
      </c>
      <c r="BI184" s="62">
        <f ca="1">AVERAGE(OFFSET($BH$3,0,0,'Données projet'!$E$11+1,1))-AVERAGE(OFFSET($H$3,0,0,'Données projet'!$E$11+1,1))</f>
        <v>152.72674713084456</v>
      </c>
      <c r="BJ184" s="62">
        <f t="shared" si="146"/>
        <v>203.90215120562164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0.77248905175868032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2.903737845657264E-22</v>
      </c>
      <c r="BS184" s="24">
        <f t="shared" si="169"/>
        <v>0.77248905175868032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50.816001599999893</v>
      </c>
      <c r="D185" s="12">
        <f t="shared" si="140"/>
        <v>14.824296677816212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159.10287035198374</v>
      </c>
      <c r="H185" s="70">
        <f t="shared" si="110"/>
        <v>370.99018616719638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3.694822225952521E-13</v>
      </c>
      <c r="O185" s="14">
        <f>N185*VLOOKUP('Données projet'!$B$9,Paramètres!$A$1:$I$89,3,0)*VLOOKUP('Données projet'!$B$9,Paramètres!$A$1:$I$89,5,0)</f>
        <v>3.3430751500418408E-13</v>
      </c>
      <c r="P185" s="14">
        <f t="shared" si="141"/>
        <v>4.3640286551328835E-12</v>
      </c>
      <c r="Q185" s="22">
        <f t="shared" si="162"/>
        <v>8.1829354963220586E-12</v>
      </c>
      <c r="R185" s="62">
        <f t="shared" si="109"/>
        <v>293.3333333333415</v>
      </c>
      <c r="S185" s="62">
        <f ca="1">AVERAGE(OFFSET($R$3,0,0,'Données projet'!$E$9+1,1))-AVERAGE(OFFSET($H$3,0,0,'Données projet'!$E$9+1,1))</f>
        <v>228.905960862347</v>
      </c>
      <c r="T185" s="62">
        <f t="shared" si="142"/>
        <v>167.30057656688177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3.694822225952521E-13</v>
      </c>
      <c r="AJ185" s="14">
        <f>AI185*VLOOKUP('Données projet'!$B$10,Paramètres!$A$1:$I$89,3,0)*VLOOKUP('Données projet'!$B$10,Paramètres!$A$1:$I$89,5,0)</f>
        <v>3.7465497371158569E-13</v>
      </c>
      <c r="AK185" s="14">
        <f t="shared" si="164"/>
        <v>4.8262838474208691E-12</v>
      </c>
      <c r="AL185" s="22">
        <f t="shared" si="165"/>
        <v>9.0583017801390244E-12</v>
      </c>
      <c r="AM185" s="62">
        <f t="shared" si="113"/>
        <v>293.33333333334235</v>
      </c>
      <c r="AN185" s="62">
        <f ca="1">AVERAGE(OFFSET($AM$3,0,0,'Données projet'!$E$10+1,1))-AVERAGE(OFFSET($H$3,0,0,'Données projet'!$E$10+1,1))</f>
        <v>256.45433991419372</v>
      </c>
      <c r="AO185" s="62">
        <f t="shared" si="144"/>
        <v>184.9718670682193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2.6602720026858149E-14</v>
      </c>
      <c r="BF185" s="14">
        <f t="shared" si="167"/>
        <v>4.6624771586320878E-13</v>
      </c>
      <c r="BG185" s="22">
        <f t="shared" si="168"/>
        <v>8.583811758418665E-13</v>
      </c>
      <c r="BH185" s="62">
        <f t="shared" si="116"/>
        <v>293.33333333333417</v>
      </c>
      <c r="BI185" s="62">
        <f ca="1">AVERAGE(OFFSET($BH$3,0,0,'Données projet'!$E$11+1,1))-AVERAGE(OFFSET($H$3,0,0,'Données projet'!$E$11+1,1))</f>
        <v>152.72674713084456</v>
      </c>
      <c r="BJ185" s="62">
        <f t="shared" si="146"/>
        <v>203.90215120562164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0.75734101262548981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2.0532527214522679E-22</v>
      </c>
      <c r="BS185" s="24">
        <f t="shared" si="169"/>
        <v>0.75734101262548981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51.095210399999893</v>
      </c>
      <c r="D186" s="12">
        <f t="shared" si="140"/>
        <v>14.896244855638447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159.95402558103495</v>
      </c>
      <c r="H186" s="70">
        <f t="shared" si="110"/>
        <v>371.60178457023682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3.694822225952521E-13</v>
      </c>
      <c r="O186" s="14">
        <f>N186*VLOOKUP('Données projet'!$B$9,Paramètres!$A$1:$I$89,3,0)*VLOOKUP('Données projet'!$B$9,Paramètres!$A$1:$I$89,5,0)</f>
        <v>3.3430751500418408E-13</v>
      </c>
      <c r="P186" s="14">
        <f t="shared" si="141"/>
        <v>4.3640286551328835E-12</v>
      </c>
      <c r="Q186" s="22">
        <f t="shared" si="162"/>
        <v>8.1829354963220586E-12</v>
      </c>
      <c r="R186" s="62">
        <f t="shared" si="109"/>
        <v>293.3333333333415</v>
      </c>
      <c r="S186" s="62">
        <f ca="1">AVERAGE(OFFSET($R$3,0,0,'Données projet'!$E$9+1,1))-AVERAGE(OFFSET($H$3,0,0,'Données projet'!$E$9+1,1))</f>
        <v>228.905960862347</v>
      </c>
      <c r="T186" s="62">
        <f t="shared" si="142"/>
        <v>167.30057656688177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3.694822225952521E-13</v>
      </c>
      <c r="AJ186" s="14">
        <f>AI186*VLOOKUP('Données projet'!$B$10,Paramètres!$A$1:$I$89,3,0)*VLOOKUP('Données projet'!$B$10,Paramètres!$A$1:$I$89,5,0)</f>
        <v>3.7465497371158569E-13</v>
      </c>
      <c r="AK186" s="14">
        <f t="shared" si="164"/>
        <v>4.8262838474208691E-12</v>
      </c>
      <c r="AL186" s="22">
        <f t="shared" si="165"/>
        <v>9.0583017801390244E-12</v>
      </c>
      <c r="AM186" s="62">
        <f t="shared" si="113"/>
        <v>293.33333333334235</v>
      </c>
      <c r="AN186" s="62">
        <f ca="1">AVERAGE(OFFSET($AM$3,0,0,'Données projet'!$E$10+1,1))-AVERAGE(OFFSET($H$3,0,0,'Données projet'!$E$10+1,1))</f>
        <v>256.45433991419372</v>
      </c>
      <c r="AO186" s="62">
        <f t="shared" si="144"/>
        <v>184.9718670682193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2.6602720026858149E-14</v>
      </c>
      <c r="BF186" s="14">
        <f t="shared" si="167"/>
        <v>4.6624771586320878E-13</v>
      </c>
      <c r="BG186" s="22">
        <f t="shared" si="168"/>
        <v>8.583811758418665E-13</v>
      </c>
      <c r="BH186" s="62">
        <f t="shared" si="116"/>
        <v>293.33333333333417</v>
      </c>
      <c r="BI186" s="62">
        <f ca="1">AVERAGE(OFFSET($BH$3,0,0,'Données projet'!$E$11+1,1))-AVERAGE(OFFSET($H$3,0,0,'Données projet'!$E$11+1,1))</f>
        <v>152.72674713084456</v>
      </c>
      <c r="BJ186" s="62">
        <f t="shared" si="146"/>
        <v>203.90215120562164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0.74249001730030961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1.451868922828632E-22</v>
      </c>
      <c r="BS186" s="24">
        <f t="shared" si="169"/>
        <v>0.74249001730030961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51.374419199999892</v>
      </c>
      <c r="D187" s="12">
        <f t="shared" si="140"/>
        <v>14.968147284012097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160.80506991984382</v>
      </c>
      <c r="H187" s="70">
        <f t="shared" si="110"/>
        <v>372.21330329298758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3.694822225952521E-13</v>
      </c>
      <c r="O187" s="14">
        <f>N187*VLOOKUP('Données projet'!$B$9,Paramètres!$A$1:$I$89,3,0)*VLOOKUP('Données projet'!$B$9,Paramètres!$A$1:$I$89,5,0)</f>
        <v>3.3430751500418408E-13</v>
      </c>
      <c r="P187" s="14">
        <f t="shared" si="141"/>
        <v>4.3640286551328835E-12</v>
      </c>
      <c r="Q187" s="22">
        <f t="shared" si="162"/>
        <v>8.1829354963220586E-12</v>
      </c>
      <c r="R187" s="62">
        <f t="shared" si="109"/>
        <v>293.3333333333415</v>
      </c>
      <c r="S187" s="62">
        <f ca="1">AVERAGE(OFFSET($R$3,0,0,'Données projet'!$E$9+1,1))-AVERAGE(OFFSET($H$3,0,0,'Données projet'!$E$9+1,1))</f>
        <v>228.905960862347</v>
      </c>
      <c r="T187" s="62">
        <f t="shared" si="142"/>
        <v>167.30057656688177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3.694822225952521E-13</v>
      </c>
      <c r="AJ187" s="14">
        <f>AI187*VLOOKUP('Données projet'!$B$10,Paramètres!$A$1:$I$89,3,0)*VLOOKUP('Données projet'!$B$10,Paramètres!$A$1:$I$89,5,0)</f>
        <v>3.7465497371158569E-13</v>
      </c>
      <c r="AK187" s="14">
        <f t="shared" si="164"/>
        <v>4.8262838474208691E-12</v>
      </c>
      <c r="AL187" s="22">
        <f t="shared" si="165"/>
        <v>9.0583017801390244E-12</v>
      </c>
      <c r="AM187" s="62">
        <f t="shared" si="113"/>
        <v>293.33333333334235</v>
      </c>
      <c r="AN187" s="62">
        <f ca="1">AVERAGE(OFFSET($AM$3,0,0,'Données projet'!$E$10+1,1))-AVERAGE(OFFSET($H$3,0,0,'Données projet'!$E$10+1,1))</f>
        <v>256.45433991419372</v>
      </c>
      <c r="AO187" s="62">
        <f t="shared" si="144"/>
        <v>184.9718670682193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2.6602720026858149E-14</v>
      </c>
      <c r="BF187" s="14">
        <f t="shared" si="167"/>
        <v>4.6624771586320878E-13</v>
      </c>
      <c r="BG187" s="22">
        <f t="shared" si="168"/>
        <v>8.583811758418665E-13</v>
      </c>
      <c r="BH187" s="62">
        <f t="shared" si="116"/>
        <v>293.33333333333417</v>
      </c>
      <c r="BI187" s="62">
        <f ca="1">AVERAGE(OFFSET($BH$3,0,0,'Données projet'!$E$11+1,1))-AVERAGE(OFFSET($H$3,0,0,'Données projet'!$E$11+1,1))</f>
        <v>152.72674713084456</v>
      </c>
      <c r="BJ187" s="62">
        <f t="shared" si="146"/>
        <v>203.90215120562164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0.7279302409352435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1.0266263607261339E-22</v>
      </c>
      <c r="BS187" s="24">
        <f t="shared" si="169"/>
        <v>0.7279302409352435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51.653627999999891</v>
      </c>
      <c r="D188" s="12">
        <f t="shared" si="140"/>
        <v>15.040004240431939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161.65600404101863</v>
      </c>
      <c r="H188" s="70">
        <f t="shared" si="110"/>
        <v>372.8247428187521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3.694822225952521E-13</v>
      </c>
      <c r="O188" s="14">
        <f>N188*VLOOKUP('Données projet'!$B$9,Paramètres!$A$1:$I$89,3,0)*VLOOKUP('Données projet'!$B$9,Paramètres!$A$1:$I$89,5,0)</f>
        <v>3.3430751500418408E-13</v>
      </c>
      <c r="P188" s="14">
        <f t="shared" si="141"/>
        <v>4.3640286551328835E-12</v>
      </c>
      <c r="Q188" s="22">
        <f t="shared" si="162"/>
        <v>8.1829354963220586E-12</v>
      </c>
      <c r="R188" s="62">
        <f t="shared" si="109"/>
        <v>293.3333333333415</v>
      </c>
      <c r="S188" s="62">
        <f ca="1">AVERAGE(OFFSET($R$3,0,0,'Données projet'!$E$9+1,1))-AVERAGE(OFFSET($H$3,0,0,'Données projet'!$E$9+1,1))</f>
        <v>228.905960862347</v>
      </c>
      <c r="T188" s="62">
        <f t="shared" si="142"/>
        <v>167.30057656688177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3.694822225952521E-13</v>
      </c>
      <c r="AJ188" s="14">
        <f>AI188*VLOOKUP('Données projet'!$B$10,Paramètres!$A$1:$I$89,3,0)*VLOOKUP('Données projet'!$B$10,Paramètres!$A$1:$I$89,5,0)</f>
        <v>3.7465497371158569E-13</v>
      </c>
      <c r="AK188" s="14">
        <f t="shared" si="164"/>
        <v>4.8262838474208691E-12</v>
      </c>
      <c r="AL188" s="22">
        <f t="shared" si="165"/>
        <v>9.0583017801390244E-12</v>
      </c>
      <c r="AM188" s="62">
        <f t="shared" si="113"/>
        <v>293.33333333334235</v>
      </c>
      <c r="AN188" s="62">
        <f ca="1">AVERAGE(OFFSET($AM$3,0,0,'Données projet'!$E$10+1,1))-AVERAGE(OFFSET($H$3,0,0,'Données projet'!$E$10+1,1))</f>
        <v>256.45433991419372</v>
      </c>
      <c r="AO188" s="62">
        <f t="shared" si="144"/>
        <v>184.9718670682193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2.6602720026858149E-14</v>
      </c>
      <c r="BF188" s="14">
        <f t="shared" si="167"/>
        <v>4.6624771586320878E-13</v>
      </c>
      <c r="BG188" s="22">
        <f t="shared" si="168"/>
        <v>8.583811758418665E-13</v>
      </c>
      <c r="BH188" s="62">
        <f t="shared" si="116"/>
        <v>293.33333333333417</v>
      </c>
      <c r="BI188" s="62">
        <f ca="1">AVERAGE(OFFSET($BH$3,0,0,'Données projet'!$E$11+1,1))-AVERAGE(OFFSET($H$3,0,0,'Données projet'!$E$11+1,1))</f>
        <v>152.72674713084456</v>
      </c>
      <c r="BJ188" s="62">
        <f t="shared" si="146"/>
        <v>203.90215120562164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0.71365597290410965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7.2593446141431599E-23</v>
      </c>
      <c r="BS188" s="24">
        <f t="shared" si="169"/>
        <v>0.71365597290410965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51.93283679999989</v>
      </c>
      <c r="D189" s="12">
        <f t="shared" si="140"/>
        <v>15.111815999219136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162.50682860947543</v>
      </c>
      <c r="H189" s="70">
        <f t="shared" si="110"/>
        <v>373.43610362530649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3.694822225952521E-13</v>
      </c>
      <c r="O189" s="14">
        <f>N189*VLOOKUP('Données projet'!$B$9,Paramètres!$A$1:$I$89,3,0)*VLOOKUP('Données projet'!$B$9,Paramètres!$A$1:$I$89,5,0)</f>
        <v>3.3430751500418408E-13</v>
      </c>
      <c r="P189" s="14">
        <f t="shared" si="141"/>
        <v>4.3640286551328835E-12</v>
      </c>
      <c r="Q189" s="22">
        <f t="shared" si="162"/>
        <v>8.1829354963220586E-12</v>
      </c>
      <c r="R189" s="62">
        <f t="shared" si="109"/>
        <v>293.3333333333415</v>
      </c>
      <c r="S189" s="62">
        <f ca="1">AVERAGE(OFFSET($R$3,0,0,'Données projet'!$E$9+1,1))-AVERAGE(OFFSET($H$3,0,0,'Données projet'!$E$9+1,1))</f>
        <v>228.905960862347</v>
      </c>
      <c r="T189" s="62">
        <f t="shared" si="142"/>
        <v>167.30057656688177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3.694822225952521E-13</v>
      </c>
      <c r="AJ189" s="14">
        <f>AI189*VLOOKUP('Données projet'!$B$10,Paramètres!$A$1:$I$89,3,0)*VLOOKUP('Données projet'!$B$10,Paramètres!$A$1:$I$89,5,0)</f>
        <v>3.7465497371158569E-13</v>
      </c>
      <c r="AK189" s="14">
        <f t="shared" si="164"/>
        <v>4.8262838474208691E-12</v>
      </c>
      <c r="AL189" s="22">
        <f t="shared" si="165"/>
        <v>9.0583017801390244E-12</v>
      </c>
      <c r="AM189" s="62">
        <f t="shared" si="113"/>
        <v>293.33333333334235</v>
      </c>
      <c r="AN189" s="62">
        <f ca="1">AVERAGE(OFFSET($AM$3,0,0,'Données projet'!$E$10+1,1))-AVERAGE(OFFSET($H$3,0,0,'Données projet'!$E$10+1,1))</f>
        <v>256.45433991419372</v>
      </c>
      <c r="AO189" s="62">
        <f t="shared" si="144"/>
        <v>184.9718670682193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2.6602720026858149E-14</v>
      </c>
      <c r="BF189" s="14">
        <f t="shared" si="167"/>
        <v>4.6624771586320878E-13</v>
      </c>
      <c r="BG189" s="22">
        <f t="shared" si="168"/>
        <v>8.583811758418665E-13</v>
      </c>
      <c r="BH189" s="62">
        <f t="shared" si="116"/>
        <v>293.33333333333417</v>
      </c>
      <c r="BI189" s="62">
        <f ca="1">AVERAGE(OFFSET($BH$3,0,0,'Données projet'!$E$11+1,1))-AVERAGE(OFFSET($H$3,0,0,'Données projet'!$E$11+1,1))</f>
        <v>152.72674713084456</v>
      </c>
      <c r="BJ189" s="62">
        <f t="shared" si="146"/>
        <v>203.90215120562164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0.69966161456262255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5.1331318036306697E-23</v>
      </c>
      <c r="BS189" s="24">
        <f t="shared" si="169"/>
        <v>0.69966161456262255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52.21204559999989</v>
      </c>
      <c r="D190" s="12">
        <f t="shared" si="140"/>
        <v>15.183582831574444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163.35754428256686</v>
      </c>
      <c r="H190" s="70">
        <f t="shared" si="110"/>
        <v>374.04738618499198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3.694822225952521E-13</v>
      </c>
      <c r="O190" s="14">
        <f>N190*VLOOKUP('Données projet'!$B$9,Paramètres!$A$1:$I$89,3,0)*VLOOKUP('Données projet'!$B$9,Paramètres!$A$1:$I$89,5,0)</f>
        <v>3.3430751500418408E-13</v>
      </c>
      <c r="P190" s="14">
        <f t="shared" si="141"/>
        <v>4.3640286551328835E-12</v>
      </c>
      <c r="Q190" s="22">
        <f t="shared" si="162"/>
        <v>8.1829354963220586E-12</v>
      </c>
      <c r="R190" s="62">
        <f t="shared" si="109"/>
        <v>293.3333333333415</v>
      </c>
      <c r="S190" s="62">
        <f ca="1">AVERAGE(OFFSET($R$3,0,0,'Données projet'!$E$9+1,1))-AVERAGE(OFFSET($H$3,0,0,'Données projet'!$E$9+1,1))</f>
        <v>228.905960862347</v>
      </c>
      <c r="T190" s="62">
        <f t="shared" si="142"/>
        <v>167.30057656688177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3.694822225952521E-13</v>
      </c>
      <c r="AJ190" s="14">
        <f>AI190*VLOOKUP('Données projet'!$B$10,Paramètres!$A$1:$I$89,3,0)*VLOOKUP('Données projet'!$B$10,Paramètres!$A$1:$I$89,5,0)</f>
        <v>3.7465497371158569E-13</v>
      </c>
      <c r="AK190" s="14">
        <f t="shared" si="164"/>
        <v>4.8262838474208691E-12</v>
      </c>
      <c r="AL190" s="22">
        <f t="shared" si="165"/>
        <v>9.0583017801390244E-12</v>
      </c>
      <c r="AM190" s="62">
        <f t="shared" si="113"/>
        <v>293.33333333334235</v>
      </c>
      <c r="AN190" s="62">
        <f ca="1">AVERAGE(OFFSET($AM$3,0,0,'Données projet'!$E$10+1,1))-AVERAGE(OFFSET($H$3,0,0,'Données projet'!$E$10+1,1))</f>
        <v>256.45433991419372</v>
      </c>
      <c r="AO190" s="62">
        <f t="shared" si="144"/>
        <v>184.9718670682193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2.6602720026858149E-14</v>
      </c>
      <c r="BF190" s="14">
        <f t="shared" si="167"/>
        <v>4.6624771586320878E-13</v>
      </c>
      <c r="BG190" s="22">
        <f t="shared" si="168"/>
        <v>8.583811758418665E-13</v>
      </c>
      <c r="BH190" s="62">
        <f t="shared" si="116"/>
        <v>293.33333333333417</v>
      </c>
      <c r="BI190" s="62">
        <f ca="1">AVERAGE(OFFSET($BH$3,0,0,'Données projet'!$E$11+1,1))-AVERAGE(OFFSET($H$3,0,0,'Données projet'!$E$11+1,1))</f>
        <v>152.72674713084456</v>
      </c>
      <c r="BJ190" s="62">
        <f t="shared" si="146"/>
        <v>203.90215120562164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0.6859416770524962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3.62967230707158E-23</v>
      </c>
      <c r="BS190" s="24">
        <f t="shared" si="169"/>
        <v>0.6859416770524962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52.491254399999889</v>
      </c>
      <c r="D191" s="12">
        <f t="shared" si="140"/>
        <v>15.25530500563017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164.20815171020786</v>
      </c>
      <c r="H191" s="70">
        <f t="shared" si="110"/>
        <v>374.65859096480568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3.694822225952521E-13</v>
      </c>
      <c r="O191" s="14">
        <f>N191*VLOOKUP('Données projet'!$B$9,Paramètres!$A$1:$I$89,3,0)*VLOOKUP('Données projet'!$B$9,Paramètres!$A$1:$I$89,5,0)</f>
        <v>3.3430751500418408E-13</v>
      </c>
      <c r="P191" s="14">
        <f t="shared" si="141"/>
        <v>4.3640286551328835E-12</v>
      </c>
      <c r="Q191" s="22">
        <f t="shared" si="162"/>
        <v>8.1829354963220586E-12</v>
      </c>
      <c r="R191" s="62">
        <f t="shared" si="109"/>
        <v>293.3333333333415</v>
      </c>
      <c r="S191" s="62">
        <f ca="1">AVERAGE(OFFSET($R$3,0,0,'Données projet'!$E$9+1,1))-AVERAGE(OFFSET($H$3,0,0,'Données projet'!$E$9+1,1))</f>
        <v>228.905960862347</v>
      </c>
      <c r="T191" s="62">
        <f t="shared" si="142"/>
        <v>167.30057656688177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3.694822225952521E-13</v>
      </c>
      <c r="AJ191" s="14">
        <f>AI191*VLOOKUP('Données projet'!$B$10,Paramètres!$A$1:$I$89,3,0)*VLOOKUP('Données projet'!$B$10,Paramètres!$A$1:$I$89,5,0)</f>
        <v>3.7465497371158569E-13</v>
      </c>
      <c r="AK191" s="14">
        <f t="shared" si="164"/>
        <v>4.8262838474208691E-12</v>
      </c>
      <c r="AL191" s="22">
        <f t="shared" si="165"/>
        <v>9.0583017801390244E-12</v>
      </c>
      <c r="AM191" s="62">
        <f t="shared" si="113"/>
        <v>293.33333333334235</v>
      </c>
      <c r="AN191" s="62">
        <f ca="1">AVERAGE(OFFSET($AM$3,0,0,'Données projet'!$E$10+1,1))-AVERAGE(OFFSET($H$3,0,0,'Données projet'!$E$10+1,1))</f>
        <v>256.45433991419372</v>
      </c>
      <c r="AO191" s="62">
        <f t="shared" si="144"/>
        <v>184.9718670682193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2.6602720026858149E-14</v>
      </c>
      <c r="BF191" s="14">
        <f t="shared" si="167"/>
        <v>4.6624771586320878E-13</v>
      </c>
      <c r="BG191" s="22">
        <f t="shared" si="168"/>
        <v>8.583811758418665E-13</v>
      </c>
      <c r="BH191" s="62">
        <f t="shared" si="116"/>
        <v>293.33333333333417</v>
      </c>
      <c r="BI191" s="62">
        <f ca="1">AVERAGE(OFFSET($BH$3,0,0,'Données projet'!$E$11+1,1))-AVERAGE(OFFSET($H$3,0,0,'Données projet'!$E$11+1,1))</f>
        <v>152.72674713084456</v>
      </c>
      <c r="BJ191" s="62">
        <f t="shared" si="146"/>
        <v>203.90215120562164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0.67249077914860789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2.5665659018153349E-23</v>
      </c>
      <c r="BS191" s="24">
        <f t="shared" si="169"/>
        <v>0.67249077914860789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52.770463199999888</v>
      </c>
      <c r="D192" s="12">
        <f t="shared" si="140"/>
        <v>15.326982786501015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165.0586515349994</v>
      </c>
      <c r="H192" s="70">
        <f t="shared" si="110"/>
        <v>375.26971842648908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3.694822225952521E-13</v>
      </c>
      <c r="O192" s="14">
        <f>N192*VLOOKUP('Données projet'!$B$9,Paramètres!$A$1:$I$89,3,0)*VLOOKUP('Données projet'!$B$9,Paramètres!$A$1:$I$89,5,0)</f>
        <v>3.3430751500418408E-13</v>
      </c>
      <c r="P192" s="14">
        <f t="shared" si="141"/>
        <v>4.3640286551328835E-12</v>
      </c>
      <c r="Q192" s="22">
        <f t="shared" si="162"/>
        <v>8.1829354963220586E-12</v>
      </c>
      <c r="R192" s="62">
        <f t="shared" si="109"/>
        <v>293.3333333333415</v>
      </c>
      <c r="S192" s="62">
        <f ca="1">AVERAGE(OFFSET($R$3,0,0,'Données projet'!$E$9+1,1))-AVERAGE(OFFSET($H$3,0,0,'Données projet'!$E$9+1,1))</f>
        <v>228.905960862347</v>
      </c>
      <c r="T192" s="62">
        <f t="shared" si="142"/>
        <v>167.30057656688177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3.694822225952521E-13</v>
      </c>
      <c r="AJ192" s="14">
        <f>AI192*VLOOKUP('Données projet'!$B$10,Paramètres!$A$1:$I$89,3,0)*VLOOKUP('Données projet'!$B$10,Paramètres!$A$1:$I$89,5,0)</f>
        <v>3.7465497371158569E-13</v>
      </c>
      <c r="AK192" s="14">
        <f t="shared" si="164"/>
        <v>4.8262838474208691E-12</v>
      </c>
      <c r="AL192" s="22">
        <f t="shared" si="165"/>
        <v>9.0583017801390244E-12</v>
      </c>
      <c r="AM192" s="62">
        <f t="shared" si="113"/>
        <v>293.33333333334235</v>
      </c>
      <c r="AN192" s="62">
        <f ca="1">AVERAGE(OFFSET($AM$3,0,0,'Données projet'!$E$10+1,1))-AVERAGE(OFFSET($H$3,0,0,'Données projet'!$E$10+1,1))</f>
        <v>256.45433991419372</v>
      </c>
      <c r="AO192" s="62">
        <f t="shared" si="144"/>
        <v>184.9718670682193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2.6602720026858149E-14</v>
      </c>
      <c r="BF192" s="14">
        <f t="shared" si="167"/>
        <v>4.6624771586320878E-13</v>
      </c>
      <c r="BG192" s="22">
        <f t="shared" si="168"/>
        <v>8.583811758418665E-13</v>
      </c>
      <c r="BH192" s="62">
        <f t="shared" si="116"/>
        <v>293.33333333333417</v>
      </c>
      <c r="BI192" s="62">
        <f ca="1">AVERAGE(OFFSET($BH$3,0,0,'Données projet'!$E$11+1,1))-AVERAGE(OFFSET($H$3,0,0,'Données projet'!$E$11+1,1))</f>
        <v>152.72674713084456</v>
      </c>
      <c r="BJ192" s="62">
        <f t="shared" si="146"/>
        <v>203.90215120562164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0.65930364514837714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1.81483615353579E-23</v>
      </c>
      <c r="BS192" s="24">
        <f t="shared" si="169"/>
        <v>0.65930364514837714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53.049671999999887</v>
      </c>
      <c r="D193" s="12">
        <f t="shared" si="140"/>
        <v>15.398616436333853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165.90904439234859</v>
      </c>
      <c r="H193" s="70">
        <f t="shared" si="110"/>
        <v>375.88076902661459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3.694822225952521E-13</v>
      </c>
      <c r="O193" s="14">
        <f>N193*VLOOKUP('Données projet'!$B$9,Paramètres!$A$1:$I$89,3,0)*VLOOKUP('Données projet'!$B$9,Paramètres!$A$1:$I$89,5,0)</f>
        <v>3.3430751500418408E-13</v>
      </c>
      <c r="P193" s="14">
        <f t="shared" si="141"/>
        <v>4.3640286551328835E-12</v>
      </c>
      <c r="Q193" s="22">
        <f t="shared" si="162"/>
        <v>8.1829354963220586E-12</v>
      </c>
      <c r="R193" s="62">
        <f t="shared" si="109"/>
        <v>293.3333333333415</v>
      </c>
      <c r="S193" s="62">
        <f ca="1">AVERAGE(OFFSET($R$3,0,0,'Données projet'!$E$9+1,1))-AVERAGE(OFFSET($H$3,0,0,'Données projet'!$E$9+1,1))</f>
        <v>228.905960862347</v>
      </c>
      <c r="T193" s="62">
        <f t="shared" si="142"/>
        <v>167.30057656688177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3.694822225952521E-13</v>
      </c>
      <c r="AJ193" s="14">
        <f>AI193*VLOOKUP('Données projet'!$B$10,Paramètres!$A$1:$I$89,3,0)*VLOOKUP('Données projet'!$B$10,Paramètres!$A$1:$I$89,5,0)</f>
        <v>3.7465497371158569E-13</v>
      </c>
      <c r="AK193" s="14">
        <f t="shared" si="164"/>
        <v>4.8262838474208691E-12</v>
      </c>
      <c r="AL193" s="22">
        <f t="shared" si="165"/>
        <v>9.0583017801390244E-12</v>
      </c>
      <c r="AM193" s="62">
        <f t="shared" si="113"/>
        <v>293.33333333334235</v>
      </c>
      <c r="AN193" s="62">
        <f ca="1">AVERAGE(OFFSET($AM$3,0,0,'Données projet'!$E$10+1,1))-AVERAGE(OFFSET($H$3,0,0,'Données projet'!$E$10+1,1))</f>
        <v>256.45433991419372</v>
      </c>
      <c r="AO193" s="62">
        <f t="shared" si="144"/>
        <v>184.9718670682193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2.6602720026858149E-14</v>
      </c>
      <c r="BF193" s="14">
        <f t="shared" si="167"/>
        <v>4.6624771586320878E-13</v>
      </c>
      <c r="BG193" s="22">
        <f t="shared" si="168"/>
        <v>8.583811758418665E-13</v>
      </c>
      <c r="BH193" s="62">
        <f t="shared" si="116"/>
        <v>293.33333333333417</v>
      </c>
      <c r="BI193" s="62">
        <f ca="1">AVERAGE(OFFSET($BH$3,0,0,'Données projet'!$E$11+1,1))-AVERAGE(OFFSET($H$3,0,0,'Données projet'!$E$11+1,1))</f>
        <v>152.72674713084456</v>
      </c>
      <c r="BJ193" s="62">
        <f t="shared" si="146"/>
        <v>203.90215120562164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0.64637510280253341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1.2832829509076674E-23</v>
      </c>
      <c r="BS193" s="24">
        <f t="shared" si="169"/>
        <v>0.64637510280253341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53.328880799999887</v>
      </c>
      <c r="D194" s="12">
        <f t="shared" si="140"/>
        <v>15.470206214356349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166.75933091058695</v>
      </c>
      <c r="H194" s="70">
        <f t="shared" si="110"/>
        <v>376.49174321667044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3.694822225952521E-13</v>
      </c>
      <c r="O194" s="14">
        <f>N194*VLOOKUP('Données projet'!$B$9,Paramètres!$A$1:$I$89,3,0)*VLOOKUP('Données projet'!$B$9,Paramètres!$A$1:$I$89,5,0)</f>
        <v>3.3430751500418408E-13</v>
      </c>
      <c r="P194" s="14">
        <f t="shared" si="141"/>
        <v>4.3640286551328835E-12</v>
      </c>
      <c r="Q194" s="22">
        <f t="shared" si="162"/>
        <v>8.1829354963220586E-12</v>
      </c>
      <c r="R194" s="62">
        <f t="shared" si="109"/>
        <v>293.3333333333415</v>
      </c>
      <c r="S194" s="62">
        <f ca="1">AVERAGE(OFFSET($R$3,0,0,'Données projet'!$E$9+1,1))-AVERAGE(OFFSET($H$3,0,0,'Données projet'!$E$9+1,1))</f>
        <v>228.905960862347</v>
      </c>
      <c r="T194" s="62">
        <f t="shared" si="142"/>
        <v>167.30057656688177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3.694822225952521E-13</v>
      </c>
      <c r="AJ194" s="14">
        <f>AI194*VLOOKUP('Données projet'!$B$10,Paramètres!$A$1:$I$89,3,0)*VLOOKUP('Données projet'!$B$10,Paramètres!$A$1:$I$89,5,0)</f>
        <v>3.7465497371158569E-13</v>
      </c>
      <c r="AK194" s="14">
        <f t="shared" si="164"/>
        <v>4.8262838474208691E-12</v>
      </c>
      <c r="AL194" s="22">
        <f t="shared" si="165"/>
        <v>9.0583017801390244E-12</v>
      </c>
      <c r="AM194" s="62">
        <f t="shared" si="113"/>
        <v>293.33333333334235</v>
      </c>
      <c r="AN194" s="62">
        <f ca="1">AVERAGE(OFFSET($AM$3,0,0,'Données projet'!$E$10+1,1))-AVERAGE(OFFSET($H$3,0,0,'Données projet'!$E$10+1,1))</f>
        <v>256.45433991419372</v>
      </c>
      <c r="AO194" s="62">
        <f t="shared" si="144"/>
        <v>184.9718670682193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2.6602720026858149E-14</v>
      </c>
      <c r="BF194" s="14">
        <f t="shared" si="167"/>
        <v>4.6624771586320878E-13</v>
      </c>
      <c r="BG194" s="22">
        <f t="shared" si="168"/>
        <v>8.583811758418665E-13</v>
      </c>
      <c r="BH194" s="62">
        <f t="shared" si="116"/>
        <v>293.33333333333417</v>
      </c>
      <c r="BI194" s="62">
        <f ca="1">AVERAGE(OFFSET($BH$3,0,0,'Données projet'!$E$11+1,1))-AVERAGE(OFFSET($H$3,0,0,'Données projet'!$E$11+1,1))</f>
        <v>152.72674713084456</v>
      </c>
      <c r="BJ194" s="62">
        <f t="shared" si="146"/>
        <v>203.90215120562164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0.63370008128645949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9.0741807676789499E-24</v>
      </c>
      <c r="BS194" s="24">
        <f t="shared" si="169"/>
        <v>0.63370008128645949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53.608089599999886</v>
      </c>
      <c r="D195" s="12">
        <f t="shared" si="140"/>
        <v>15.541752376924608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167.60951171108573</v>
      </c>
      <c r="H195" s="70">
        <f t="shared" si="110"/>
        <v>377.10264144314351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3.694822225952521E-13</v>
      </c>
      <c r="O195" s="14">
        <f>N195*VLOOKUP('Données projet'!$B$9,Paramètres!$A$1:$I$89,3,0)*VLOOKUP('Données projet'!$B$9,Paramètres!$A$1:$I$89,5,0)</f>
        <v>3.3430751500418408E-13</v>
      </c>
      <c r="P195" s="14">
        <f t="shared" si="141"/>
        <v>4.3640286551328835E-12</v>
      </c>
      <c r="Q195" s="22">
        <f t="shared" si="162"/>
        <v>8.1829354963220586E-12</v>
      </c>
      <c r="R195" s="62">
        <f t="shared" ref="R195:R203" si="191">Q195+(I195+J195)*44/12</f>
        <v>293.3333333333415</v>
      </c>
      <c r="S195" s="62">
        <f ca="1">AVERAGE(OFFSET($R$3,0,0,'Données projet'!$E$9+1,1))-AVERAGE(OFFSET($H$3,0,0,'Données projet'!$E$9+1,1))</f>
        <v>228.905960862347</v>
      </c>
      <c r="T195" s="62">
        <f t="shared" si="142"/>
        <v>167.30057656688177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3.694822225952521E-13</v>
      </c>
      <c r="AJ195" s="14">
        <f>AI195*VLOOKUP('Données projet'!$B$10,Paramètres!$A$1:$I$89,3,0)*VLOOKUP('Données projet'!$B$10,Paramètres!$A$1:$I$89,5,0)</f>
        <v>3.7465497371158569E-13</v>
      </c>
      <c r="AK195" s="14">
        <f t="shared" si="164"/>
        <v>4.8262838474208691E-12</v>
      </c>
      <c r="AL195" s="22">
        <f t="shared" si="165"/>
        <v>9.0583017801390244E-12</v>
      </c>
      <c r="AM195" s="62">
        <f t="shared" si="113"/>
        <v>293.33333333334235</v>
      </c>
      <c r="AN195" s="62">
        <f ca="1">AVERAGE(OFFSET($AM$3,0,0,'Données projet'!$E$10+1,1))-AVERAGE(OFFSET($H$3,0,0,'Données projet'!$E$10+1,1))</f>
        <v>256.45433991419372</v>
      </c>
      <c r="AO195" s="62">
        <f t="shared" si="144"/>
        <v>184.9718670682193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2.6602720026858149E-14</v>
      </c>
      <c r="BF195" s="14">
        <f t="shared" si="167"/>
        <v>4.6624771586320878E-13</v>
      </c>
      <c r="BG195" s="22">
        <f t="shared" si="168"/>
        <v>8.583811758418665E-13</v>
      </c>
      <c r="BH195" s="62">
        <f t="shared" si="116"/>
        <v>293.33333333333417</v>
      </c>
      <c r="BI195" s="62">
        <f ca="1">AVERAGE(OFFSET($BH$3,0,0,'Données projet'!$E$11+1,1))-AVERAGE(OFFSET($H$3,0,0,'Données projet'!$E$11+1,1))</f>
        <v>152.72674713084456</v>
      </c>
      <c r="BJ195" s="62">
        <f t="shared" si="146"/>
        <v>203.90215120562164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0.62127360921131602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6.4164147545383372E-24</v>
      </c>
      <c r="BS195" s="24">
        <f t="shared" si="169"/>
        <v>0.62127360921131602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53.887298399999885</v>
      </c>
      <c r="D196" s="12">
        <f t="shared" si="140"/>
        <v>15.613255177569764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168.4595874083688</v>
      </c>
      <c r="H196" s="70">
        <f t="shared" ref="H196:H203" si="192">(B196+E196+F196)*44/12+(C196+D196)*0.475*44/12</f>
        <v>377.71346414760046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3.694822225952521E-13</v>
      </c>
      <c r="O196" s="14">
        <f>N196*VLOOKUP('Données projet'!$B$9,Paramètres!$A$1:$I$89,3,0)*VLOOKUP('Données projet'!$B$9,Paramètres!$A$1:$I$89,5,0)</f>
        <v>3.3430751500418408E-13</v>
      </c>
      <c r="P196" s="14">
        <f t="shared" si="141"/>
        <v>4.3640286551328835E-12</v>
      </c>
      <c r="Q196" s="22">
        <f t="shared" si="162"/>
        <v>8.1829354963220586E-12</v>
      </c>
      <c r="R196" s="62">
        <f t="shared" si="191"/>
        <v>293.3333333333415</v>
      </c>
      <c r="S196" s="62">
        <f ca="1">AVERAGE(OFFSET($R$3,0,0,'Données projet'!$E$9+1,1))-AVERAGE(OFFSET($H$3,0,0,'Données projet'!$E$9+1,1))</f>
        <v>228.905960862347</v>
      </c>
      <c r="T196" s="62">
        <f t="shared" si="142"/>
        <v>167.30057656688177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3.694822225952521E-13</v>
      </c>
      <c r="AJ196" s="14">
        <f>AI196*VLOOKUP('Données projet'!$B$10,Paramètres!$A$1:$I$89,3,0)*VLOOKUP('Données projet'!$B$10,Paramètres!$A$1:$I$89,5,0)</f>
        <v>3.7465497371158569E-13</v>
      </c>
      <c r="AK196" s="14">
        <f t="shared" si="164"/>
        <v>4.8262838474208691E-12</v>
      </c>
      <c r="AL196" s="22">
        <f t="shared" si="165"/>
        <v>9.0583017801390244E-12</v>
      </c>
      <c r="AM196" s="62">
        <f t="shared" ref="AM196:AM203" si="193">AL196+(AD196+AE196)*44/12</f>
        <v>293.33333333334235</v>
      </c>
      <c r="AN196" s="62">
        <f ca="1">AVERAGE(OFFSET($AM$3,0,0,'Données projet'!$E$10+1,1))-AVERAGE(OFFSET($H$3,0,0,'Données projet'!$E$10+1,1))</f>
        <v>256.45433991419372</v>
      </c>
      <c r="AO196" s="62">
        <f t="shared" si="144"/>
        <v>184.9718670682193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2.6602720026858149E-14</v>
      </c>
      <c r="BF196" s="14">
        <f t="shared" si="167"/>
        <v>4.6624771586320878E-13</v>
      </c>
      <c r="BG196" s="22">
        <f t="shared" si="168"/>
        <v>8.583811758418665E-13</v>
      </c>
      <c r="BH196" s="62">
        <f t="shared" ref="BH196:BH203" si="194">BG196+(AY196+AZ196)*44/12</f>
        <v>293.33333333333417</v>
      </c>
      <c r="BI196" s="62">
        <f ca="1">AVERAGE(OFFSET($BH$3,0,0,'Données projet'!$E$11+1,1))-AVERAGE(OFFSET($H$3,0,0,'Données projet'!$E$11+1,1))</f>
        <v>152.72674713084456</v>
      </c>
      <c r="BJ196" s="62">
        <f t="shared" si="146"/>
        <v>203.90215120562164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0.60909081267416654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4.537090383839475E-24</v>
      </c>
      <c r="BS196" s="24">
        <f t="shared" si="169"/>
        <v>0.60909081267416654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54.166507199999884</v>
      </c>
      <c r="D197" s="12">
        <f t="shared" ref="D197:D203" si="202">IFERROR(EXP(-1.0587+0.8836*LN(C197)+0.284),0)</f>
        <v>15.684714867043589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169.30955861022326</v>
      </c>
      <c r="H197" s="70">
        <f t="shared" si="192"/>
        <v>378.32421176676741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3.694822225952521E-13</v>
      </c>
      <c r="O197" s="14">
        <f>N197*VLOOKUP('Données projet'!$B$9,Paramètres!$A$1:$I$89,3,0)*VLOOKUP('Données projet'!$B$9,Paramètres!$A$1:$I$89,5,0)</f>
        <v>3.3430751500418408E-13</v>
      </c>
      <c r="P197" s="14">
        <f t="shared" ref="P197:P203" si="203">EXP(-1.0587+0.8836*LN(O197)+0.284)</f>
        <v>4.3640286551328835E-12</v>
      </c>
      <c r="Q197" s="22">
        <f t="shared" si="162"/>
        <v>8.1829354963220586E-12</v>
      </c>
      <c r="R197" s="62">
        <f t="shared" si="191"/>
        <v>293.3333333333415</v>
      </c>
      <c r="S197" s="62">
        <f ca="1">AVERAGE(OFFSET($R$3,0,0,'Données projet'!$E$9+1,1))-AVERAGE(OFFSET($H$3,0,0,'Données projet'!$E$9+1,1))</f>
        <v>228.905960862347</v>
      </c>
      <c r="T197" s="62">
        <f t="shared" ref="T197:T203" si="204">$T$3</f>
        <v>167.30057656688177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3.694822225952521E-13</v>
      </c>
      <c r="AJ197" s="14">
        <f>AI197*VLOOKUP('Données projet'!$B$10,Paramètres!$A$1:$I$89,3,0)*VLOOKUP('Données projet'!$B$10,Paramètres!$A$1:$I$89,5,0)</f>
        <v>3.7465497371158569E-13</v>
      </c>
      <c r="AK197" s="14">
        <f t="shared" si="164"/>
        <v>4.8262838474208691E-12</v>
      </c>
      <c r="AL197" s="22">
        <f t="shared" si="165"/>
        <v>9.0583017801390244E-12</v>
      </c>
      <c r="AM197" s="62">
        <f t="shared" si="193"/>
        <v>293.33333333334235</v>
      </c>
      <c r="AN197" s="62">
        <f ca="1">AVERAGE(OFFSET($AM$3,0,0,'Données projet'!$E$10+1,1))-AVERAGE(OFFSET($H$3,0,0,'Données projet'!$E$10+1,1))</f>
        <v>256.45433991419372</v>
      </c>
      <c r="AO197" s="62">
        <f t="shared" ref="AO197:AO203" si="205">$AO$3</f>
        <v>184.9718670682193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2.6602720026858149E-14</v>
      </c>
      <c r="BF197" s="14">
        <f t="shared" si="167"/>
        <v>4.6624771586320878E-13</v>
      </c>
      <c r="BG197" s="22">
        <f t="shared" si="168"/>
        <v>8.583811758418665E-13</v>
      </c>
      <c r="BH197" s="62">
        <f t="shared" si="194"/>
        <v>293.33333333333417</v>
      </c>
      <c r="BI197" s="62">
        <f ca="1">AVERAGE(OFFSET($BH$3,0,0,'Données projet'!$E$11+1,1))-AVERAGE(OFFSET($H$3,0,0,'Données projet'!$E$11+1,1))</f>
        <v>152.72674713084456</v>
      </c>
      <c r="BJ197" s="62">
        <f t="shared" ref="BJ197:BJ203" si="206">$BJ$3</f>
        <v>203.90215120562164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0.5971469133463384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3.2082073772691686E-24</v>
      </c>
      <c r="BS197" s="24">
        <f t="shared" si="169"/>
        <v>0.5971469133463384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54.445715999999884</v>
      </c>
      <c r="D198" s="12">
        <f t="shared" si="202"/>
        <v>15.756131693363084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170.15942591780751</v>
      </c>
      <c r="H198" s="70">
        <f t="shared" si="192"/>
        <v>378.93488473260714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3.694822225952521E-13</v>
      </c>
      <c r="O198" s="14">
        <f>N198*VLOOKUP('Données projet'!$B$9,Paramètres!$A$1:$I$89,3,0)*VLOOKUP('Données projet'!$B$9,Paramètres!$A$1:$I$89,5,0)</f>
        <v>3.3430751500418408E-13</v>
      </c>
      <c r="P198" s="14">
        <f t="shared" si="203"/>
        <v>4.3640286551328835E-12</v>
      </c>
      <c r="Q198" s="22">
        <f t="shared" si="162"/>
        <v>8.1829354963220586E-12</v>
      </c>
      <c r="R198" s="62">
        <f t="shared" si="191"/>
        <v>293.3333333333415</v>
      </c>
      <c r="S198" s="62">
        <f ca="1">AVERAGE(OFFSET($R$3,0,0,'Données projet'!$E$9+1,1))-AVERAGE(OFFSET($H$3,0,0,'Données projet'!$E$9+1,1))</f>
        <v>228.905960862347</v>
      </c>
      <c r="T198" s="62">
        <f t="shared" si="204"/>
        <v>167.30057656688177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3.694822225952521E-13</v>
      </c>
      <c r="AJ198" s="14">
        <f>AI198*VLOOKUP('Données projet'!$B$10,Paramètres!$A$1:$I$89,3,0)*VLOOKUP('Données projet'!$B$10,Paramètres!$A$1:$I$89,5,0)</f>
        <v>3.7465497371158569E-13</v>
      </c>
      <c r="AK198" s="14">
        <f t="shared" si="164"/>
        <v>4.8262838474208691E-12</v>
      </c>
      <c r="AL198" s="22">
        <f t="shared" si="165"/>
        <v>9.0583017801390244E-12</v>
      </c>
      <c r="AM198" s="62">
        <f t="shared" si="193"/>
        <v>293.33333333334235</v>
      </c>
      <c r="AN198" s="62">
        <f ca="1">AVERAGE(OFFSET($AM$3,0,0,'Données projet'!$E$10+1,1))-AVERAGE(OFFSET($H$3,0,0,'Données projet'!$E$10+1,1))</f>
        <v>256.45433991419372</v>
      </c>
      <c r="AO198" s="62">
        <f t="shared" si="205"/>
        <v>184.9718670682193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2.6602720026858149E-14</v>
      </c>
      <c r="BF198" s="14">
        <f t="shared" si="167"/>
        <v>4.6624771586320878E-13</v>
      </c>
      <c r="BG198" s="22">
        <f t="shared" si="168"/>
        <v>8.583811758418665E-13</v>
      </c>
      <c r="BH198" s="62">
        <f t="shared" si="194"/>
        <v>293.33333333333417</v>
      </c>
      <c r="BI198" s="62">
        <f ca="1">AVERAGE(OFFSET($BH$3,0,0,'Données projet'!$E$11+1,1))-AVERAGE(OFFSET($H$3,0,0,'Données projet'!$E$11+1,1))</f>
        <v>152.72674713084456</v>
      </c>
      <c r="BJ198" s="62">
        <f t="shared" si="206"/>
        <v>203.90215120562164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0.58543722659926978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2.2685451919197375E-24</v>
      </c>
      <c r="BS198" s="24">
        <f t="shared" si="169"/>
        <v>0.58543722659926978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54.724924799999883</v>
      </c>
      <c r="D199" s="12">
        <f t="shared" si="202"/>
        <v>15.827505901854259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171.00918992575737</v>
      </c>
      <c r="H199" s="70">
        <f t="shared" si="192"/>
        <v>379.54548347239597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3.694822225952521E-13</v>
      </c>
      <c r="O199" s="14">
        <f>N199*VLOOKUP('Données projet'!$B$9,Paramètres!$A$1:$I$89,3,0)*VLOOKUP('Données projet'!$B$9,Paramètres!$A$1:$I$89,5,0)</f>
        <v>3.3430751500418408E-13</v>
      </c>
      <c r="P199" s="14">
        <f t="shared" si="203"/>
        <v>4.3640286551328835E-12</v>
      </c>
      <c r="Q199" s="22">
        <f t="shared" si="162"/>
        <v>8.1829354963220586E-12</v>
      </c>
      <c r="R199" s="62">
        <f t="shared" si="191"/>
        <v>293.3333333333415</v>
      </c>
      <c r="S199" s="62">
        <f ca="1">AVERAGE(OFFSET($R$3,0,0,'Données projet'!$E$9+1,1))-AVERAGE(OFFSET($H$3,0,0,'Données projet'!$E$9+1,1))</f>
        <v>228.905960862347</v>
      </c>
      <c r="T199" s="62">
        <f t="shared" si="204"/>
        <v>167.30057656688177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3.694822225952521E-13</v>
      </c>
      <c r="AJ199" s="14">
        <f>AI199*VLOOKUP('Données projet'!$B$10,Paramètres!$A$1:$I$89,3,0)*VLOOKUP('Données projet'!$B$10,Paramètres!$A$1:$I$89,5,0)</f>
        <v>3.7465497371158569E-13</v>
      </c>
      <c r="AK199" s="14">
        <f t="shared" si="164"/>
        <v>4.8262838474208691E-12</v>
      </c>
      <c r="AL199" s="22">
        <f t="shared" si="165"/>
        <v>9.0583017801390244E-12</v>
      </c>
      <c r="AM199" s="62">
        <f t="shared" si="193"/>
        <v>293.33333333334235</v>
      </c>
      <c r="AN199" s="62">
        <f ca="1">AVERAGE(OFFSET($AM$3,0,0,'Données projet'!$E$10+1,1))-AVERAGE(OFFSET($H$3,0,0,'Données projet'!$E$10+1,1))</f>
        <v>256.45433991419372</v>
      </c>
      <c r="AO199" s="62">
        <f t="shared" si="205"/>
        <v>184.9718670682193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2.6602720026858149E-14</v>
      </c>
      <c r="BF199" s="14">
        <f t="shared" si="167"/>
        <v>4.6624771586320878E-13</v>
      </c>
      <c r="BG199" s="22">
        <f t="shared" si="168"/>
        <v>8.583811758418665E-13</v>
      </c>
      <c r="BH199" s="62">
        <f t="shared" si="194"/>
        <v>293.33333333333417</v>
      </c>
      <c r="BI199" s="62">
        <f ca="1">AVERAGE(OFFSET($BH$3,0,0,'Données projet'!$E$11+1,1))-AVERAGE(OFFSET($H$3,0,0,'Données projet'!$E$11+1,1))</f>
        <v>152.72674713084456</v>
      </c>
      <c r="BJ199" s="62">
        <f t="shared" si="206"/>
        <v>203.90215120562164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0.57395715966710747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1.6041036886345843E-24</v>
      </c>
      <c r="BS199" s="24">
        <f t="shared" si="169"/>
        <v>0.57395715966710747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55.004133599999882</v>
      </c>
      <c r="D200" s="12">
        <f t="shared" si="202"/>
        <v>15.898837735194803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171.85885122228942</v>
      </c>
      <c r="H200" s="70">
        <f t="shared" si="192"/>
        <v>380.15600840879739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3.694822225952521E-13</v>
      </c>
      <c r="O200" s="14">
        <f>N200*VLOOKUP('Données projet'!$B$9,Paramètres!$A$1:$I$89,3,0)*VLOOKUP('Données projet'!$B$9,Paramètres!$A$1:$I$89,5,0)</f>
        <v>3.3430751500418408E-13</v>
      </c>
      <c r="P200" s="14">
        <f t="shared" si="203"/>
        <v>4.3640286551328835E-12</v>
      </c>
      <c r="Q200" s="22">
        <f t="shared" si="162"/>
        <v>8.1829354963220586E-12</v>
      </c>
      <c r="R200" s="62">
        <f t="shared" si="191"/>
        <v>293.3333333333415</v>
      </c>
      <c r="S200" s="62">
        <f ca="1">AVERAGE(OFFSET($R$3,0,0,'Données projet'!$E$9+1,1))-AVERAGE(OFFSET($H$3,0,0,'Données projet'!$E$9+1,1))</f>
        <v>228.905960862347</v>
      </c>
      <c r="T200" s="62">
        <f t="shared" si="204"/>
        <v>167.30057656688177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3.694822225952521E-13</v>
      </c>
      <c r="AJ200" s="14">
        <f>AI200*VLOOKUP('Données projet'!$B$10,Paramètres!$A$1:$I$89,3,0)*VLOOKUP('Données projet'!$B$10,Paramètres!$A$1:$I$89,5,0)</f>
        <v>3.7465497371158569E-13</v>
      </c>
      <c r="AK200" s="14">
        <f t="shared" si="164"/>
        <v>4.8262838474208691E-12</v>
      </c>
      <c r="AL200" s="22">
        <f t="shared" si="165"/>
        <v>9.0583017801390244E-12</v>
      </c>
      <c r="AM200" s="62">
        <f t="shared" si="193"/>
        <v>293.33333333334235</v>
      </c>
      <c r="AN200" s="62">
        <f ca="1">AVERAGE(OFFSET($AM$3,0,0,'Données projet'!$E$10+1,1))-AVERAGE(OFFSET($H$3,0,0,'Données projet'!$E$10+1,1))</f>
        <v>256.45433991419372</v>
      </c>
      <c r="AO200" s="62">
        <f t="shared" si="205"/>
        <v>184.9718670682193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2.6602720026858149E-14</v>
      </c>
      <c r="BF200" s="14">
        <f t="shared" si="167"/>
        <v>4.6624771586320878E-13</v>
      </c>
      <c r="BG200" s="22">
        <f t="shared" si="168"/>
        <v>8.583811758418665E-13</v>
      </c>
      <c r="BH200" s="62">
        <f t="shared" si="194"/>
        <v>293.33333333333417</v>
      </c>
      <c r="BI200" s="62">
        <f ca="1">AVERAGE(OFFSET($BH$3,0,0,'Données projet'!$E$11+1,1))-AVERAGE(OFFSET($H$3,0,0,'Données projet'!$E$11+1,1))</f>
        <v>152.72674713084456</v>
      </c>
      <c r="BJ200" s="62">
        <f t="shared" si="206"/>
        <v>203.90215120562164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0.56270220984533548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1.1342725959598687E-24</v>
      </c>
      <c r="BS200" s="24">
        <f t="shared" si="169"/>
        <v>0.56270220984533548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55.283342399999881</v>
      </c>
      <c r="D201" s="12">
        <f t="shared" si="202"/>
        <v>15.970127433456062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172.70841038930303</v>
      </c>
      <c r="H201" s="70">
        <f t="shared" si="192"/>
        <v>380.76645995993579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3.694822225952521E-13</v>
      </c>
      <c r="O201" s="14">
        <f>N201*VLOOKUP('Données projet'!$B$9,Paramètres!$A$1:$I$89,3,0)*VLOOKUP('Données projet'!$B$9,Paramètres!$A$1:$I$89,5,0)</f>
        <v>3.3430751500418408E-13</v>
      </c>
      <c r="P201" s="14">
        <f t="shared" si="203"/>
        <v>4.3640286551328835E-12</v>
      </c>
      <c r="Q201" s="22">
        <f t="shared" si="162"/>
        <v>8.1829354963220586E-12</v>
      </c>
      <c r="R201" s="62">
        <f t="shared" si="191"/>
        <v>293.3333333333415</v>
      </c>
      <c r="S201" s="62">
        <f ca="1">AVERAGE(OFFSET($R$3,0,0,'Données projet'!$E$9+1,1))-AVERAGE(OFFSET($H$3,0,0,'Données projet'!$E$9+1,1))</f>
        <v>228.905960862347</v>
      </c>
      <c r="T201" s="62">
        <f t="shared" si="204"/>
        <v>167.30057656688177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3.694822225952521E-13</v>
      </c>
      <c r="AJ201" s="14">
        <f>AI201*VLOOKUP('Données projet'!$B$10,Paramètres!$A$1:$I$89,3,0)*VLOOKUP('Données projet'!$B$10,Paramètres!$A$1:$I$89,5,0)</f>
        <v>3.7465497371158569E-13</v>
      </c>
      <c r="AK201" s="14">
        <f t="shared" si="164"/>
        <v>4.8262838474208691E-12</v>
      </c>
      <c r="AL201" s="22">
        <f t="shared" si="165"/>
        <v>9.0583017801390244E-12</v>
      </c>
      <c r="AM201" s="62">
        <f t="shared" si="193"/>
        <v>293.33333333334235</v>
      </c>
      <c r="AN201" s="62">
        <f ca="1">AVERAGE(OFFSET($AM$3,0,0,'Données projet'!$E$10+1,1))-AVERAGE(OFFSET($H$3,0,0,'Données projet'!$E$10+1,1))</f>
        <v>256.45433991419372</v>
      </c>
      <c r="AO201" s="62">
        <f t="shared" si="205"/>
        <v>184.9718670682193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2.6602720026858149E-14</v>
      </c>
      <c r="BF201" s="14">
        <f t="shared" si="167"/>
        <v>4.6624771586320878E-13</v>
      </c>
      <c r="BG201" s="22">
        <f t="shared" si="168"/>
        <v>8.583811758418665E-13</v>
      </c>
      <c r="BH201" s="62">
        <f t="shared" si="194"/>
        <v>293.33333333333417</v>
      </c>
      <c r="BI201" s="62">
        <f ca="1">AVERAGE(OFFSET($BH$3,0,0,'Données projet'!$E$11+1,1))-AVERAGE(OFFSET($H$3,0,0,'Données projet'!$E$11+1,1))</f>
        <v>152.72674713084456</v>
      </c>
      <c r="BJ201" s="62">
        <f t="shared" si="206"/>
        <v>203.90215120562164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0.55166796272472685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8.0205184431729214E-25</v>
      </c>
      <c r="BS201" s="24">
        <f t="shared" si="169"/>
        <v>0.55166796272472685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55.562551199999881</v>
      </c>
      <c r="D202" s="12">
        <f t="shared" si="202"/>
        <v>16.041375234144006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173.55786800247927</v>
      </c>
      <c r="H202" s="70">
        <f t="shared" si="192"/>
        <v>381.37683853946731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3.694822225952521E-13</v>
      </c>
      <c r="O202" s="14">
        <f>N202*VLOOKUP('Données projet'!$B$9,Paramètres!$A$1:$I$89,3,0)*VLOOKUP('Données projet'!$B$9,Paramètres!$A$1:$I$89,5,0)</f>
        <v>3.3430751500418408E-13</v>
      </c>
      <c r="P202" s="14">
        <f t="shared" si="203"/>
        <v>4.3640286551328835E-12</v>
      </c>
      <c r="Q202" s="22">
        <f t="shared" si="162"/>
        <v>8.1829354963220586E-12</v>
      </c>
      <c r="R202" s="62">
        <f t="shared" si="191"/>
        <v>293.3333333333415</v>
      </c>
      <c r="S202" s="62">
        <f ca="1">AVERAGE(OFFSET($R$3,0,0,'Données projet'!$E$9+1,1))-AVERAGE(OFFSET($H$3,0,0,'Données projet'!$E$9+1,1))</f>
        <v>228.905960862347</v>
      </c>
      <c r="T202" s="62">
        <f t="shared" si="204"/>
        <v>167.30057656688177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3.694822225952521E-13</v>
      </c>
      <c r="AJ202" s="14">
        <f>AI202*VLOOKUP('Données projet'!$B$10,Paramètres!$A$1:$I$89,3,0)*VLOOKUP('Données projet'!$B$10,Paramètres!$A$1:$I$89,5,0)</f>
        <v>3.7465497371158569E-13</v>
      </c>
      <c r="AK202" s="14">
        <f t="shared" si="164"/>
        <v>4.8262838474208691E-12</v>
      </c>
      <c r="AL202" s="22">
        <f t="shared" si="165"/>
        <v>9.0583017801390244E-12</v>
      </c>
      <c r="AM202" s="62">
        <f t="shared" si="193"/>
        <v>293.33333333334235</v>
      </c>
      <c r="AN202" s="62">
        <f ca="1">AVERAGE(OFFSET($AM$3,0,0,'Données projet'!$E$10+1,1))-AVERAGE(OFFSET($H$3,0,0,'Données projet'!$E$10+1,1))</f>
        <v>256.45433991419372</v>
      </c>
      <c r="AO202" s="62">
        <f t="shared" si="205"/>
        <v>184.9718670682193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2.6602720026858149E-14</v>
      </c>
      <c r="BF202" s="14">
        <f t="shared" si="167"/>
        <v>4.6624771586320878E-13</v>
      </c>
      <c r="BG202" s="22">
        <f t="shared" si="168"/>
        <v>8.583811758418665E-13</v>
      </c>
      <c r="BH202" s="62">
        <f t="shared" si="194"/>
        <v>293.33333333333417</v>
      </c>
      <c r="BI202" s="62">
        <f ca="1">AVERAGE(OFFSET($BH$3,0,0,'Données projet'!$E$11+1,1))-AVERAGE(OFFSET($H$3,0,0,'Données projet'!$E$11+1,1))</f>
        <v>152.72674713084456</v>
      </c>
      <c r="BJ202" s="62">
        <f t="shared" si="206"/>
        <v>203.90215120562164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0.54085009045992716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5.6713629797993437E-25</v>
      </c>
      <c r="BS202" s="24">
        <f t="shared" si="169"/>
        <v>0.54085009045992716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55.84175999999988</v>
      </c>
      <c r="D203" s="12">
        <f t="shared" si="202"/>
        <v>16.11258137223934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174.40722463137843</v>
      </c>
      <c r="H203" s="70">
        <f t="shared" si="192"/>
        <v>381.98714455664998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3.694822225952521E-13</v>
      </c>
      <c r="O203" s="14">
        <f>N203*VLOOKUP('Données projet'!$B$9,Paramètres!$A$1:$I$89,3,0)*VLOOKUP('Données projet'!$B$9,Paramètres!$A$1:$I$89,5,0)</f>
        <v>3.3430751500418408E-13</v>
      </c>
      <c r="P203" s="14">
        <f t="shared" si="203"/>
        <v>4.3640286551328835E-12</v>
      </c>
      <c r="Q203" s="22">
        <f t="shared" si="162"/>
        <v>8.1829354963220586E-12</v>
      </c>
      <c r="R203" s="62">
        <f t="shared" si="191"/>
        <v>293.3333333333415</v>
      </c>
      <c r="S203" s="62">
        <f ca="1">AVERAGE(OFFSET($R$3,0,0,'Données projet'!$E$9+1,1))-AVERAGE(OFFSET($H$3,0,0,'Données projet'!$E$9+1,1))</f>
        <v>228.905960862347</v>
      </c>
      <c r="T203" s="62">
        <f t="shared" si="204"/>
        <v>167.30057656688177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3.694822225952521E-13</v>
      </c>
      <c r="AJ203" s="14">
        <f>AI203*VLOOKUP('Données projet'!$B$10,Paramètres!$A$1:$I$89,3,0)*VLOOKUP('Données projet'!$B$10,Paramètres!$A$1:$I$89,5,0)</f>
        <v>3.7465497371158569E-13</v>
      </c>
      <c r="AK203" s="14">
        <f t="shared" si="164"/>
        <v>4.8262838474208691E-12</v>
      </c>
      <c r="AL203" s="22">
        <f t="shared" si="165"/>
        <v>9.0583017801390244E-12</v>
      </c>
      <c r="AM203" s="62">
        <f t="shared" si="193"/>
        <v>293.33333333334235</v>
      </c>
      <c r="AN203" s="62">
        <f ca="1">AVERAGE(OFFSET($AM$3,0,0,'Données projet'!$E$10+1,1))-AVERAGE(OFFSET($H$3,0,0,'Données projet'!$E$10+1,1))</f>
        <v>256.45433991419372</v>
      </c>
      <c r="AO203" s="62">
        <f t="shared" si="205"/>
        <v>184.9718670682193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2.6602720026858149E-14</v>
      </c>
      <c r="BF203" s="14">
        <f t="shared" si="167"/>
        <v>4.6624771586320878E-13</v>
      </c>
      <c r="BG203" s="22">
        <f t="shared" si="168"/>
        <v>8.583811758418665E-13</v>
      </c>
      <c r="BH203" s="62">
        <f t="shared" si="194"/>
        <v>293.33333333333417</v>
      </c>
      <c r="BI203" s="62">
        <f ca="1">AVERAGE(OFFSET($BH$3,0,0,'Données projet'!$E$11+1,1))-AVERAGE(OFFSET($H$3,0,0,'Données projet'!$E$11+1,1))</f>
        <v>152.72674713084456</v>
      </c>
      <c r="BJ203" s="62">
        <f t="shared" si="206"/>
        <v>203.90215120562164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0.53024435007198967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4.0102592215864607E-25</v>
      </c>
      <c r="BS203" s="24">
        <f t="shared" si="169"/>
        <v>0.53024435007198967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1.092114369648429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1.092114369648429</v>
      </c>
      <c r="BA205" s="88">
        <f>EXP(LN('Données projet'!B88)/'Données projet'!A88)</f>
        <v>1.2880503926580862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Q7" sqref="Q7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3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Chêne sessile</v>
      </c>
      <c r="B6" s="155">
        <f>'Données projet'!D9</f>
        <v>1.1900000000000002</v>
      </c>
      <c r="C6" s="156">
        <f ca="1">IF(OR('Données projet'!B9="",'Données projet'!C9="",'Données projet'!C9=0%),0,Calculateur!S3)</f>
        <v>228.905960862347</v>
      </c>
      <c r="D6" s="156">
        <f>IF(OR('Données projet'!B9="",'Données projet'!C9="",'Données projet'!C9=0%),0,Calculateur!T3)</f>
        <v>167.30057656688177</v>
      </c>
      <c r="E6" s="156">
        <f ca="1">MIN(C6,D6)</f>
        <v>167.30057656688177</v>
      </c>
      <c r="F6" s="156">
        <f ca="1">E6*B6</f>
        <v>199.08768611458933</v>
      </c>
      <c r="G6" s="156">
        <f ca="1">F6*(100%-'Données projet'!$C$24)*(100%-'Données projet'!$C$25)*(100%-'Données projet'!$C$26)*(100%-'Données projet'!$C$27)</f>
        <v>179.17891750313041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179.17891750313041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Chêne pubescent</v>
      </c>
      <c r="B7" s="163">
        <f>'Données projet'!D10</f>
        <v>2.1</v>
      </c>
      <c r="C7" s="156">
        <f ca="1">IF(OR('Données projet'!B10="",'Données projet'!C10="",'Données projet'!C10=0%),0,Calculateur!AN3)</f>
        <v>256.45433991419372</v>
      </c>
      <c r="D7" s="156">
        <f>IF(OR('Données projet'!B10="",'Données projet'!C10="",'Données projet'!C10=0%),0,Calculateur!AO3)</f>
        <v>184.9718670682193</v>
      </c>
      <c r="E7" s="156">
        <f t="shared" ref="E7:E15" ca="1" si="0">MIN(C7,D7)</f>
        <v>184.9718670682193</v>
      </c>
      <c r="F7" s="156">
        <f t="shared" ref="F7:F15" ca="1" si="1">E7*B7</f>
        <v>388.44092084326053</v>
      </c>
      <c r="G7" s="156">
        <f ca="1">F7*(100%-'Données projet'!$C$24)*(100%-'Données projet'!$C$25)*(100%-'Données projet'!$C$26)*(100%-'Données projet'!$C$27)</f>
        <v>349.59682875893446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349.59682875893446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Cèdre de l'Atlas</v>
      </c>
      <c r="B8" s="163">
        <f>'Données projet'!D11</f>
        <v>2.8000000000000003</v>
      </c>
      <c r="C8" s="156">
        <f ca="1">IF(OR('Données projet'!B11="",'Données projet'!C11="",'Données projet'!C11=0%),0,Calculateur!BI3)</f>
        <v>152.72674713084456</v>
      </c>
      <c r="D8" s="156">
        <f>IF(OR('Données projet'!B11="",'Données projet'!C11="",'Données projet'!C11=0%),0,Calculateur!BJ3)</f>
        <v>203.90215120562164</v>
      </c>
      <c r="E8" s="156">
        <f t="shared" ca="1" si="0"/>
        <v>152.72674713084456</v>
      </c>
      <c r="F8" s="156">
        <f t="shared" ca="1" si="1"/>
        <v>427.63489196636482</v>
      </c>
      <c r="G8" s="156">
        <f ca="1">F8*(100%-'Données projet'!$C$24)*(100%-'Données projet'!$C$25)*(100%-'Données projet'!$C$26)*(100%-'Données projet'!$C$27)</f>
        <v>384.87140276972832</v>
      </c>
      <c r="H8" s="164">
        <f>IF(OR('Données projet'!B11="",'Données projet'!C11="",'Données projet'!C11=0%),0,AVERAGE(Calculateur!$BS$3:$BS$33)*B8)</f>
        <v>14.124616067559078</v>
      </c>
      <c r="I8" s="158">
        <f>H8*(100%-'Données projet'!$C$24)*(100%-'Données projet'!$C$25)*(100%-'Données projet'!$C$26)*(100%-'Données projet'!$C$27)</f>
        <v>12.71215446080317</v>
      </c>
      <c r="J8" s="159">
        <f>IF(OR('Données projet'!B11="",'Données projet'!C11="",'Données projet'!C11=0%),0,SUM(Calculateur!$BL$3:$BL$33)*VLOOKUP('Données projet'!$B$11,Paramètres!$A$1:$I$89,9,0)*B8)</f>
        <v>144.48000000000002</v>
      </c>
      <c r="K8" s="160">
        <f>J8*(100%-'Données projet'!$C$24)*(100%-'Données projet'!$C$25)*(100%-'Données projet'!$C$26)*(100%-'Données projet'!$C$27)</f>
        <v>130.03200000000001</v>
      </c>
      <c r="L8" s="161">
        <f t="shared" ca="1" si="2"/>
        <v>527.61555723053152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1015.1634989242148</v>
      </c>
      <c r="G16" s="175">
        <f t="shared" ca="1" si="3"/>
        <v>913.64714903179322</v>
      </c>
      <c r="H16" s="176">
        <f t="shared" si="3"/>
        <v>14.124616067559078</v>
      </c>
      <c r="I16" s="176">
        <f t="shared" si="3"/>
        <v>12.71215446080317</v>
      </c>
      <c r="J16" s="177">
        <f t="shared" si="3"/>
        <v>144.48000000000002</v>
      </c>
      <c r="K16" s="177">
        <f t="shared" si="3"/>
        <v>130.03200000000001</v>
      </c>
      <c r="L16" s="178">
        <f t="shared" ca="1" si="3"/>
        <v>1056.3913034925963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Q4" zoomScale="90" zoomScaleNormal="90" workbookViewId="0">
      <selection activeCell="I22" sqref="I2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-2580.5315930195179</v>
      </c>
      <c r="U10" s="190">
        <f>'Données projet'!D9</f>
        <v>1.1900000000000002</v>
      </c>
      <c r="V10" s="189">
        <f>U10*T10</f>
        <v>-3070.8325956932267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-2613.3056798350035</v>
      </c>
      <c r="U11" s="190">
        <f>'Données projet'!D10</f>
        <v>2.1</v>
      </c>
      <c r="V11" s="189">
        <f t="shared" ref="V11" si="0">U11*T11</f>
        <v>-5487.9419276535073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-1693.9780663944987</v>
      </c>
      <c r="U12" s="190">
        <f>'Données projet'!D11</f>
        <v>2.8000000000000003</v>
      </c>
      <c r="V12" s="189">
        <f t="shared" ref="V12:V19" si="1">U12*T12</f>
        <v>-4743.1385859045968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110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19415/7</f>
        <v>2773.5714285714284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34.539999999999935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0</v>
      </c>
      <c r="O18" s="25" t="s">
        <v>325</v>
      </c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2760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530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56</v>
      </c>
      <c r="B23" s="193">
        <f>'Données projet'!D36</f>
        <v>35</v>
      </c>
      <c r="C23" s="206">
        <v>10</v>
      </c>
      <c r="D23" s="194">
        <f>B23*C23</f>
        <v>350</v>
      </c>
      <c r="E23" s="206"/>
      <c r="F23" s="261"/>
      <c r="H23" s="203">
        <v>4</v>
      </c>
      <c r="I23" s="204">
        <v>530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-47375.419063158057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66</v>
      </c>
      <c r="B24" s="193">
        <f>'Données projet'!D37</f>
        <v>50</v>
      </c>
      <c r="C24" s="206">
        <v>12</v>
      </c>
      <c r="D24" s="194">
        <f t="shared" ref="D24:D42" si="2">B24*C24</f>
        <v>600</v>
      </c>
      <c r="E24" s="206"/>
      <c r="F24" s="264"/>
      <c r="H24" s="203">
        <v>5</v>
      </c>
      <c r="I24" s="204">
        <v>530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76</v>
      </c>
      <c r="B25" s="193">
        <f>'Données projet'!D38</f>
        <v>50</v>
      </c>
      <c r="C25" s="206">
        <v>18</v>
      </c>
      <c r="D25" s="194">
        <f t="shared" si="2"/>
        <v>900</v>
      </c>
      <c r="E25" s="206"/>
      <c r="F25" s="264"/>
      <c r="G25" s="1"/>
      <c r="H25" s="203">
        <v>6</v>
      </c>
      <c r="I25" s="204">
        <v>530</v>
      </c>
      <c r="K25" s="225"/>
      <c r="L25" s="271" t="s">
        <v>285</v>
      </c>
      <c r="M25" s="271"/>
      <c r="N25" s="271"/>
      <c r="O25" s="271"/>
      <c r="P25" s="205"/>
      <c r="Q25" s="265" t="s">
        <v>324</v>
      </c>
      <c r="R25" s="25"/>
      <c r="S25" s="198" t="s">
        <v>266</v>
      </c>
      <c r="T25" s="336">
        <f ca="1">T23-T24</f>
        <v>-47375.419063158057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86</v>
      </c>
      <c r="B26" s="193">
        <f>'Données projet'!D39</f>
        <v>70</v>
      </c>
      <c r="C26" s="206">
        <v>22</v>
      </c>
      <c r="D26" s="194">
        <f t="shared" si="2"/>
        <v>1540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100</v>
      </c>
      <c r="B27" s="193">
        <f>'Données projet'!D40</f>
        <v>70</v>
      </c>
      <c r="C27" s="206">
        <v>24</v>
      </c>
      <c r="D27" s="194">
        <f t="shared" si="2"/>
        <v>1680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115</v>
      </c>
      <c r="B28" s="193">
        <f>'Données projet'!D41</f>
        <v>213</v>
      </c>
      <c r="C28" s="206">
        <v>32</v>
      </c>
      <c r="D28" s="194">
        <f t="shared" si="2"/>
        <v>6816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2773.5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56</v>
      </c>
      <c r="B54" s="193">
        <f>'Données projet'!D62</f>
        <v>35</v>
      </c>
      <c r="C54" s="204">
        <v>10</v>
      </c>
      <c r="D54" s="191">
        <f>B54*C54</f>
        <v>350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66</v>
      </c>
      <c r="B55" s="193">
        <f>'Données projet'!D63</f>
        <v>50</v>
      </c>
      <c r="C55" s="204">
        <v>12</v>
      </c>
      <c r="D55" s="191">
        <f t="shared" ref="D55:D73" si="4">B55*C55</f>
        <v>600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76</v>
      </c>
      <c r="B56" s="193">
        <f>'Données projet'!D64</f>
        <v>50</v>
      </c>
      <c r="C56" s="204">
        <v>18</v>
      </c>
      <c r="D56" s="191">
        <f t="shared" si="4"/>
        <v>900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86</v>
      </c>
      <c r="B57" s="193">
        <f>'Données projet'!D65</f>
        <v>70</v>
      </c>
      <c r="C57" s="204">
        <v>22</v>
      </c>
      <c r="D57" s="191">
        <f t="shared" si="4"/>
        <v>1540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100</v>
      </c>
      <c r="B58" s="193">
        <f>'Données projet'!D66</f>
        <v>70</v>
      </c>
      <c r="C58" s="204">
        <v>24</v>
      </c>
      <c r="D58" s="191">
        <f t="shared" si="4"/>
        <v>1680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115</v>
      </c>
      <c r="B59" s="193">
        <f>'Données projet'!D67</f>
        <v>213</v>
      </c>
      <c r="C59" s="204">
        <v>32</v>
      </c>
      <c r="D59" s="191">
        <f t="shared" si="4"/>
        <v>6816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2773.6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20</v>
      </c>
      <c r="B85" s="193">
        <f>'Données projet'!D88</f>
        <v>35</v>
      </c>
      <c r="C85" s="204">
        <v>7</v>
      </c>
      <c r="D85" s="191">
        <f>B85*C85</f>
        <v>245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25</v>
      </c>
      <c r="B86" s="193">
        <f>'Données projet'!D89</f>
        <v>35</v>
      </c>
      <c r="C86" s="204">
        <v>9</v>
      </c>
      <c r="D86" s="191">
        <f t="shared" ref="D86:D104" si="6">B86*C86</f>
        <v>315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30</v>
      </c>
      <c r="B87" s="193">
        <f>'Données projet'!D90</f>
        <v>50</v>
      </c>
      <c r="C87" s="204">
        <v>11</v>
      </c>
      <c r="D87" s="191">
        <f t="shared" si="6"/>
        <v>550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37</v>
      </c>
      <c r="B88" s="193">
        <f>'Données projet'!D91</f>
        <v>50</v>
      </c>
      <c r="C88" s="204">
        <v>12</v>
      </c>
      <c r="D88" s="191">
        <f t="shared" si="6"/>
        <v>600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44</v>
      </c>
      <c r="B89" s="193">
        <f>'Données projet'!D92</f>
        <v>60</v>
      </c>
      <c r="C89" s="204">
        <v>13</v>
      </c>
      <c r="D89" s="191">
        <f t="shared" si="6"/>
        <v>780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51</v>
      </c>
      <c r="B90" s="193">
        <f>'Données projet'!D93</f>
        <v>70</v>
      </c>
      <c r="C90" s="204">
        <v>15</v>
      </c>
      <c r="D90" s="191">
        <f t="shared" si="6"/>
        <v>1050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60</v>
      </c>
      <c r="B91" s="193">
        <f>'Données projet'!D94</f>
        <v>300</v>
      </c>
      <c r="C91" s="204">
        <v>18</v>
      </c>
      <c r="D91" s="191">
        <f t="shared" si="6"/>
        <v>5400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2021-11-18T15:30:23Z</dcterms:modified>
</cp:coreProperties>
</file>